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09 Registros de Producción\programacion semanal de alimento\2023\Modulo 1 Lote M612-F611\"/>
    </mc:Choice>
  </mc:AlternateContent>
  <bookViews>
    <workbookView xWindow="-120" yWindow="-120" windowWidth="29040" windowHeight="15720" tabRatio="741" firstSheet="67" activeTab="71"/>
  </bookViews>
  <sheets>
    <sheet name="SEM 1" sheetId="1" r:id="rId1"/>
    <sheet name="SEM 2" sheetId="76" r:id="rId2"/>
    <sheet name="SEM 3" sheetId="78" r:id="rId3"/>
    <sheet name="SEM 4" sheetId="81" r:id="rId4"/>
    <sheet name="SEM 5" sheetId="83" r:id="rId5"/>
    <sheet name="SEM 6" sheetId="85" r:id="rId6"/>
    <sheet name="SEM 7" sheetId="86" r:id="rId7"/>
    <sheet name="SEM 8" sheetId="87" r:id="rId8"/>
    <sheet name="SEM 9" sheetId="96" r:id="rId9"/>
    <sheet name="SEM 10 " sheetId="97" r:id="rId10"/>
    <sheet name="SEM 11" sheetId="99" r:id="rId11"/>
    <sheet name="SEM 12" sheetId="101" r:id="rId12"/>
    <sheet name="SEM 13" sheetId="102" r:id="rId13"/>
    <sheet name="SEM 14" sheetId="103" r:id="rId14"/>
    <sheet name="SEM 15" sheetId="104" r:id="rId15"/>
    <sheet name="SEM 15 (2)" sheetId="106" r:id="rId16"/>
    <sheet name="SEM 16 OG" sheetId="109" r:id="rId17"/>
    <sheet name="SEM 17" sheetId="112" r:id="rId18"/>
    <sheet name="SEM 18" sheetId="114" r:id="rId19"/>
    <sheet name="SEM 19" sheetId="115" r:id="rId20"/>
    <sheet name="SEM 20" sheetId="116" r:id="rId21"/>
    <sheet name="SEM 21" sheetId="117" r:id="rId22"/>
    <sheet name="SEM 21.1" sheetId="119" r:id="rId23"/>
    <sheet name="SEM 22" sheetId="118" r:id="rId24"/>
    <sheet name="SEM 22,1" sheetId="120" r:id="rId25"/>
    <sheet name="SEM 23" sheetId="121" r:id="rId26"/>
    <sheet name="SEM 23,1" sheetId="122" r:id="rId27"/>
    <sheet name="SEM 24" sheetId="123" r:id="rId28"/>
    <sheet name="SEM 24,1" sheetId="124" r:id="rId29"/>
    <sheet name="SEM 24,2" sheetId="126" r:id="rId30"/>
    <sheet name="SEM 25" sheetId="127" r:id="rId31"/>
    <sheet name="SEM 26" sheetId="128" r:id="rId32"/>
    <sheet name="SEM 27" sheetId="130" r:id="rId33"/>
    <sheet name="SEM 28" sheetId="131" r:id="rId34"/>
    <sheet name="SEM 29" sheetId="132" r:id="rId35"/>
    <sheet name="SEM 30" sheetId="133" r:id="rId36"/>
    <sheet name="SEM 31" sheetId="134" r:id="rId37"/>
    <sheet name="SEM 31,1" sheetId="135" r:id="rId38"/>
    <sheet name="SEM 32" sheetId="136" r:id="rId39"/>
    <sheet name="SEM 33" sheetId="137" r:id="rId40"/>
    <sheet name="SEM 34" sheetId="138" r:id="rId41"/>
    <sheet name="SEM 34,1" sheetId="139" r:id="rId42"/>
    <sheet name="SEM 35" sheetId="140" r:id="rId43"/>
    <sheet name="SEM 36" sheetId="141" r:id="rId44"/>
    <sheet name="SEM 36 (2)" sheetId="142" r:id="rId45"/>
    <sheet name="SEM 37" sheetId="143" r:id="rId46"/>
    <sheet name="SEM 38" sheetId="144" r:id="rId47"/>
    <sheet name="SEM 39" sheetId="145" r:id="rId48"/>
    <sheet name="SEM 40" sheetId="146" r:id="rId49"/>
    <sheet name="SEM 40,1" sheetId="147" r:id="rId50"/>
    <sheet name="SEM 40,2" sheetId="148" r:id="rId51"/>
    <sheet name="SEM 41" sheetId="149" r:id="rId52"/>
    <sheet name="SEM 41,1" sheetId="150" r:id="rId53"/>
    <sheet name="SEM 42" sheetId="151" r:id="rId54"/>
    <sheet name="SEM 43" sheetId="152" r:id="rId55"/>
    <sheet name="SEM 44" sheetId="153" r:id="rId56"/>
    <sheet name="SEM 45" sheetId="155" r:id="rId57"/>
    <sheet name="SEM 46" sheetId="157" r:id="rId58"/>
    <sheet name="SEM 47" sheetId="158" r:id="rId59"/>
    <sheet name="SEM 48" sheetId="160" r:id="rId60"/>
    <sheet name="SEM 49" sheetId="162" r:id="rId61"/>
    <sheet name="SEM 50" sheetId="164" r:id="rId62"/>
    <sheet name="SEM 51" sheetId="165" r:id="rId63"/>
    <sheet name="SEM 52" sheetId="166" r:id="rId64"/>
    <sheet name="SEM 53" sheetId="169" r:id="rId65"/>
    <sheet name="SEM 54" sheetId="170" r:id="rId66"/>
    <sheet name="SEM 55" sheetId="171" r:id="rId67"/>
    <sheet name="SEM 56" sheetId="172" r:id="rId68"/>
    <sheet name="SEM 57" sheetId="175" r:id="rId69"/>
    <sheet name="SEM 58" sheetId="176" r:id="rId70"/>
    <sheet name="SEM 59" sheetId="177" r:id="rId71"/>
    <sheet name="IMPRIMIR    " sheetId="113" r:id="rId72"/>
    <sheet name="SEM 60" sheetId="178" r:id="rId73"/>
    <sheet name="SEM 61" sheetId="180" r:id="rId74"/>
    <sheet name="Copia de seg" sheetId="174" state="hidden" r:id="rId75"/>
    <sheet name="Copia" sheetId="167" state="hidden" r:id="rId76"/>
  </sheets>
  <definedNames>
    <definedName name="_xlnm.Print_Area" localSheetId="75">Copia!$A$1:$AA$48</definedName>
    <definedName name="_xlnm.Print_Area" localSheetId="74">'Copia de seg'!$A$1:$AA$48</definedName>
    <definedName name="_xlnm.Print_Area" localSheetId="71">'IMPRIMIR    '!$A$1:$AA$48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71" i="180" l="1"/>
  <c r="T71" i="180"/>
  <c r="S71" i="180"/>
  <c r="R71" i="180"/>
  <c r="Q71" i="180"/>
  <c r="P71" i="180"/>
  <c r="P73" i="180" s="1"/>
  <c r="O71" i="180"/>
  <c r="N71" i="180"/>
  <c r="M71" i="180"/>
  <c r="L71" i="180"/>
  <c r="K71" i="180"/>
  <c r="J71" i="180"/>
  <c r="I71" i="180"/>
  <c r="H71" i="180"/>
  <c r="H73" i="180" s="1"/>
  <c r="G71" i="180"/>
  <c r="F71" i="180"/>
  <c r="E71" i="180"/>
  <c r="D71" i="180"/>
  <c r="C71" i="180"/>
  <c r="B71" i="180"/>
  <c r="U70" i="180"/>
  <c r="T70" i="180"/>
  <c r="S70" i="180"/>
  <c r="R70" i="180"/>
  <c r="Q70" i="180"/>
  <c r="P70" i="180"/>
  <c r="O70" i="180"/>
  <c r="N70" i="180"/>
  <c r="M70" i="180"/>
  <c r="L70" i="180"/>
  <c r="K70" i="180"/>
  <c r="J70" i="180"/>
  <c r="I70" i="180"/>
  <c r="H70" i="180"/>
  <c r="G70" i="180"/>
  <c r="F70" i="180"/>
  <c r="E70" i="180"/>
  <c r="D70" i="180"/>
  <c r="C70" i="180"/>
  <c r="B70" i="180"/>
  <c r="V69" i="180"/>
  <c r="U67" i="180"/>
  <c r="U72" i="180" s="1"/>
  <c r="T67" i="180"/>
  <c r="T72" i="180" s="1"/>
  <c r="T74" i="180" s="1"/>
  <c r="S67" i="180"/>
  <c r="S72" i="180" s="1"/>
  <c r="S74" i="180" s="1"/>
  <c r="R67" i="180"/>
  <c r="R72" i="180" s="1"/>
  <c r="R74" i="180" s="1"/>
  <c r="Q67" i="180"/>
  <c r="Q72" i="180" s="1"/>
  <c r="Q74" i="180" s="1"/>
  <c r="P67" i="180"/>
  <c r="P72" i="180" s="1"/>
  <c r="P74" i="180" s="1"/>
  <c r="O67" i="180"/>
  <c r="O72" i="180" s="1"/>
  <c r="O74" i="180" s="1"/>
  <c r="N67" i="180"/>
  <c r="N72" i="180" s="1"/>
  <c r="N74" i="180" s="1"/>
  <c r="M67" i="180"/>
  <c r="M72" i="180" s="1"/>
  <c r="M74" i="180" s="1"/>
  <c r="L67" i="180"/>
  <c r="L72" i="180" s="1"/>
  <c r="L74" i="180" s="1"/>
  <c r="K67" i="180"/>
  <c r="K72" i="180" s="1"/>
  <c r="K74" i="180" s="1"/>
  <c r="J67" i="180"/>
  <c r="J72" i="180" s="1"/>
  <c r="J74" i="180" s="1"/>
  <c r="I67" i="180"/>
  <c r="I72" i="180" s="1"/>
  <c r="I74" i="180" s="1"/>
  <c r="H67" i="180"/>
  <c r="H72" i="180" s="1"/>
  <c r="H74" i="180" s="1"/>
  <c r="G67" i="180"/>
  <c r="G72" i="180" s="1"/>
  <c r="G74" i="180" s="1"/>
  <c r="F67" i="180"/>
  <c r="F72" i="180" s="1"/>
  <c r="F74" i="180" s="1"/>
  <c r="E67" i="180"/>
  <c r="E72" i="180" s="1"/>
  <c r="E74" i="180" s="1"/>
  <c r="D67" i="180"/>
  <c r="D72" i="180" s="1"/>
  <c r="D74" i="180" s="1"/>
  <c r="C67" i="180"/>
  <c r="C72" i="180" s="1"/>
  <c r="C74" i="180" s="1"/>
  <c r="B67" i="180"/>
  <c r="V66" i="180"/>
  <c r="V65" i="180"/>
  <c r="V64" i="180"/>
  <c r="V63" i="180"/>
  <c r="V62" i="180"/>
  <c r="V61" i="180"/>
  <c r="V60" i="180"/>
  <c r="C53" i="180"/>
  <c r="C55" i="180" s="1"/>
  <c r="Q52" i="180"/>
  <c r="P52" i="180"/>
  <c r="O52" i="180"/>
  <c r="N52" i="180"/>
  <c r="M52" i="180"/>
  <c r="F52" i="180"/>
  <c r="E52" i="180"/>
  <c r="D52" i="180"/>
  <c r="C52" i="180"/>
  <c r="B52" i="180"/>
  <c r="Q51" i="180"/>
  <c r="P51" i="180"/>
  <c r="O51" i="180"/>
  <c r="N51" i="180"/>
  <c r="M51" i="180"/>
  <c r="F51" i="180"/>
  <c r="E51" i="180"/>
  <c r="D51" i="180"/>
  <c r="C51" i="180"/>
  <c r="B51" i="180"/>
  <c r="R50" i="180"/>
  <c r="G50" i="180"/>
  <c r="Q48" i="180"/>
  <c r="Q53" i="180" s="1"/>
  <c r="Q55" i="180" s="1"/>
  <c r="P48" i="180"/>
  <c r="P53" i="180" s="1"/>
  <c r="P55" i="180" s="1"/>
  <c r="O48" i="180"/>
  <c r="O53" i="180" s="1"/>
  <c r="O55" i="180" s="1"/>
  <c r="N48" i="180"/>
  <c r="N54" i="180" s="1"/>
  <c r="M48" i="180"/>
  <c r="M53" i="180" s="1"/>
  <c r="M55" i="180" s="1"/>
  <c r="F48" i="180"/>
  <c r="F53" i="180" s="1"/>
  <c r="F55" i="180" s="1"/>
  <c r="E48" i="180"/>
  <c r="E53" i="180" s="1"/>
  <c r="E55" i="180" s="1"/>
  <c r="D48" i="180"/>
  <c r="D53" i="180" s="1"/>
  <c r="D55" i="180" s="1"/>
  <c r="C48" i="180"/>
  <c r="B48" i="180"/>
  <c r="B53" i="180" s="1"/>
  <c r="B55" i="180" s="1"/>
  <c r="R47" i="180"/>
  <c r="G47" i="180"/>
  <c r="R46" i="180"/>
  <c r="G46" i="180"/>
  <c r="R45" i="180"/>
  <c r="G45" i="180"/>
  <c r="R44" i="180"/>
  <c r="G44" i="180"/>
  <c r="R43" i="180"/>
  <c r="G43" i="180"/>
  <c r="R42" i="180"/>
  <c r="G42" i="180"/>
  <c r="R41" i="180"/>
  <c r="G41" i="180"/>
  <c r="K34" i="180"/>
  <c r="J34" i="180"/>
  <c r="D34" i="180"/>
  <c r="C34" i="180" s="1"/>
  <c r="N33" i="180"/>
  <c r="N28" i="180" s="1"/>
  <c r="M33" i="180"/>
  <c r="L33" i="180"/>
  <c r="L28" i="180" s="1"/>
  <c r="K33" i="180"/>
  <c r="J33" i="180"/>
  <c r="G33" i="180"/>
  <c r="F33" i="180"/>
  <c r="E33" i="180"/>
  <c r="D33" i="180"/>
  <c r="D28" i="180" s="1"/>
  <c r="C33" i="180"/>
  <c r="Y29" i="180"/>
  <c r="X29" i="180"/>
  <c r="W29" i="180"/>
  <c r="V29" i="180"/>
  <c r="U29" i="180"/>
  <c r="T29" i="180"/>
  <c r="S29" i="180"/>
  <c r="R29" i="180"/>
  <c r="Q29" i="180"/>
  <c r="P29" i="180"/>
  <c r="Y28" i="180"/>
  <c r="X28" i="180"/>
  <c r="W28" i="180"/>
  <c r="V28" i="180"/>
  <c r="U28" i="180"/>
  <c r="T28" i="180"/>
  <c r="S28" i="180"/>
  <c r="R28" i="180"/>
  <c r="Q28" i="180"/>
  <c r="P28" i="180"/>
  <c r="M28" i="180"/>
  <c r="K28" i="180"/>
  <c r="J28" i="180"/>
  <c r="G28" i="180"/>
  <c r="F28" i="180"/>
  <c r="E28" i="180"/>
  <c r="C28" i="180"/>
  <c r="Z27" i="180"/>
  <c r="Y25" i="180"/>
  <c r="Y30" i="180" s="1"/>
  <c r="Y32" i="180" s="1"/>
  <c r="X25" i="180"/>
  <c r="X30" i="180" s="1"/>
  <c r="X32" i="180" s="1"/>
  <c r="W25" i="180"/>
  <c r="W31" i="180" s="1"/>
  <c r="V25" i="180"/>
  <c r="V30" i="180" s="1"/>
  <c r="V32" i="180" s="1"/>
  <c r="U25" i="180"/>
  <c r="U30" i="180" s="1"/>
  <c r="U32" i="180" s="1"/>
  <c r="T25" i="180"/>
  <c r="T30" i="180" s="1"/>
  <c r="T32" i="180" s="1"/>
  <c r="S25" i="180"/>
  <c r="S30" i="180" s="1"/>
  <c r="S32" i="180" s="1"/>
  <c r="R25" i="180"/>
  <c r="R30" i="180" s="1"/>
  <c r="R32" i="180" s="1"/>
  <c r="Q25" i="180"/>
  <c r="Q30" i="180" s="1"/>
  <c r="Q32" i="180" s="1"/>
  <c r="P25" i="180"/>
  <c r="P30" i="180" s="1"/>
  <c r="P32" i="180" s="1"/>
  <c r="N25" i="180"/>
  <c r="N30" i="180" s="1"/>
  <c r="N29" i="180" s="1"/>
  <c r="N31" i="180" s="1"/>
  <c r="M25" i="180"/>
  <c r="M30" i="180" s="1"/>
  <c r="M32" i="180" s="1"/>
  <c r="L25" i="180"/>
  <c r="L30" i="180" s="1"/>
  <c r="K25" i="180"/>
  <c r="K30" i="180" s="1"/>
  <c r="J25" i="180"/>
  <c r="J30" i="180" s="1"/>
  <c r="G25" i="180"/>
  <c r="G30" i="180" s="1"/>
  <c r="G29" i="180" s="1"/>
  <c r="G31" i="180" s="1"/>
  <c r="F25" i="180"/>
  <c r="F30" i="180" s="1"/>
  <c r="F29" i="180" s="1"/>
  <c r="F31" i="180" s="1"/>
  <c r="E25" i="180"/>
  <c r="E30" i="180" s="1"/>
  <c r="E29" i="180" s="1"/>
  <c r="E31" i="180" s="1"/>
  <c r="D25" i="180"/>
  <c r="D30" i="180" s="1"/>
  <c r="D29" i="180" s="1"/>
  <c r="D31" i="180" s="1"/>
  <c r="C25" i="180"/>
  <c r="C30" i="180" s="1"/>
  <c r="C29" i="180" s="1"/>
  <c r="C31" i="180" s="1"/>
  <c r="Z24" i="180"/>
  <c r="Z23" i="180"/>
  <c r="Z22" i="180"/>
  <c r="Z21" i="180"/>
  <c r="Z20" i="180"/>
  <c r="Z19" i="180"/>
  <c r="Z18" i="180"/>
  <c r="X11" i="180"/>
  <c r="V31" i="180" l="1"/>
  <c r="C54" i="180"/>
  <c r="U31" i="180"/>
  <c r="O54" i="180"/>
  <c r="P54" i="180"/>
  <c r="Q54" i="180"/>
  <c r="N53" i="180"/>
  <c r="N55" i="180" s="1"/>
  <c r="E54" i="180"/>
  <c r="G48" i="180"/>
  <c r="G49" i="180" s="1"/>
  <c r="B54" i="180"/>
  <c r="D54" i="180"/>
  <c r="F54" i="180"/>
  <c r="I73" i="180"/>
  <c r="Q73" i="180"/>
  <c r="B73" i="180"/>
  <c r="J73" i="180"/>
  <c r="R73" i="180"/>
  <c r="V67" i="180"/>
  <c r="V68" i="180" s="1"/>
  <c r="C73" i="180"/>
  <c r="K73" i="180"/>
  <c r="S73" i="180"/>
  <c r="D73" i="180"/>
  <c r="L73" i="180"/>
  <c r="T73" i="180"/>
  <c r="E73" i="180"/>
  <c r="M73" i="180"/>
  <c r="V73" i="180"/>
  <c r="F73" i="180"/>
  <c r="N73" i="180"/>
  <c r="G73" i="180"/>
  <c r="O73" i="180"/>
  <c r="T31" i="180"/>
  <c r="K32" i="180"/>
  <c r="K29" i="180"/>
  <c r="K31" i="180" s="1"/>
  <c r="Q31" i="180"/>
  <c r="P31" i="180"/>
  <c r="X31" i="180"/>
  <c r="R31" i="180"/>
  <c r="Y31" i="180"/>
  <c r="S31" i="180"/>
  <c r="Z25" i="180"/>
  <c r="J32" i="180"/>
  <c r="J29" i="180"/>
  <c r="J31" i="180" s="1"/>
  <c r="F32" i="180"/>
  <c r="E32" i="180"/>
  <c r="L32" i="180"/>
  <c r="L29" i="180"/>
  <c r="L31" i="180" s="1"/>
  <c r="G32" i="180"/>
  <c r="V74" i="180"/>
  <c r="U74" i="180"/>
  <c r="W30" i="180"/>
  <c r="W32" i="180" s="1"/>
  <c r="M29" i="180"/>
  <c r="M31" i="180" s="1"/>
  <c r="C32" i="180"/>
  <c r="N32" i="180"/>
  <c r="D32" i="180"/>
  <c r="B72" i="180"/>
  <c r="B74" i="180" s="1"/>
  <c r="R48" i="180"/>
  <c r="U73" i="180"/>
  <c r="M54" i="180"/>
  <c r="E70" i="178"/>
  <c r="G51" i="180" l="1"/>
  <c r="V70" i="180"/>
  <c r="R51" i="180"/>
  <c r="R49" i="180"/>
  <c r="R52" i="180" s="1"/>
  <c r="R54" i="180" s="1"/>
  <c r="R53" i="180"/>
  <c r="R55" i="180" s="1"/>
  <c r="Z30" i="180"/>
  <c r="Z26" i="180"/>
  <c r="H24" i="178"/>
  <c r="Z24" i="178" s="1"/>
  <c r="O24" i="178"/>
  <c r="Z32" i="180" l="1"/>
  <c r="Z28" i="180"/>
  <c r="Z29" i="180"/>
  <c r="Z31" i="180" s="1"/>
  <c r="O22" i="178"/>
  <c r="H22" i="178"/>
  <c r="O23" i="178"/>
  <c r="H23" i="178"/>
  <c r="O21" i="178" l="1"/>
  <c r="H21" i="178"/>
  <c r="H19" i="178" l="1"/>
  <c r="O19" i="178"/>
  <c r="H20" i="178"/>
  <c r="O20" i="178"/>
  <c r="Z21" i="178"/>
  <c r="Z22" i="178"/>
  <c r="O18" i="178"/>
  <c r="H18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D70" i="178"/>
  <c r="C70" i="178"/>
  <c r="B70" i="178"/>
  <c r="V69" i="178"/>
  <c r="U67" i="178"/>
  <c r="U72" i="178" s="1"/>
  <c r="T67" i="178"/>
  <c r="T72" i="178" s="1"/>
  <c r="T74" i="178" s="1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M72" i="178" s="1"/>
  <c r="M74" i="178" s="1"/>
  <c r="L67" i="178"/>
  <c r="L72" i="178" s="1"/>
  <c r="L74" i="178" s="1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V66" i="178"/>
  <c r="V65" i="178"/>
  <c r="V64" i="178"/>
  <c r="V63" i="178"/>
  <c r="V62" i="178"/>
  <c r="V61" i="178"/>
  <c r="V60" i="178"/>
  <c r="Q52" i="178"/>
  <c r="P52" i="178"/>
  <c r="O52" i="178"/>
  <c r="N52" i="178"/>
  <c r="M52" i="178"/>
  <c r="F52" i="178"/>
  <c r="E52" i="178"/>
  <c r="D52" i="178"/>
  <c r="C52" i="178"/>
  <c r="B52" i="178"/>
  <c r="Q51" i="178"/>
  <c r="P51" i="178"/>
  <c r="O51" i="178"/>
  <c r="N51" i="178"/>
  <c r="M51" i="178"/>
  <c r="F51" i="178"/>
  <c r="E51" i="178"/>
  <c r="D51" i="178"/>
  <c r="C51" i="178"/>
  <c r="B51" i="178"/>
  <c r="R50" i="178"/>
  <c r="G50" i="178"/>
  <c r="Q48" i="178"/>
  <c r="Q53" i="178" s="1"/>
  <c r="Q55" i="178" s="1"/>
  <c r="P48" i="178"/>
  <c r="P53" i="178" s="1"/>
  <c r="P55" i="178" s="1"/>
  <c r="O48" i="178"/>
  <c r="O53" i="178" s="1"/>
  <c r="O55" i="178" s="1"/>
  <c r="N48" i="178"/>
  <c r="M48" i="178"/>
  <c r="M53" i="178" s="1"/>
  <c r="M55" i="178" s="1"/>
  <c r="F48" i="178"/>
  <c r="F53" i="178" s="1"/>
  <c r="F55" i="178" s="1"/>
  <c r="E48" i="178"/>
  <c r="E53" i="178" s="1"/>
  <c r="E55" i="178" s="1"/>
  <c r="D48" i="178"/>
  <c r="D53" i="178" s="1"/>
  <c r="D55" i="178" s="1"/>
  <c r="C48" i="178"/>
  <c r="C53" i="178" s="1"/>
  <c r="C55" i="178" s="1"/>
  <c r="B48" i="178"/>
  <c r="B53" i="178" s="1"/>
  <c r="B55" i="178" s="1"/>
  <c r="R47" i="178"/>
  <c r="G47" i="178"/>
  <c r="R46" i="178"/>
  <c r="G46" i="178"/>
  <c r="R45" i="178"/>
  <c r="G45" i="178"/>
  <c r="R44" i="178"/>
  <c r="G44" i="178"/>
  <c r="R43" i="178"/>
  <c r="G43" i="178"/>
  <c r="R42" i="178"/>
  <c r="G42" i="178"/>
  <c r="R41" i="178"/>
  <c r="G41" i="178"/>
  <c r="K34" i="178"/>
  <c r="J34" i="178" s="1"/>
  <c r="D34" i="178"/>
  <c r="C34" i="178" s="1"/>
  <c r="N33" i="178"/>
  <c r="M33" i="178"/>
  <c r="M28" i="178" s="1"/>
  <c r="L33" i="178"/>
  <c r="K33" i="178"/>
  <c r="J33" i="178"/>
  <c r="G33" i="178"/>
  <c r="F33" i="178"/>
  <c r="E33" i="178"/>
  <c r="D33" i="178"/>
  <c r="C33" i="178"/>
  <c r="C28" i="178" s="1"/>
  <c r="Y29" i="178"/>
  <c r="X29" i="178"/>
  <c r="W29" i="178"/>
  <c r="V29" i="178"/>
  <c r="U29" i="178"/>
  <c r="T29" i="178"/>
  <c r="S29" i="178"/>
  <c r="R29" i="178"/>
  <c r="Q29" i="178"/>
  <c r="P29" i="178"/>
  <c r="Y28" i="178"/>
  <c r="X28" i="178"/>
  <c r="W28" i="178"/>
  <c r="V28" i="178"/>
  <c r="U28" i="178"/>
  <c r="T28" i="178"/>
  <c r="S28" i="178"/>
  <c r="R28" i="178"/>
  <c r="Q28" i="178"/>
  <c r="P28" i="178"/>
  <c r="N28" i="178"/>
  <c r="L28" i="178"/>
  <c r="K28" i="178"/>
  <c r="J28" i="178"/>
  <c r="F28" i="178"/>
  <c r="E28" i="178"/>
  <c r="D28" i="178"/>
  <c r="Z27" i="178"/>
  <c r="Y25" i="178"/>
  <c r="X25" i="178"/>
  <c r="X30" i="178" s="1"/>
  <c r="X32" i="178" s="1"/>
  <c r="W25" i="178"/>
  <c r="W30" i="178" s="1"/>
  <c r="W32" i="178" s="1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P25" i="178"/>
  <c r="P30" i="178" s="1"/>
  <c r="P32" i="178" s="1"/>
  <c r="N25" i="178"/>
  <c r="N30" i="178" s="1"/>
  <c r="N29" i="178" s="1"/>
  <c r="N31" i="178" s="1"/>
  <c r="M25" i="178"/>
  <c r="M30" i="178" s="1"/>
  <c r="M29" i="178" s="1"/>
  <c r="M31" i="178" s="1"/>
  <c r="L25" i="178"/>
  <c r="L30" i="178" s="1"/>
  <c r="L29" i="178" s="1"/>
  <c r="L31" i="178" s="1"/>
  <c r="K25" i="178"/>
  <c r="K30" i="178" s="1"/>
  <c r="J25" i="178"/>
  <c r="J30" i="178" s="1"/>
  <c r="G25" i="178"/>
  <c r="G30" i="178" s="1"/>
  <c r="G29" i="178" s="1"/>
  <c r="G31" i="178" s="1"/>
  <c r="F25" i="178"/>
  <c r="F30" i="178" s="1"/>
  <c r="F29" i="178" s="1"/>
  <c r="F31" i="178" s="1"/>
  <c r="E25" i="178"/>
  <c r="E30" i="178" s="1"/>
  <c r="D25" i="178"/>
  <c r="D30" i="178" s="1"/>
  <c r="D29" i="178" s="1"/>
  <c r="D31" i="178" s="1"/>
  <c r="C25" i="178"/>
  <c r="C30" i="178" s="1"/>
  <c r="C29" i="178" s="1"/>
  <c r="C31" i="178" s="1"/>
  <c r="Z18" i="178"/>
  <c r="X11" i="178"/>
  <c r="H24" i="177"/>
  <c r="O24" i="177"/>
  <c r="N54" i="178" l="1"/>
  <c r="Q31" i="178"/>
  <c r="Y31" i="178"/>
  <c r="H73" i="178"/>
  <c r="P73" i="178"/>
  <c r="N53" i="178"/>
  <c r="N55" i="178" s="1"/>
  <c r="Z23" i="178"/>
  <c r="Z20" i="178"/>
  <c r="Z19" i="178"/>
  <c r="D32" i="178"/>
  <c r="V67" i="178"/>
  <c r="V70" i="178" s="1"/>
  <c r="I73" i="178"/>
  <c r="Q73" i="178"/>
  <c r="B73" i="178"/>
  <c r="J73" i="178"/>
  <c r="R73" i="178"/>
  <c r="C73" i="178"/>
  <c r="K73" i="178"/>
  <c r="S73" i="178"/>
  <c r="D73" i="178"/>
  <c r="L73" i="178"/>
  <c r="T73" i="178"/>
  <c r="E73" i="178"/>
  <c r="M73" i="178"/>
  <c r="V73" i="178"/>
  <c r="F73" i="178"/>
  <c r="N73" i="178"/>
  <c r="G73" i="178"/>
  <c r="O73" i="178"/>
  <c r="O54" i="178"/>
  <c r="M54" i="178"/>
  <c r="R48" i="178"/>
  <c r="R49" i="178" s="1"/>
  <c r="R52" i="178" s="1"/>
  <c r="R54" i="178" s="1"/>
  <c r="P54" i="178"/>
  <c r="Q54" i="178"/>
  <c r="C54" i="178"/>
  <c r="F54" i="178"/>
  <c r="D54" i="178"/>
  <c r="E54" i="178"/>
  <c r="B54" i="178"/>
  <c r="U31" i="178"/>
  <c r="W31" i="178"/>
  <c r="Q30" i="178"/>
  <c r="Q32" i="178" s="1"/>
  <c r="N32" i="178"/>
  <c r="V31" i="178"/>
  <c r="Y30" i="178"/>
  <c r="Y32" i="178" s="1"/>
  <c r="P31" i="178"/>
  <c r="G32" i="178"/>
  <c r="T31" i="178"/>
  <c r="R31" i="178"/>
  <c r="X31" i="178"/>
  <c r="S31" i="178"/>
  <c r="U74" i="178"/>
  <c r="V74" i="178"/>
  <c r="E29" i="178"/>
  <c r="E31" i="178" s="1"/>
  <c r="E32" i="178"/>
  <c r="K29" i="178"/>
  <c r="K31" i="178" s="1"/>
  <c r="K32" i="178"/>
  <c r="J29" i="178"/>
  <c r="J31" i="178" s="1"/>
  <c r="J32" i="178"/>
  <c r="G48" i="178"/>
  <c r="L32" i="178"/>
  <c r="U73" i="178"/>
  <c r="G28" i="178"/>
  <c r="C32" i="178"/>
  <c r="M32" i="178"/>
  <c r="B72" i="178"/>
  <c r="B74" i="178" s="1"/>
  <c r="F32" i="178"/>
  <c r="Z24" i="177"/>
  <c r="H18" i="177"/>
  <c r="O18" i="177"/>
  <c r="Z18" i="177"/>
  <c r="H19" i="177"/>
  <c r="O19" i="177"/>
  <c r="Z19" i="177"/>
  <c r="H20" i="177"/>
  <c r="O20" i="177"/>
  <c r="H21" i="177"/>
  <c r="O21" i="177"/>
  <c r="Z21" i="177"/>
  <c r="H22" i="177"/>
  <c r="O22" i="177"/>
  <c r="Z22" i="177" s="1"/>
  <c r="H23" i="177"/>
  <c r="O23" i="177"/>
  <c r="V68" i="178" l="1"/>
  <c r="R51" i="178"/>
  <c r="Z25" i="178"/>
  <c r="Z30" i="178" s="1"/>
  <c r="R53" i="178"/>
  <c r="R55" i="178" s="1"/>
  <c r="G49" i="178"/>
  <c r="G51" i="178"/>
  <c r="Z20" i="177"/>
  <c r="Z23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V69" i="177"/>
  <c r="U67" i="177"/>
  <c r="T67" i="177"/>
  <c r="T72" i="177" s="1"/>
  <c r="T74" i="177" s="1"/>
  <c r="S67" i="177"/>
  <c r="S72" i="177" s="1"/>
  <c r="S74" i="177" s="1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I72" i="177" s="1"/>
  <c r="I74" i="177" s="1"/>
  <c r="H67" i="177"/>
  <c r="G67" i="177"/>
  <c r="G72" i="177" s="1"/>
  <c r="G74" i="177" s="1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V66" i="177"/>
  <c r="V65" i="177"/>
  <c r="V64" i="177"/>
  <c r="V63" i="177"/>
  <c r="V62" i="177"/>
  <c r="V61" i="177"/>
  <c r="V60" i="177"/>
  <c r="Q52" i="177"/>
  <c r="Q54" i="177" s="1"/>
  <c r="P52" i="177"/>
  <c r="O52" i="177"/>
  <c r="N52" i="177"/>
  <c r="M52" i="177"/>
  <c r="F52" i="177"/>
  <c r="E52" i="177"/>
  <c r="D52" i="177"/>
  <c r="C52" i="177"/>
  <c r="B52" i="177"/>
  <c r="Q51" i="177"/>
  <c r="P51" i="177"/>
  <c r="O51" i="177"/>
  <c r="N51" i="177"/>
  <c r="M51" i="177"/>
  <c r="F51" i="177"/>
  <c r="E51" i="177"/>
  <c r="D51" i="177"/>
  <c r="C51" i="177"/>
  <c r="B51" i="177"/>
  <c r="R50" i="177"/>
  <c r="G50" i="177"/>
  <c r="Q48" i="177"/>
  <c r="Q53" i="177" s="1"/>
  <c r="Q55" i="177" s="1"/>
  <c r="P48" i="177"/>
  <c r="O48" i="177"/>
  <c r="N48" i="177"/>
  <c r="N53" i="177" s="1"/>
  <c r="N55" i="177" s="1"/>
  <c r="M48" i="177"/>
  <c r="F48" i="177"/>
  <c r="F53" i="177" s="1"/>
  <c r="F55" i="177" s="1"/>
  <c r="E48" i="177"/>
  <c r="D48" i="177"/>
  <c r="C48" i="177"/>
  <c r="B48" i="177"/>
  <c r="B53" i="177" s="1"/>
  <c r="B55" i="177" s="1"/>
  <c r="R47" i="177"/>
  <c r="G47" i="177"/>
  <c r="R46" i="177"/>
  <c r="G46" i="177"/>
  <c r="R45" i="177"/>
  <c r="G45" i="177"/>
  <c r="R44" i="177"/>
  <c r="G44" i="177"/>
  <c r="R43" i="177"/>
  <c r="G43" i="177"/>
  <c r="R42" i="177"/>
  <c r="G42" i="177"/>
  <c r="R41" i="177"/>
  <c r="G41" i="177"/>
  <c r="K34" i="177"/>
  <c r="J34" i="177"/>
  <c r="D34" i="177"/>
  <c r="C34" i="177" s="1"/>
  <c r="N33" i="177"/>
  <c r="M33" i="177"/>
  <c r="L33" i="177"/>
  <c r="K33" i="177"/>
  <c r="J33" i="177"/>
  <c r="G33" i="177"/>
  <c r="F33" i="177"/>
  <c r="E33" i="177"/>
  <c r="D33" i="177"/>
  <c r="C33" i="177"/>
  <c r="Y29" i="177"/>
  <c r="X29" i="177"/>
  <c r="W29" i="177"/>
  <c r="V29" i="177"/>
  <c r="U29" i="177"/>
  <c r="T29" i="177"/>
  <c r="S29" i="177"/>
  <c r="R29" i="177"/>
  <c r="Q29" i="177"/>
  <c r="P29" i="177"/>
  <c r="Y28" i="177"/>
  <c r="X28" i="177"/>
  <c r="W28" i="177"/>
  <c r="V28" i="177"/>
  <c r="U28" i="177"/>
  <c r="T28" i="177"/>
  <c r="S28" i="177"/>
  <c r="R28" i="177"/>
  <c r="Q28" i="177"/>
  <c r="P28" i="177"/>
  <c r="G28" i="177"/>
  <c r="F28" i="177"/>
  <c r="E28" i="177"/>
  <c r="Z27" i="177"/>
  <c r="Y25" i="177"/>
  <c r="Y30" i="177" s="1"/>
  <c r="Y32" i="177" s="1"/>
  <c r="X25" i="177"/>
  <c r="X30" i="177" s="1"/>
  <c r="X32" i="177" s="1"/>
  <c r="W25" i="177"/>
  <c r="W30" i="177" s="1"/>
  <c r="W32" i="177" s="1"/>
  <c r="V25" i="177"/>
  <c r="V30" i="177" s="1"/>
  <c r="V32" i="177" s="1"/>
  <c r="U25" i="177"/>
  <c r="T25" i="177"/>
  <c r="S25" i="177"/>
  <c r="S30" i="177" s="1"/>
  <c r="S32" i="177" s="1"/>
  <c r="R25" i="177"/>
  <c r="R31" i="177" s="1"/>
  <c r="Q25" i="177"/>
  <c r="Q31" i="177" s="1"/>
  <c r="P25" i="177"/>
  <c r="P30" i="177" s="1"/>
  <c r="P32" i="177" s="1"/>
  <c r="N25" i="177"/>
  <c r="N30" i="177" s="1"/>
  <c r="N29" i="177" s="1"/>
  <c r="N31" i="177" s="1"/>
  <c r="M25" i="177"/>
  <c r="M30" i="177" s="1"/>
  <c r="M29" i="177" s="1"/>
  <c r="M31" i="177" s="1"/>
  <c r="L25" i="177"/>
  <c r="L30" i="177" s="1"/>
  <c r="L29" i="177" s="1"/>
  <c r="L31" i="177" s="1"/>
  <c r="K25" i="177"/>
  <c r="K30" i="177" s="1"/>
  <c r="K29" i="177" s="1"/>
  <c r="K31" i="177" s="1"/>
  <c r="J25" i="177"/>
  <c r="J30" i="177" s="1"/>
  <c r="J29" i="177" s="1"/>
  <c r="J31" i="177" s="1"/>
  <c r="G25" i="177"/>
  <c r="G30" i="177" s="1"/>
  <c r="G29" i="177" s="1"/>
  <c r="G31" i="177" s="1"/>
  <c r="F25" i="177"/>
  <c r="F30" i="177" s="1"/>
  <c r="F29" i="177" s="1"/>
  <c r="F31" i="177" s="1"/>
  <c r="E25" i="177"/>
  <c r="E30" i="177" s="1"/>
  <c r="E29" i="177" s="1"/>
  <c r="E31" i="177" s="1"/>
  <c r="D25" i="177"/>
  <c r="D30" i="177" s="1"/>
  <c r="D29" i="177" s="1"/>
  <c r="D31" i="177" s="1"/>
  <c r="C25" i="177"/>
  <c r="C30" i="177" s="1"/>
  <c r="C29" i="177" s="1"/>
  <c r="C31" i="177" s="1"/>
  <c r="X11" i="177"/>
  <c r="Z26" i="178" l="1"/>
  <c r="Z29" i="178" s="1"/>
  <c r="Z31" i="178" s="1"/>
  <c r="Q30" i="177"/>
  <c r="Q32" i="177" s="1"/>
  <c r="R30" i="177"/>
  <c r="R32" i="177" s="1"/>
  <c r="P54" i="177"/>
  <c r="B54" i="177"/>
  <c r="O54" i="177"/>
  <c r="R48" i="177"/>
  <c r="R51" i="177" s="1"/>
  <c r="F73" i="177"/>
  <c r="R73" i="177"/>
  <c r="S73" i="177"/>
  <c r="G73" i="177"/>
  <c r="N73" i="177"/>
  <c r="O73" i="177"/>
  <c r="D73" i="177"/>
  <c r="P73" i="177"/>
  <c r="L73" i="177"/>
  <c r="M73" i="177"/>
  <c r="B73" i="177"/>
  <c r="C73" i="177"/>
  <c r="E73" i="177"/>
  <c r="Q73" i="177"/>
  <c r="P31" i="177"/>
  <c r="X31" i="177"/>
  <c r="W31" i="177"/>
  <c r="Y31" i="177"/>
  <c r="C32" i="177"/>
  <c r="F32" i="177"/>
  <c r="E32" i="177"/>
  <c r="G32" i="177"/>
  <c r="K32" i="177"/>
  <c r="K28" i="177"/>
  <c r="D53" i="177"/>
  <c r="D55" i="177" s="1"/>
  <c r="D54" i="177"/>
  <c r="L32" i="177"/>
  <c r="L28" i="177"/>
  <c r="T30" i="177"/>
  <c r="T32" i="177" s="1"/>
  <c r="T31" i="177"/>
  <c r="V73" i="177"/>
  <c r="U72" i="177"/>
  <c r="U30" i="177"/>
  <c r="U32" i="177" s="1"/>
  <c r="U31" i="177"/>
  <c r="T73" i="177"/>
  <c r="E53" i="177"/>
  <c r="E55" i="177" s="1"/>
  <c r="E54" i="177"/>
  <c r="M32" i="177"/>
  <c r="V67" i="177"/>
  <c r="H72" i="177"/>
  <c r="H74" i="177" s="1"/>
  <c r="N32" i="177"/>
  <c r="H73" i="177"/>
  <c r="D32" i="177"/>
  <c r="I73" i="177"/>
  <c r="U73" i="177"/>
  <c r="S31" i="177"/>
  <c r="J32" i="177"/>
  <c r="J28" i="177"/>
  <c r="C53" i="177"/>
  <c r="C55" i="177" s="1"/>
  <c r="C54" i="177"/>
  <c r="G48" i="177"/>
  <c r="V31" i="177"/>
  <c r="F54" i="177"/>
  <c r="N54" i="177"/>
  <c r="O53" i="177"/>
  <c r="O55" i="177" s="1"/>
  <c r="C28" i="177"/>
  <c r="P53" i="177"/>
  <c r="P55" i="177" s="1"/>
  <c r="J73" i="177"/>
  <c r="K73" i="177"/>
  <c r="M28" i="177"/>
  <c r="M54" i="177"/>
  <c r="N28" i="177"/>
  <c r="M53" i="177"/>
  <c r="M55" i="177" s="1"/>
  <c r="D28" i="177"/>
  <c r="O24" i="176"/>
  <c r="Z32" i="178" l="1"/>
  <c r="Z28" i="178"/>
  <c r="R49" i="177"/>
  <c r="R52" i="177" s="1"/>
  <c r="R54" i="177" s="1"/>
  <c r="R53" i="177"/>
  <c r="Z25" i="177"/>
  <c r="Z30" i="177" s="1"/>
  <c r="G49" i="177"/>
  <c r="G51" i="177"/>
  <c r="V68" i="177"/>
  <c r="V70" i="177"/>
  <c r="V74" i="177"/>
  <c r="U74" i="177"/>
  <c r="H24" i="176"/>
  <c r="R55" i="177" l="1"/>
  <c r="Z26" i="177"/>
  <c r="Z28" i="177" s="1"/>
  <c r="O23" i="176"/>
  <c r="H23" i="176"/>
  <c r="Z32" i="177" l="1"/>
  <c r="Z29" i="177"/>
  <c r="Z31" i="177" s="1"/>
  <c r="X11" i="176"/>
  <c r="O21" i="176" l="1"/>
  <c r="O22" i="176"/>
  <c r="H21" i="176"/>
  <c r="H22" i="176"/>
  <c r="S67" i="176" l="1"/>
  <c r="S72" i="176" s="1"/>
  <c r="S74" i="176" s="1"/>
  <c r="S70" i="176"/>
  <c r="S71" i="176"/>
  <c r="O20" i="176"/>
  <c r="O19" i="176"/>
  <c r="O18" i="176"/>
  <c r="H20" i="176"/>
  <c r="H19" i="176"/>
  <c r="H18" i="176"/>
  <c r="S73" i="176" l="1"/>
  <c r="U71" i="176"/>
  <c r="T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U70" i="176"/>
  <c r="T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V69" i="176"/>
  <c r="U67" i="176"/>
  <c r="U73" i="176" s="1"/>
  <c r="T67" i="176"/>
  <c r="T72" i="176" s="1"/>
  <c r="T74" i="176" s="1"/>
  <c r="R67" i="176"/>
  <c r="R72" i="176" s="1"/>
  <c r="R74" i="176" s="1"/>
  <c r="Q67" i="176"/>
  <c r="Q72" i="176" s="1"/>
  <c r="Q74" i="176" s="1"/>
  <c r="P67" i="176"/>
  <c r="P72" i="176" s="1"/>
  <c r="P74" i="176" s="1"/>
  <c r="O67" i="176"/>
  <c r="O72" i="176" s="1"/>
  <c r="O74" i="176" s="1"/>
  <c r="N67" i="176"/>
  <c r="N72" i="176" s="1"/>
  <c r="N74" i="176" s="1"/>
  <c r="M67" i="176"/>
  <c r="M72" i="176" s="1"/>
  <c r="M74" i="176" s="1"/>
  <c r="L67" i="176"/>
  <c r="L72" i="176" s="1"/>
  <c r="L74" i="176" s="1"/>
  <c r="K67" i="176"/>
  <c r="K72" i="176" s="1"/>
  <c r="K74" i="176" s="1"/>
  <c r="J67" i="176"/>
  <c r="J72" i="176" s="1"/>
  <c r="J74" i="176" s="1"/>
  <c r="I67" i="176"/>
  <c r="I72" i="176" s="1"/>
  <c r="I74" i="176" s="1"/>
  <c r="H67" i="176"/>
  <c r="H72" i="176" s="1"/>
  <c r="H74" i="176" s="1"/>
  <c r="G67" i="176"/>
  <c r="G72" i="176" s="1"/>
  <c r="G74" i="176" s="1"/>
  <c r="F67" i="176"/>
  <c r="F72" i="176" s="1"/>
  <c r="F74" i="176" s="1"/>
  <c r="E67" i="176"/>
  <c r="E72" i="176" s="1"/>
  <c r="E74" i="176" s="1"/>
  <c r="D67" i="176"/>
  <c r="D72" i="176" s="1"/>
  <c r="D74" i="176" s="1"/>
  <c r="C67" i="176"/>
  <c r="C72" i="176" s="1"/>
  <c r="C74" i="176" s="1"/>
  <c r="B67" i="176"/>
  <c r="B72" i="176" s="1"/>
  <c r="B74" i="176" s="1"/>
  <c r="V66" i="176"/>
  <c r="V65" i="176"/>
  <c r="V64" i="176"/>
  <c r="V63" i="176"/>
  <c r="V62" i="176"/>
  <c r="V61" i="176"/>
  <c r="V60" i="176"/>
  <c r="Q52" i="176"/>
  <c r="P52" i="176"/>
  <c r="O52" i="176"/>
  <c r="N52" i="176"/>
  <c r="M52" i="176"/>
  <c r="F52" i="176"/>
  <c r="E52" i="176"/>
  <c r="D52" i="176"/>
  <c r="C52" i="176"/>
  <c r="B52" i="176"/>
  <c r="Q51" i="176"/>
  <c r="P51" i="176"/>
  <c r="O51" i="176"/>
  <c r="N51" i="176"/>
  <c r="M51" i="176"/>
  <c r="F51" i="176"/>
  <c r="E51" i="176"/>
  <c r="D51" i="176"/>
  <c r="C51" i="176"/>
  <c r="B51" i="176"/>
  <c r="R50" i="176"/>
  <c r="G50" i="176"/>
  <c r="Q48" i="176"/>
  <c r="Q53" i="176" s="1"/>
  <c r="Q55" i="176" s="1"/>
  <c r="P48" i="176"/>
  <c r="P53" i="176" s="1"/>
  <c r="P55" i="176" s="1"/>
  <c r="O48" i="176"/>
  <c r="O53" i="176" s="1"/>
  <c r="O55" i="176" s="1"/>
  <c r="N48" i="176"/>
  <c r="N53" i="176" s="1"/>
  <c r="N55" i="176" s="1"/>
  <c r="M48" i="176"/>
  <c r="F48" i="176"/>
  <c r="F53" i="176" s="1"/>
  <c r="F55" i="176" s="1"/>
  <c r="E48" i="176"/>
  <c r="E54" i="176" s="1"/>
  <c r="D48" i="176"/>
  <c r="D53" i="176" s="1"/>
  <c r="D55" i="176" s="1"/>
  <c r="C48" i="176"/>
  <c r="C53" i="176" s="1"/>
  <c r="C55" i="176" s="1"/>
  <c r="B48" i="176"/>
  <c r="B53" i="176" s="1"/>
  <c r="B55" i="176" s="1"/>
  <c r="R47" i="176"/>
  <c r="G47" i="176"/>
  <c r="R46" i="176"/>
  <c r="G46" i="176"/>
  <c r="R45" i="176"/>
  <c r="G45" i="176"/>
  <c r="R44" i="176"/>
  <c r="G44" i="176"/>
  <c r="R43" i="176"/>
  <c r="G43" i="176"/>
  <c r="R42" i="176"/>
  <c r="G42" i="176"/>
  <c r="R41" i="176"/>
  <c r="G41" i="176"/>
  <c r="K34" i="176"/>
  <c r="J34" i="176" s="1"/>
  <c r="D34" i="176"/>
  <c r="C34" i="176" s="1"/>
  <c r="N33" i="176"/>
  <c r="M33" i="176"/>
  <c r="L33" i="176"/>
  <c r="L28" i="176" s="1"/>
  <c r="K33" i="176"/>
  <c r="K28" i="176" s="1"/>
  <c r="J33" i="176"/>
  <c r="J28" i="176" s="1"/>
  <c r="G33" i="176"/>
  <c r="G28" i="176" s="1"/>
  <c r="F33" i="176"/>
  <c r="E33" i="176"/>
  <c r="E28" i="176" s="1"/>
  <c r="D33" i="176"/>
  <c r="D28" i="176" s="1"/>
  <c r="C33" i="176"/>
  <c r="Y29" i="176"/>
  <c r="X29" i="176"/>
  <c r="W29" i="176"/>
  <c r="V29" i="176"/>
  <c r="U29" i="176"/>
  <c r="T29" i="176"/>
  <c r="S29" i="176"/>
  <c r="R29" i="176"/>
  <c r="Q29" i="176"/>
  <c r="P29" i="176"/>
  <c r="Y28" i="176"/>
  <c r="X28" i="176"/>
  <c r="W28" i="176"/>
  <c r="V28" i="176"/>
  <c r="U28" i="176"/>
  <c r="T28" i="176"/>
  <c r="S28" i="176"/>
  <c r="R28" i="176"/>
  <c r="Q28" i="176"/>
  <c r="P28" i="176"/>
  <c r="F28" i="176"/>
  <c r="Z27" i="176"/>
  <c r="Y25" i="176"/>
  <c r="Y30" i="176" s="1"/>
  <c r="Y32" i="176" s="1"/>
  <c r="X25" i="176"/>
  <c r="X30" i="176" s="1"/>
  <c r="X32" i="176" s="1"/>
  <c r="W25" i="176"/>
  <c r="W30" i="176" s="1"/>
  <c r="W32" i="176" s="1"/>
  <c r="V25" i="176"/>
  <c r="V30" i="176" s="1"/>
  <c r="V32" i="176" s="1"/>
  <c r="U25" i="176"/>
  <c r="U30" i="176" s="1"/>
  <c r="U32" i="176" s="1"/>
  <c r="T25" i="176"/>
  <c r="T30" i="176" s="1"/>
  <c r="T32" i="176" s="1"/>
  <c r="S25" i="176"/>
  <c r="R25" i="176"/>
  <c r="R30" i="176" s="1"/>
  <c r="R32" i="176" s="1"/>
  <c r="Q25" i="176"/>
  <c r="Q31" i="176" s="1"/>
  <c r="P25" i="176"/>
  <c r="P30" i="176" s="1"/>
  <c r="P32" i="176" s="1"/>
  <c r="N25" i="176"/>
  <c r="N30" i="176" s="1"/>
  <c r="N29" i="176" s="1"/>
  <c r="N31" i="176" s="1"/>
  <c r="M25" i="176"/>
  <c r="M30" i="176" s="1"/>
  <c r="M29" i="176" s="1"/>
  <c r="M31" i="176" s="1"/>
  <c r="L25" i="176"/>
  <c r="L30" i="176" s="1"/>
  <c r="L29" i="176" s="1"/>
  <c r="L31" i="176" s="1"/>
  <c r="K25" i="176"/>
  <c r="K30" i="176" s="1"/>
  <c r="J25" i="176"/>
  <c r="J30" i="176" s="1"/>
  <c r="G25" i="176"/>
  <c r="G30" i="176" s="1"/>
  <c r="G29" i="176" s="1"/>
  <c r="G31" i="176" s="1"/>
  <c r="F25" i="176"/>
  <c r="F30" i="176" s="1"/>
  <c r="F29" i="176" s="1"/>
  <c r="F31" i="176" s="1"/>
  <c r="E25" i="176"/>
  <c r="E30" i="176" s="1"/>
  <c r="E29" i="176" s="1"/>
  <c r="E31" i="176" s="1"/>
  <c r="D25" i="176"/>
  <c r="D30" i="176" s="1"/>
  <c r="D29" i="176" s="1"/>
  <c r="D31" i="176" s="1"/>
  <c r="C25" i="176"/>
  <c r="C30" i="176" s="1"/>
  <c r="C29" i="176" s="1"/>
  <c r="C31" i="176" s="1"/>
  <c r="Z24" i="176"/>
  <c r="Z23" i="176"/>
  <c r="Z22" i="176"/>
  <c r="Z21" i="176"/>
  <c r="Z20" i="176"/>
  <c r="Z19" i="176"/>
  <c r="Z18" i="176"/>
  <c r="J32" i="176" l="1"/>
  <c r="K32" i="176"/>
  <c r="S31" i="176"/>
  <c r="T31" i="176"/>
  <c r="P54" i="176"/>
  <c r="B54" i="176"/>
  <c r="D54" i="176"/>
  <c r="C54" i="176"/>
  <c r="P31" i="176"/>
  <c r="E32" i="176"/>
  <c r="R73" i="176"/>
  <c r="U72" i="176"/>
  <c r="U74" i="176" s="1"/>
  <c r="F73" i="176"/>
  <c r="V73" i="176"/>
  <c r="Q54" i="176"/>
  <c r="W31" i="176"/>
  <c r="J29" i="176"/>
  <c r="J31" i="176" s="1"/>
  <c r="S30" i="176"/>
  <c r="S32" i="176" s="1"/>
  <c r="L73" i="176"/>
  <c r="T73" i="176"/>
  <c r="K73" i="176"/>
  <c r="M73" i="176"/>
  <c r="B73" i="176"/>
  <c r="C73" i="176"/>
  <c r="D73" i="176"/>
  <c r="P73" i="176"/>
  <c r="N73" i="176"/>
  <c r="O73" i="176"/>
  <c r="E73" i="176"/>
  <c r="Q73" i="176"/>
  <c r="Y31" i="176"/>
  <c r="L32" i="176"/>
  <c r="D32" i="176"/>
  <c r="Q30" i="176"/>
  <c r="Q32" i="176" s="1"/>
  <c r="K29" i="176"/>
  <c r="K31" i="176" s="1"/>
  <c r="X31" i="176"/>
  <c r="Z25" i="176"/>
  <c r="U31" i="176"/>
  <c r="M32" i="176"/>
  <c r="M28" i="176"/>
  <c r="E53" i="176"/>
  <c r="E55" i="176" s="1"/>
  <c r="V31" i="176"/>
  <c r="N32" i="176"/>
  <c r="N28" i="176"/>
  <c r="G48" i="176"/>
  <c r="R48" i="176"/>
  <c r="M53" i="176"/>
  <c r="M55" i="176" s="1"/>
  <c r="M54" i="176"/>
  <c r="F32" i="176"/>
  <c r="C32" i="176"/>
  <c r="G73" i="176"/>
  <c r="G32" i="176"/>
  <c r="H73" i="176"/>
  <c r="V67" i="176"/>
  <c r="I73" i="176"/>
  <c r="F54" i="176"/>
  <c r="J73" i="176"/>
  <c r="R31" i="176"/>
  <c r="N54" i="176"/>
  <c r="O54" i="176"/>
  <c r="C28" i="176"/>
  <c r="F48" i="175"/>
  <c r="V74" i="176" l="1"/>
  <c r="R51" i="176"/>
  <c r="R49" i="176"/>
  <c r="R52" i="176" s="1"/>
  <c r="R54" i="176" s="1"/>
  <c r="R53" i="176"/>
  <c r="G51" i="176"/>
  <c r="G49" i="176"/>
  <c r="V68" i="176"/>
  <c r="V70" i="176"/>
  <c r="Z26" i="176"/>
  <c r="Z30" i="176"/>
  <c r="C70" i="175"/>
  <c r="D70" i="175"/>
  <c r="E70" i="175"/>
  <c r="F70" i="175"/>
  <c r="G70" i="175"/>
  <c r="H70" i="175"/>
  <c r="I70" i="175"/>
  <c r="J70" i="175"/>
  <c r="K70" i="175"/>
  <c r="L70" i="175"/>
  <c r="M70" i="175"/>
  <c r="N70" i="175"/>
  <c r="O70" i="175"/>
  <c r="P70" i="175"/>
  <c r="Q70" i="175"/>
  <c r="R70" i="175"/>
  <c r="S70" i="175"/>
  <c r="T70" i="175"/>
  <c r="U70" i="175"/>
  <c r="B70" i="175"/>
  <c r="Q51" i="175"/>
  <c r="P51" i="175"/>
  <c r="O51" i="175"/>
  <c r="N51" i="175"/>
  <c r="M51" i="175"/>
  <c r="C51" i="175"/>
  <c r="D51" i="175"/>
  <c r="E51" i="175"/>
  <c r="F51" i="175"/>
  <c r="B51" i="175"/>
  <c r="Q28" i="175"/>
  <c r="R28" i="175"/>
  <c r="S28" i="175"/>
  <c r="T28" i="175"/>
  <c r="U28" i="175"/>
  <c r="V28" i="175"/>
  <c r="W28" i="175"/>
  <c r="X28" i="175"/>
  <c r="Y28" i="175"/>
  <c r="P28" i="175"/>
  <c r="O24" i="175"/>
  <c r="O23" i="175"/>
  <c r="O22" i="175"/>
  <c r="O21" i="175"/>
  <c r="O20" i="175"/>
  <c r="O19" i="175"/>
  <c r="O18" i="175"/>
  <c r="H20" i="175"/>
  <c r="H21" i="175"/>
  <c r="H22" i="175"/>
  <c r="H23" i="175"/>
  <c r="H24" i="175"/>
  <c r="H19" i="175"/>
  <c r="H18" i="175"/>
  <c r="C33" i="175"/>
  <c r="C28" i="175"/>
  <c r="R55" i="176" l="1"/>
  <c r="Z32" i="176"/>
  <c r="Z28" i="176"/>
  <c r="Z29" i="176"/>
  <c r="Z31" i="176" s="1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V69" i="175"/>
  <c r="U67" i="175"/>
  <c r="U72" i="175" s="1"/>
  <c r="T67" i="175"/>
  <c r="T72" i="175" s="1"/>
  <c r="T74" i="175" s="1"/>
  <c r="S67" i="175"/>
  <c r="S72" i="175" s="1"/>
  <c r="S74" i="175" s="1"/>
  <c r="R67" i="175"/>
  <c r="R72" i="175" s="1"/>
  <c r="R74" i="175" s="1"/>
  <c r="Q67" i="175"/>
  <c r="Q72" i="175" s="1"/>
  <c r="Q74" i="175" s="1"/>
  <c r="P67" i="175"/>
  <c r="P72" i="175" s="1"/>
  <c r="P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I72" i="175" s="1"/>
  <c r="I74" i="175" s="1"/>
  <c r="H67" i="175"/>
  <c r="H72" i="175" s="1"/>
  <c r="H74" i="175" s="1"/>
  <c r="G67" i="175"/>
  <c r="G72" i="175" s="1"/>
  <c r="G74" i="175" s="1"/>
  <c r="F67" i="175"/>
  <c r="F72" i="175" s="1"/>
  <c r="F74" i="175" s="1"/>
  <c r="E67" i="175"/>
  <c r="E72" i="175" s="1"/>
  <c r="E74" i="175" s="1"/>
  <c r="D67" i="175"/>
  <c r="D72" i="175" s="1"/>
  <c r="D74" i="175" s="1"/>
  <c r="C67" i="175"/>
  <c r="C72" i="175" s="1"/>
  <c r="C74" i="175" s="1"/>
  <c r="B67" i="175"/>
  <c r="V66" i="175"/>
  <c r="V65" i="175"/>
  <c r="V64" i="175"/>
  <c r="V63" i="175"/>
  <c r="V62" i="175"/>
  <c r="V61" i="175"/>
  <c r="V60" i="175"/>
  <c r="Q52" i="175"/>
  <c r="P52" i="175"/>
  <c r="O52" i="175"/>
  <c r="N52" i="175"/>
  <c r="M52" i="175"/>
  <c r="F52" i="175"/>
  <c r="E52" i="175"/>
  <c r="D52" i="175"/>
  <c r="C52" i="175"/>
  <c r="B52" i="175"/>
  <c r="R50" i="175"/>
  <c r="G50" i="175"/>
  <c r="Q48" i="175"/>
  <c r="Q53" i="175" s="1"/>
  <c r="Q55" i="175" s="1"/>
  <c r="P48" i="175"/>
  <c r="P53" i="175" s="1"/>
  <c r="P55" i="175" s="1"/>
  <c r="O48" i="175"/>
  <c r="O53" i="175" s="1"/>
  <c r="O55" i="175" s="1"/>
  <c r="N48" i="175"/>
  <c r="N53" i="175" s="1"/>
  <c r="N55" i="175" s="1"/>
  <c r="M48" i="175"/>
  <c r="F53" i="175"/>
  <c r="F55" i="175" s="1"/>
  <c r="E48" i="175"/>
  <c r="E53" i="175" s="1"/>
  <c r="E55" i="175" s="1"/>
  <c r="D48" i="175"/>
  <c r="D53" i="175" s="1"/>
  <c r="D55" i="175" s="1"/>
  <c r="C48" i="175"/>
  <c r="C53" i="175" s="1"/>
  <c r="C55" i="175" s="1"/>
  <c r="B48" i="175"/>
  <c r="B53" i="175" s="1"/>
  <c r="B55" i="175" s="1"/>
  <c r="R47" i="175"/>
  <c r="G47" i="175"/>
  <c r="R46" i="175"/>
  <c r="G46" i="175"/>
  <c r="R45" i="175"/>
  <c r="G45" i="175"/>
  <c r="R44" i="175"/>
  <c r="G44" i="175"/>
  <c r="R43" i="175"/>
  <c r="G43" i="175"/>
  <c r="R42" i="175"/>
  <c r="G42" i="175"/>
  <c r="R41" i="175"/>
  <c r="G41" i="175"/>
  <c r="K34" i="175"/>
  <c r="J34" i="175" s="1"/>
  <c r="D34" i="175"/>
  <c r="C34" i="175" s="1"/>
  <c r="N33" i="175"/>
  <c r="N28" i="175" s="1"/>
  <c r="M33" i="175"/>
  <c r="M28" i="175" s="1"/>
  <c r="L33" i="175"/>
  <c r="L28" i="175" s="1"/>
  <c r="K33" i="175"/>
  <c r="K28" i="175" s="1"/>
  <c r="J33" i="175"/>
  <c r="J28" i="175" s="1"/>
  <c r="G33" i="175"/>
  <c r="G28" i="175" s="1"/>
  <c r="F33" i="175"/>
  <c r="F28" i="175" s="1"/>
  <c r="E33" i="175"/>
  <c r="E28" i="175" s="1"/>
  <c r="D33" i="175"/>
  <c r="D28" i="175" s="1"/>
  <c r="Y29" i="175"/>
  <c r="X29" i="175"/>
  <c r="W29" i="175"/>
  <c r="V29" i="175"/>
  <c r="U29" i="175"/>
  <c r="T29" i="175"/>
  <c r="S29" i="175"/>
  <c r="R29" i="175"/>
  <c r="Q29" i="175"/>
  <c r="P29" i="175"/>
  <c r="Z27" i="175"/>
  <c r="Y25" i="175"/>
  <c r="X25" i="175"/>
  <c r="W25" i="175"/>
  <c r="V25" i="175"/>
  <c r="U25" i="175"/>
  <c r="T25" i="175"/>
  <c r="S25" i="175"/>
  <c r="R25" i="175"/>
  <c r="Q25" i="175"/>
  <c r="P25" i="175"/>
  <c r="N25" i="175"/>
  <c r="N30" i="175" s="1"/>
  <c r="M25" i="175"/>
  <c r="M30" i="175" s="1"/>
  <c r="L25" i="175"/>
  <c r="L30" i="175" s="1"/>
  <c r="K25" i="175"/>
  <c r="K30" i="175" s="1"/>
  <c r="J25" i="175"/>
  <c r="J30" i="175" s="1"/>
  <c r="G25" i="175"/>
  <c r="G30" i="175" s="1"/>
  <c r="F25" i="175"/>
  <c r="F30" i="175" s="1"/>
  <c r="E25" i="175"/>
  <c r="E30" i="175" s="1"/>
  <c r="D25" i="175"/>
  <c r="D30" i="175" s="1"/>
  <c r="C25" i="175"/>
  <c r="C30" i="175" s="1"/>
  <c r="C32" i="175" s="1"/>
  <c r="Z24" i="175"/>
  <c r="Z23" i="175"/>
  <c r="Z22" i="175"/>
  <c r="Z21" i="175"/>
  <c r="Z20" i="175"/>
  <c r="Z19" i="175"/>
  <c r="Z18" i="175"/>
  <c r="X31" i="175" l="1"/>
  <c r="M32" i="175"/>
  <c r="T31" i="175"/>
  <c r="U31" i="175"/>
  <c r="V31" i="175"/>
  <c r="W31" i="175"/>
  <c r="J32" i="175"/>
  <c r="N32" i="175"/>
  <c r="E32" i="175"/>
  <c r="P31" i="175"/>
  <c r="K32" i="175"/>
  <c r="G32" i="175"/>
  <c r="D32" i="175"/>
  <c r="Y31" i="175"/>
  <c r="Q31" i="175"/>
  <c r="R31" i="175"/>
  <c r="S31" i="175"/>
  <c r="V30" i="175"/>
  <c r="V32" i="175" s="1"/>
  <c r="W30" i="175"/>
  <c r="W32" i="175" s="1"/>
  <c r="X30" i="175"/>
  <c r="X32" i="175" s="1"/>
  <c r="Y30" i="175"/>
  <c r="Y32" i="175" s="1"/>
  <c r="U30" i="175"/>
  <c r="U32" i="175" s="1"/>
  <c r="T30" i="175"/>
  <c r="T32" i="175" s="1"/>
  <c r="S30" i="175"/>
  <c r="S32" i="175" s="1"/>
  <c r="R30" i="175"/>
  <c r="R32" i="175" s="1"/>
  <c r="Q30" i="175"/>
  <c r="Q32" i="175" s="1"/>
  <c r="P30" i="175"/>
  <c r="P32" i="175" s="1"/>
  <c r="L29" i="175"/>
  <c r="L31" i="175" s="1"/>
  <c r="L32" i="175"/>
  <c r="F29" i="175"/>
  <c r="F31" i="175" s="1"/>
  <c r="F32" i="175"/>
  <c r="I73" i="175"/>
  <c r="Q73" i="175"/>
  <c r="V67" i="175"/>
  <c r="V68" i="175" s="1"/>
  <c r="G73" i="175"/>
  <c r="O73" i="175"/>
  <c r="K73" i="175"/>
  <c r="D73" i="175"/>
  <c r="T73" i="175"/>
  <c r="E73" i="175"/>
  <c r="M73" i="175"/>
  <c r="V73" i="175"/>
  <c r="L73" i="175"/>
  <c r="F73" i="175"/>
  <c r="N73" i="175"/>
  <c r="J73" i="175"/>
  <c r="C73" i="175"/>
  <c r="B73" i="175"/>
  <c r="R73" i="175"/>
  <c r="S73" i="175"/>
  <c r="H73" i="175"/>
  <c r="P73" i="175"/>
  <c r="M54" i="175"/>
  <c r="R48" i="175"/>
  <c r="R53" i="175" s="1"/>
  <c r="N54" i="175"/>
  <c r="O54" i="175"/>
  <c r="P54" i="175"/>
  <c r="Q54" i="175"/>
  <c r="M53" i="175"/>
  <c r="M55" i="175" s="1"/>
  <c r="B54" i="175"/>
  <c r="C54" i="175"/>
  <c r="D54" i="175"/>
  <c r="E54" i="175"/>
  <c r="F54" i="175"/>
  <c r="E29" i="175"/>
  <c r="E31" i="175" s="1"/>
  <c r="M29" i="175"/>
  <c r="M31" i="175" s="1"/>
  <c r="D29" i="175"/>
  <c r="D31" i="175" s="1"/>
  <c r="G29" i="175"/>
  <c r="G31" i="175" s="1"/>
  <c r="J29" i="175"/>
  <c r="J31" i="175" s="1"/>
  <c r="N29" i="175"/>
  <c r="N31" i="175" s="1"/>
  <c r="C29" i="175"/>
  <c r="C31" i="175" s="1"/>
  <c r="K29" i="175"/>
  <c r="K31" i="175" s="1"/>
  <c r="Z25" i="175"/>
  <c r="V74" i="175"/>
  <c r="U74" i="175"/>
  <c r="G48" i="175"/>
  <c r="U73" i="175"/>
  <c r="B72" i="175"/>
  <c r="B74" i="175" s="1"/>
  <c r="B40" i="174"/>
  <c r="B41" i="174" s="1"/>
  <c r="B42" i="174" s="1"/>
  <c r="B43" i="174" s="1"/>
  <c r="B44" i="174" s="1"/>
  <c r="B45" i="174" s="1"/>
  <c r="B46" i="174" s="1"/>
  <c r="K27" i="174"/>
  <c r="K28" i="174" s="1"/>
  <c r="K29" i="174" s="1"/>
  <c r="K30" i="174" s="1"/>
  <c r="K31" i="174" s="1"/>
  <c r="K32" i="174" s="1"/>
  <c r="K33" i="174" s="1"/>
  <c r="B27" i="174"/>
  <c r="B28" i="174" s="1"/>
  <c r="B29" i="174" s="1"/>
  <c r="B30" i="174" s="1"/>
  <c r="B31" i="174" s="1"/>
  <c r="B32" i="174" s="1"/>
  <c r="B33" i="174" s="1"/>
  <c r="B12" i="174"/>
  <c r="B13" i="174" s="1"/>
  <c r="B14" i="174" s="1"/>
  <c r="B15" i="174" s="1"/>
  <c r="B16" i="174" s="1"/>
  <c r="B17" i="174" s="1"/>
  <c r="R49" i="175" l="1"/>
  <c r="R52" i="175" s="1"/>
  <c r="R54" i="175" s="1"/>
  <c r="R51" i="175"/>
  <c r="V70" i="175"/>
  <c r="Z30" i="175"/>
  <c r="Z26" i="175"/>
  <c r="G51" i="175"/>
  <c r="G49" i="175"/>
  <c r="B48" i="172"/>
  <c r="B53" i="172" s="1"/>
  <c r="B55" i="172" s="1"/>
  <c r="O24" i="172"/>
  <c r="O23" i="172"/>
  <c r="O22" i="172"/>
  <c r="O21" i="172"/>
  <c r="O20" i="172"/>
  <c r="O19" i="172"/>
  <c r="O18" i="172"/>
  <c r="H24" i="172"/>
  <c r="H23" i="172"/>
  <c r="H22" i="172"/>
  <c r="H21" i="172"/>
  <c r="H20" i="172"/>
  <c r="H19" i="172"/>
  <c r="H18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V69" i="172"/>
  <c r="U67" i="172"/>
  <c r="U72" i="172" s="1"/>
  <c r="V74" i="172" s="1"/>
  <c r="T67" i="172"/>
  <c r="T72" i="172" s="1"/>
  <c r="T74" i="172" s="1"/>
  <c r="S67" i="172"/>
  <c r="S72" i="172" s="1"/>
  <c r="R67" i="172"/>
  <c r="R72" i="172" s="1"/>
  <c r="Q67" i="172"/>
  <c r="Q72" i="172" s="1"/>
  <c r="Q74" i="172" s="1"/>
  <c r="P67" i="172"/>
  <c r="P72" i="172" s="1"/>
  <c r="P74" i="172" s="1"/>
  <c r="O67" i="172"/>
  <c r="O72" i="172" s="1"/>
  <c r="O74" i="172" s="1"/>
  <c r="N67" i="172"/>
  <c r="N72" i="172" s="1"/>
  <c r="N74" i="172" s="1"/>
  <c r="M67" i="172"/>
  <c r="M72" i="172" s="1"/>
  <c r="M74" i="172" s="1"/>
  <c r="L67" i="172"/>
  <c r="L72" i="172" s="1"/>
  <c r="L74" i="172" s="1"/>
  <c r="K67" i="172"/>
  <c r="K72" i="172" s="1"/>
  <c r="K74" i="172" s="1"/>
  <c r="J67" i="172"/>
  <c r="J72" i="172" s="1"/>
  <c r="J74" i="172" s="1"/>
  <c r="I67" i="172"/>
  <c r="I72" i="172" s="1"/>
  <c r="I74" i="172" s="1"/>
  <c r="H67" i="172"/>
  <c r="H72" i="172" s="1"/>
  <c r="H74" i="172" s="1"/>
  <c r="G67" i="172"/>
  <c r="G72" i="172" s="1"/>
  <c r="G74" i="172" s="1"/>
  <c r="F67" i="172"/>
  <c r="F72" i="172" s="1"/>
  <c r="F74" i="172" s="1"/>
  <c r="E67" i="172"/>
  <c r="E72" i="172" s="1"/>
  <c r="E74" i="172" s="1"/>
  <c r="D67" i="172"/>
  <c r="D72" i="172" s="1"/>
  <c r="D74" i="172" s="1"/>
  <c r="C67" i="172"/>
  <c r="C72" i="172" s="1"/>
  <c r="C74" i="172" s="1"/>
  <c r="B67" i="172"/>
  <c r="V66" i="172"/>
  <c r="V65" i="172"/>
  <c r="V64" i="172"/>
  <c r="V63" i="172"/>
  <c r="V62" i="172"/>
  <c r="V61" i="172"/>
  <c r="V60" i="172"/>
  <c r="Q52" i="172"/>
  <c r="P52" i="172"/>
  <c r="O52" i="172"/>
  <c r="N52" i="172"/>
  <c r="M52" i="172"/>
  <c r="F52" i="172"/>
  <c r="E52" i="172"/>
  <c r="D52" i="172"/>
  <c r="C52" i="172"/>
  <c r="B52" i="172"/>
  <c r="Q51" i="172"/>
  <c r="P51" i="172"/>
  <c r="O51" i="172"/>
  <c r="N51" i="172"/>
  <c r="M51" i="172"/>
  <c r="F51" i="172"/>
  <c r="E51" i="172"/>
  <c r="D51" i="172"/>
  <c r="C51" i="172"/>
  <c r="B51" i="172"/>
  <c r="R50" i="172"/>
  <c r="G50" i="172"/>
  <c r="Q48" i="172"/>
  <c r="Q53" i="172" s="1"/>
  <c r="Q55" i="172" s="1"/>
  <c r="P48" i="172"/>
  <c r="P53" i="172" s="1"/>
  <c r="P55" i="172" s="1"/>
  <c r="O48" i="172"/>
  <c r="O53" i="172" s="1"/>
  <c r="O55" i="172" s="1"/>
  <c r="N48" i="172"/>
  <c r="N53" i="172" s="1"/>
  <c r="N55" i="172" s="1"/>
  <c r="M48" i="172"/>
  <c r="M53" i="172" s="1"/>
  <c r="M55" i="172" s="1"/>
  <c r="F48" i="172"/>
  <c r="F53" i="172" s="1"/>
  <c r="F55" i="172" s="1"/>
  <c r="E48" i="172"/>
  <c r="E53" i="172" s="1"/>
  <c r="E55" i="172" s="1"/>
  <c r="D48" i="172"/>
  <c r="D53" i="172" s="1"/>
  <c r="D55" i="172" s="1"/>
  <c r="C48" i="172"/>
  <c r="C53" i="172" s="1"/>
  <c r="C55" i="172" s="1"/>
  <c r="R47" i="172"/>
  <c r="G47" i="172"/>
  <c r="R46" i="172"/>
  <c r="G46" i="172"/>
  <c r="R45" i="172"/>
  <c r="G45" i="172"/>
  <c r="R44" i="172"/>
  <c r="G44" i="172"/>
  <c r="R43" i="172"/>
  <c r="G43" i="172"/>
  <c r="R42" i="172"/>
  <c r="G42" i="172"/>
  <c r="R41" i="172"/>
  <c r="G41" i="172"/>
  <c r="K34" i="172"/>
  <c r="J34" i="172" s="1"/>
  <c r="D34" i="172"/>
  <c r="C34" i="172" s="1"/>
  <c r="N33" i="172"/>
  <c r="N28" i="172" s="1"/>
  <c r="M33" i="172"/>
  <c r="M28" i="172" s="1"/>
  <c r="L33" i="172"/>
  <c r="L28" i="172" s="1"/>
  <c r="K33" i="172"/>
  <c r="K28" i="172" s="1"/>
  <c r="J33" i="172"/>
  <c r="J28" i="172" s="1"/>
  <c r="G33" i="172"/>
  <c r="G28" i="172" s="1"/>
  <c r="F33" i="172"/>
  <c r="E33" i="172"/>
  <c r="D33" i="172"/>
  <c r="C33" i="172"/>
  <c r="C28" i="172" s="1"/>
  <c r="Y29" i="172"/>
  <c r="X29" i="172"/>
  <c r="W29" i="172"/>
  <c r="V29" i="172"/>
  <c r="U29" i="172"/>
  <c r="T29" i="172"/>
  <c r="S29" i="172"/>
  <c r="R29" i="172"/>
  <c r="Q29" i="172"/>
  <c r="P29" i="172"/>
  <c r="Y28" i="172"/>
  <c r="X28" i="172"/>
  <c r="W28" i="172"/>
  <c r="V28" i="172"/>
  <c r="U28" i="172"/>
  <c r="T28" i="172"/>
  <c r="S28" i="172"/>
  <c r="R28" i="172"/>
  <c r="Q28" i="172"/>
  <c r="P28" i="172"/>
  <c r="F28" i="172"/>
  <c r="E28" i="172"/>
  <c r="D28" i="172"/>
  <c r="Z27" i="172"/>
  <c r="Y25" i="172"/>
  <c r="Y30" i="172" s="1"/>
  <c r="Y32" i="172" s="1"/>
  <c r="X25" i="172"/>
  <c r="X30" i="172" s="1"/>
  <c r="X32" i="172" s="1"/>
  <c r="W25" i="172"/>
  <c r="W30" i="172" s="1"/>
  <c r="W32" i="172" s="1"/>
  <c r="V25" i="172"/>
  <c r="V30" i="172" s="1"/>
  <c r="V32" i="172" s="1"/>
  <c r="U25" i="172"/>
  <c r="U30" i="172" s="1"/>
  <c r="U32" i="172" s="1"/>
  <c r="T25" i="172"/>
  <c r="T30" i="172" s="1"/>
  <c r="T32" i="172" s="1"/>
  <c r="S25" i="172"/>
  <c r="S30" i="172" s="1"/>
  <c r="S32" i="172" s="1"/>
  <c r="R25" i="172"/>
  <c r="R30" i="172" s="1"/>
  <c r="R32" i="172" s="1"/>
  <c r="Q25" i="172"/>
  <c r="Q30" i="172" s="1"/>
  <c r="Q32" i="172" s="1"/>
  <c r="P25" i="172"/>
  <c r="P30" i="172" s="1"/>
  <c r="P32" i="172" s="1"/>
  <c r="N25" i="172"/>
  <c r="N30" i="172" s="1"/>
  <c r="M25" i="172"/>
  <c r="M30" i="172" s="1"/>
  <c r="M29" i="172" s="1"/>
  <c r="M31" i="172" s="1"/>
  <c r="L25" i="172"/>
  <c r="L30" i="172" s="1"/>
  <c r="K25" i="172"/>
  <c r="K30" i="172" s="1"/>
  <c r="J25" i="172"/>
  <c r="J30" i="172" s="1"/>
  <c r="G25" i="172"/>
  <c r="G30" i="172" s="1"/>
  <c r="F25" i="172"/>
  <c r="F30" i="172" s="1"/>
  <c r="E25" i="172"/>
  <c r="E30" i="172" s="1"/>
  <c r="D25" i="172"/>
  <c r="D30" i="172" s="1"/>
  <c r="C25" i="172"/>
  <c r="C30" i="172" s="1"/>
  <c r="R55" i="175" l="1"/>
  <c r="P31" i="172"/>
  <c r="Z18" i="172"/>
  <c r="Z19" i="172"/>
  <c r="Z20" i="172"/>
  <c r="Z21" i="172"/>
  <c r="Z22" i="172"/>
  <c r="K73" i="172"/>
  <c r="Z23" i="172"/>
  <c r="Z24" i="172"/>
  <c r="Z32" i="175"/>
  <c r="Z29" i="175"/>
  <c r="Z31" i="175" s="1"/>
  <c r="Z28" i="175"/>
  <c r="U74" i="172"/>
  <c r="U73" i="172"/>
  <c r="T73" i="172"/>
  <c r="S74" i="172"/>
  <c r="S73" i="172"/>
  <c r="Q54" i="172"/>
  <c r="P54" i="172"/>
  <c r="O54" i="172"/>
  <c r="S31" i="172"/>
  <c r="C73" i="172"/>
  <c r="D73" i="172"/>
  <c r="V73" i="172"/>
  <c r="F73" i="172"/>
  <c r="G73" i="172"/>
  <c r="M73" i="172"/>
  <c r="V67" i="172"/>
  <c r="V70" i="172" s="1"/>
  <c r="I73" i="172"/>
  <c r="N73" i="172"/>
  <c r="E73" i="172"/>
  <c r="L73" i="172"/>
  <c r="H73" i="172"/>
  <c r="J73" i="172"/>
  <c r="O73" i="172"/>
  <c r="M54" i="172"/>
  <c r="N54" i="172"/>
  <c r="D54" i="172"/>
  <c r="F54" i="172"/>
  <c r="C54" i="172"/>
  <c r="E54" i="172"/>
  <c r="Q31" i="172"/>
  <c r="R31" i="172"/>
  <c r="V31" i="172"/>
  <c r="Y31" i="172"/>
  <c r="T31" i="172"/>
  <c r="U31" i="172"/>
  <c r="W31" i="172"/>
  <c r="X31" i="172"/>
  <c r="G32" i="172"/>
  <c r="G29" i="172"/>
  <c r="G31" i="172" s="1"/>
  <c r="J29" i="172"/>
  <c r="J31" i="172" s="1"/>
  <c r="J32" i="172"/>
  <c r="K29" i="172"/>
  <c r="K31" i="172" s="1"/>
  <c r="K32" i="172"/>
  <c r="D29" i="172"/>
  <c r="D31" i="172" s="1"/>
  <c r="D32" i="172"/>
  <c r="F29" i="172"/>
  <c r="F31" i="172" s="1"/>
  <c r="F32" i="172"/>
  <c r="E32" i="172"/>
  <c r="E29" i="172"/>
  <c r="E31" i="172" s="1"/>
  <c r="N29" i="172"/>
  <c r="N31" i="172" s="1"/>
  <c r="N32" i="172"/>
  <c r="R74" i="172"/>
  <c r="L29" i="172"/>
  <c r="L31" i="172" s="1"/>
  <c r="L32" i="172"/>
  <c r="C32" i="172"/>
  <c r="C29" i="172"/>
  <c r="C31" i="172" s="1"/>
  <c r="P73" i="172"/>
  <c r="B72" i="172"/>
  <c r="B74" i="172" s="1"/>
  <c r="B54" i="172"/>
  <c r="Q73" i="172"/>
  <c r="B73" i="172"/>
  <c r="R73" i="172"/>
  <c r="G48" i="172"/>
  <c r="M32" i="172"/>
  <c r="R48" i="172"/>
  <c r="O24" i="171"/>
  <c r="H24" i="171"/>
  <c r="O23" i="171"/>
  <c r="H23" i="171"/>
  <c r="O22" i="171"/>
  <c r="H22" i="171"/>
  <c r="O21" i="171"/>
  <c r="H21" i="171"/>
  <c r="O20" i="171"/>
  <c r="H20" i="171"/>
  <c r="O19" i="171"/>
  <c r="H19" i="171"/>
  <c r="O18" i="171"/>
  <c r="H18" i="171"/>
  <c r="Z25" i="172" l="1"/>
  <c r="Z30" i="172" s="1"/>
  <c r="V68" i="172"/>
  <c r="G49" i="172"/>
  <c r="G51" i="172"/>
  <c r="R51" i="172"/>
  <c r="R49" i="172"/>
  <c r="R52" i="172" s="1"/>
  <c r="R54" i="172" s="1"/>
  <c r="R53" i="172"/>
  <c r="Z26" i="172" l="1"/>
  <c r="Z28" i="172" s="1"/>
  <c r="R55" i="172"/>
  <c r="Z32" i="172" l="1"/>
  <c r="Z29" i="172"/>
  <c r="Z31" i="172" s="1"/>
  <c r="R50" i="171"/>
  <c r="R50" i="170" l="1"/>
  <c r="U71" i="171" l="1"/>
  <c r="T71" i="171"/>
  <c r="S71" i="171"/>
  <c r="R71" i="171"/>
  <c r="Q71" i="171"/>
  <c r="P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U70" i="171"/>
  <c r="T70" i="171"/>
  <c r="S70" i="171"/>
  <c r="R70" i="171"/>
  <c r="Q70" i="171"/>
  <c r="P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V69" i="171"/>
  <c r="U67" i="171"/>
  <c r="U72" i="171" s="1"/>
  <c r="V74" i="171" s="1"/>
  <c r="T67" i="171"/>
  <c r="T72" i="171" s="1"/>
  <c r="U74" i="171" s="1"/>
  <c r="S67" i="171"/>
  <c r="S72" i="171" s="1"/>
  <c r="T74" i="171" s="1"/>
  <c r="R67" i="171"/>
  <c r="Q67" i="171"/>
  <c r="P67" i="171"/>
  <c r="P72" i="171" s="1"/>
  <c r="P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F67" i="171"/>
  <c r="F72" i="171" s="1"/>
  <c r="F74" i="171" s="1"/>
  <c r="E67" i="171"/>
  <c r="D67" i="171"/>
  <c r="D72" i="171" s="1"/>
  <c r="D74" i="171" s="1"/>
  <c r="C67" i="171"/>
  <c r="B67" i="171"/>
  <c r="B72" i="171" s="1"/>
  <c r="B74" i="171" s="1"/>
  <c r="V66" i="171"/>
  <c r="V65" i="171"/>
  <c r="V64" i="171"/>
  <c r="V63" i="171"/>
  <c r="V62" i="171"/>
  <c r="V61" i="171"/>
  <c r="V60" i="171"/>
  <c r="Q52" i="171"/>
  <c r="P52" i="171"/>
  <c r="O52" i="171"/>
  <c r="N52" i="171"/>
  <c r="M52" i="171"/>
  <c r="F52" i="171"/>
  <c r="E52" i="171"/>
  <c r="D52" i="171"/>
  <c r="C52" i="171"/>
  <c r="B52" i="171"/>
  <c r="Q51" i="171"/>
  <c r="P51" i="171"/>
  <c r="O51" i="171"/>
  <c r="N51" i="171"/>
  <c r="M51" i="171"/>
  <c r="F51" i="171"/>
  <c r="E51" i="171"/>
  <c r="D51" i="171"/>
  <c r="C51" i="171"/>
  <c r="B51" i="171"/>
  <c r="G50" i="171"/>
  <c r="Q48" i="171"/>
  <c r="Q53" i="171" s="1"/>
  <c r="Q55" i="171" s="1"/>
  <c r="P48" i="171"/>
  <c r="P53" i="171" s="1"/>
  <c r="P55" i="171" s="1"/>
  <c r="O48" i="171"/>
  <c r="O53" i="171" s="1"/>
  <c r="O55" i="171" s="1"/>
  <c r="N48" i="171"/>
  <c r="N53" i="171" s="1"/>
  <c r="N55" i="171" s="1"/>
  <c r="M48" i="171"/>
  <c r="M53" i="171" s="1"/>
  <c r="M55" i="171" s="1"/>
  <c r="F48" i="171"/>
  <c r="F53" i="171" s="1"/>
  <c r="F55" i="171" s="1"/>
  <c r="E48" i="171"/>
  <c r="E53" i="171" s="1"/>
  <c r="E55" i="171" s="1"/>
  <c r="D48" i="171"/>
  <c r="D53" i="171" s="1"/>
  <c r="D55" i="171" s="1"/>
  <c r="C48" i="171"/>
  <c r="B48" i="171"/>
  <c r="R47" i="171"/>
  <c r="G47" i="171"/>
  <c r="R46" i="171"/>
  <c r="G46" i="171"/>
  <c r="R45" i="171"/>
  <c r="G45" i="171"/>
  <c r="R44" i="171"/>
  <c r="G44" i="171"/>
  <c r="R43" i="171"/>
  <c r="G43" i="171"/>
  <c r="R42" i="171"/>
  <c r="G42" i="171"/>
  <c r="R41" i="171"/>
  <c r="G41" i="171"/>
  <c r="K34" i="171"/>
  <c r="J34" i="171" s="1"/>
  <c r="D34" i="171"/>
  <c r="C34" i="171" s="1"/>
  <c r="N33" i="171"/>
  <c r="N28" i="171" s="1"/>
  <c r="M33" i="171"/>
  <c r="M28" i="171" s="1"/>
  <c r="L33" i="171"/>
  <c r="L28" i="171" s="1"/>
  <c r="K33" i="171"/>
  <c r="K28" i="171" s="1"/>
  <c r="J33" i="171"/>
  <c r="J28" i="171" s="1"/>
  <c r="G33" i="171"/>
  <c r="G28" i="171" s="1"/>
  <c r="F33" i="171"/>
  <c r="F28" i="171" s="1"/>
  <c r="E33" i="171"/>
  <c r="E28" i="171" s="1"/>
  <c r="D33" i="171"/>
  <c r="D28" i="171" s="1"/>
  <c r="C33" i="171"/>
  <c r="C28" i="171" s="1"/>
  <c r="Y29" i="171"/>
  <c r="X29" i="171"/>
  <c r="W29" i="171"/>
  <c r="V29" i="171"/>
  <c r="U29" i="171"/>
  <c r="T29" i="171"/>
  <c r="S29" i="171"/>
  <c r="R29" i="171"/>
  <c r="Q29" i="171"/>
  <c r="P29" i="171"/>
  <c r="Y28" i="171"/>
  <c r="X28" i="171"/>
  <c r="W28" i="171"/>
  <c r="V28" i="171"/>
  <c r="U28" i="171"/>
  <c r="T28" i="171"/>
  <c r="S28" i="171"/>
  <c r="R28" i="171"/>
  <c r="Q28" i="171"/>
  <c r="P28" i="171"/>
  <c r="Z27" i="171"/>
  <c r="Y25" i="171"/>
  <c r="Y30" i="171" s="1"/>
  <c r="Y32" i="171" s="1"/>
  <c r="X25" i="171"/>
  <c r="X30" i="171" s="1"/>
  <c r="X32" i="171" s="1"/>
  <c r="W25" i="171"/>
  <c r="W30" i="171" s="1"/>
  <c r="W32" i="171" s="1"/>
  <c r="V25" i="171"/>
  <c r="V30" i="171" s="1"/>
  <c r="V32" i="171" s="1"/>
  <c r="U25" i="171"/>
  <c r="U30" i="171" s="1"/>
  <c r="U32" i="171" s="1"/>
  <c r="T25" i="171"/>
  <c r="T30" i="171" s="1"/>
  <c r="T32" i="171" s="1"/>
  <c r="S25" i="171"/>
  <c r="S30" i="171" s="1"/>
  <c r="S32" i="171" s="1"/>
  <c r="R25" i="171"/>
  <c r="R30" i="171" s="1"/>
  <c r="R32" i="171" s="1"/>
  <c r="Q25" i="171"/>
  <c r="P25" i="171"/>
  <c r="N25" i="171"/>
  <c r="N30" i="171" s="1"/>
  <c r="M25" i="171"/>
  <c r="M30" i="171" s="1"/>
  <c r="L25" i="171"/>
  <c r="L30" i="171" s="1"/>
  <c r="K25" i="171"/>
  <c r="K30" i="171" s="1"/>
  <c r="J25" i="171"/>
  <c r="J30" i="171" s="1"/>
  <c r="G25" i="171"/>
  <c r="G30" i="171" s="1"/>
  <c r="F25" i="171"/>
  <c r="F30" i="171" s="1"/>
  <c r="E25" i="171"/>
  <c r="E30" i="171" s="1"/>
  <c r="D25" i="171"/>
  <c r="D30" i="171" s="1"/>
  <c r="C25" i="171"/>
  <c r="C30" i="171" s="1"/>
  <c r="Z22" i="171"/>
  <c r="K32" i="171" l="1"/>
  <c r="E73" i="171"/>
  <c r="L32" i="171"/>
  <c r="Q73" i="171"/>
  <c r="P54" i="171"/>
  <c r="J73" i="171"/>
  <c r="F73" i="171"/>
  <c r="M73" i="171"/>
  <c r="D73" i="171"/>
  <c r="P73" i="171"/>
  <c r="J32" i="171"/>
  <c r="L73" i="171"/>
  <c r="V31" i="171"/>
  <c r="Z21" i="171"/>
  <c r="T73" i="171"/>
  <c r="N54" i="171"/>
  <c r="M32" i="171"/>
  <c r="X31" i="171"/>
  <c r="O54" i="171"/>
  <c r="B73" i="171"/>
  <c r="N73" i="171"/>
  <c r="I73" i="171"/>
  <c r="V73" i="171"/>
  <c r="N32" i="171"/>
  <c r="C73" i="171"/>
  <c r="K73" i="171"/>
  <c r="C72" i="171"/>
  <c r="C74" i="171" s="1"/>
  <c r="S73" i="171"/>
  <c r="G73" i="171"/>
  <c r="O73" i="171"/>
  <c r="Q31" i="171"/>
  <c r="P31" i="171"/>
  <c r="F54" i="171"/>
  <c r="E54" i="171"/>
  <c r="D54" i="171"/>
  <c r="C54" i="171"/>
  <c r="G48" i="171"/>
  <c r="G49" i="171" s="1"/>
  <c r="N29" i="171"/>
  <c r="N31" i="171" s="1"/>
  <c r="Z18" i="171"/>
  <c r="Z19" i="171"/>
  <c r="Z24" i="171"/>
  <c r="Y31" i="171"/>
  <c r="W31" i="171"/>
  <c r="U31" i="171"/>
  <c r="T31" i="171"/>
  <c r="Z23" i="171"/>
  <c r="Z20" i="171"/>
  <c r="B54" i="171"/>
  <c r="C29" i="171"/>
  <c r="C31" i="171" s="1"/>
  <c r="C32" i="171"/>
  <c r="E29" i="171"/>
  <c r="E31" i="171" s="1"/>
  <c r="E32" i="171"/>
  <c r="D32" i="171"/>
  <c r="D29" i="171"/>
  <c r="D31" i="171" s="1"/>
  <c r="F29" i="171"/>
  <c r="F31" i="171" s="1"/>
  <c r="F32" i="171"/>
  <c r="G29" i="171"/>
  <c r="G31" i="171" s="1"/>
  <c r="G32" i="171"/>
  <c r="R73" i="171"/>
  <c r="H73" i="171"/>
  <c r="R31" i="171"/>
  <c r="E72" i="171"/>
  <c r="E74" i="171" s="1"/>
  <c r="U73" i="171"/>
  <c r="L29" i="171"/>
  <c r="L31" i="171" s="1"/>
  <c r="P30" i="171"/>
  <c r="P32" i="171" s="1"/>
  <c r="S31" i="171"/>
  <c r="B53" i="171"/>
  <c r="B55" i="171" s="1"/>
  <c r="V67" i="171"/>
  <c r="R72" i="171"/>
  <c r="Q54" i="171"/>
  <c r="J29" i="171"/>
  <c r="J31" i="171" s="1"/>
  <c r="K29" i="171"/>
  <c r="K31" i="171" s="1"/>
  <c r="Q72" i="171"/>
  <c r="Q74" i="171" s="1"/>
  <c r="M29" i="171"/>
  <c r="M31" i="171" s="1"/>
  <c r="Q30" i="171"/>
  <c r="Q32" i="171" s="1"/>
  <c r="C53" i="171"/>
  <c r="C55" i="171" s="1"/>
  <c r="G72" i="171"/>
  <c r="G74" i="171" s="1"/>
  <c r="M54" i="171"/>
  <c r="R48" i="171"/>
  <c r="G51" i="171" l="1"/>
  <c r="Z25" i="171"/>
  <c r="Z26" i="171" s="1"/>
  <c r="V68" i="171"/>
  <c r="V70" i="171"/>
  <c r="S74" i="171"/>
  <c r="R74" i="171"/>
  <c r="Z30" i="171" l="1"/>
  <c r="Z32" i="171" s="1"/>
  <c r="Z28" i="171"/>
  <c r="Z29" i="171"/>
  <c r="Z31" i="171" s="1"/>
  <c r="C33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V69" i="170"/>
  <c r="U67" i="170"/>
  <c r="U72" i="170" s="1"/>
  <c r="V74" i="170" s="1"/>
  <c r="T67" i="170"/>
  <c r="T72" i="170" s="1"/>
  <c r="U74" i="170" s="1"/>
  <c r="S67" i="170"/>
  <c r="S72" i="170" s="1"/>
  <c r="T74" i="170" s="1"/>
  <c r="R67" i="170"/>
  <c r="R72" i="170" s="1"/>
  <c r="Q67" i="170"/>
  <c r="Q72" i="170" s="1"/>
  <c r="Q74" i="170" s="1"/>
  <c r="P67" i="170"/>
  <c r="P72" i="170" s="1"/>
  <c r="P74" i="170" s="1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V66" i="170"/>
  <c r="V65" i="170"/>
  <c r="V64" i="170"/>
  <c r="V63" i="170"/>
  <c r="V62" i="170"/>
  <c r="V61" i="170"/>
  <c r="V60" i="170"/>
  <c r="Q52" i="170"/>
  <c r="P52" i="170"/>
  <c r="O52" i="170"/>
  <c r="N52" i="170"/>
  <c r="N54" i="170" s="1"/>
  <c r="M52" i="170"/>
  <c r="F52" i="170"/>
  <c r="E52" i="170"/>
  <c r="D52" i="170"/>
  <c r="C52" i="170"/>
  <c r="B52" i="170"/>
  <c r="Q51" i="170"/>
  <c r="P51" i="170"/>
  <c r="O51" i="170"/>
  <c r="N51" i="170"/>
  <c r="M51" i="170"/>
  <c r="F51" i="170"/>
  <c r="E51" i="170"/>
  <c r="D51" i="170"/>
  <c r="C51" i="170"/>
  <c r="B51" i="170"/>
  <c r="G50" i="170"/>
  <c r="Q48" i="170"/>
  <c r="Q53" i="170" s="1"/>
  <c r="Q55" i="170" s="1"/>
  <c r="P48" i="170"/>
  <c r="P53" i="170" s="1"/>
  <c r="P55" i="170" s="1"/>
  <c r="O48" i="170"/>
  <c r="O53" i="170" s="1"/>
  <c r="O55" i="170" s="1"/>
  <c r="N48" i="170"/>
  <c r="N53" i="170" s="1"/>
  <c r="N55" i="170" s="1"/>
  <c r="M48" i="170"/>
  <c r="M53" i="170" s="1"/>
  <c r="M55" i="170" s="1"/>
  <c r="F48" i="170"/>
  <c r="F53" i="170" s="1"/>
  <c r="F55" i="170" s="1"/>
  <c r="E48" i="170"/>
  <c r="D48" i="170"/>
  <c r="C48" i="170"/>
  <c r="C53" i="170" s="1"/>
  <c r="C55" i="170" s="1"/>
  <c r="B48" i="170"/>
  <c r="R47" i="170"/>
  <c r="G47" i="170"/>
  <c r="R46" i="170"/>
  <c r="G46" i="170"/>
  <c r="R45" i="170"/>
  <c r="G45" i="170"/>
  <c r="R44" i="170"/>
  <c r="G44" i="170"/>
  <c r="R43" i="170"/>
  <c r="G43" i="170"/>
  <c r="R42" i="170"/>
  <c r="G42" i="170"/>
  <c r="R41" i="170"/>
  <c r="G41" i="170"/>
  <c r="K34" i="170"/>
  <c r="J34" i="170" s="1"/>
  <c r="D34" i="170"/>
  <c r="C34" i="170" s="1"/>
  <c r="N33" i="170"/>
  <c r="N28" i="170" s="1"/>
  <c r="M33" i="170"/>
  <c r="M28" i="170" s="1"/>
  <c r="L33" i="170"/>
  <c r="L28" i="170" s="1"/>
  <c r="K33" i="170"/>
  <c r="K28" i="170" s="1"/>
  <c r="J33" i="170"/>
  <c r="J28" i="170" s="1"/>
  <c r="G33" i="170"/>
  <c r="G28" i="170" s="1"/>
  <c r="F33" i="170"/>
  <c r="F28" i="170" s="1"/>
  <c r="E33" i="170"/>
  <c r="E28" i="170" s="1"/>
  <c r="D33" i="170"/>
  <c r="D28" i="170" s="1"/>
  <c r="Y29" i="170"/>
  <c r="X29" i="170"/>
  <c r="W29" i="170"/>
  <c r="V29" i="170"/>
  <c r="U29" i="170"/>
  <c r="T29" i="170"/>
  <c r="S29" i="170"/>
  <c r="R29" i="170"/>
  <c r="Q29" i="170"/>
  <c r="P29" i="170"/>
  <c r="Y28" i="170"/>
  <c r="X28" i="170"/>
  <c r="W28" i="170"/>
  <c r="V28" i="170"/>
  <c r="U28" i="170"/>
  <c r="T28" i="170"/>
  <c r="S28" i="170"/>
  <c r="R28" i="170"/>
  <c r="Q28" i="170"/>
  <c r="P28" i="170"/>
  <c r="Z27" i="170"/>
  <c r="Y25" i="170"/>
  <c r="Y30" i="170" s="1"/>
  <c r="Y32" i="170" s="1"/>
  <c r="X25" i="170"/>
  <c r="X30" i="170" s="1"/>
  <c r="X32" i="170" s="1"/>
  <c r="W25" i="170"/>
  <c r="W30" i="170" s="1"/>
  <c r="W32" i="170" s="1"/>
  <c r="V25" i="170"/>
  <c r="V30" i="170" s="1"/>
  <c r="V32" i="170" s="1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N25" i="170"/>
  <c r="N30" i="170" s="1"/>
  <c r="M25" i="170"/>
  <c r="M30" i="170" s="1"/>
  <c r="L25" i="170"/>
  <c r="L30" i="170" s="1"/>
  <c r="K25" i="170"/>
  <c r="K30" i="170" s="1"/>
  <c r="J25" i="170"/>
  <c r="J30" i="170" s="1"/>
  <c r="G25" i="170"/>
  <c r="G30" i="170" s="1"/>
  <c r="F25" i="170"/>
  <c r="F30" i="170" s="1"/>
  <c r="F29" i="170" s="1"/>
  <c r="F31" i="170" s="1"/>
  <c r="E25" i="170"/>
  <c r="E30" i="170" s="1"/>
  <c r="E29" i="170" s="1"/>
  <c r="E31" i="170" s="1"/>
  <c r="D25" i="170"/>
  <c r="D30" i="170" s="1"/>
  <c r="D29" i="170" s="1"/>
  <c r="D31" i="170" s="1"/>
  <c r="C25" i="170"/>
  <c r="C30" i="170" s="1"/>
  <c r="C29" i="170" s="1"/>
  <c r="C31" i="170" s="1"/>
  <c r="O24" i="170"/>
  <c r="H24" i="170"/>
  <c r="O23" i="170"/>
  <c r="H23" i="170"/>
  <c r="O22" i="170"/>
  <c r="H22" i="170"/>
  <c r="O21" i="170"/>
  <c r="H21" i="170"/>
  <c r="O20" i="170"/>
  <c r="H20" i="170"/>
  <c r="O19" i="170"/>
  <c r="H19" i="170"/>
  <c r="O18" i="170"/>
  <c r="H18" i="170"/>
  <c r="X31" i="170" l="1"/>
  <c r="Y31" i="170"/>
  <c r="Z22" i="170"/>
  <c r="Z18" i="170"/>
  <c r="Z24" i="170"/>
  <c r="M54" i="170"/>
  <c r="Z19" i="170"/>
  <c r="P54" i="170"/>
  <c r="Z20" i="170"/>
  <c r="M73" i="170"/>
  <c r="Z21" i="170"/>
  <c r="B73" i="170"/>
  <c r="N73" i="170"/>
  <c r="O73" i="170"/>
  <c r="L32" i="170"/>
  <c r="D73" i="170"/>
  <c r="P73" i="170"/>
  <c r="J32" i="170"/>
  <c r="C73" i="170"/>
  <c r="K32" i="170"/>
  <c r="E73" i="170"/>
  <c r="Q73" i="170"/>
  <c r="Z23" i="170"/>
  <c r="W31" i="170"/>
  <c r="F73" i="170"/>
  <c r="S73" i="170"/>
  <c r="O54" i="170"/>
  <c r="G73" i="170"/>
  <c r="H73" i="170"/>
  <c r="I73" i="170"/>
  <c r="T73" i="170"/>
  <c r="U73" i="170"/>
  <c r="K73" i="170"/>
  <c r="L73" i="170"/>
  <c r="R73" i="170"/>
  <c r="K29" i="170"/>
  <c r="K31" i="170" s="1"/>
  <c r="L29" i="170"/>
  <c r="L31" i="170" s="1"/>
  <c r="B54" i="170"/>
  <c r="U31" i="170"/>
  <c r="S31" i="170"/>
  <c r="T31" i="170"/>
  <c r="J29" i="170"/>
  <c r="J31" i="170" s="1"/>
  <c r="G48" i="170"/>
  <c r="G51" i="170" s="1"/>
  <c r="C54" i="170"/>
  <c r="D32" i="170"/>
  <c r="E32" i="170"/>
  <c r="F32" i="170"/>
  <c r="C32" i="170"/>
  <c r="C28" i="170"/>
  <c r="G32" i="170"/>
  <c r="G29" i="170"/>
  <c r="G31" i="170" s="1"/>
  <c r="N32" i="170"/>
  <c r="N29" i="170"/>
  <c r="N31" i="170" s="1"/>
  <c r="R48" i="170"/>
  <c r="Q54" i="170"/>
  <c r="B53" i="170"/>
  <c r="B55" i="170" s="1"/>
  <c r="S74" i="170"/>
  <c r="R74" i="170"/>
  <c r="V73" i="170"/>
  <c r="M32" i="170"/>
  <c r="M29" i="170"/>
  <c r="M31" i="170" s="1"/>
  <c r="D53" i="170"/>
  <c r="D55" i="170" s="1"/>
  <c r="D54" i="170"/>
  <c r="P31" i="170"/>
  <c r="E53" i="170"/>
  <c r="E55" i="170" s="1"/>
  <c r="E54" i="170"/>
  <c r="Q31" i="170"/>
  <c r="R31" i="170"/>
  <c r="V31" i="170"/>
  <c r="J73" i="170"/>
  <c r="V67" i="170"/>
  <c r="F54" i="170"/>
  <c r="Z25" i="170" l="1"/>
  <c r="Z26" i="170" s="1"/>
  <c r="G49" i="170"/>
  <c r="V68" i="170"/>
  <c r="V70" i="170"/>
  <c r="Z30" i="170" l="1"/>
  <c r="Z32" i="170" s="1"/>
  <c r="Z28" i="170"/>
  <c r="Z29" i="170"/>
  <c r="Z31" i="170" s="1"/>
  <c r="P28" i="169" l="1"/>
  <c r="U71" i="169"/>
  <c r="T71" i="169"/>
  <c r="S71" i="169"/>
  <c r="R71" i="169"/>
  <c r="Q71" i="169"/>
  <c r="P71" i="169"/>
  <c r="O71" i="169"/>
  <c r="N71" i="169"/>
  <c r="M71" i="169"/>
  <c r="M73" i="169" s="1"/>
  <c r="L71" i="169"/>
  <c r="K71" i="169"/>
  <c r="J71" i="169"/>
  <c r="I71" i="169"/>
  <c r="H71" i="169"/>
  <c r="G71" i="169"/>
  <c r="F71" i="169"/>
  <c r="E71" i="169"/>
  <c r="D71" i="169"/>
  <c r="C71" i="169"/>
  <c r="B71" i="169"/>
  <c r="U70" i="169"/>
  <c r="T70" i="169"/>
  <c r="S70" i="169"/>
  <c r="R70" i="169"/>
  <c r="Q70" i="169"/>
  <c r="P70" i="169"/>
  <c r="O70" i="169"/>
  <c r="N70" i="169"/>
  <c r="M70" i="169"/>
  <c r="L70" i="169"/>
  <c r="K70" i="169"/>
  <c r="J70" i="169"/>
  <c r="I70" i="169"/>
  <c r="H70" i="169"/>
  <c r="G70" i="169"/>
  <c r="F70" i="169"/>
  <c r="E70" i="169"/>
  <c r="D70" i="169"/>
  <c r="C70" i="169"/>
  <c r="B70" i="169"/>
  <c r="V69" i="169"/>
  <c r="U67" i="169"/>
  <c r="U72" i="169" s="1"/>
  <c r="V74" i="169" s="1"/>
  <c r="T67" i="169"/>
  <c r="T72" i="169" s="1"/>
  <c r="U74" i="169" s="1"/>
  <c r="S67" i="169"/>
  <c r="S72" i="169" s="1"/>
  <c r="T74" i="169" s="1"/>
  <c r="R67" i="169"/>
  <c r="R72" i="169" s="1"/>
  <c r="Q67" i="169"/>
  <c r="Q72" i="169" s="1"/>
  <c r="Q74" i="169" s="1"/>
  <c r="P67" i="169"/>
  <c r="P72" i="169" s="1"/>
  <c r="P74" i="169" s="1"/>
  <c r="O67" i="169"/>
  <c r="O72" i="169" s="1"/>
  <c r="O74" i="169" s="1"/>
  <c r="N67" i="169"/>
  <c r="N72" i="169" s="1"/>
  <c r="N74" i="169" s="1"/>
  <c r="M67" i="169"/>
  <c r="M72" i="169" s="1"/>
  <c r="M74" i="169" s="1"/>
  <c r="L67" i="169"/>
  <c r="L72" i="169" s="1"/>
  <c r="L74" i="169" s="1"/>
  <c r="K67" i="169"/>
  <c r="K72" i="169" s="1"/>
  <c r="K74" i="169" s="1"/>
  <c r="J67" i="169"/>
  <c r="J72" i="169" s="1"/>
  <c r="J74" i="169" s="1"/>
  <c r="I67" i="169"/>
  <c r="I72" i="169" s="1"/>
  <c r="I74" i="169" s="1"/>
  <c r="H67" i="169"/>
  <c r="H72" i="169" s="1"/>
  <c r="H74" i="169" s="1"/>
  <c r="G67" i="169"/>
  <c r="G72" i="169" s="1"/>
  <c r="G74" i="169" s="1"/>
  <c r="F67" i="169"/>
  <c r="F72" i="169" s="1"/>
  <c r="F74" i="169" s="1"/>
  <c r="E67" i="169"/>
  <c r="E72" i="169" s="1"/>
  <c r="E74" i="169" s="1"/>
  <c r="D67" i="169"/>
  <c r="D72" i="169" s="1"/>
  <c r="D74" i="169" s="1"/>
  <c r="C67" i="169"/>
  <c r="C72" i="169" s="1"/>
  <c r="C74" i="169" s="1"/>
  <c r="B67" i="169"/>
  <c r="B72" i="169" s="1"/>
  <c r="B74" i="169" s="1"/>
  <c r="V66" i="169"/>
  <c r="V65" i="169"/>
  <c r="V64" i="169"/>
  <c r="V63" i="169"/>
  <c r="V62" i="169"/>
  <c r="V61" i="169"/>
  <c r="V60" i="169"/>
  <c r="Q52" i="169"/>
  <c r="P52" i="169"/>
  <c r="O52" i="169"/>
  <c r="N52" i="169"/>
  <c r="M52" i="169"/>
  <c r="F52" i="169"/>
  <c r="E52" i="169"/>
  <c r="D52" i="169"/>
  <c r="C52" i="169"/>
  <c r="B52" i="169"/>
  <c r="Q51" i="169"/>
  <c r="P51" i="169"/>
  <c r="O51" i="169"/>
  <c r="N51" i="169"/>
  <c r="M51" i="169"/>
  <c r="F51" i="169"/>
  <c r="E51" i="169"/>
  <c r="D51" i="169"/>
  <c r="C51" i="169"/>
  <c r="B51" i="169"/>
  <c r="G50" i="169"/>
  <c r="Q48" i="169"/>
  <c r="Q53" i="169" s="1"/>
  <c r="Q55" i="169" s="1"/>
  <c r="P48" i="169"/>
  <c r="P53" i="169" s="1"/>
  <c r="P55" i="169" s="1"/>
  <c r="O48" i="169"/>
  <c r="O53" i="169" s="1"/>
  <c r="O55" i="169" s="1"/>
  <c r="N48" i="169"/>
  <c r="M48" i="169"/>
  <c r="F48" i="169"/>
  <c r="E48" i="169"/>
  <c r="E53" i="169" s="1"/>
  <c r="E55" i="169" s="1"/>
  <c r="D48" i="169"/>
  <c r="C48" i="169"/>
  <c r="B48" i="169"/>
  <c r="B53" i="169" s="1"/>
  <c r="B55" i="169" s="1"/>
  <c r="R47" i="169"/>
  <c r="G47" i="169"/>
  <c r="R46" i="169"/>
  <c r="G46" i="169"/>
  <c r="R45" i="169"/>
  <c r="G45" i="169"/>
  <c r="R44" i="169"/>
  <c r="G44" i="169"/>
  <c r="R43" i="169"/>
  <c r="G43" i="169"/>
  <c r="R42" i="169"/>
  <c r="G42" i="169"/>
  <c r="R41" i="169"/>
  <c r="G41" i="169"/>
  <c r="K34" i="169"/>
  <c r="J34" i="169" s="1"/>
  <c r="D34" i="169"/>
  <c r="C34" i="169" s="1"/>
  <c r="N33" i="169"/>
  <c r="N28" i="169" s="1"/>
  <c r="M33" i="169"/>
  <c r="M28" i="169" s="1"/>
  <c r="L33" i="169"/>
  <c r="L28" i="169" s="1"/>
  <c r="K33" i="169"/>
  <c r="K28" i="169" s="1"/>
  <c r="J33" i="169"/>
  <c r="J28" i="169" s="1"/>
  <c r="G33" i="169"/>
  <c r="F33" i="169"/>
  <c r="E33" i="169"/>
  <c r="D33" i="169"/>
  <c r="D28" i="169" s="1"/>
  <c r="C33" i="169"/>
  <c r="C28" i="169" s="1"/>
  <c r="Y29" i="169"/>
  <c r="X29" i="169"/>
  <c r="W29" i="169"/>
  <c r="V29" i="169"/>
  <c r="U29" i="169"/>
  <c r="T29" i="169"/>
  <c r="S29" i="169"/>
  <c r="R29" i="169"/>
  <c r="Q29" i="169"/>
  <c r="P29" i="169"/>
  <c r="Y28" i="169"/>
  <c r="X28" i="169"/>
  <c r="W28" i="169"/>
  <c r="V28" i="169"/>
  <c r="U28" i="169"/>
  <c r="T28" i="169"/>
  <c r="S28" i="169"/>
  <c r="R28" i="169"/>
  <c r="Q28" i="169"/>
  <c r="Z27" i="169"/>
  <c r="Y25" i="169"/>
  <c r="Y30" i="169" s="1"/>
  <c r="Y32" i="169" s="1"/>
  <c r="X25" i="169"/>
  <c r="X30" i="169" s="1"/>
  <c r="X32" i="169" s="1"/>
  <c r="W25" i="169"/>
  <c r="W30" i="169" s="1"/>
  <c r="W32" i="169" s="1"/>
  <c r="V25" i="169"/>
  <c r="U25" i="169"/>
  <c r="U30" i="169" s="1"/>
  <c r="U32" i="169" s="1"/>
  <c r="T25" i="169"/>
  <c r="T30" i="169" s="1"/>
  <c r="T32" i="169" s="1"/>
  <c r="S25" i="169"/>
  <c r="S30" i="169" s="1"/>
  <c r="S32" i="169" s="1"/>
  <c r="R25" i="169"/>
  <c r="R30" i="169" s="1"/>
  <c r="R32" i="169" s="1"/>
  <c r="Q25" i="169"/>
  <c r="Q30" i="169" s="1"/>
  <c r="Q32" i="169" s="1"/>
  <c r="P25" i="169"/>
  <c r="P30" i="169" s="1"/>
  <c r="N25" i="169"/>
  <c r="N30" i="169" s="1"/>
  <c r="N29" i="169" s="1"/>
  <c r="N31" i="169" s="1"/>
  <c r="M25" i="169"/>
  <c r="M30" i="169" s="1"/>
  <c r="M29" i="169" s="1"/>
  <c r="M31" i="169" s="1"/>
  <c r="L25" i="169"/>
  <c r="L30" i="169" s="1"/>
  <c r="K25" i="169"/>
  <c r="K30" i="169" s="1"/>
  <c r="K29" i="169" s="1"/>
  <c r="K31" i="169" s="1"/>
  <c r="J25" i="169"/>
  <c r="J30" i="169" s="1"/>
  <c r="G25" i="169"/>
  <c r="G30" i="169" s="1"/>
  <c r="G29" i="169" s="1"/>
  <c r="G31" i="169" s="1"/>
  <c r="F25" i="169"/>
  <c r="F30" i="169" s="1"/>
  <c r="F29" i="169" s="1"/>
  <c r="F31" i="169" s="1"/>
  <c r="E25" i="169"/>
  <c r="E30" i="169" s="1"/>
  <c r="E29" i="169" s="1"/>
  <c r="E31" i="169" s="1"/>
  <c r="D25" i="169"/>
  <c r="D30" i="169" s="1"/>
  <c r="C25" i="169"/>
  <c r="C30" i="169" s="1"/>
  <c r="O24" i="169"/>
  <c r="H24" i="169"/>
  <c r="O23" i="169"/>
  <c r="H23" i="169"/>
  <c r="O22" i="169"/>
  <c r="H22" i="169"/>
  <c r="O21" i="169"/>
  <c r="H21" i="169"/>
  <c r="O20" i="169"/>
  <c r="H20" i="169"/>
  <c r="Z20" i="169" s="1"/>
  <c r="O19" i="169"/>
  <c r="H19" i="169"/>
  <c r="O18" i="169"/>
  <c r="H18" i="169"/>
  <c r="J32" i="169" l="1"/>
  <c r="Z22" i="169"/>
  <c r="P31" i="169"/>
  <c r="B54" i="169"/>
  <c r="K73" i="169"/>
  <c r="N54" i="169"/>
  <c r="L32" i="169"/>
  <c r="Q73" i="169"/>
  <c r="G73" i="169"/>
  <c r="T73" i="169"/>
  <c r="U31" i="169"/>
  <c r="H73" i="169"/>
  <c r="E73" i="169"/>
  <c r="I73" i="169"/>
  <c r="R48" i="169"/>
  <c r="X31" i="169"/>
  <c r="Q54" i="169"/>
  <c r="L73" i="169"/>
  <c r="B73" i="169"/>
  <c r="N73" i="169"/>
  <c r="C73" i="169"/>
  <c r="O73" i="169"/>
  <c r="Z23" i="169"/>
  <c r="C54" i="169"/>
  <c r="D73" i="169"/>
  <c r="P73" i="169"/>
  <c r="Z24" i="169"/>
  <c r="F73" i="169"/>
  <c r="S73" i="169"/>
  <c r="W31" i="169"/>
  <c r="J73" i="169"/>
  <c r="E32" i="169"/>
  <c r="G48" i="169"/>
  <c r="G49" i="169" s="1"/>
  <c r="Y31" i="169"/>
  <c r="Q31" i="169"/>
  <c r="Z18" i="169"/>
  <c r="Z19" i="169"/>
  <c r="J29" i="169"/>
  <c r="J31" i="169" s="1"/>
  <c r="G32" i="169"/>
  <c r="F32" i="169"/>
  <c r="Z21" i="169"/>
  <c r="R31" i="169"/>
  <c r="D54" i="169"/>
  <c r="P32" i="169"/>
  <c r="G28" i="169"/>
  <c r="E28" i="169"/>
  <c r="F28" i="169"/>
  <c r="C53" i="169"/>
  <c r="C55" i="169" s="1"/>
  <c r="K32" i="169"/>
  <c r="D53" i="169"/>
  <c r="D55" i="169" s="1"/>
  <c r="U73" i="169"/>
  <c r="V73" i="169"/>
  <c r="L29" i="169"/>
  <c r="L31" i="169" s="1"/>
  <c r="V67" i="169"/>
  <c r="M32" i="169"/>
  <c r="S31" i="169"/>
  <c r="E54" i="169"/>
  <c r="S74" i="169"/>
  <c r="R74" i="169"/>
  <c r="D32" i="169"/>
  <c r="D29" i="169"/>
  <c r="D31" i="169" s="1"/>
  <c r="F54" i="169"/>
  <c r="F53" i="169"/>
  <c r="F55" i="169" s="1"/>
  <c r="V30" i="169"/>
  <c r="V32" i="169" s="1"/>
  <c r="V31" i="169"/>
  <c r="C32" i="169"/>
  <c r="C29" i="169"/>
  <c r="C31" i="169" s="1"/>
  <c r="N32" i="169"/>
  <c r="T31" i="169"/>
  <c r="M53" i="169"/>
  <c r="M55" i="169" s="1"/>
  <c r="N53" i="169"/>
  <c r="N55" i="169" s="1"/>
  <c r="M54" i="169"/>
  <c r="O54" i="169"/>
  <c r="P54" i="169"/>
  <c r="R73" i="169"/>
  <c r="G51" i="169" l="1"/>
  <c r="Z25" i="169"/>
  <c r="Z26" i="169" s="1"/>
  <c r="Z28" i="169" s="1"/>
  <c r="V68" i="169"/>
  <c r="V70" i="169"/>
  <c r="V47" i="167"/>
  <c r="U47" i="167"/>
  <c r="T47" i="167"/>
  <c r="S47" i="167"/>
  <c r="R47" i="167"/>
  <c r="Q47" i="167"/>
  <c r="P47" i="167"/>
  <c r="O47" i="167"/>
  <c r="N47" i="167"/>
  <c r="M47" i="167"/>
  <c r="L47" i="167"/>
  <c r="K47" i="167"/>
  <c r="J47" i="167"/>
  <c r="I47" i="167"/>
  <c r="H47" i="167"/>
  <c r="G47" i="167"/>
  <c r="F47" i="167"/>
  <c r="E47" i="167"/>
  <c r="D47" i="167"/>
  <c r="C47" i="167"/>
  <c r="W46" i="167"/>
  <c r="W45" i="167"/>
  <c r="W44" i="167"/>
  <c r="W43" i="167"/>
  <c r="W42" i="167"/>
  <c r="W41" i="167"/>
  <c r="W40" i="167"/>
  <c r="B40" i="167"/>
  <c r="B41" i="167" s="1"/>
  <c r="B42" i="167" s="1"/>
  <c r="B43" i="167" s="1"/>
  <c r="B44" i="167" s="1"/>
  <c r="B45" i="167" s="1"/>
  <c r="B46" i="167" s="1"/>
  <c r="P34" i="167"/>
  <c r="O34" i="167"/>
  <c r="N34" i="167"/>
  <c r="M34" i="167"/>
  <c r="L34" i="167"/>
  <c r="G34" i="167"/>
  <c r="F34" i="167"/>
  <c r="E34" i="167"/>
  <c r="D34" i="167"/>
  <c r="C34" i="167"/>
  <c r="Q33" i="167"/>
  <c r="H33" i="167"/>
  <c r="Q32" i="167"/>
  <c r="H32" i="167"/>
  <c r="Q31" i="167"/>
  <c r="H31" i="167"/>
  <c r="Q30" i="167"/>
  <c r="H30" i="167"/>
  <c r="Q29" i="167"/>
  <c r="H29" i="167"/>
  <c r="Q28" i="167"/>
  <c r="H28" i="167"/>
  <c r="Q27" i="167"/>
  <c r="K27" i="167"/>
  <c r="K28" i="167" s="1"/>
  <c r="K29" i="167" s="1"/>
  <c r="K30" i="167" s="1"/>
  <c r="K31" i="167" s="1"/>
  <c r="K32" i="167" s="1"/>
  <c r="K33" i="167" s="1"/>
  <c r="H27" i="167"/>
  <c r="B27" i="167"/>
  <c r="B28" i="167" s="1"/>
  <c r="B29" i="167" s="1"/>
  <c r="B30" i="167" s="1"/>
  <c r="B31" i="167" s="1"/>
  <c r="B32" i="167" s="1"/>
  <c r="B33" i="167" s="1"/>
  <c r="Z18" i="167"/>
  <c r="Y18" i="167"/>
  <c r="X18" i="167"/>
  <c r="W18" i="167"/>
  <c r="V18" i="167"/>
  <c r="U18" i="167"/>
  <c r="T18" i="167"/>
  <c r="S18" i="167"/>
  <c r="R18" i="167"/>
  <c r="Q18" i="167"/>
  <c r="O18" i="167"/>
  <c r="N18" i="167"/>
  <c r="M18" i="167"/>
  <c r="L18" i="167"/>
  <c r="K18" i="167"/>
  <c r="J18" i="167"/>
  <c r="H18" i="167"/>
  <c r="G18" i="167"/>
  <c r="F18" i="167"/>
  <c r="E18" i="167"/>
  <c r="D18" i="167"/>
  <c r="C18" i="167"/>
  <c r="P17" i="167"/>
  <c r="I17" i="167"/>
  <c r="AA17" i="167" s="1"/>
  <c r="P16" i="167"/>
  <c r="I16" i="167"/>
  <c r="P15" i="167"/>
  <c r="I15" i="167"/>
  <c r="P14" i="167"/>
  <c r="I14" i="167"/>
  <c r="P13" i="167"/>
  <c r="I13" i="167"/>
  <c r="P12" i="167"/>
  <c r="I12" i="167"/>
  <c r="B12" i="167"/>
  <c r="B13" i="167" s="1"/>
  <c r="B14" i="167" s="1"/>
  <c r="B15" i="167" s="1"/>
  <c r="B16" i="167" s="1"/>
  <c r="B17" i="167" s="1"/>
  <c r="P11" i="167"/>
  <c r="I11" i="167"/>
  <c r="AA13" i="167" l="1"/>
  <c r="W47" i="167"/>
  <c r="AA16" i="167"/>
  <c r="Q34" i="167"/>
  <c r="Z30" i="169"/>
  <c r="Z32" i="169" s="1"/>
  <c r="Z29" i="169"/>
  <c r="Z31" i="169" s="1"/>
  <c r="AA11" i="167"/>
  <c r="AA15" i="167"/>
  <c r="AA12" i="167"/>
  <c r="AA14" i="167"/>
  <c r="P18" i="167"/>
  <c r="H34" i="167"/>
  <c r="I18" i="167"/>
  <c r="AA18" i="167" l="1"/>
  <c r="O18" i="166"/>
  <c r="H18" i="166"/>
  <c r="O20" i="166" l="1"/>
  <c r="O21" i="166"/>
  <c r="O22" i="166"/>
  <c r="O23" i="166"/>
  <c r="O24" i="166"/>
  <c r="H20" i="166"/>
  <c r="H21" i="166"/>
  <c r="H22" i="166"/>
  <c r="H23" i="166"/>
  <c r="H24" i="166"/>
  <c r="O19" i="166" l="1"/>
  <c r="H19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V69" i="166"/>
  <c r="U67" i="166"/>
  <c r="T67" i="166"/>
  <c r="T72" i="166" s="1"/>
  <c r="U74" i="166" s="1"/>
  <c r="S67" i="166"/>
  <c r="S72" i="166" s="1"/>
  <c r="T74" i="166" s="1"/>
  <c r="R67" i="166"/>
  <c r="Q67" i="166"/>
  <c r="P67" i="166"/>
  <c r="P72" i="166" s="1"/>
  <c r="P74" i="166" s="1"/>
  <c r="O67" i="166"/>
  <c r="O72" i="166" s="1"/>
  <c r="O74" i="166" s="1"/>
  <c r="N67" i="166"/>
  <c r="M67" i="166"/>
  <c r="M72" i="166" s="1"/>
  <c r="M74" i="166" s="1"/>
  <c r="L67" i="166"/>
  <c r="L72" i="166" s="1"/>
  <c r="L74" i="166" s="1"/>
  <c r="K67" i="166"/>
  <c r="K72" i="166" s="1"/>
  <c r="K74" i="166" s="1"/>
  <c r="J67" i="166"/>
  <c r="J72" i="166" s="1"/>
  <c r="J74" i="166" s="1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D67" i="166"/>
  <c r="D72" i="166" s="1"/>
  <c r="D74" i="166" s="1"/>
  <c r="C67" i="166"/>
  <c r="C72" i="166" s="1"/>
  <c r="C74" i="166" s="1"/>
  <c r="B67" i="166"/>
  <c r="B72" i="166" s="1"/>
  <c r="B74" i="166" s="1"/>
  <c r="V66" i="166"/>
  <c r="V65" i="166"/>
  <c r="V64" i="166"/>
  <c r="V63" i="166"/>
  <c r="V62" i="166"/>
  <c r="V61" i="166"/>
  <c r="V60" i="166"/>
  <c r="Q52" i="166"/>
  <c r="P52" i="166"/>
  <c r="O52" i="166"/>
  <c r="N52" i="166"/>
  <c r="M52" i="166"/>
  <c r="F52" i="166"/>
  <c r="E52" i="166"/>
  <c r="D52" i="166"/>
  <c r="C52" i="166"/>
  <c r="B52" i="166"/>
  <c r="Q51" i="166"/>
  <c r="P51" i="166"/>
  <c r="O51" i="166"/>
  <c r="N51" i="166"/>
  <c r="M51" i="166"/>
  <c r="F51" i="166"/>
  <c r="E51" i="166"/>
  <c r="D51" i="166"/>
  <c r="C51" i="166"/>
  <c r="B51" i="166"/>
  <c r="G50" i="166"/>
  <c r="Q48" i="166"/>
  <c r="Q53" i="166" s="1"/>
  <c r="Q55" i="166" s="1"/>
  <c r="P48" i="166"/>
  <c r="P53" i="166" s="1"/>
  <c r="P55" i="166" s="1"/>
  <c r="O48" i="166"/>
  <c r="O53" i="166" s="1"/>
  <c r="O55" i="166" s="1"/>
  <c r="N48" i="166"/>
  <c r="N53" i="166" s="1"/>
  <c r="N55" i="166" s="1"/>
  <c r="M48" i="166"/>
  <c r="M53" i="166" s="1"/>
  <c r="M55" i="166" s="1"/>
  <c r="F48" i="166"/>
  <c r="F53" i="166" s="1"/>
  <c r="F55" i="166" s="1"/>
  <c r="E48" i="166"/>
  <c r="E53" i="166" s="1"/>
  <c r="E55" i="166" s="1"/>
  <c r="D48" i="166"/>
  <c r="D53" i="166" s="1"/>
  <c r="D55" i="166" s="1"/>
  <c r="C48" i="166"/>
  <c r="C53" i="166" s="1"/>
  <c r="C55" i="166" s="1"/>
  <c r="B48" i="166"/>
  <c r="B53" i="166" s="1"/>
  <c r="B55" i="166" s="1"/>
  <c r="R47" i="166"/>
  <c r="G47" i="166"/>
  <c r="R46" i="166"/>
  <c r="G46" i="166"/>
  <c r="R45" i="166"/>
  <c r="G45" i="166"/>
  <c r="R44" i="166"/>
  <c r="G44" i="166"/>
  <c r="R43" i="166"/>
  <c r="G43" i="166"/>
  <c r="R42" i="166"/>
  <c r="G42" i="166"/>
  <c r="R41" i="166"/>
  <c r="G41" i="166"/>
  <c r="K34" i="166"/>
  <c r="J34" i="166" s="1"/>
  <c r="D34" i="166"/>
  <c r="C34" i="166" s="1"/>
  <c r="N33" i="166"/>
  <c r="N28" i="166" s="1"/>
  <c r="M33" i="166"/>
  <c r="M28" i="166" s="1"/>
  <c r="L33" i="166"/>
  <c r="L28" i="166" s="1"/>
  <c r="K33" i="166"/>
  <c r="K28" i="166" s="1"/>
  <c r="J33" i="166"/>
  <c r="J28" i="166" s="1"/>
  <c r="G33" i="166"/>
  <c r="G28" i="166" s="1"/>
  <c r="F33" i="166"/>
  <c r="F28" i="166" s="1"/>
  <c r="E33" i="166"/>
  <c r="E28" i="166" s="1"/>
  <c r="D33" i="166"/>
  <c r="D28" i="166" s="1"/>
  <c r="C33" i="166"/>
  <c r="C28" i="166" s="1"/>
  <c r="Y29" i="166"/>
  <c r="X29" i="166"/>
  <c r="W29" i="166"/>
  <c r="V29" i="166"/>
  <c r="U29" i="166"/>
  <c r="T29" i="166"/>
  <c r="S29" i="166"/>
  <c r="R29" i="166"/>
  <c r="Q29" i="166"/>
  <c r="P29" i="166"/>
  <c r="Y28" i="166"/>
  <c r="X28" i="166"/>
  <c r="W28" i="166"/>
  <c r="V28" i="166"/>
  <c r="U28" i="166"/>
  <c r="T28" i="166"/>
  <c r="S28" i="166"/>
  <c r="R28" i="166"/>
  <c r="Q28" i="166"/>
  <c r="P28" i="166"/>
  <c r="Z27" i="166"/>
  <c r="Y25" i="166"/>
  <c r="Y30" i="166" s="1"/>
  <c r="Y32" i="166" s="1"/>
  <c r="X25" i="166"/>
  <c r="X30" i="166" s="1"/>
  <c r="X32" i="166" s="1"/>
  <c r="W25" i="166"/>
  <c r="W30" i="166" s="1"/>
  <c r="W32" i="166" s="1"/>
  <c r="V25" i="166"/>
  <c r="V30" i="166" s="1"/>
  <c r="V32" i="166" s="1"/>
  <c r="U25" i="166"/>
  <c r="U30" i="166" s="1"/>
  <c r="U32" i="166" s="1"/>
  <c r="T25" i="166"/>
  <c r="T30" i="166" s="1"/>
  <c r="T32" i="166" s="1"/>
  <c r="S25" i="166"/>
  <c r="S30" i="166" s="1"/>
  <c r="S32" i="166" s="1"/>
  <c r="R25" i="166"/>
  <c r="R30" i="166" s="1"/>
  <c r="R32" i="166" s="1"/>
  <c r="Q25" i="166"/>
  <c r="Q30" i="166" s="1"/>
  <c r="Q32" i="166" s="1"/>
  <c r="P25" i="166"/>
  <c r="P30" i="166" s="1"/>
  <c r="P32" i="166" s="1"/>
  <c r="N25" i="166"/>
  <c r="N30" i="166" s="1"/>
  <c r="M25" i="166"/>
  <c r="M30" i="166" s="1"/>
  <c r="L25" i="166"/>
  <c r="L30" i="166" s="1"/>
  <c r="K25" i="166"/>
  <c r="K30" i="166" s="1"/>
  <c r="J25" i="166"/>
  <c r="J30" i="166" s="1"/>
  <c r="G25" i="166"/>
  <c r="G30" i="166" s="1"/>
  <c r="G29" i="166" s="1"/>
  <c r="G31" i="166" s="1"/>
  <c r="F25" i="166"/>
  <c r="F30" i="166" s="1"/>
  <c r="E25" i="166"/>
  <c r="E30" i="166" s="1"/>
  <c r="D25" i="166"/>
  <c r="D30" i="166" s="1"/>
  <c r="C25" i="166"/>
  <c r="C30" i="166" s="1"/>
  <c r="Z24" i="166"/>
  <c r="Z23" i="166"/>
  <c r="Z22" i="166"/>
  <c r="Z21" i="166"/>
  <c r="Z20" i="166"/>
  <c r="V73" i="166" l="1"/>
  <c r="R72" i="166"/>
  <c r="R73" i="166"/>
  <c r="Q72" i="166"/>
  <c r="Q74" i="166" s="1"/>
  <c r="Q73" i="166"/>
  <c r="N73" i="166"/>
  <c r="S31" i="166"/>
  <c r="R31" i="166"/>
  <c r="Z18" i="166"/>
  <c r="Z19" i="166"/>
  <c r="E73" i="166"/>
  <c r="C73" i="166"/>
  <c r="K73" i="166"/>
  <c r="S73" i="166"/>
  <c r="I73" i="166"/>
  <c r="G73" i="166"/>
  <c r="O73" i="166"/>
  <c r="H73" i="166"/>
  <c r="P73" i="166"/>
  <c r="B73" i="166"/>
  <c r="J73" i="166"/>
  <c r="M54" i="166"/>
  <c r="Q54" i="166"/>
  <c r="O54" i="166"/>
  <c r="N54" i="166"/>
  <c r="C54" i="166"/>
  <c r="D54" i="166"/>
  <c r="E54" i="166"/>
  <c r="F54" i="166"/>
  <c r="B54" i="166"/>
  <c r="U31" i="166"/>
  <c r="V31" i="166"/>
  <c r="W31" i="166"/>
  <c r="P31" i="166"/>
  <c r="X31" i="166"/>
  <c r="Q31" i="166"/>
  <c r="Y31" i="166"/>
  <c r="L29" i="166"/>
  <c r="L31" i="166" s="1"/>
  <c r="L32" i="166"/>
  <c r="K29" i="166"/>
  <c r="K31" i="166" s="1"/>
  <c r="K32" i="166"/>
  <c r="C32" i="166"/>
  <c r="C29" i="166"/>
  <c r="C31" i="166" s="1"/>
  <c r="D32" i="166"/>
  <c r="D29" i="166"/>
  <c r="D31" i="166" s="1"/>
  <c r="E32" i="166"/>
  <c r="E29" i="166"/>
  <c r="E31" i="166" s="1"/>
  <c r="F32" i="166"/>
  <c r="F29" i="166"/>
  <c r="F31" i="166" s="1"/>
  <c r="M32" i="166"/>
  <c r="M29" i="166"/>
  <c r="M31" i="166" s="1"/>
  <c r="N29" i="166"/>
  <c r="N31" i="166" s="1"/>
  <c r="N32" i="166"/>
  <c r="J29" i="166"/>
  <c r="J31" i="166" s="1"/>
  <c r="J32" i="166"/>
  <c r="U73" i="166"/>
  <c r="T31" i="166"/>
  <c r="D73" i="166"/>
  <c r="L73" i="166"/>
  <c r="T73" i="166"/>
  <c r="F73" i="166"/>
  <c r="G32" i="166"/>
  <c r="R48" i="166"/>
  <c r="V67" i="166"/>
  <c r="M73" i="166"/>
  <c r="E72" i="166"/>
  <c r="E74" i="166" s="1"/>
  <c r="G48" i="166"/>
  <c r="N72" i="166"/>
  <c r="N74" i="166" s="1"/>
  <c r="U72" i="166"/>
  <c r="V74" i="166" s="1"/>
  <c r="P54" i="166"/>
  <c r="S74" i="166" l="1"/>
  <c r="R74" i="166"/>
  <c r="Z25" i="166"/>
  <c r="Z30" i="166" s="1"/>
  <c r="G51" i="166"/>
  <c r="G49" i="166"/>
  <c r="V68" i="166"/>
  <c r="V70" i="166"/>
  <c r="Z26" i="166" l="1"/>
  <c r="Z28" i="166" s="1"/>
  <c r="Z32" i="166" l="1"/>
  <c r="Z29" i="166"/>
  <c r="Z31" i="166" s="1"/>
  <c r="Q67" i="165" l="1"/>
  <c r="Q72" i="165" s="1"/>
  <c r="Q70" i="165"/>
  <c r="Q71" i="165"/>
  <c r="M51" i="165" l="1"/>
  <c r="W60" i="165" l="1"/>
  <c r="X60" i="165" s="1"/>
  <c r="R42" i="165"/>
  <c r="R43" i="165"/>
  <c r="R44" i="165"/>
  <c r="R45" i="165"/>
  <c r="R46" i="165"/>
  <c r="R47" i="165"/>
  <c r="R41" i="165"/>
  <c r="Q74" i="165" l="1"/>
  <c r="Q73" i="165"/>
  <c r="O24" i="164" l="1"/>
  <c r="H24" i="164"/>
  <c r="O23" i="164"/>
  <c r="H23" i="164"/>
  <c r="O22" i="164"/>
  <c r="H22" i="164"/>
  <c r="O21" i="164"/>
  <c r="H21" i="164"/>
  <c r="V71" i="165"/>
  <c r="U71" i="165"/>
  <c r="T71" i="165"/>
  <c r="S71" i="165"/>
  <c r="R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T67" i="165"/>
  <c r="S67" i="165"/>
  <c r="S72" i="165" s="1"/>
  <c r="S74" i="165" s="1"/>
  <c r="R67" i="165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H67" i="165"/>
  <c r="G67" i="165"/>
  <c r="F67" i="165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X66" i="165" s="1"/>
  <c r="W65" i="165"/>
  <c r="X65" i="165" s="1"/>
  <c r="W64" i="165"/>
  <c r="X64" i="165" s="1"/>
  <c r="W63" i="165"/>
  <c r="X63" i="165" s="1"/>
  <c r="W62" i="165"/>
  <c r="X62" i="165" s="1"/>
  <c r="W61" i="165"/>
  <c r="X61" i="165" s="1"/>
  <c r="Q52" i="165"/>
  <c r="P52" i="165"/>
  <c r="O52" i="165"/>
  <c r="N52" i="165"/>
  <c r="M52" i="165"/>
  <c r="F52" i="165"/>
  <c r="E52" i="165"/>
  <c r="D52" i="165"/>
  <c r="C52" i="165"/>
  <c r="B52" i="165"/>
  <c r="Q51" i="165"/>
  <c r="P51" i="165"/>
  <c r="O51" i="165"/>
  <c r="N51" i="165"/>
  <c r="F51" i="165"/>
  <c r="E51" i="165"/>
  <c r="D51" i="165"/>
  <c r="C51" i="165"/>
  <c r="B51" i="165"/>
  <c r="G50" i="165"/>
  <c r="Q48" i="165"/>
  <c r="Q53" i="165" s="1"/>
  <c r="Q55" i="165" s="1"/>
  <c r="P48" i="165"/>
  <c r="P53" i="165" s="1"/>
  <c r="P55" i="165" s="1"/>
  <c r="O48" i="165"/>
  <c r="O53" i="165" s="1"/>
  <c r="O55" i="165" s="1"/>
  <c r="N48" i="165"/>
  <c r="N53" i="165" s="1"/>
  <c r="N55" i="165" s="1"/>
  <c r="M48" i="165"/>
  <c r="F48" i="165"/>
  <c r="F53" i="165" s="1"/>
  <c r="F55" i="165" s="1"/>
  <c r="E48" i="165"/>
  <c r="E53" i="165" s="1"/>
  <c r="E55" i="165" s="1"/>
  <c r="D48" i="165"/>
  <c r="D53" i="165" s="1"/>
  <c r="D55" i="165" s="1"/>
  <c r="C48" i="165"/>
  <c r="C53" i="165" s="1"/>
  <c r="C55" i="165" s="1"/>
  <c r="B48" i="165"/>
  <c r="G47" i="165"/>
  <c r="G46" i="165"/>
  <c r="G45" i="165"/>
  <c r="G44" i="165"/>
  <c r="G43" i="165"/>
  <c r="G42" i="165"/>
  <c r="G41" i="165"/>
  <c r="K34" i="165"/>
  <c r="J34" i="165" s="1"/>
  <c r="D34" i="165"/>
  <c r="C34" i="165" s="1"/>
  <c r="N33" i="165"/>
  <c r="N28" i="165" s="1"/>
  <c r="M33" i="165"/>
  <c r="M28" i="165" s="1"/>
  <c r="L33" i="165"/>
  <c r="L28" i="165" s="1"/>
  <c r="K33" i="165"/>
  <c r="K28" i="165" s="1"/>
  <c r="J33" i="165"/>
  <c r="J28" i="165" s="1"/>
  <c r="G33" i="165"/>
  <c r="G28" i="165" s="1"/>
  <c r="F33" i="165"/>
  <c r="F28" i="165" s="1"/>
  <c r="E33" i="165"/>
  <c r="E28" i="165" s="1"/>
  <c r="D33" i="165"/>
  <c r="D28" i="165" s="1"/>
  <c r="C33" i="165"/>
  <c r="C28" i="165" s="1"/>
  <c r="Y29" i="165"/>
  <c r="X29" i="165"/>
  <c r="W29" i="165"/>
  <c r="V29" i="165"/>
  <c r="U29" i="165"/>
  <c r="T29" i="165"/>
  <c r="S29" i="165"/>
  <c r="R29" i="165"/>
  <c r="Q29" i="165"/>
  <c r="P29" i="165"/>
  <c r="Y28" i="165"/>
  <c r="X28" i="165"/>
  <c r="W28" i="165"/>
  <c r="V28" i="165"/>
  <c r="U28" i="165"/>
  <c r="T28" i="165"/>
  <c r="S28" i="165"/>
  <c r="R28" i="165"/>
  <c r="Q28" i="165"/>
  <c r="P28" i="165"/>
  <c r="Z27" i="165"/>
  <c r="Y25" i="165"/>
  <c r="X25" i="165"/>
  <c r="X30" i="165" s="1"/>
  <c r="X32" i="165" s="1"/>
  <c r="W25" i="165"/>
  <c r="W30" i="165" s="1"/>
  <c r="W32" i="165" s="1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N25" i="165"/>
  <c r="N30" i="165" s="1"/>
  <c r="M25" i="165"/>
  <c r="M30" i="165" s="1"/>
  <c r="L25" i="165"/>
  <c r="L30" i="165" s="1"/>
  <c r="K25" i="165"/>
  <c r="K30" i="165" s="1"/>
  <c r="J25" i="165"/>
  <c r="J30" i="165" s="1"/>
  <c r="G25" i="165"/>
  <c r="G30" i="165" s="1"/>
  <c r="F25" i="165"/>
  <c r="F30" i="165" s="1"/>
  <c r="F29" i="165" s="1"/>
  <c r="F31" i="165" s="1"/>
  <c r="E25" i="165"/>
  <c r="E30" i="165" s="1"/>
  <c r="E29" i="165" s="1"/>
  <c r="E31" i="165" s="1"/>
  <c r="D25" i="165"/>
  <c r="D30" i="165" s="1"/>
  <c r="C25" i="165"/>
  <c r="C30" i="165" s="1"/>
  <c r="O24" i="165"/>
  <c r="H24" i="165"/>
  <c r="O23" i="165"/>
  <c r="H23" i="165"/>
  <c r="O22" i="165"/>
  <c r="H22" i="165"/>
  <c r="O21" i="165"/>
  <c r="H21" i="165"/>
  <c r="O20" i="165"/>
  <c r="H20" i="165"/>
  <c r="O19" i="165"/>
  <c r="H19" i="165"/>
  <c r="O18" i="165"/>
  <c r="H18" i="165"/>
  <c r="R73" i="165" l="1"/>
  <c r="Y31" i="165"/>
  <c r="Z20" i="165"/>
  <c r="G32" i="165"/>
  <c r="J32" i="165"/>
  <c r="C73" i="165"/>
  <c r="K73" i="165"/>
  <c r="N54" i="165"/>
  <c r="P54" i="165"/>
  <c r="O73" i="165"/>
  <c r="D54" i="165"/>
  <c r="D32" i="165"/>
  <c r="D29" i="165"/>
  <c r="D31" i="165" s="1"/>
  <c r="U31" i="165"/>
  <c r="V31" i="165"/>
  <c r="M54" i="165"/>
  <c r="B73" i="165"/>
  <c r="J73" i="165"/>
  <c r="P31" i="165"/>
  <c r="X31" i="165"/>
  <c r="R48" i="165"/>
  <c r="O54" i="165"/>
  <c r="D73" i="165"/>
  <c r="L73" i="165"/>
  <c r="M73" i="165"/>
  <c r="Z21" i="165"/>
  <c r="Q54" i="165"/>
  <c r="N73" i="165"/>
  <c r="R72" i="165"/>
  <c r="R74" i="165" s="1"/>
  <c r="M53" i="165"/>
  <c r="M55" i="165" s="1"/>
  <c r="P73" i="165"/>
  <c r="E73" i="165"/>
  <c r="F54" i="165"/>
  <c r="E54" i="165"/>
  <c r="G48" i="165"/>
  <c r="G49" i="165" s="1"/>
  <c r="C54" i="165"/>
  <c r="H73" i="165"/>
  <c r="F73" i="165"/>
  <c r="T73" i="165"/>
  <c r="U73" i="165"/>
  <c r="G73" i="165"/>
  <c r="I73" i="165"/>
  <c r="W31" i="165"/>
  <c r="T31" i="165"/>
  <c r="S31" i="165"/>
  <c r="R31" i="165"/>
  <c r="Q31" i="165"/>
  <c r="Z22" i="165"/>
  <c r="Z18" i="165"/>
  <c r="Z24" i="165"/>
  <c r="Z19" i="165"/>
  <c r="Z23" i="165"/>
  <c r="M29" i="165"/>
  <c r="M31" i="165" s="1"/>
  <c r="M32" i="165"/>
  <c r="K32" i="165"/>
  <c r="K29" i="165"/>
  <c r="K31" i="165" s="1"/>
  <c r="L32" i="165"/>
  <c r="L29" i="165"/>
  <c r="L31" i="165" s="1"/>
  <c r="N29" i="165"/>
  <c r="N31" i="165" s="1"/>
  <c r="N32" i="165"/>
  <c r="C29" i="165"/>
  <c r="C31" i="165" s="1"/>
  <c r="C32" i="165"/>
  <c r="S73" i="165"/>
  <c r="V73" i="165"/>
  <c r="W67" i="165"/>
  <c r="F72" i="165"/>
  <c r="F74" i="165" s="1"/>
  <c r="G29" i="165"/>
  <c r="G31" i="165" s="1"/>
  <c r="Y30" i="165"/>
  <c r="Y32" i="165" s="1"/>
  <c r="B54" i="165"/>
  <c r="G72" i="165"/>
  <c r="G74" i="165" s="1"/>
  <c r="T72" i="165"/>
  <c r="T74" i="165" s="1"/>
  <c r="J29" i="165"/>
  <c r="J31" i="165" s="1"/>
  <c r="E32" i="165"/>
  <c r="H72" i="165"/>
  <c r="H74" i="165" s="1"/>
  <c r="U72" i="165"/>
  <c r="U74" i="165" s="1"/>
  <c r="F32" i="165"/>
  <c r="B53" i="165"/>
  <c r="B55" i="165" s="1"/>
  <c r="I72" i="165"/>
  <c r="I74" i="165" s="1"/>
  <c r="G51" i="165" l="1"/>
  <c r="Z25" i="165"/>
  <c r="Z26" i="165" s="1"/>
  <c r="W70" i="165"/>
  <c r="W68" i="165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V69" i="164"/>
  <c r="U67" i="164"/>
  <c r="U72" i="164" s="1"/>
  <c r="U74" i="164" s="1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I72" i="164" s="1"/>
  <c r="I74" i="164" s="1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V66" i="164"/>
  <c r="V65" i="164"/>
  <c r="V64" i="164"/>
  <c r="V63" i="164"/>
  <c r="V62" i="164"/>
  <c r="V61" i="164"/>
  <c r="V60" i="164"/>
  <c r="Q52" i="164"/>
  <c r="P52" i="164"/>
  <c r="O52" i="164"/>
  <c r="N52" i="164"/>
  <c r="M52" i="164"/>
  <c r="F52" i="164"/>
  <c r="E52" i="164"/>
  <c r="D52" i="164"/>
  <c r="C52" i="164"/>
  <c r="B52" i="164"/>
  <c r="Q51" i="164"/>
  <c r="P51" i="164"/>
  <c r="O51" i="164"/>
  <c r="N51" i="164"/>
  <c r="M51" i="164"/>
  <c r="F51" i="164"/>
  <c r="E51" i="164"/>
  <c r="D51" i="164"/>
  <c r="C51" i="164"/>
  <c r="B51" i="164"/>
  <c r="R50" i="164"/>
  <c r="G50" i="164"/>
  <c r="Q48" i="164"/>
  <c r="Q53" i="164" s="1"/>
  <c r="Q55" i="164" s="1"/>
  <c r="P48" i="164"/>
  <c r="O48" i="164"/>
  <c r="O53" i="164" s="1"/>
  <c r="O55" i="164" s="1"/>
  <c r="N48" i="164"/>
  <c r="N53" i="164" s="1"/>
  <c r="N55" i="164" s="1"/>
  <c r="M48" i="164"/>
  <c r="F48" i="164"/>
  <c r="F53" i="164" s="1"/>
  <c r="F55" i="164" s="1"/>
  <c r="E48" i="164"/>
  <c r="E53" i="164" s="1"/>
  <c r="E55" i="164" s="1"/>
  <c r="D48" i="164"/>
  <c r="D53" i="164" s="1"/>
  <c r="D55" i="164" s="1"/>
  <c r="C48" i="164"/>
  <c r="C53" i="164" s="1"/>
  <c r="C55" i="164" s="1"/>
  <c r="B48" i="164"/>
  <c r="B53" i="164" s="1"/>
  <c r="B55" i="164" s="1"/>
  <c r="R47" i="164"/>
  <c r="G47" i="164"/>
  <c r="R46" i="164"/>
  <c r="G46" i="164"/>
  <c r="R45" i="164"/>
  <c r="G45" i="164"/>
  <c r="R44" i="164"/>
  <c r="G44" i="164"/>
  <c r="R43" i="164"/>
  <c r="G43" i="164"/>
  <c r="R42" i="164"/>
  <c r="G42" i="164"/>
  <c r="R41" i="164"/>
  <c r="G41" i="164"/>
  <c r="K34" i="164"/>
  <c r="J34" i="164" s="1"/>
  <c r="D34" i="164"/>
  <c r="C34" i="164" s="1"/>
  <c r="N33" i="164"/>
  <c r="N28" i="164" s="1"/>
  <c r="M33" i="164"/>
  <c r="M28" i="164" s="1"/>
  <c r="L33" i="164"/>
  <c r="L28" i="164" s="1"/>
  <c r="K33" i="164"/>
  <c r="K28" i="164" s="1"/>
  <c r="J33" i="164"/>
  <c r="J28" i="164" s="1"/>
  <c r="G33" i="164"/>
  <c r="G28" i="164" s="1"/>
  <c r="F33" i="164"/>
  <c r="F28" i="164" s="1"/>
  <c r="E33" i="164"/>
  <c r="E28" i="164" s="1"/>
  <c r="D33" i="164"/>
  <c r="D28" i="164" s="1"/>
  <c r="C33" i="164"/>
  <c r="C28" i="164" s="1"/>
  <c r="Y29" i="164"/>
  <c r="X29" i="164"/>
  <c r="W29" i="164"/>
  <c r="V29" i="164"/>
  <c r="U29" i="164"/>
  <c r="T29" i="164"/>
  <c r="S29" i="164"/>
  <c r="R29" i="164"/>
  <c r="Q29" i="164"/>
  <c r="P29" i="164"/>
  <c r="Y28" i="164"/>
  <c r="X28" i="164"/>
  <c r="W28" i="164"/>
  <c r="V28" i="164"/>
  <c r="U28" i="164"/>
  <c r="T28" i="164"/>
  <c r="S28" i="164"/>
  <c r="R28" i="164"/>
  <c r="Q28" i="164"/>
  <c r="P28" i="164"/>
  <c r="Z27" i="164"/>
  <c r="Y25" i="164"/>
  <c r="Y30" i="164" s="1"/>
  <c r="Y32" i="164" s="1"/>
  <c r="X25" i="164"/>
  <c r="X30" i="164" s="1"/>
  <c r="X32" i="164" s="1"/>
  <c r="W25" i="164"/>
  <c r="W30" i="164" s="1"/>
  <c r="W32" i="164" s="1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N25" i="164"/>
  <c r="N30" i="164" s="1"/>
  <c r="M25" i="164"/>
  <c r="M30" i="164" s="1"/>
  <c r="M29" i="164" s="1"/>
  <c r="M31" i="164" s="1"/>
  <c r="L25" i="164"/>
  <c r="L30" i="164" s="1"/>
  <c r="K25" i="164"/>
  <c r="K30" i="164" s="1"/>
  <c r="J25" i="164"/>
  <c r="J30" i="164" s="1"/>
  <c r="G25" i="164"/>
  <c r="G30" i="164" s="1"/>
  <c r="F25" i="164"/>
  <c r="F30" i="164" s="1"/>
  <c r="E25" i="164"/>
  <c r="E30" i="164" s="1"/>
  <c r="D25" i="164"/>
  <c r="D30" i="164" s="1"/>
  <c r="C25" i="164"/>
  <c r="C30" i="164" s="1"/>
  <c r="C29" i="164" s="1"/>
  <c r="C31" i="164" s="1"/>
  <c r="N54" i="164" l="1"/>
  <c r="K73" i="164"/>
  <c r="L73" i="164"/>
  <c r="J73" i="164"/>
  <c r="M73" i="164"/>
  <c r="N73" i="164"/>
  <c r="Z30" i="165"/>
  <c r="Z32" i="165" s="1"/>
  <c r="Z28" i="165"/>
  <c r="Z29" i="165"/>
  <c r="Z31" i="165" s="1"/>
  <c r="P54" i="164"/>
  <c r="Z23" i="164"/>
  <c r="B73" i="164"/>
  <c r="K32" i="164"/>
  <c r="M54" i="164"/>
  <c r="Z19" i="164"/>
  <c r="P53" i="164"/>
  <c r="P55" i="164" s="1"/>
  <c r="O73" i="164"/>
  <c r="D73" i="164"/>
  <c r="P73" i="164"/>
  <c r="E73" i="164"/>
  <c r="Q73" i="164"/>
  <c r="F73" i="164"/>
  <c r="O54" i="164"/>
  <c r="G73" i="164"/>
  <c r="S73" i="164"/>
  <c r="R73" i="164"/>
  <c r="H73" i="164"/>
  <c r="T73" i="164"/>
  <c r="C73" i="164"/>
  <c r="Q54" i="164"/>
  <c r="I73" i="164"/>
  <c r="U73" i="164"/>
  <c r="F54" i="164"/>
  <c r="E54" i="164"/>
  <c r="D54" i="164"/>
  <c r="C54" i="164"/>
  <c r="G48" i="164"/>
  <c r="G51" i="164" s="1"/>
  <c r="Y31" i="164"/>
  <c r="X31" i="164"/>
  <c r="W31" i="164"/>
  <c r="V31" i="164"/>
  <c r="U31" i="164"/>
  <c r="T31" i="164"/>
  <c r="S31" i="164"/>
  <c r="R31" i="164"/>
  <c r="Q31" i="164"/>
  <c r="Z20" i="164"/>
  <c r="Z24" i="164"/>
  <c r="Z21" i="164"/>
  <c r="Z22" i="164"/>
  <c r="P31" i="164"/>
  <c r="B54" i="164"/>
  <c r="Z18" i="164"/>
  <c r="J32" i="164"/>
  <c r="G32" i="164"/>
  <c r="G29" i="164"/>
  <c r="G31" i="164" s="1"/>
  <c r="L29" i="164"/>
  <c r="L31" i="164" s="1"/>
  <c r="L32" i="164"/>
  <c r="E32" i="164"/>
  <c r="E29" i="164"/>
  <c r="E31" i="164" s="1"/>
  <c r="D29" i="164"/>
  <c r="D31" i="164" s="1"/>
  <c r="D32" i="164"/>
  <c r="N29" i="164"/>
  <c r="N31" i="164" s="1"/>
  <c r="N32" i="164"/>
  <c r="F32" i="164"/>
  <c r="F29" i="164"/>
  <c r="F31" i="164" s="1"/>
  <c r="V67" i="164"/>
  <c r="M32" i="164"/>
  <c r="J29" i="164"/>
  <c r="J31" i="164" s="1"/>
  <c r="K29" i="164"/>
  <c r="K31" i="164" s="1"/>
  <c r="C32" i="164"/>
  <c r="R48" i="164"/>
  <c r="M53" i="164"/>
  <c r="M55" i="164" s="1"/>
  <c r="D48" i="162"/>
  <c r="G49" i="164" l="1"/>
  <c r="Z25" i="164"/>
  <c r="R49" i="164"/>
  <c r="R51" i="164"/>
  <c r="V70" i="164"/>
  <c r="V68" i="164"/>
  <c r="Z26" i="164" l="1"/>
  <c r="Z28" i="164" s="1"/>
  <c r="Z30" i="164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C71" i="162"/>
  <c r="B71" i="162"/>
  <c r="U70" i="162"/>
  <c r="T70" i="162"/>
  <c r="S70" i="162"/>
  <c r="R70" i="162"/>
  <c r="Q70" i="162"/>
  <c r="P70" i="162"/>
  <c r="O70" i="162"/>
  <c r="N70" i="162"/>
  <c r="M70" i="162"/>
  <c r="L70" i="162"/>
  <c r="K70" i="162"/>
  <c r="J70" i="162"/>
  <c r="I70" i="162"/>
  <c r="H70" i="162"/>
  <c r="G70" i="162"/>
  <c r="F70" i="162"/>
  <c r="E70" i="162"/>
  <c r="D70" i="162"/>
  <c r="C70" i="162"/>
  <c r="B70" i="162"/>
  <c r="V69" i="162"/>
  <c r="U67" i="162"/>
  <c r="U72" i="162" s="1"/>
  <c r="U74" i="162" s="1"/>
  <c r="T67" i="162"/>
  <c r="T72" i="162" s="1"/>
  <c r="T74" i="162" s="1"/>
  <c r="S67" i="162"/>
  <c r="R67" i="162"/>
  <c r="Q67" i="162"/>
  <c r="Q72" i="162" s="1"/>
  <c r="Q74" i="162" s="1"/>
  <c r="P67" i="162"/>
  <c r="P72" i="162" s="1"/>
  <c r="P74" i="162" s="1"/>
  <c r="O67" i="162"/>
  <c r="O72" i="162" s="1"/>
  <c r="O74" i="162" s="1"/>
  <c r="N67" i="162"/>
  <c r="N72" i="162" s="1"/>
  <c r="N74" i="162" s="1"/>
  <c r="M67" i="162"/>
  <c r="M72" i="162" s="1"/>
  <c r="M74" i="162" s="1"/>
  <c r="L67" i="162"/>
  <c r="L72" i="162" s="1"/>
  <c r="L74" i="162" s="1"/>
  <c r="K67" i="162"/>
  <c r="K72" i="162" s="1"/>
  <c r="K74" i="162" s="1"/>
  <c r="J67" i="162"/>
  <c r="J72" i="162" s="1"/>
  <c r="J74" i="162" s="1"/>
  <c r="I67" i="162"/>
  <c r="I72" i="162" s="1"/>
  <c r="I74" i="162" s="1"/>
  <c r="H67" i="162"/>
  <c r="G67" i="162"/>
  <c r="G72" i="162" s="1"/>
  <c r="G74" i="162" s="1"/>
  <c r="F67" i="162"/>
  <c r="E67" i="162"/>
  <c r="E72" i="162" s="1"/>
  <c r="E74" i="162" s="1"/>
  <c r="D67" i="162"/>
  <c r="D72" i="162" s="1"/>
  <c r="D74" i="162" s="1"/>
  <c r="C67" i="162"/>
  <c r="C72" i="162" s="1"/>
  <c r="C74" i="162" s="1"/>
  <c r="B67" i="162"/>
  <c r="B72" i="162" s="1"/>
  <c r="B74" i="162" s="1"/>
  <c r="V66" i="162"/>
  <c r="V65" i="162"/>
  <c r="V64" i="162"/>
  <c r="V63" i="162"/>
  <c r="V62" i="162"/>
  <c r="V61" i="162"/>
  <c r="V60" i="162"/>
  <c r="Q52" i="162"/>
  <c r="P52" i="162"/>
  <c r="O52" i="162"/>
  <c r="N52" i="162"/>
  <c r="M52" i="162"/>
  <c r="F52" i="162"/>
  <c r="E52" i="162"/>
  <c r="D52" i="162"/>
  <c r="C52" i="162"/>
  <c r="B52" i="162"/>
  <c r="Q51" i="162"/>
  <c r="P51" i="162"/>
  <c r="O51" i="162"/>
  <c r="N51" i="162"/>
  <c r="M51" i="162"/>
  <c r="F51" i="162"/>
  <c r="E51" i="162"/>
  <c r="D51" i="162"/>
  <c r="C51" i="162"/>
  <c r="B51" i="162"/>
  <c r="R50" i="162"/>
  <c r="G50" i="162"/>
  <c r="Q48" i="162"/>
  <c r="Q53" i="162" s="1"/>
  <c r="Q55" i="162" s="1"/>
  <c r="P48" i="162"/>
  <c r="P53" i="162" s="1"/>
  <c r="P55" i="162" s="1"/>
  <c r="O48" i="162"/>
  <c r="O53" i="162" s="1"/>
  <c r="O55" i="162" s="1"/>
  <c r="N48" i="162"/>
  <c r="N53" i="162" s="1"/>
  <c r="N55" i="162" s="1"/>
  <c r="M48" i="162"/>
  <c r="M53" i="162" s="1"/>
  <c r="M55" i="162" s="1"/>
  <c r="F48" i="162"/>
  <c r="F53" i="162" s="1"/>
  <c r="F55" i="162" s="1"/>
  <c r="E48" i="162"/>
  <c r="E53" i="162" s="1"/>
  <c r="E55" i="162" s="1"/>
  <c r="D53" i="162"/>
  <c r="D55" i="162" s="1"/>
  <c r="C48" i="162"/>
  <c r="C53" i="162" s="1"/>
  <c r="C55" i="162" s="1"/>
  <c r="B48" i="162"/>
  <c r="R47" i="162"/>
  <c r="G47" i="162"/>
  <c r="R46" i="162"/>
  <c r="G46" i="162"/>
  <c r="R45" i="162"/>
  <c r="G45" i="162"/>
  <c r="R44" i="162"/>
  <c r="G44" i="162"/>
  <c r="R43" i="162"/>
  <c r="G43" i="162"/>
  <c r="R42" i="162"/>
  <c r="G42" i="162"/>
  <c r="R41" i="162"/>
  <c r="G41" i="162"/>
  <c r="K34" i="162"/>
  <c r="J34" i="162" s="1"/>
  <c r="D34" i="162"/>
  <c r="C34" i="162" s="1"/>
  <c r="N33" i="162"/>
  <c r="N28" i="162" s="1"/>
  <c r="M33" i="162"/>
  <c r="M28" i="162" s="1"/>
  <c r="L33" i="162"/>
  <c r="L28" i="162" s="1"/>
  <c r="K33" i="162"/>
  <c r="K28" i="162" s="1"/>
  <c r="J33" i="162"/>
  <c r="J28" i="162" s="1"/>
  <c r="G33" i="162"/>
  <c r="G28" i="162" s="1"/>
  <c r="F33" i="162"/>
  <c r="F28" i="162" s="1"/>
  <c r="E33" i="162"/>
  <c r="E28" i="162" s="1"/>
  <c r="D33" i="162"/>
  <c r="D28" i="162" s="1"/>
  <c r="C33" i="162"/>
  <c r="C28" i="162" s="1"/>
  <c r="Y29" i="162"/>
  <c r="X29" i="162"/>
  <c r="W29" i="162"/>
  <c r="V29" i="162"/>
  <c r="U29" i="162"/>
  <c r="T29" i="162"/>
  <c r="S29" i="162"/>
  <c r="R29" i="162"/>
  <c r="Q29" i="162"/>
  <c r="P29" i="162"/>
  <c r="Y28" i="162"/>
  <c r="X28" i="162"/>
  <c r="W28" i="162"/>
  <c r="V28" i="162"/>
  <c r="U28" i="162"/>
  <c r="T28" i="162"/>
  <c r="S28" i="162"/>
  <c r="R28" i="162"/>
  <c r="Q28" i="162"/>
  <c r="P28" i="162"/>
  <c r="Z27" i="162"/>
  <c r="Y25" i="162"/>
  <c r="Y30" i="162" s="1"/>
  <c r="Y32" i="162" s="1"/>
  <c r="X25" i="162"/>
  <c r="X30" i="162" s="1"/>
  <c r="X32" i="162" s="1"/>
  <c r="W25" i="162"/>
  <c r="W30" i="162" s="1"/>
  <c r="W32" i="162" s="1"/>
  <c r="V25" i="162"/>
  <c r="V30" i="162" s="1"/>
  <c r="V32" i="162" s="1"/>
  <c r="U25" i="162"/>
  <c r="U30" i="162" s="1"/>
  <c r="U32" i="162" s="1"/>
  <c r="T25" i="162"/>
  <c r="T30" i="162" s="1"/>
  <c r="T32" i="162" s="1"/>
  <c r="S25" i="162"/>
  <c r="S30" i="162" s="1"/>
  <c r="S32" i="162" s="1"/>
  <c r="R25" i="162"/>
  <c r="R30" i="162" s="1"/>
  <c r="R32" i="162" s="1"/>
  <c r="Q25" i="162"/>
  <c r="Q30" i="162" s="1"/>
  <c r="Q32" i="162" s="1"/>
  <c r="P25" i="162"/>
  <c r="P30" i="162" s="1"/>
  <c r="P32" i="162" s="1"/>
  <c r="N25" i="162"/>
  <c r="N30" i="162" s="1"/>
  <c r="M25" i="162"/>
  <c r="M30" i="162" s="1"/>
  <c r="M29" i="162" s="1"/>
  <c r="M31" i="162" s="1"/>
  <c r="L25" i="162"/>
  <c r="L30" i="162" s="1"/>
  <c r="L29" i="162" s="1"/>
  <c r="L31" i="162" s="1"/>
  <c r="K25" i="162"/>
  <c r="K30" i="162" s="1"/>
  <c r="J25" i="162"/>
  <c r="J30" i="162" s="1"/>
  <c r="G25" i="162"/>
  <c r="G30" i="162" s="1"/>
  <c r="F25" i="162"/>
  <c r="F30" i="162" s="1"/>
  <c r="E25" i="162"/>
  <c r="E30" i="162" s="1"/>
  <c r="D25" i="162"/>
  <c r="D30" i="162" s="1"/>
  <c r="C25" i="162"/>
  <c r="C30" i="162" s="1"/>
  <c r="O24" i="162"/>
  <c r="H24" i="162"/>
  <c r="O23" i="162"/>
  <c r="H23" i="162"/>
  <c r="O22" i="162"/>
  <c r="H22" i="162"/>
  <c r="O21" i="162"/>
  <c r="H21" i="162"/>
  <c r="O20" i="162"/>
  <c r="H20" i="162"/>
  <c r="O19" i="162"/>
  <c r="H19" i="162"/>
  <c r="O18" i="162"/>
  <c r="H18" i="162"/>
  <c r="Z32" i="164" l="1"/>
  <c r="Z29" i="164"/>
  <c r="Z31" i="164" s="1"/>
  <c r="N73" i="162"/>
  <c r="Q54" i="162"/>
  <c r="R73" i="162"/>
  <c r="S73" i="162"/>
  <c r="F54" i="162"/>
  <c r="C32" i="162"/>
  <c r="M54" i="162"/>
  <c r="O54" i="162"/>
  <c r="J73" i="162"/>
  <c r="Z21" i="162"/>
  <c r="P54" i="162"/>
  <c r="H73" i="162"/>
  <c r="O73" i="162"/>
  <c r="P73" i="162"/>
  <c r="Q73" i="162"/>
  <c r="B73" i="162"/>
  <c r="C73" i="162"/>
  <c r="C54" i="162"/>
  <c r="D73" i="162"/>
  <c r="E73" i="162"/>
  <c r="E54" i="162"/>
  <c r="Z19" i="162"/>
  <c r="Z20" i="162"/>
  <c r="L32" i="162"/>
  <c r="N54" i="162"/>
  <c r="K73" i="162"/>
  <c r="L73" i="162"/>
  <c r="F73" i="162"/>
  <c r="M73" i="162"/>
  <c r="G48" i="162"/>
  <c r="G49" i="162" s="1"/>
  <c r="D54" i="162"/>
  <c r="B53" i="162"/>
  <c r="B55" i="162" s="1"/>
  <c r="Y31" i="162"/>
  <c r="X31" i="162"/>
  <c r="W31" i="162"/>
  <c r="V31" i="162"/>
  <c r="U31" i="162"/>
  <c r="T31" i="162"/>
  <c r="S31" i="162"/>
  <c r="R31" i="162"/>
  <c r="Q31" i="162"/>
  <c r="P31" i="162"/>
  <c r="Z22" i="162"/>
  <c r="Z23" i="162"/>
  <c r="M32" i="162"/>
  <c r="Z24" i="162"/>
  <c r="Z18" i="162"/>
  <c r="D32" i="162"/>
  <c r="E32" i="162"/>
  <c r="E29" i="162"/>
  <c r="E31" i="162" s="1"/>
  <c r="N32" i="162"/>
  <c r="N29" i="162"/>
  <c r="N31" i="162" s="1"/>
  <c r="F32" i="162"/>
  <c r="F29" i="162"/>
  <c r="F31" i="162" s="1"/>
  <c r="G32" i="162"/>
  <c r="G29" i="162"/>
  <c r="G31" i="162" s="1"/>
  <c r="J32" i="162"/>
  <c r="J29" i="162"/>
  <c r="J31" i="162" s="1"/>
  <c r="K32" i="162"/>
  <c r="K29" i="162"/>
  <c r="K31" i="162" s="1"/>
  <c r="G73" i="162"/>
  <c r="T73" i="162"/>
  <c r="R48" i="162"/>
  <c r="V67" i="162"/>
  <c r="F72" i="162"/>
  <c r="F74" i="162" s="1"/>
  <c r="R72" i="162"/>
  <c r="R74" i="162" s="1"/>
  <c r="C29" i="162"/>
  <c r="C31" i="162" s="1"/>
  <c r="B54" i="162"/>
  <c r="S72" i="162"/>
  <c r="S74" i="162" s="1"/>
  <c r="D29" i="162"/>
  <c r="D31" i="162" s="1"/>
  <c r="H72" i="162"/>
  <c r="H74" i="162" s="1"/>
  <c r="I73" i="162"/>
  <c r="U73" i="162"/>
  <c r="G50" i="158"/>
  <c r="G51" i="162" l="1"/>
  <c r="Z25" i="162"/>
  <c r="Z26" i="162" s="1"/>
  <c r="V70" i="162"/>
  <c r="V68" i="162"/>
  <c r="R51" i="162"/>
  <c r="R49" i="162"/>
  <c r="C70" i="160" l="1"/>
  <c r="D70" i="160"/>
  <c r="E70" i="160"/>
  <c r="F70" i="160"/>
  <c r="G70" i="160"/>
  <c r="H70" i="160"/>
  <c r="I70" i="160"/>
  <c r="J70" i="160"/>
  <c r="K70" i="160"/>
  <c r="L70" i="160"/>
  <c r="M70" i="160"/>
  <c r="N70" i="160"/>
  <c r="O70" i="160"/>
  <c r="P70" i="160"/>
  <c r="Q70" i="160"/>
  <c r="R70" i="160"/>
  <c r="S70" i="160"/>
  <c r="T70" i="160"/>
  <c r="U70" i="160"/>
  <c r="B70" i="160"/>
  <c r="N51" i="160"/>
  <c r="O51" i="160"/>
  <c r="P51" i="160"/>
  <c r="Q51" i="160"/>
  <c r="M51" i="160"/>
  <c r="Q28" i="160"/>
  <c r="R28" i="160"/>
  <c r="S28" i="160"/>
  <c r="T28" i="160"/>
  <c r="U28" i="160"/>
  <c r="V28" i="160"/>
  <c r="W28" i="160"/>
  <c r="X28" i="160"/>
  <c r="Y28" i="160"/>
  <c r="P28" i="160"/>
  <c r="B51" i="160" l="1"/>
  <c r="H18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B71" i="160"/>
  <c r="V69" i="160"/>
  <c r="U67" i="160"/>
  <c r="U72" i="160" s="1"/>
  <c r="U74" i="160" s="1"/>
  <c r="T67" i="160"/>
  <c r="S67" i="160"/>
  <c r="R67" i="160"/>
  <c r="R72" i="160" s="1"/>
  <c r="R74" i="160" s="1"/>
  <c r="Q67" i="160"/>
  <c r="P67" i="160"/>
  <c r="P72" i="160" s="1"/>
  <c r="P74" i="160" s="1"/>
  <c r="O67" i="160"/>
  <c r="O72" i="160" s="1"/>
  <c r="O74" i="160" s="1"/>
  <c r="N67" i="160"/>
  <c r="N72" i="160" s="1"/>
  <c r="N74" i="160" s="1"/>
  <c r="M67" i="160"/>
  <c r="M72" i="160" s="1"/>
  <c r="M74" i="160" s="1"/>
  <c r="L67" i="160"/>
  <c r="L72" i="160" s="1"/>
  <c r="L74" i="160" s="1"/>
  <c r="K67" i="160"/>
  <c r="K72" i="160" s="1"/>
  <c r="K74" i="160" s="1"/>
  <c r="J67" i="160"/>
  <c r="J72" i="160" s="1"/>
  <c r="J74" i="160" s="1"/>
  <c r="I67" i="160"/>
  <c r="I72" i="160" s="1"/>
  <c r="I74" i="160" s="1"/>
  <c r="H67" i="160"/>
  <c r="H72" i="160" s="1"/>
  <c r="H74" i="160" s="1"/>
  <c r="G67" i="160"/>
  <c r="F67" i="160"/>
  <c r="E67" i="160"/>
  <c r="E72" i="160" s="1"/>
  <c r="E74" i="160" s="1"/>
  <c r="D67" i="160"/>
  <c r="D72" i="160" s="1"/>
  <c r="D74" i="160" s="1"/>
  <c r="C67" i="160"/>
  <c r="C72" i="160" s="1"/>
  <c r="C74" i="160" s="1"/>
  <c r="B67" i="160"/>
  <c r="B72" i="160" s="1"/>
  <c r="B74" i="160" s="1"/>
  <c r="V66" i="160"/>
  <c r="V65" i="160"/>
  <c r="V64" i="160"/>
  <c r="V63" i="160"/>
  <c r="V62" i="160"/>
  <c r="V61" i="160"/>
  <c r="V60" i="160"/>
  <c r="Q52" i="160"/>
  <c r="P52" i="160"/>
  <c r="O52" i="160"/>
  <c r="N52" i="160"/>
  <c r="M52" i="160"/>
  <c r="F52" i="160"/>
  <c r="E52" i="160"/>
  <c r="D52" i="160"/>
  <c r="C52" i="160"/>
  <c r="B52" i="160"/>
  <c r="F51" i="160"/>
  <c r="E51" i="160"/>
  <c r="D51" i="160"/>
  <c r="C51" i="160"/>
  <c r="R50" i="160"/>
  <c r="G50" i="160"/>
  <c r="Q48" i="160"/>
  <c r="Q53" i="160" s="1"/>
  <c r="Q55" i="160" s="1"/>
  <c r="P48" i="160"/>
  <c r="P53" i="160" s="1"/>
  <c r="P55" i="160" s="1"/>
  <c r="O48" i="160"/>
  <c r="O53" i="160" s="1"/>
  <c r="O55" i="160" s="1"/>
  <c r="N48" i="160"/>
  <c r="N53" i="160" s="1"/>
  <c r="N55" i="160" s="1"/>
  <c r="M48" i="160"/>
  <c r="M53" i="160" s="1"/>
  <c r="M55" i="160" s="1"/>
  <c r="F48" i="160"/>
  <c r="F53" i="160" s="1"/>
  <c r="F55" i="160" s="1"/>
  <c r="E48" i="160"/>
  <c r="E53" i="160" s="1"/>
  <c r="E55" i="160" s="1"/>
  <c r="D48" i="160"/>
  <c r="D53" i="160" s="1"/>
  <c r="D55" i="160" s="1"/>
  <c r="C48" i="160"/>
  <c r="C53" i="160" s="1"/>
  <c r="C55" i="160" s="1"/>
  <c r="B48" i="160"/>
  <c r="R47" i="160"/>
  <c r="G47" i="160"/>
  <c r="R46" i="160"/>
  <c r="G46" i="160"/>
  <c r="R45" i="160"/>
  <c r="G45" i="160"/>
  <c r="R44" i="160"/>
  <c r="G44" i="160"/>
  <c r="R43" i="160"/>
  <c r="G43" i="160"/>
  <c r="R42" i="160"/>
  <c r="G42" i="160"/>
  <c r="R41" i="160"/>
  <c r="G41" i="160"/>
  <c r="K34" i="160"/>
  <c r="J34" i="160" s="1"/>
  <c r="D34" i="160"/>
  <c r="C34" i="160" s="1"/>
  <c r="N33" i="160"/>
  <c r="N28" i="160" s="1"/>
  <c r="M33" i="160"/>
  <c r="M28" i="160" s="1"/>
  <c r="L33" i="160"/>
  <c r="L28" i="160" s="1"/>
  <c r="K33" i="160"/>
  <c r="K28" i="160" s="1"/>
  <c r="J33" i="160"/>
  <c r="J28" i="160" s="1"/>
  <c r="G33" i="160"/>
  <c r="G28" i="160" s="1"/>
  <c r="F33" i="160"/>
  <c r="F28" i="160" s="1"/>
  <c r="E33" i="160"/>
  <c r="E28" i="160" s="1"/>
  <c r="D33" i="160"/>
  <c r="D28" i="160" s="1"/>
  <c r="C33" i="160"/>
  <c r="C28" i="160" s="1"/>
  <c r="Y29" i="160"/>
  <c r="X29" i="160"/>
  <c r="W29" i="160"/>
  <c r="V29" i="160"/>
  <c r="U29" i="160"/>
  <c r="T29" i="160"/>
  <c r="S29" i="160"/>
  <c r="R29" i="160"/>
  <c r="Q29" i="160"/>
  <c r="P29" i="160"/>
  <c r="Z27" i="160"/>
  <c r="Y25" i="160"/>
  <c r="Y30" i="160" s="1"/>
  <c r="Y32" i="160" s="1"/>
  <c r="X25" i="160"/>
  <c r="X30" i="160" s="1"/>
  <c r="X32" i="160" s="1"/>
  <c r="W25" i="160"/>
  <c r="W30" i="160" s="1"/>
  <c r="W32" i="160" s="1"/>
  <c r="V25" i="160"/>
  <c r="V30" i="160" s="1"/>
  <c r="V32" i="160" s="1"/>
  <c r="U25" i="160"/>
  <c r="U30" i="160" s="1"/>
  <c r="U32" i="160" s="1"/>
  <c r="T25" i="160"/>
  <c r="S25" i="160"/>
  <c r="S30" i="160" s="1"/>
  <c r="S32" i="160" s="1"/>
  <c r="R25" i="160"/>
  <c r="R30" i="160" s="1"/>
  <c r="R32" i="160" s="1"/>
  <c r="Q25" i="160"/>
  <c r="Q30" i="160" s="1"/>
  <c r="Q32" i="160" s="1"/>
  <c r="P25" i="160"/>
  <c r="P30" i="160" s="1"/>
  <c r="P32" i="160" s="1"/>
  <c r="N25" i="160"/>
  <c r="N30" i="160" s="1"/>
  <c r="M25" i="160"/>
  <c r="M30" i="160" s="1"/>
  <c r="L25" i="160"/>
  <c r="L30" i="160" s="1"/>
  <c r="K25" i="160"/>
  <c r="K30" i="160" s="1"/>
  <c r="J25" i="160"/>
  <c r="J30" i="160" s="1"/>
  <c r="G25" i="160"/>
  <c r="G30" i="160" s="1"/>
  <c r="F25" i="160"/>
  <c r="F30" i="160" s="1"/>
  <c r="E25" i="160"/>
  <c r="E30" i="160" s="1"/>
  <c r="D25" i="160"/>
  <c r="D30" i="160" s="1"/>
  <c r="C25" i="160"/>
  <c r="C30" i="160" s="1"/>
  <c r="O24" i="160"/>
  <c r="H24" i="160"/>
  <c r="O23" i="160"/>
  <c r="H23" i="160"/>
  <c r="O22" i="160"/>
  <c r="H22" i="160"/>
  <c r="O21" i="160"/>
  <c r="H21" i="160"/>
  <c r="O20" i="160"/>
  <c r="H20" i="160"/>
  <c r="O19" i="160"/>
  <c r="H19" i="160"/>
  <c r="O18" i="160"/>
  <c r="Z20" i="160" l="1"/>
  <c r="Z23" i="160"/>
  <c r="J73" i="160"/>
  <c r="K73" i="160"/>
  <c r="Q73" i="160"/>
  <c r="M54" i="160"/>
  <c r="P54" i="160"/>
  <c r="C73" i="160"/>
  <c r="Q54" i="160"/>
  <c r="G73" i="160"/>
  <c r="L73" i="160"/>
  <c r="M73" i="160"/>
  <c r="E54" i="160"/>
  <c r="B73" i="160"/>
  <c r="N73" i="160"/>
  <c r="D54" i="160"/>
  <c r="D73" i="160"/>
  <c r="P73" i="160"/>
  <c r="N54" i="160"/>
  <c r="Q72" i="160"/>
  <c r="Q74" i="160" s="1"/>
  <c r="O54" i="160"/>
  <c r="T73" i="160"/>
  <c r="F73" i="160"/>
  <c r="S73" i="160"/>
  <c r="E73" i="160"/>
  <c r="O73" i="160"/>
  <c r="X31" i="160"/>
  <c r="Z19" i="160"/>
  <c r="F54" i="160"/>
  <c r="G48" i="160"/>
  <c r="G49" i="160" s="1"/>
  <c r="Y31" i="160"/>
  <c r="W31" i="160"/>
  <c r="V31" i="160"/>
  <c r="U31" i="160"/>
  <c r="S31" i="160"/>
  <c r="R31" i="160"/>
  <c r="Q31" i="160"/>
  <c r="P31" i="160"/>
  <c r="Z22" i="160"/>
  <c r="Z24" i="160"/>
  <c r="Z21" i="160"/>
  <c r="Z18" i="160"/>
  <c r="T31" i="160"/>
  <c r="D32" i="160"/>
  <c r="C32" i="160"/>
  <c r="L32" i="160"/>
  <c r="L29" i="160"/>
  <c r="L31" i="160" s="1"/>
  <c r="M32" i="160"/>
  <c r="M29" i="160"/>
  <c r="M31" i="160" s="1"/>
  <c r="N29" i="160"/>
  <c r="N31" i="160" s="1"/>
  <c r="N32" i="160"/>
  <c r="E29" i="160"/>
  <c r="E31" i="160" s="1"/>
  <c r="E32" i="160"/>
  <c r="F29" i="160"/>
  <c r="F31" i="160" s="1"/>
  <c r="F32" i="160"/>
  <c r="G32" i="160"/>
  <c r="G29" i="160"/>
  <c r="G31" i="160" s="1"/>
  <c r="J32" i="160"/>
  <c r="J29" i="160"/>
  <c r="J31" i="160" s="1"/>
  <c r="K32" i="160"/>
  <c r="K29" i="160"/>
  <c r="K31" i="160" s="1"/>
  <c r="R48" i="160"/>
  <c r="V67" i="160"/>
  <c r="R73" i="160"/>
  <c r="U73" i="160"/>
  <c r="C29" i="160"/>
  <c r="C31" i="160" s="1"/>
  <c r="B54" i="160"/>
  <c r="S72" i="160"/>
  <c r="S74" i="160" s="1"/>
  <c r="T72" i="160"/>
  <c r="T74" i="160" s="1"/>
  <c r="H73" i="160"/>
  <c r="T30" i="160"/>
  <c r="T32" i="160" s="1"/>
  <c r="I73" i="160"/>
  <c r="F72" i="160"/>
  <c r="F74" i="160" s="1"/>
  <c r="G72" i="160"/>
  <c r="G74" i="160" s="1"/>
  <c r="D29" i="160"/>
  <c r="D31" i="160" s="1"/>
  <c r="C54" i="160"/>
  <c r="B53" i="160"/>
  <c r="B55" i="160" s="1"/>
  <c r="G51" i="160" l="1"/>
  <c r="Z25" i="160"/>
  <c r="Z26" i="160" s="1"/>
  <c r="R51" i="160"/>
  <c r="R49" i="160"/>
  <c r="V68" i="160"/>
  <c r="V70" i="160"/>
  <c r="R25" i="158"/>
  <c r="C70" i="158" l="1"/>
  <c r="D70" i="158"/>
  <c r="E70" i="158"/>
  <c r="F70" i="158"/>
  <c r="G70" i="158"/>
  <c r="H70" i="158"/>
  <c r="I70" i="158"/>
  <c r="J70" i="158"/>
  <c r="K70" i="158"/>
  <c r="L70" i="158"/>
  <c r="M70" i="158"/>
  <c r="N70" i="158"/>
  <c r="O70" i="158"/>
  <c r="P70" i="158"/>
  <c r="Q70" i="158"/>
  <c r="R70" i="158"/>
  <c r="S70" i="158"/>
  <c r="T70" i="158"/>
  <c r="U70" i="158"/>
  <c r="B70" i="158"/>
  <c r="O20" i="158"/>
  <c r="O21" i="158"/>
  <c r="O22" i="158"/>
  <c r="O23" i="158"/>
  <c r="O24" i="158"/>
  <c r="H20" i="158"/>
  <c r="H21" i="158"/>
  <c r="H22" i="158"/>
  <c r="H23" i="158"/>
  <c r="H24" i="158"/>
  <c r="O19" i="158" l="1"/>
  <c r="H19" i="158"/>
  <c r="O18" i="158"/>
  <c r="H18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69" i="158"/>
  <c r="U67" i="158"/>
  <c r="U72" i="158" s="1"/>
  <c r="U74" i="158" s="1"/>
  <c r="T67" i="158"/>
  <c r="T72" i="158" s="1"/>
  <c r="T74" i="158" s="1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D72" i="158" s="1"/>
  <c r="D74" i="158" s="1"/>
  <c r="C67" i="158"/>
  <c r="C72" i="158" s="1"/>
  <c r="C74" i="158" s="1"/>
  <c r="B67" i="158"/>
  <c r="B72" i="158" s="1"/>
  <c r="B74" i="158" s="1"/>
  <c r="V66" i="158"/>
  <c r="V65" i="158"/>
  <c r="V64" i="158"/>
  <c r="V63" i="158"/>
  <c r="V62" i="158"/>
  <c r="V61" i="158"/>
  <c r="V60" i="158"/>
  <c r="Q52" i="158"/>
  <c r="P52" i="158"/>
  <c r="O52" i="158"/>
  <c r="N52" i="158"/>
  <c r="M52" i="158"/>
  <c r="F52" i="158"/>
  <c r="E52" i="158"/>
  <c r="D52" i="158"/>
  <c r="C52" i="158"/>
  <c r="B52" i="158"/>
  <c r="Q51" i="158"/>
  <c r="P51" i="158"/>
  <c r="O51" i="158"/>
  <c r="N51" i="158"/>
  <c r="M51" i="158"/>
  <c r="F51" i="158"/>
  <c r="E51" i="158"/>
  <c r="D51" i="158"/>
  <c r="C51" i="158"/>
  <c r="B51" i="158"/>
  <c r="R50" i="158"/>
  <c r="Q48" i="158"/>
  <c r="Q53" i="158" s="1"/>
  <c r="Q55" i="158" s="1"/>
  <c r="P48" i="158"/>
  <c r="P53" i="158" s="1"/>
  <c r="P55" i="158" s="1"/>
  <c r="O48" i="158"/>
  <c r="O53" i="158" s="1"/>
  <c r="O55" i="158" s="1"/>
  <c r="N48" i="158"/>
  <c r="M48" i="158"/>
  <c r="M53" i="158" s="1"/>
  <c r="M55" i="158" s="1"/>
  <c r="F48" i="158"/>
  <c r="F53" i="158" s="1"/>
  <c r="F55" i="158" s="1"/>
  <c r="E48" i="158"/>
  <c r="E53" i="158" s="1"/>
  <c r="E55" i="158" s="1"/>
  <c r="D48" i="158"/>
  <c r="D53" i="158" s="1"/>
  <c r="D55" i="158" s="1"/>
  <c r="C48" i="158"/>
  <c r="C53" i="158" s="1"/>
  <c r="C55" i="158" s="1"/>
  <c r="B48" i="158"/>
  <c r="B53" i="158" s="1"/>
  <c r="B55" i="158" s="1"/>
  <c r="R47" i="158"/>
  <c r="G47" i="158"/>
  <c r="R46" i="158"/>
  <c r="G46" i="158"/>
  <c r="R45" i="158"/>
  <c r="G45" i="158"/>
  <c r="R44" i="158"/>
  <c r="G44" i="158"/>
  <c r="R43" i="158"/>
  <c r="G43" i="158"/>
  <c r="R42" i="158"/>
  <c r="G42" i="158"/>
  <c r="R41" i="158"/>
  <c r="G41" i="158"/>
  <c r="K34" i="158"/>
  <c r="J34" i="158" s="1"/>
  <c r="D34" i="158"/>
  <c r="C34" i="158" s="1"/>
  <c r="N33" i="158"/>
  <c r="N28" i="158" s="1"/>
  <c r="M33" i="158"/>
  <c r="M28" i="158" s="1"/>
  <c r="L33" i="158"/>
  <c r="L28" i="158" s="1"/>
  <c r="K33" i="158"/>
  <c r="K28" i="158" s="1"/>
  <c r="J33" i="158"/>
  <c r="J28" i="158" s="1"/>
  <c r="G33" i="158"/>
  <c r="G28" i="158" s="1"/>
  <c r="F33" i="158"/>
  <c r="F28" i="158" s="1"/>
  <c r="E33" i="158"/>
  <c r="E28" i="158" s="1"/>
  <c r="D33" i="158"/>
  <c r="D28" i="158" s="1"/>
  <c r="C33" i="158"/>
  <c r="C28" i="158" s="1"/>
  <c r="Y29" i="158"/>
  <c r="X29" i="158"/>
  <c r="W29" i="158"/>
  <c r="V29" i="158"/>
  <c r="U29" i="158"/>
  <c r="T29" i="158"/>
  <c r="S29" i="158"/>
  <c r="R29" i="158"/>
  <c r="Q29" i="158"/>
  <c r="P29" i="158"/>
  <c r="Y28" i="158"/>
  <c r="X28" i="158"/>
  <c r="W28" i="158"/>
  <c r="V28" i="158"/>
  <c r="U28" i="158"/>
  <c r="T28" i="158"/>
  <c r="S28" i="158"/>
  <c r="R28" i="158"/>
  <c r="Q28" i="158"/>
  <c r="P28" i="158"/>
  <c r="Z27" i="158"/>
  <c r="Y25" i="158"/>
  <c r="Y30" i="158" s="1"/>
  <c r="Y32" i="158" s="1"/>
  <c r="X25" i="158"/>
  <c r="X30" i="158" s="1"/>
  <c r="X32" i="158" s="1"/>
  <c r="W25" i="158"/>
  <c r="W30" i="158" s="1"/>
  <c r="W32" i="158" s="1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30" i="158"/>
  <c r="R32" i="158" s="1"/>
  <c r="Q25" i="158"/>
  <c r="Q30" i="158" s="1"/>
  <c r="Q32" i="158" s="1"/>
  <c r="P25" i="158"/>
  <c r="P30" i="158" s="1"/>
  <c r="P32" i="158" s="1"/>
  <c r="N25" i="158"/>
  <c r="N30" i="158" s="1"/>
  <c r="M25" i="158"/>
  <c r="M30" i="158" s="1"/>
  <c r="L25" i="158"/>
  <c r="L30" i="158" s="1"/>
  <c r="L29" i="158" s="1"/>
  <c r="L31" i="158" s="1"/>
  <c r="K25" i="158"/>
  <c r="K30" i="158" s="1"/>
  <c r="J25" i="158"/>
  <c r="J30" i="158" s="1"/>
  <c r="J29" i="158" s="1"/>
  <c r="J31" i="158" s="1"/>
  <c r="G25" i="158"/>
  <c r="G30" i="158" s="1"/>
  <c r="G29" i="158" s="1"/>
  <c r="G31" i="158" s="1"/>
  <c r="F25" i="158"/>
  <c r="F30" i="158" s="1"/>
  <c r="E25" i="158"/>
  <c r="E30" i="158" s="1"/>
  <c r="D25" i="158"/>
  <c r="D30" i="158" s="1"/>
  <c r="C25" i="158"/>
  <c r="C30" i="158" s="1"/>
  <c r="Z24" i="158"/>
  <c r="Z23" i="158"/>
  <c r="Z22" i="158"/>
  <c r="Z21" i="158"/>
  <c r="Z20" i="158"/>
  <c r="Z19" i="158" l="1"/>
  <c r="B73" i="158"/>
  <c r="M32" i="158"/>
  <c r="R73" i="158"/>
  <c r="N54" i="158"/>
  <c r="K32" i="158"/>
  <c r="C32" i="158"/>
  <c r="J73" i="158"/>
  <c r="V31" i="158"/>
  <c r="Z18" i="158"/>
  <c r="P54" i="158"/>
  <c r="Q54" i="158"/>
  <c r="U73" i="158"/>
  <c r="C73" i="158"/>
  <c r="K73" i="158"/>
  <c r="S73" i="158"/>
  <c r="D73" i="158"/>
  <c r="L73" i="158"/>
  <c r="T73" i="158"/>
  <c r="F73" i="158"/>
  <c r="N73" i="158"/>
  <c r="G73" i="158"/>
  <c r="O73" i="158"/>
  <c r="M73" i="158"/>
  <c r="H73" i="158"/>
  <c r="P73" i="158"/>
  <c r="E73" i="158"/>
  <c r="I73" i="158"/>
  <c r="Q73" i="158"/>
  <c r="O54" i="158"/>
  <c r="N53" i="158"/>
  <c r="N55" i="158" s="1"/>
  <c r="M54" i="158"/>
  <c r="C54" i="158"/>
  <c r="D54" i="158"/>
  <c r="B54" i="158"/>
  <c r="E54" i="158"/>
  <c r="Q31" i="158"/>
  <c r="Y31" i="158"/>
  <c r="R31" i="158"/>
  <c r="T31" i="158"/>
  <c r="E32" i="158"/>
  <c r="E29" i="158"/>
  <c r="E31" i="158" s="1"/>
  <c r="D32" i="158"/>
  <c r="D29" i="158"/>
  <c r="D31" i="158" s="1"/>
  <c r="N32" i="158"/>
  <c r="N29" i="158"/>
  <c r="N31" i="158" s="1"/>
  <c r="U31" i="158"/>
  <c r="W31" i="158"/>
  <c r="M29" i="158"/>
  <c r="M31" i="158" s="1"/>
  <c r="P31" i="158"/>
  <c r="X31" i="158"/>
  <c r="C29" i="158"/>
  <c r="C31" i="158" s="1"/>
  <c r="S31" i="158"/>
  <c r="F32" i="158"/>
  <c r="F29" i="158"/>
  <c r="F31" i="158" s="1"/>
  <c r="F54" i="158"/>
  <c r="J32" i="158"/>
  <c r="G48" i="158"/>
  <c r="V67" i="158"/>
  <c r="K29" i="158"/>
  <c r="K31" i="158" s="1"/>
  <c r="G32" i="158"/>
  <c r="L32" i="158"/>
  <c r="R48" i="158"/>
  <c r="H18" i="157"/>
  <c r="O18" i="157"/>
  <c r="Z25" i="158" l="1"/>
  <c r="Z26" i="158" s="1"/>
  <c r="V68" i="158"/>
  <c r="V70" i="158"/>
  <c r="G49" i="158"/>
  <c r="G51" i="158"/>
  <c r="R51" i="158"/>
  <c r="R49" i="158"/>
  <c r="Z18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V69" i="157"/>
  <c r="U67" i="157"/>
  <c r="U72" i="157" s="1"/>
  <c r="U74" i="157" s="1"/>
  <c r="T67" i="157"/>
  <c r="T72" i="157" s="1"/>
  <c r="T74" i="157" s="1"/>
  <c r="S67" i="157"/>
  <c r="R67" i="157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V66" i="157"/>
  <c r="V65" i="157"/>
  <c r="V64" i="157"/>
  <c r="V63" i="157"/>
  <c r="V62" i="157"/>
  <c r="V61" i="157"/>
  <c r="V60" i="157"/>
  <c r="Q52" i="157"/>
  <c r="P52" i="157"/>
  <c r="O52" i="157"/>
  <c r="N52" i="157"/>
  <c r="M52" i="157"/>
  <c r="F52" i="157"/>
  <c r="E52" i="157"/>
  <c r="D52" i="157"/>
  <c r="C52" i="157"/>
  <c r="B52" i="157"/>
  <c r="Q51" i="157"/>
  <c r="P51" i="157"/>
  <c r="O51" i="157"/>
  <c r="N51" i="157"/>
  <c r="M51" i="157"/>
  <c r="F51" i="157"/>
  <c r="E51" i="157"/>
  <c r="D51" i="157"/>
  <c r="C51" i="157"/>
  <c r="B51" i="157"/>
  <c r="R50" i="157"/>
  <c r="G50" i="157"/>
  <c r="Q48" i="157"/>
  <c r="Q53" i="157" s="1"/>
  <c r="Q55" i="157" s="1"/>
  <c r="P48" i="157"/>
  <c r="P53" i="157" s="1"/>
  <c r="P55" i="157" s="1"/>
  <c r="O48" i="157"/>
  <c r="O53" i="157" s="1"/>
  <c r="O55" i="157" s="1"/>
  <c r="N48" i="157"/>
  <c r="M48" i="157"/>
  <c r="M53" i="157" s="1"/>
  <c r="M55" i="157" s="1"/>
  <c r="F48" i="157"/>
  <c r="F53" i="157" s="1"/>
  <c r="F55" i="157" s="1"/>
  <c r="E48" i="157"/>
  <c r="E53" i="157" s="1"/>
  <c r="E55" i="157" s="1"/>
  <c r="D48" i="157"/>
  <c r="C48" i="157"/>
  <c r="B48" i="157"/>
  <c r="R47" i="157"/>
  <c r="G47" i="157"/>
  <c r="R46" i="157"/>
  <c r="G46" i="157"/>
  <c r="R45" i="157"/>
  <c r="G45" i="157"/>
  <c r="R44" i="157"/>
  <c r="G44" i="157"/>
  <c r="R43" i="157"/>
  <c r="G43" i="157"/>
  <c r="R42" i="157"/>
  <c r="G42" i="157"/>
  <c r="R41" i="157"/>
  <c r="G41" i="157"/>
  <c r="K34" i="157"/>
  <c r="J34" i="157" s="1"/>
  <c r="D34" i="157"/>
  <c r="C34" i="157" s="1"/>
  <c r="N33" i="157"/>
  <c r="N28" i="157" s="1"/>
  <c r="M33" i="157"/>
  <c r="M28" i="157" s="1"/>
  <c r="L33" i="157"/>
  <c r="L28" i="157" s="1"/>
  <c r="K33" i="157"/>
  <c r="K28" i="157" s="1"/>
  <c r="J33" i="157"/>
  <c r="J28" i="157" s="1"/>
  <c r="G33" i="157"/>
  <c r="G28" i="157" s="1"/>
  <c r="F33" i="157"/>
  <c r="F28" i="157" s="1"/>
  <c r="E33" i="157"/>
  <c r="E28" i="157" s="1"/>
  <c r="D33" i="157"/>
  <c r="D28" i="157" s="1"/>
  <c r="C33" i="157"/>
  <c r="C28" i="157" s="1"/>
  <c r="Y29" i="157"/>
  <c r="X29" i="157"/>
  <c r="W29" i="157"/>
  <c r="V29" i="157"/>
  <c r="U29" i="157"/>
  <c r="T29" i="157"/>
  <c r="S29" i="157"/>
  <c r="R29" i="157"/>
  <c r="Q29" i="157"/>
  <c r="P29" i="157"/>
  <c r="Y28" i="157"/>
  <c r="X28" i="157"/>
  <c r="W28" i="157"/>
  <c r="V28" i="157"/>
  <c r="U28" i="157"/>
  <c r="T28" i="157"/>
  <c r="S28" i="157"/>
  <c r="R28" i="157"/>
  <c r="Q28" i="157"/>
  <c r="P28" i="157"/>
  <c r="Z27" i="157"/>
  <c r="Y25" i="157"/>
  <c r="Y30" i="157" s="1"/>
  <c r="Y32" i="157" s="1"/>
  <c r="X25" i="157"/>
  <c r="X30" i="157" s="1"/>
  <c r="X32" i="157" s="1"/>
  <c r="W25" i="157"/>
  <c r="W30" i="157" s="1"/>
  <c r="W32" i="157" s="1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P30" i="157" s="1"/>
  <c r="P32" i="157" s="1"/>
  <c r="N25" i="157"/>
  <c r="N30" i="157" s="1"/>
  <c r="M25" i="157"/>
  <c r="M30" i="157" s="1"/>
  <c r="L25" i="157"/>
  <c r="L30" i="157" s="1"/>
  <c r="K25" i="157"/>
  <c r="K30" i="157" s="1"/>
  <c r="J25" i="157"/>
  <c r="J30" i="157" s="1"/>
  <c r="G25" i="157"/>
  <c r="G30" i="157" s="1"/>
  <c r="F25" i="157"/>
  <c r="F30" i="157" s="1"/>
  <c r="E25" i="157"/>
  <c r="E30" i="157" s="1"/>
  <c r="D25" i="157"/>
  <c r="D30" i="157" s="1"/>
  <c r="C25" i="157"/>
  <c r="C30" i="157" s="1"/>
  <c r="O24" i="157"/>
  <c r="H24" i="157"/>
  <c r="O23" i="157"/>
  <c r="H23" i="157"/>
  <c r="O22" i="157"/>
  <c r="H22" i="157"/>
  <c r="O21" i="157"/>
  <c r="H21" i="157"/>
  <c r="O20" i="157"/>
  <c r="H20" i="157"/>
  <c r="O19" i="157"/>
  <c r="H19" i="157"/>
  <c r="Z22" i="157" l="1"/>
  <c r="W31" i="157"/>
  <c r="Q54" i="157"/>
  <c r="I73" i="157"/>
  <c r="Z21" i="157"/>
  <c r="Z23" i="157"/>
  <c r="E54" i="157"/>
  <c r="Z19" i="157"/>
  <c r="V31" i="157"/>
  <c r="R73" i="157"/>
  <c r="P54" i="157"/>
  <c r="O54" i="157"/>
  <c r="N54" i="157"/>
  <c r="Q73" i="157"/>
  <c r="P73" i="157"/>
  <c r="L73" i="157"/>
  <c r="J73" i="157"/>
  <c r="E73" i="157"/>
  <c r="D73" i="157"/>
  <c r="Z24" i="157"/>
  <c r="K73" i="157"/>
  <c r="M73" i="157"/>
  <c r="R48" i="157"/>
  <c r="R49" i="157" s="1"/>
  <c r="X31" i="157"/>
  <c r="S73" i="157"/>
  <c r="B73" i="157"/>
  <c r="N73" i="157"/>
  <c r="Z20" i="157"/>
  <c r="G48" i="157"/>
  <c r="G51" i="157" s="1"/>
  <c r="C73" i="157"/>
  <c r="O73" i="157"/>
  <c r="F54" i="157"/>
  <c r="M54" i="157"/>
  <c r="C54" i="157"/>
  <c r="D54" i="157"/>
  <c r="Y31" i="157"/>
  <c r="U31" i="157"/>
  <c r="R31" i="157"/>
  <c r="Q31" i="157"/>
  <c r="T31" i="157"/>
  <c r="P31" i="157"/>
  <c r="D32" i="157"/>
  <c r="C32" i="157"/>
  <c r="S31" i="157"/>
  <c r="G32" i="157"/>
  <c r="G29" i="157"/>
  <c r="G31" i="157" s="1"/>
  <c r="J32" i="157"/>
  <c r="J29" i="157"/>
  <c r="J31" i="157" s="1"/>
  <c r="L32" i="157"/>
  <c r="L29" i="157"/>
  <c r="L31" i="157" s="1"/>
  <c r="K32" i="157"/>
  <c r="K29" i="157"/>
  <c r="K31" i="157" s="1"/>
  <c r="M32" i="157"/>
  <c r="M29" i="157"/>
  <c r="M31" i="157" s="1"/>
  <c r="N32" i="157"/>
  <c r="N29" i="157"/>
  <c r="N31" i="157" s="1"/>
  <c r="E32" i="157"/>
  <c r="E29" i="157"/>
  <c r="E31" i="157" s="1"/>
  <c r="F32" i="157"/>
  <c r="F29" i="157"/>
  <c r="F31" i="157" s="1"/>
  <c r="T73" i="157"/>
  <c r="U73" i="157"/>
  <c r="S72" i="157"/>
  <c r="S74" i="157" s="1"/>
  <c r="D29" i="157"/>
  <c r="D31" i="157" s="1"/>
  <c r="B53" i="157"/>
  <c r="B55" i="157" s="1"/>
  <c r="C53" i="157"/>
  <c r="C55" i="157" s="1"/>
  <c r="F73" i="157"/>
  <c r="H73" i="157"/>
  <c r="V67" i="157"/>
  <c r="R72" i="157"/>
  <c r="R74" i="157" s="1"/>
  <c r="C29" i="157"/>
  <c r="C31" i="157" s="1"/>
  <c r="I72" i="157"/>
  <c r="I74" i="157" s="1"/>
  <c r="D53" i="157"/>
  <c r="D55" i="157" s="1"/>
  <c r="B54" i="157"/>
  <c r="N53" i="157"/>
  <c r="N55" i="157" s="1"/>
  <c r="G73" i="157"/>
  <c r="G49" i="157" l="1"/>
  <c r="R51" i="157"/>
  <c r="Z25" i="157"/>
  <c r="Z26" i="157" s="1"/>
  <c r="V68" i="157"/>
  <c r="V70" i="157"/>
  <c r="B40" i="113" l="1"/>
  <c r="K27" i="113"/>
  <c r="K28" i="113" s="1"/>
  <c r="K29" i="113" s="1"/>
  <c r="K30" i="113" s="1"/>
  <c r="K31" i="113" s="1"/>
  <c r="K32" i="113" s="1"/>
  <c r="K33" i="113" s="1"/>
  <c r="B27" i="113"/>
  <c r="B41" i="113" l="1"/>
  <c r="B42" i="113" s="1"/>
  <c r="B43" i="113" s="1"/>
  <c r="B44" i="113" s="1"/>
  <c r="B45" i="113" s="1"/>
  <c r="B46" i="113" s="1"/>
  <c r="B28" i="113"/>
  <c r="B29" i="113" s="1"/>
  <c r="B30" i="113" s="1"/>
  <c r="B31" i="113" s="1"/>
  <c r="B32" i="113" s="1"/>
  <c r="B33" i="113" s="1"/>
  <c r="B12" i="113"/>
  <c r="B13" i="113" s="1"/>
  <c r="B14" i="113" s="1"/>
  <c r="B15" i="113" s="1"/>
  <c r="B16" i="113" s="1"/>
  <c r="B17" i="113" s="1"/>
  <c r="Q52" i="155" l="1"/>
  <c r="C51" i="155" l="1"/>
  <c r="D51" i="155"/>
  <c r="E51" i="155"/>
  <c r="F51" i="155"/>
  <c r="B51" i="155"/>
  <c r="S28" i="155"/>
  <c r="T28" i="155"/>
  <c r="U28" i="155"/>
  <c r="V28" i="155"/>
  <c r="W28" i="155"/>
  <c r="X28" i="155"/>
  <c r="Y28" i="155"/>
  <c r="R28" i="155"/>
  <c r="E33" i="155"/>
  <c r="D34" i="155"/>
  <c r="U71" i="155" l="1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V69" i="155"/>
  <c r="U67" i="155"/>
  <c r="T67" i="155"/>
  <c r="T72" i="155" s="1"/>
  <c r="T74" i="155" s="1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J72" i="155" s="1"/>
  <c r="J74" i="155" s="1"/>
  <c r="I67" i="155"/>
  <c r="H67" i="155"/>
  <c r="G67" i="155"/>
  <c r="F67" i="155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V66" i="155"/>
  <c r="V65" i="155"/>
  <c r="V64" i="155"/>
  <c r="V63" i="155"/>
  <c r="V62" i="155"/>
  <c r="V61" i="155"/>
  <c r="V60" i="155"/>
  <c r="P52" i="155"/>
  <c r="O52" i="155"/>
  <c r="N52" i="155"/>
  <c r="M52" i="155"/>
  <c r="F52" i="155"/>
  <c r="E52" i="155"/>
  <c r="D52" i="155"/>
  <c r="C52" i="155"/>
  <c r="B52" i="155"/>
  <c r="Q51" i="155"/>
  <c r="P51" i="155"/>
  <c r="O51" i="155"/>
  <c r="N51" i="155"/>
  <c r="M51" i="155"/>
  <c r="R50" i="155"/>
  <c r="G50" i="155"/>
  <c r="Q48" i="155"/>
  <c r="Q53" i="155" s="1"/>
  <c r="Q55" i="155" s="1"/>
  <c r="P48" i="155"/>
  <c r="P53" i="155" s="1"/>
  <c r="P55" i="155" s="1"/>
  <c r="O48" i="155"/>
  <c r="O53" i="155" s="1"/>
  <c r="O55" i="155" s="1"/>
  <c r="N48" i="155"/>
  <c r="N53" i="155" s="1"/>
  <c r="N55" i="155" s="1"/>
  <c r="M48" i="155"/>
  <c r="M53" i="155" s="1"/>
  <c r="M55" i="155" s="1"/>
  <c r="F48" i="155"/>
  <c r="F53" i="155" s="1"/>
  <c r="F55" i="155" s="1"/>
  <c r="E48" i="155"/>
  <c r="E53" i="155" s="1"/>
  <c r="E55" i="155" s="1"/>
  <c r="D48" i="155"/>
  <c r="D53" i="155" s="1"/>
  <c r="D55" i="155" s="1"/>
  <c r="C48" i="155"/>
  <c r="C53" i="155" s="1"/>
  <c r="C55" i="155" s="1"/>
  <c r="B48" i="155"/>
  <c r="R47" i="155"/>
  <c r="G47" i="155"/>
  <c r="R46" i="155"/>
  <c r="G46" i="155"/>
  <c r="R45" i="155"/>
  <c r="G45" i="155"/>
  <c r="R44" i="155"/>
  <c r="G44" i="155"/>
  <c r="R43" i="155"/>
  <c r="G43" i="155"/>
  <c r="R42" i="155"/>
  <c r="G42" i="155"/>
  <c r="R41" i="155"/>
  <c r="G41" i="155"/>
  <c r="K34" i="155"/>
  <c r="J34" i="155" s="1"/>
  <c r="C34" i="155"/>
  <c r="N33" i="155"/>
  <c r="N28" i="155" s="1"/>
  <c r="M33" i="155"/>
  <c r="M28" i="155" s="1"/>
  <c r="L33" i="155"/>
  <c r="L28" i="155" s="1"/>
  <c r="K33" i="155"/>
  <c r="K28" i="155" s="1"/>
  <c r="J33" i="155"/>
  <c r="J28" i="155" s="1"/>
  <c r="G33" i="155"/>
  <c r="G28" i="155" s="1"/>
  <c r="F33" i="155"/>
  <c r="F28" i="155" s="1"/>
  <c r="E28" i="155"/>
  <c r="D33" i="155"/>
  <c r="D28" i="155" s="1"/>
  <c r="C33" i="155"/>
  <c r="C28" i="155" s="1"/>
  <c r="Y29" i="155"/>
  <c r="X29" i="155"/>
  <c r="W29" i="155"/>
  <c r="V29" i="155"/>
  <c r="U29" i="155"/>
  <c r="T29" i="155"/>
  <c r="S29" i="155"/>
  <c r="R29" i="155"/>
  <c r="Q29" i="155"/>
  <c r="P29" i="155"/>
  <c r="Q28" i="155"/>
  <c r="P28" i="155"/>
  <c r="Z27" i="155"/>
  <c r="Y25" i="155"/>
  <c r="Y30" i="155" s="1"/>
  <c r="Y32" i="155" s="1"/>
  <c r="X25" i="155"/>
  <c r="X30" i="155" s="1"/>
  <c r="X32" i="155" s="1"/>
  <c r="W25" i="155"/>
  <c r="W30" i="155" s="1"/>
  <c r="W32" i="155" s="1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N25" i="155"/>
  <c r="N30" i="155" s="1"/>
  <c r="M25" i="155"/>
  <c r="M30" i="155" s="1"/>
  <c r="L25" i="155"/>
  <c r="L30" i="155" s="1"/>
  <c r="K25" i="155"/>
  <c r="K30" i="155" s="1"/>
  <c r="J25" i="155"/>
  <c r="J30" i="155" s="1"/>
  <c r="G25" i="155"/>
  <c r="G30" i="155" s="1"/>
  <c r="F25" i="155"/>
  <c r="F30" i="155" s="1"/>
  <c r="E25" i="155"/>
  <c r="E30" i="155" s="1"/>
  <c r="E32" i="155" s="1"/>
  <c r="D25" i="155"/>
  <c r="D30" i="155" s="1"/>
  <c r="C25" i="155"/>
  <c r="C30" i="155" s="1"/>
  <c r="O24" i="155"/>
  <c r="H24" i="155"/>
  <c r="Z24" i="155" s="1"/>
  <c r="O23" i="155"/>
  <c r="H23" i="155"/>
  <c r="O22" i="155"/>
  <c r="H22" i="155"/>
  <c r="O21" i="155"/>
  <c r="H21" i="155"/>
  <c r="O20" i="155"/>
  <c r="H20" i="155"/>
  <c r="Z20" i="155" s="1"/>
  <c r="O19" i="155"/>
  <c r="H19" i="155"/>
  <c r="O18" i="155"/>
  <c r="H18" i="155"/>
  <c r="Z18" i="155" l="1"/>
  <c r="Z22" i="155"/>
  <c r="Z19" i="155"/>
  <c r="N73" i="155"/>
  <c r="U73" i="155"/>
  <c r="I73" i="155"/>
  <c r="B73" i="155"/>
  <c r="O54" i="155"/>
  <c r="M54" i="155"/>
  <c r="Y31" i="155"/>
  <c r="N54" i="155"/>
  <c r="J73" i="155"/>
  <c r="D32" i="155"/>
  <c r="P54" i="155"/>
  <c r="Q54" i="155"/>
  <c r="M73" i="155"/>
  <c r="G73" i="155"/>
  <c r="H73" i="155"/>
  <c r="O73" i="155"/>
  <c r="D73" i="155"/>
  <c r="P73" i="155"/>
  <c r="K73" i="155"/>
  <c r="L73" i="155"/>
  <c r="C73" i="155"/>
  <c r="X31" i="155"/>
  <c r="E73" i="155"/>
  <c r="Q73" i="155"/>
  <c r="F73" i="155"/>
  <c r="F54" i="155"/>
  <c r="E54" i="155"/>
  <c r="G48" i="155"/>
  <c r="G49" i="155" s="1"/>
  <c r="W31" i="155"/>
  <c r="V31" i="155"/>
  <c r="U31" i="155"/>
  <c r="T31" i="155"/>
  <c r="S31" i="155"/>
  <c r="R31" i="155"/>
  <c r="Q31" i="155"/>
  <c r="P31" i="155"/>
  <c r="Z23" i="155"/>
  <c r="Z21" i="155"/>
  <c r="C32" i="155"/>
  <c r="F32" i="155"/>
  <c r="F29" i="155"/>
  <c r="F31" i="155" s="1"/>
  <c r="G32" i="155"/>
  <c r="G29" i="155"/>
  <c r="G31" i="155" s="1"/>
  <c r="K32" i="155"/>
  <c r="K29" i="155"/>
  <c r="K31" i="155" s="1"/>
  <c r="M32" i="155"/>
  <c r="M29" i="155"/>
  <c r="M31" i="155" s="1"/>
  <c r="J32" i="155"/>
  <c r="J29" i="155"/>
  <c r="J31" i="155" s="1"/>
  <c r="L29" i="155"/>
  <c r="L31" i="155" s="1"/>
  <c r="L32" i="155"/>
  <c r="N29" i="155"/>
  <c r="N31" i="155" s="1"/>
  <c r="N32" i="155"/>
  <c r="E29" i="155"/>
  <c r="E31" i="155" s="1"/>
  <c r="S73" i="155"/>
  <c r="T73" i="155"/>
  <c r="R48" i="155"/>
  <c r="C54" i="155"/>
  <c r="H72" i="155"/>
  <c r="H74" i="155" s="1"/>
  <c r="B53" i="155"/>
  <c r="B55" i="155" s="1"/>
  <c r="D54" i="155"/>
  <c r="I72" i="155"/>
  <c r="I74" i="155" s="1"/>
  <c r="U72" i="155"/>
  <c r="U74" i="155" s="1"/>
  <c r="F72" i="155"/>
  <c r="F74" i="155" s="1"/>
  <c r="R73" i="155"/>
  <c r="V67" i="155"/>
  <c r="C29" i="155"/>
  <c r="C31" i="155" s="1"/>
  <c r="G72" i="155"/>
  <c r="G74" i="155" s="1"/>
  <c r="B54" i="155"/>
  <c r="D29" i="155"/>
  <c r="D31" i="155" s="1"/>
  <c r="G51" i="155" l="1"/>
  <c r="Z25" i="155"/>
  <c r="Z26" i="155" s="1"/>
  <c r="R51" i="155"/>
  <c r="R49" i="155"/>
  <c r="V68" i="155"/>
  <c r="V70" i="155"/>
  <c r="O19" i="153" l="1"/>
  <c r="O20" i="153"/>
  <c r="O21" i="153"/>
  <c r="O22" i="153"/>
  <c r="O23" i="153"/>
  <c r="O24" i="153"/>
  <c r="O18" i="153"/>
  <c r="H19" i="153"/>
  <c r="H20" i="153"/>
  <c r="H21" i="153"/>
  <c r="H22" i="153"/>
  <c r="H23" i="153"/>
  <c r="H24" i="153"/>
  <c r="H18" i="153"/>
  <c r="U71" i="153" l="1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V69" i="153"/>
  <c r="U67" i="153"/>
  <c r="U72" i="153" s="1"/>
  <c r="U74" i="153" s="1"/>
  <c r="T67" i="153"/>
  <c r="T72" i="153" s="1"/>
  <c r="T74" i="153" s="1"/>
  <c r="S67" i="153"/>
  <c r="S72" i="153" s="1"/>
  <c r="S74" i="153" s="1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L72" i="153" s="1"/>
  <c r="L74" i="153" s="1"/>
  <c r="K67" i="153"/>
  <c r="K72" i="153" s="1"/>
  <c r="K74" i="153" s="1"/>
  <c r="J67" i="153"/>
  <c r="J72" i="153" s="1"/>
  <c r="J74" i="153" s="1"/>
  <c r="I67" i="153"/>
  <c r="I72" i="153" s="1"/>
  <c r="I74" i="153" s="1"/>
  <c r="H67" i="153"/>
  <c r="H72" i="153" s="1"/>
  <c r="H74" i="153" s="1"/>
  <c r="G67" i="153"/>
  <c r="G72" i="153" s="1"/>
  <c r="G74" i="153" s="1"/>
  <c r="F67" i="153"/>
  <c r="F72" i="153" s="1"/>
  <c r="F74" i="153" s="1"/>
  <c r="E67" i="153"/>
  <c r="E72" i="153" s="1"/>
  <c r="E74" i="153" s="1"/>
  <c r="D67" i="153"/>
  <c r="D72" i="153" s="1"/>
  <c r="D74" i="153" s="1"/>
  <c r="C67" i="153"/>
  <c r="C72" i="153" s="1"/>
  <c r="C74" i="153" s="1"/>
  <c r="B67" i="153"/>
  <c r="B72" i="153" s="1"/>
  <c r="B74" i="153" s="1"/>
  <c r="V66" i="153"/>
  <c r="V65" i="153"/>
  <c r="V64" i="153"/>
  <c r="V63" i="153"/>
  <c r="V62" i="153"/>
  <c r="V61" i="153"/>
  <c r="V60" i="153"/>
  <c r="Q52" i="153"/>
  <c r="P52" i="153"/>
  <c r="O52" i="153"/>
  <c r="N52" i="153"/>
  <c r="M52" i="153"/>
  <c r="F52" i="153"/>
  <c r="E52" i="153"/>
  <c r="D52" i="153"/>
  <c r="C52" i="153"/>
  <c r="B52" i="153"/>
  <c r="Q51" i="153"/>
  <c r="P51" i="153"/>
  <c r="O51" i="153"/>
  <c r="N51" i="153"/>
  <c r="M51" i="153"/>
  <c r="F51" i="153"/>
  <c r="E51" i="153"/>
  <c r="D51" i="153"/>
  <c r="C51" i="153"/>
  <c r="B51" i="153"/>
  <c r="R50" i="153"/>
  <c r="G50" i="153"/>
  <c r="Q48" i="153"/>
  <c r="Q53" i="153" s="1"/>
  <c r="Q55" i="153" s="1"/>
  <c r="P48" i="153"/>
  <c r="P53" i="153" s="1"/>
  <c r="P55" i="153" s="1"/>
  <c r="O48" i="153"/>
  <c r="O53" i="153" s="1"/>
  <c r="O55" i="153" s="1"/>
  <c r="N48" i="153"/>
  <c r="N53" i="153" s="1"/>
  <c r="N55" i="153" s="1"/>
  <c r="M48" i="153"/>
  <c r="M53" i="153" s="1"/>
  <c r="M55" i="153" s="1"/>
  <c r="F48" i="153"/>
  <c r="F53" i="153" s="1"/>
  <c r="F55" i="153" s="1"/>
  <c r="E48" i="153"/>
  <c r="E53" i="153" s="1"/>
  <c r="E55" i="153" s="1"/>
  <c r="D48" i="153"/>
  <c r="D53" i="153" s="1"/>
  <c r="D55" i="153" s="1"/>
  <c r="C48" i="153"/>
  <c r="C53" i="153" s="1"/>
  <c r="C55" i="153" s="1"/>
  <c r="B48" i="153"/>
  <c r="R47" i="153"/>
  <c r="G47" i="153"/>
  <c r="R46" i="153"/>
  <c r="G46" i="153"/>
  <c r="R45" i="153"/>
  <c r="G45" i="153"/>
  <c r="R44" i="153"/>
  <c r="G44" i="153"/>
  <c r="R43" i="153"/>
  <c r="G43" i="153"/>
  <c r="R42" i="153"/>
  <c r="G42" i="153"/>
  <c r="R41" i="153"/>
  <c r="G41" i="153"/>
  <c r="K34" i="153"/>
  <c r="J34" i="153" s="1"/>
  <c r="D34" i="153"/>
  <c r="C34" i="153" s="1"/>
  <c r="N33" i="153"/>
  <c r="N28" i="153" s="1"/>
  <c r="M33" i="153"/>
  <c r="M28" i="153" s="1"/>
  <c r="L33" i="153"/>
  <c r="L28" i="153" s="1"/>
  <c r="K33" i="153"/>
  <c r="K28" i="153" s="1"/>
  <c r="J33" i="153"/>
  <c r="J28" i="153" s="1"/>
  <c r="G33" i="153"/>
  <c r="G28" i="153" s="1"/>
  <c r="F33" i="153"/>
  <c r="F28" i="153" s="1"/>
  <c r="E33" i="153"/>
  <c r="E28" i="153" s="1"/>
  <c r="D33" i="153"/>
  <c r="D28" i="153" s="1"/>
  <c r="C33" i="153"/>
  <c r="C28" i="153" s="1"/>
  <c r="Y29" i="153"/>
  <c r="X29" i="153"/>
  <c r="W29" i="153"/>
  <c r="V29" i="153"/>
  <c r="U29" i="153"/>
  <c r="T29" i="153"/>
  <c r="S29" i="153"/>
  <c r="R29" i="153"/>
  <c r="Q29" i="153"/>
  <c r="P29" i="153"/>
  <c r="Y28" i="153"/>
  <c r="X28" i="153"/>
  <c r="W28" i="153"/>
  <c r="V28" i="153"/>
  <c r="U28" i="153"/>
  <c r="T28" i="153"/>
  <c r="S28" i="153"/>
  <c r="R28" i="153"/>
  <c r="Q28" i="153"/>
  <c r="P28" i="153"/>
  <c r="Z27" i="153"/>
  <c r="Y25" i="153"/>
  <c r="Y30" i="153" s="1"/>
  <c r="Y32" i="153" s="1"/>
  <c r="X25" i="153"/>
  <c r="X30" i="153" s="1"/>
  <c r="X32" i="153" s="1"/>
  <c r="W25" i="153"/>
  <c r="W30" i="153" s="1"/>
  <c r="W32" i="153" s="1"/>
  <c r="V25" i="153"/>
  <c r="V30" i="153" s="1"/>
  <c r="V32" i="153" s="1"/>
  <c r="U25" i="153"/>
  <c r="U30" i="153" s="1"/>
  <c r="U32" i="153" s="1"/>
  <c r="T25" i="153"/>
  <c r="T30" i="153" s="1"/>
  <c r="T32" i="153" s="1"/>
  <c r="S25" i="153"/>
  <c r="S30" i="153" s="1"/>
  <c r="S32" i="153" s="1"/>
  <c r="R25" i="153"/>
  <c r="R30" i="153" s="1"/>
  <c r="R32" i="153" s="1"/>
  <c r="Q25" i="153"/>
  <c r="Q30" i="153" s="1"/>
  <c r="Q32" i="153" s="1"/>
  <c r="P25" i="153"/>
  <c r="P30" i="153" s="1"/>
  <c r="P32" i="153" s="1"/>
  <c r="N25" i="153"/>
  <c r="N30" i="153" s="1"/>
  <c r="M25" i="153"/>
  <c r="M30" i="153" s="1"/>
  <c r="L25" i="153"/>
  <c r="L30" i="153" s="1"/>
  <c r="L29" i="153" s="1"/>
  <c r="L31" i="153" s="1"/>
  <c r="K25" i="153"/>
  <c r="K30" i="153" s="1"/>
  <c r="K29" i="153" s="1"/>
  <c r="K31" i="153" s="1"/>
  <c r="J25" i="153"/>
  <c r="J30" i="153" s="1"/>
  <c r="G25" i="153"/>
  <c r="G30" i="153" s="1"/>
  <c r="F25" i="153"/>
  <c r="F30" i="153" s="1"/>
  <c r="E25" i="153"/>
  <c r="E30" i="153" s="1"/>
  <c r="D25" i="153"/>
  <c r="D30" i="153" s="1"/>
  <c r="C25" i="153"/>
  <c r="C30" i="153" s="1"/>
  <c r="Z24" i="153"/>
  <c r="Z23" i="153"/>
  <c r="Z22" i="153"/>
  <c r="Z21" i="153"/>
  <c r="Z20" i="153"/>
  <c r="Z19" i="153"/>
  <c r="Z18" i="153"/>
  <c r="F73" i="153" l="1"/>
  <c r="Q54" i="153"/>
  <c r="C54" i="153"/>
  <c r="N73" i="153"/>
  <c r="G73" i="153"/>
  <c r="O73" i="153"/>
  <c r="H73" i="153"/>
  <c r="P73" i="153"/>
  <c r="I73" i="153"/>
  <c r="Q73" i="153"/>
  <c r="B73" i="153"/>
  <c r="J73" i="153"/>
  <c r="R73" i="153"/>
  <c r="C73" i="153"/>
  <c r="K73" i="153"/>
  <c r="S73" i="153"/>
  <c r="D73" i="153"/>
  <c r="L73" i="153"/>
  <c r="T73" i="153"/>
  <c r="E73" i="153"/>
  <c r="M73" i="153"/>
  <c r="U73" i="153"/>
  <c r="N54" i="153"/>
  <c r="O54" i="153"/>
  <c r="M54" i="153"/>
  <c r="P54" i="153"/>
  <c r="B54" i="153"/>
  <c r="G48" i="153"/>
  <c r="G49" i="153" s="1"/>
  <c r="D54" i="153"/>
  <c r="B53" i="153"/>
  <c r="B55" i="153" s="1"/>
  <c r="E54" i="153"/>
  <c r="F54" i="153"/>
  <c r="W31" i="153"/>
  <c r="E32" i="153"/>
  <c r="E29" i="153"/>
  <c r="E31" i="153" s="1"/>
  <c r="P31" i="153"/>
  <c r="X31" i="153"/>
  <c r="Q31" i="153"/>
  <c r="Y31" i="153"/>
  <c r="R31" i="153"/>
  <c r="S31" i="153"/>
  <c r="T31" i="153"/>
  <c r="U31" i="153"/>
  <c r="V31" i="153"/>
  <c r="C29" i="153"/>
  <c r="C31" i="153" s="1"/>
  <c r="C32" i="153"/>
  <c r="M29" i="153"/>
  <c r="M31" i="153" s="1"/>
  <c r="M32" i="153"/>
  <c r="J32" i="153"/>
  <c r="J29" i="153"/>
  <c r="J31" i="153" s="1"/>
  <c r="Z25" i="153"/>
  <c r="Z26" i="153" s="1"/>
  <c r="D29" i="153"/>
  <c r="D31" i="153" s="1"/>
  <c r="D32" i="153"/>
  <c r="N29" i="153"/>
  <c r="N31" i="153" s="1"/>
  <c r="N32" i="153"/>
  <c r="F32" i="153"/>
  <c r="F29" i="153"/>
  <c r="F31" i="153" s="1"/>
  <c r="G32" i="153"/>
  <c r="G29" i="153"/>
  <c r="G31" i="153" s="1"/>
  <c r="L32" i="153"/>
  <c r="V67" i="153"/>
  <c r="R48" i="153"/>
  <c r="K32" i="153"/>
  <c r="R25" i="152"/>
  <c r="G51" i="153" l="1"/>
  <c r="R49" i="153"/>
  <c r="R51" i="153"/>
  <c r="V70" i="153"/>
  <c r="V68" i="153"/>
  <c r="O18" i="152"/>
  <c r="H18" i="152"/>
  <c r="H24" i="152"/>
  <c r="O24" i="152"/>
  <c r="H18" i="151" l="1"/>
  <c r="O18" i="151"/>
  <c r="Z18" i="151" l="1"/>
  <c r="U71" i="152" l="1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V69" i="152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67" i="152"/>
  <c r="O72" i="152" s="1"/>
  <c r="O74" i="152" s="1"/>
  <c r="N67" i="152"/>
  <c r="N72" i="152" s="1"/>
  <c r="N74" i="152" s="1"/>
  <c r="M67" i="152"/>
  <c r="M72" i="152" s="1"/>
  <c r="M74" i="152" s="1"/>
  <c r="L67" i="152"/>
  <c r="L72" i="152" s="1"/>
  <c r="L74" i="152" s="1"/>
  <c r="K67" i="152"/>
  <c r="K72" i="152" s="1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D67" i="152"/>
  <c r="D73" i="152" s="1"/>
  <c r="C67" i="152"/>
  <c r="C72" i="152" s="1"/>
  <c r="C74" i="152" s="1"/>
  <c r="B67" i="152"/>
  <c r="B72" i="152" s="1"/>
  <c r="B74" i="152" s="1"/>
  <c r="V66" i="152"/>
  <c r="V65" i="152"/>
  <c r="V64" i="152"/>
  <c r="V63" i="152"/>
  <c r="V62" i="152"/>
  <c r="V61" i="152"/>
  <c r="V60" i="152"/>
  <c r="Q52" i="152"/>
  <c r="P52" i="152"/>
  <c r="O52" i="152"/>
  <c r="N52" i="152"/>
  <c r="M52" i="152"/>
  <c r="F52" i="152"/>
  <c r="E52" i="152"/>
  <c r="D52" i="152"/>
  <c r="C52" i="152"/>
  <c r="B52" i="152"/>
  <c r="Q51" i="152"/>
  <c r="P51" i="152"/>
  <c r="O51" i="152"/>
  <c r="N51" i="152"/>
  <c r="M51" i="152"/>
  <c r="F51" i="152"/>
  <c r="E51" i="152"/>
  <c r="D51" i="152"/>
  <c r="C51" i="152"/>
  <c r="B51" i="152"/>
  <c r="R50" i="152"/>
  <c r="G50" i="152"/>
  <c r="Q48" i="152"/>
  <c r="P48" i="152"/>
  <c r="O48" i="152"/>
  <c r="O53" i="152" s="1"/>
  <c r="O55" i="152" s="1"/>
  <c r="N48" i="152"/>
  <c r="N53" i="152" s="1"/>
  <c r="N55" i="152" s="1"/>
  <c r="M48" i="152"/>
  <c r="M53" i="152" s="1"/>
  <c r="M55" i="152" s="1"/>
  <c r="F48" i="152"/>
  <c r="F53" i="152" s="1"/>
  <c r="F55" i="152" s="1"/>
  <c r="E48" i="152"/>
  <c r="E53" i="152" s="1"/>
  <c r="E55" i="152" s="1"/>
  <c r="D48" i="152"/>
  <c r="D53" i="152" s="1"/>
  <c r="D55" i="152" s="1"/>
  <c r="C48" i="152"/>
  <c r="C53" i="152" s="1"/>
  <c r="C55" i="152" s="1"/>
  <c r="B48" i="152"/>
  <c r="B53" i="152" s="1"/>
  <c r="B55" i="152" s="1"/>
  <c r="R47" i="152"/>
  <c r="G47" i="152"/>
  <c r="R46" i="152"/>
  <c r="G46" i="152"/>
  <c r="R45" i="152"/>
  <c r="G45" i="152"/>
  <c r="R44" i="152"/>
  <c r="G44" i="152"/>
  <c r="R43" i="152"/>
  <c r="G43" i="152"/>
  <c r="R42" i="152"/>
  <c r="G42" i="152"/>
  <c r="R41" i="152"/>
  <c r="G41" i="152"/>
  <c r="K34" i="152"/>
  <c r="J34" i="152" s="1"/>
  <c r="D34" i="152"/>
  <c r="C34" i="152" s="1"/>
  <c r="N33" i="152"/>
  <c r="N28" i="152" s="1"/>
  <c r="M33" i="152"/>
  <c r="M28" i="152" s="1"/>
  <c r="L33" i="152"/>
  <c r="L28" i="152" s="1"/>
  <c r="K33" i="152"/>
  <c r="K28" i="152" s="1"/>
  <c r="J33" i="152"/>
  <c r="J28" i="152" s="1"/>
  <c r="G33" i="152"/>
  <c r="G28" i="152" s="1"/>
  <c r="F33" i="152"/>
  <c r="F28" i="152" s="1"/>
  <c r="E33" i="152"/>
  <c r="E28" i="152" s="1"/>
  <c r="D33" i="152"/>
  <c r="D28" i="152" s="1"/>
  <c r="C33" i="152"/>
  <c r="C28" i="152" s="1"/>
  <c r="Y29" i="152"/>
  <c r="X29" i="152"/>
  <c r="W29" i="152"/>
  <c r="V29" i="152"/>
  <c r="U29" i="152"/>
  <c r="T29" i="152"/>
  <c r="S29" i="152"/>
  <c r="R29" i="152"/>
  <c r="Q29" i="152"/>
  <c r="P29" i="152"/>
  <c r="Y28" i="152"/>
  <c r="X28" i="152"/>
  <c r="W28" i="152"/>
  <c r="V28" i="152"/>
  <c r="U28" i="152"/>
  <c r="T28" i="152"/>
  <c r="S28" i="152"/>
  <c r="R28" i="152"/>
  <c r="Q28" i="152"/>
  <c r="P28" i="152"/>
  <c r="Z27" i="152"/>
  <c r="Y25" i="152"/>
  <c r="Y30" i="152" s="1"/>
  <c r="Y32" i="152" s="1"/>
  <c r="X25" i="152"/>
  <c r="X30" i="152" s="1"/>
  <c r="X32" i="152" s="1"/>
  <c r="W25" i="152"/>
  <c r="W30" i="152" s="1"/>
  <c r="W32" i="152" s="1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30" i="152"/>
  <c r="R32" i="152" s="1"/>
  <c r="Q25" i="152"/>
  <c r="Q30" i="152" s="1"/>
  <c r="Q32" i="152" s="1"/>
  <c r="P25" i="152"/>
  <c r="P30" i="152" s="1"/>
  <c r="P32" i="152" s="1"/>
  <c r="N25" i="152"/>
  <c r="N30" i="152" s="1"/>
  <c r="M25" i="152"/>
  <c r="M30" i="152" s="1"/>
  <c r="L25" i="152"/>
  <c r="L30" i="152" s="1"/>
  <c r="K25" i="152"/>
  <c r="K30" i="152" s="1"/>
  <c r="J25" i="152"/>
  <c r="J30" i="152" s="1"/>
  <c r="G25" i="152"/>
  <c r="G30" i="152" s="1"/>
  <c r="F25" i="152"/>
  <c r="F30" i="152" s="1"/>
  <c r="E25" i="152"/>
  <c r="E30" i="152" s="1"/>
  <c r="D25" i="152"/>
  <c r="D30" i="152" s="1"/>
  <c r="C25" i="152"/>
  <c r="C30" i="152" s="1"/>
  <c r="Z24" i="152"/>
  <c r="O23" i="152"/>
  <c r="H23" i="152"/>
  <c r="O22" i="152"/>
  <c r="H22" i="152"/>
  <c r="O21" i="152"/>
  <c r="H21" i="152"/>
  <c r="O20" i="152"/>
  <c r="H20" i="152"/>
  <c r="O19" i="152"/>
  <c r="H19" i="152"/>
  <c r="Z18" i="152"/>
  <c r="E73" i="152" l="1"/>
  <c r="Z21" i="152"/>
  <c r="Z22" i="152"/>
  <c r="J32" i="152"/>
  <c r="Z23" i="152"/>
  <c r="L32" i="152"/>
  <c r="P54" i="152"/>
  <c r="M32" i="152"/>
  <c r="C54" i="152"/>
  <c r="K32" i="152"/>
  <c r="Q54" i="152"/>
  <c r="Z19" i="152"/>
  <c r="Z20" i="152"/>
  <c r="M54" i="152"/>
  <c r="B73" i="152"/>
  <c r="G73" i="152"/>
  <c r="C73" i="152"/>
  <c r="K73" i="152"/>
  <c r="H73" i="152"/>
  <c r="L73" i="152"/>
  <c r="I73" i="152"/>
  <c r="M73" i="152"/>
  <c r="P73" i="152"/>
  <c r="N73" i="152"/>
  <c r="Q73" i="152"/>
  <c r="O73" i="152"/>
  <c r="D72" i="152"/>
  <c r="D74" i="152" s="1"/>
  <c r="E72" i="152"/>
  <c r="E74" i="152" s="1"/>
  <c r="N54" i="152"/>
  <c r="P53" i="152"/>
  <c r="P55" i="152" s="1"/>
  <c r="Q53" i="152"/>
  <c r="Q55" i="152" s="1"/>
  <c r="F54" i="152"/>
  <c r="S31" i="152"/>
  <c r="T31" i="152"/>
  <c r="V31" i="152"/>
  <c r="W31" i="152"/>
  <c r="P31" i="152"/>
  <c r="X31" i="152"/>
  <c r="Q31" i="152"/>
  <c r="Y31" i="152"/>
  <c r="N32" i="152"/>
  <c r="N29" i="152"/>
  <c r="N31" i="152" s="1"/>
  <c r="J29" i="152"/>
  <c r="J31" i="152" s="1"/>
  <c r="L29" i="152"/>
  <c r="L31" i="152" s="1"/>
  <c r="M29" i="152"/>
  <c r="M31" i="152" s="1"/>
  <c r="O54" i="152"/>
  <c r="E54" i="152"/>
  <c r="D54" i="152"/>
  <c r="G48" i="152"/>
  <c r="G49" i="152" s="1"/>
  <c r="U31" i="152"/>
  <c r="K29" i="152"/>
  <c r="K31" i="152" s="1"/>
  <c r="E32" i="152"/>
  <c r="E29" i="152"/>
  <c r="E31" i="152" s="1"/>
  <c r="C32" i="152"/>
  <c r="C29" i="152"/>
  <c r="C31" i="152" s="1"/>
  <c r="F32" i="152"/>
  <c r="F29" i="152"/>
  <c r="F31" i="152" s="1"/>
  <c r="D32" i="152"/>
  <c r="D29" i="152"/>
  <c r="D31" i="152" s="1"/>
  <c r="G32" i="152"/>
  <c r="G29" i="152"/>
  <c r="G31" i="152" s="1"/>
  <c r="V67" i="152"/>
  <c r="R73" i="152"/>
  <c r="S73" i="152"/>
  <c r="T73" i="152"/>
  <c r="R48" i="152"/>
  <c r="U73" i="152"/>
  <c r="R31" i="152"/>
  <c r="J73" i="152"/>
  <c r="F73" i="152"/>
  <c r="B54" i="152"/>
  <c r="Z25" i="152" l="1"/>
  <c r="Z26" i="152" s="1"/>
  <c r="G51" i="152"/>
  <c r="V68" i="152"/>
  <c r="V70" i="152"/>
  <c r="R51" i="152"/>
  <c r="R49" i="152"/>
  <c r="N11" i="174"/>
  <c r="V48" i="167"/>
  <c r="P35" i="167"/>
  <c r="R41" i="174"/>
  <c r="L43" i="113"/>
  <c r="T48" i="174"/>
  <c r="L30" i="113"/>
  <c r="P11" i="113"/>
  <c r="L48" i="167"/>
  <c r="X17" i="174"/>
  <c r="O13" i="174"/>
  <c r="D35" i="167"/>
  <c r="O33" i="174"/>
  <c r="P45" i="113"/>
  <c r="P41" i="174"/>
  <c r="C44" i="113"/>
  <c r="U19" i="113"/>
  <c r="F14" i="174"/>
  <c r="J16" i="113"/>
  <c r="M31" i="113"/>
  <c r="L27" i="174"/>
  <c r="C43" i="174"/>
  <c r="E32" i="113"/>
  <c r="V42" i="174"/>
  <c r="E17" i="174"/>
  <c r="T11" i="113"/>
  <c r="I45" i="174"/>
  <c r="F29" i="174"/>
  <c r="N31" i="113"/>
  <c r="F45" i="174"/>
  <c r="T42" i="113"/>
  <c r="H45" i="174"/>
  <c r="L15" i="113"/>
  <c r="C41" i="113"/>
  <c r="U16" i="174"/>
  <c r="U13" i="174"/>
  <c r="C44" i="174"/>
  <c r="M16" i="113"/>
  <c r="E15" i="113"/>
  <c r="G27" i="113"/>
  <c r="M29" i="113"/>
  <c r="U15" i="174"/>
  <c r="G28" i="174"/>
  <c r="H14" i="174"/>
  <c r="F48" i="167"/>
  <c r="G12" i="113"/>
  <c r="E35" i="113"/>
  <c r="N41" i="174"/>
  <c r="Q17" i="113"/>
  <c r="D32" i="113"/>
  <c r="J48" i="174"/>
  <c r="T12" i="113"/>
  <c r="O42" i="113"/>
  <c r="V43" i="113"/>
  <c r="T19" i="113"/>
  <c r="C42" i="174"/>
  <c r="G14" i="113"/>
  <c r="L14" i="113"/>
  <c r="F44" i="113"/>
  <c r="H11" i="174"/>
  <c r="H11" i="113"/>
  <c r="K48" i="174"/>
  <c r="G30" i="174"/>
  <c r="D43" i="113"/>
  <c r="W11" i="174"/>
  <c r="E27" i="113"/>
  <c r="W14" i="113"/>
  <c r="M46" i="174"/>
  <c r="M14" i="174"/>
  <c r="D35" i="174"/>
  <c r="C48" i="113"/>
  <c r="C17" i="113"/>
  <c r="R45" i="174"/>
  <c r="J11" i="174"/>
  <c r="M33" i="113"/>
  <c r="N12" i="113"/>
  <c r="G43" i="113"/>
  <c r="M32" i="174"/>
  <c r="G40" i="113"/>
  <c r="E12" i="174"/>
  <c r="I15" i="113"/>
  <c r="T14" i="113"/>
  <c r="L17" i="174"/>
  <c r="I16" i="113"/>
  <c r="L48" i="113"/>
  <c r="U43" i="113"/>
  <c r="Q46" i="174"/>
  <c r="G15" i="174"/>
  <c r="H42" i="174"/>
  <c r="Q40" i="113"/>
  <c r="Q42" i="113"/>
  <c r="G19" i="174"/>
  <c r="G19" i="113"/>
  <c r="V44" i="174"/>
  <c r="L12" i="113"/>
  <c r="R19" i="167"/>
  <c r="N12" i="174"/>
  <c r="T16" i="113"/>
  <c r="D15" i="174"/>
  <c r="M15" i="174"/>
  <c r="I40" i="174"/>
  <c r="S48" i="174"/>
  <c r="S43" i="174"/>
  <c r="O27" i="113"/>
  <c r="X16" i="113"/>
  <c r="Q14" i="174"/>
  <c r="M13" i="174"/>
  <c r="I11" i="113"/>
  <c r="F35" i="167"/>
  <c r="K13" i="174"/>
  <c r="G44" i="174"/>
  <c r="C40" i="113"/>
  <c r="O41" i="174"/>
  <c r="P29" i="113"/>
  <c r="O27" i="174"/>
  <c r="Y13" i="174"/>
  <c r="K45" i="174"/>
  <c r="N48" i="167"/>
  <c r="N35" i="113"/>
  <c r="C13" i="174"/>
  <c r="M33" i="174"/>
  <c r="Y14" i="174"/>
  <c r="C27" i="113"/>
  <c r="O35" i="167"/>
  <c r="N46" i="174"/>
  <c r="E42" i="174"/>
  <c r="I14" i="174"/>
  <c r="P12" i="113"/>
  <c r="S12" i="113"/>
  <c r="Q15" i="174"/>
  <c r="J17" i="174"/>
  <c r="Q46" i="113"/>
  <c r="P46" i="174"/>
  <c r="Y16" i="174"/>
  <c r="O19" i="174"/>
  <c r="U45" i="113"/>
  <c r="H12" i="174"/>
  <c r="G29" i="174"/>
  <c r="E45" i="174"/>
  <c r="D30" i="174"/>
  <c r="F48" i="113"/>
  <c r="U42" i="174"/>
  <c r="L44" i="113"/>
  <c r="D19" i="167"/>
  <c r="K12" i="174"/>
  <c r="D42" i="174"/>
  <c r="Q45" i="113"/>
  <c r="L40" i="174"/>
  <c r="R11" i="113"/>
  <c r="N13" i="113"/>
  <c r="V41" i="174"/>
  <c r="H41" i="174"/>
  <c r="L31" i="174"/>
  <c r="R48" i="174"/>
  <c r="E16" i="113"/>
  <c r="M42" i="174"/>
  <c r="V45" i="174"/>
  <c r="D13" i="113"/>
  <c r="E27" i="174"/>
  <c r="O33" i="113"/>
  <c r="J42" i="113"/>
  <c r="H40" i="113"/>
  <c r="O43" i="174"/>
  <c r="R13" i="174"/>
  <c r="I48" i="113"/>
  <c r="T41" i="113"/>
  <c r="L32" i="174"/>
  <c r="I43" i="174"/>
  <c r="E43" i="174"/>
  <c r="H40" i="174"/>
  <c r="R14" i="174"/>
  <c r="W11" i="113"/>
  <c r="D16" i="174"/>
  <c r="S44" i="174"/>
  <c r="T48" i="167"/>
  <c r="D11" i="174"/>
  <c r="C16" i="113"/>
  <c r="S46" i="113"/>
  <c r="U48" i="167"/>
  <c r="Z15" i="113"/>
  <c r="C33" i="113"/>
  <c r="K41" i="174"/>
  <c r="N32" i="174"/>
  <c r="E19" i="174"/>
  <c r="O48" i="174"/>
  <c r="O41" i="113"/>
  <c r="L19" i="174"/>
  <c r="C14" i="113"/>
  <c r="V13" i="174"/>
  <c r="K42" i="174"/>
  <c r="C35" i="113"/>
  <c r="S44" i="113"/>
  <c r="Q19" i="113"/>
  <c r="F17" i="113"/>
  <c r="G17" i="174"/>
  <c r="E46" i="174"/>
  <c r="C32" i="174"/>
  <c r="H19" i="167"/>
  <c r="N11" i="113"/>
  <c r="Q11" i="113"/>
  <c r="Q44" i="174"/>
  <c r="L35" i="167"/>
  <c r="O11" i="174"/>
  <c r="U44" i="113"/>
  <c r="H42" i="113"/>
  <c r="Y12" i="174"/>
  <c r="C48" i="167"/>
  <c r="G43" i="174"/>
  <c r="E31" i="113"/>
  <c r="G35" i="167"/>
  <c r="E48" i="167"/>
  <c r="M41" i="174"/>
  <c r="X12" i="113"/>
  <c r="T44" i="113"/>
  <c r="T40" i="113"/>
  <c r="V12" i="174"/>
  <c r="J41" i="113"/>
  <c r="I46" i="113"/>
  <c r="T44" i="174"/>
  <c r="C45" i="113"/>
  <c r="Q17" i="174"/>
  <c r="D44" i="113"/>
  <c r="D45" i="113"/>
  <c r="T43" i="174"/>
  <c r="O29" i="113"/>
  <c r="S16" i="113"/>
  <c r="Q41" i="174"/>
  <c r="Q13" i="174"/>
  <c r="N40" i="174"/>
  <c r="L11" i="174"/>
  <c r="T11" i="174"/>
  <c r="M27" i="113"/>
  <c r="F35" i="113"/>
  <c r="C41" i="174"/>
  <c r="O15" i="174"/>
  <c r="J14" i="113"/>
  <c r="F35" i="174"/>
  <c r="J17" i="113"/>
  <c r="C48" i="174"/>
  <c r="J16" i="174"/>
  <c r="H48" i="113"/>
  <c r="L14" i="174"/>
  <c r="C31" i="174"/>
  <c r="J14" i="174"/>
  <c r="T40" i="174"/>
  <c r="S17" i="113"/>
  <c r="E30" i="113"/>
  <c r="O28" i="113"/>
  <c r="U19" i="167"/>
  <c r="T42" i="174"/>
  <c r="L16" i="174"/>
  <c r="V11" i="113"/>
  <c r="R41" i="113"/>
  <c r="O44" i="174"/>
  <c r="H48" i="167"/>
  <c r="F31" i="113"/>
  <c r="Q12" i="113"/>
  <c r="V46" i="113"/>
  <c r="U17" i="113"/>
  <c r="K17" i="113"/>
  <c r="P28" i="174"/>
  <c r="R16" i="113"/>
  <c r="M45" i="174"/>
  <c r="K42" i="113"/>
  <c r="G42" i="174"/>
  <c r="N28" i="113"/>
  <c r="K11" i="113"/>
  <c r="S15" i="174"/>
  <c r="X13" i="113"/>
  <c r="F40" i="113"/>
  <c r="P13" i="174"/>
  <c r="G41" i="113"/>
  <c r="S19" i="174"/>
  <c r="D33" i="113"/>
  <c r="T12" i="174"/>
  <c r="I16" i="174"/>
  <c r="Z19" i="167"/>
  <c r="J12" i="113"/>
  <c r="T15" i="174"/>
  <c r="V14" i="174"/>
  <c r="P27" i="174"/>
  <c r="P14" i="113"/>
  <c r="U11" i="113"/>
  <c r="R42" i="174"/>
  <c r="I12" i="174"/>
  <c r="C16" i="174"/>
  <c r="O35" i="113"/>
  <c r="X12" i="174"/>
  <c r="I13" i="174"/>
  <c r="O14" i="113"/>
  <c r="F46" i="174"/>
  <c r="L42" i="174"/>
  <c r="S48" i="167"/>
  <c r="F33" i="113"/>
  <c r="N19" i="167"/>
  <c r="W19" i="174"/>
  <c r="C31" i="113"/>
  <c r="L44" i="174"/>
  <c r="V16" i="113"/>
  <c r="D41" i="174"/>
  <c r="R15" i="174"/>
  <c r="N33" i="113"/>
  <c r="R48" i="113"/>
  <c r="W12" i="113"/>
  <c r="P33" i="174"/>
  <c r="O13" i="113"/>
  <c r="H43" i="113"/>
  <c r="P32" i="174"/>
  <c r="Q48" i="113"/>
  <c r="D32" i="174"/>
  <c r="S13" i="174"/>
  <c r="D12" i="113"/>
  <c r="F42" i="174"/>
  <c r="V45" i="113"/>
  <c r="P27" i="113"/>
  <c r="N29" i="174"/>
  <c r="P43" i="174"/>
  <c r="C13" i="113"/>
  <c r="S15" i="113"/>
  <c r="F46" i="113"/>
  <c r="T19" i="167"/>
  <c r="Y15" i="174"/>
  <c r="K11" i="174"/>
  <c r="G19" i="167"/>
  <c r="H19" i="113"/>
  <c r="F27" i="174"/>
  <c r="O42" i="174"/>
  <c r="Q48" i="174"/>
  <c r="I42" i="113"/>
  <c r="M30" i="113"/>
  <c r="D14" i="174"/>
  <c r="T48" i="113"/>
  <c r="O12" i="113"/>
  <c r="N41" i="113"/>
  <c r="R17" i="174"/>
  <c r="M43" i="174"/>
  <c r="C14" i="174"/>
  <c r="M12" i="113"/>
  <c r="K43" i="174"/>
  <c r="O30" i="113"/>
  <c r="N43" i="174"/>
  <c r="Z16" i="113"/>
  <c r="F19" i="174"/>
  <c r="J15" i="113"/>
  <c r="G29" i="113"/>
  <c r="R19" i="113"/>
  <c r="S42" i="174"/>
  <c r="U11" i="174"/>
  <c r="G45" i="113"/>
  <c r="P17" i="113"/>
  <c r="G32" i="113"/>
  <c r="D16" i="113"/>
  <c r="F19" i="113"/>
  <c r="P42" i="174"/>
  <c r="S14" i="174"/>
  <c r="J48" i="113"/>
  <c r="E48" i="174"/>
  <c r="L15" i="174"/>
  <c r="W19" i="167"/>
  <c r="P44" i="174"/>
  <c r="C46" i="113"/>
  <c r="S17" i="174"/>
  <c r="D31" i="113"/>
  <c r="N33" i="174"/>
  <c r="D48" i="174"/>
  <c r="C29" i="113"/>
  <c r="K46" i="113"/>
  <c r="T17" i="113"/>
  <c r="W15" i="113"/>
  <c r="C43" i="113"/>
  <c r="F19" i="167"/>
  <c r="N28" i="174"/>
  <c r="F41" i="174"/>
  <c r="P35" i="113"/>
  <c r="E46" i="113"/>
  <c r="I11" i="174"/>
  <c r="D29" i="113"/>
  <c r="V19" i="113"/>
  <c r="U12" i="113"/>
  <c r="P43" i="113"/>
  <c r="O35" i="174"/>
  <c r="O12" i="174"/>
  <c r="E33" i="174"/>
  <c r="M13" i="113"/>
  <c r="K44" i="113"/>
  <c r="M40" i="113"/>
  <c r="W12" i="174"/>
  <c r="M19" i="174"/>
  <c r="E40" i="113"/>
  <c r="E41" i="113"/>
  <c r="Q11" i="174"/>
  <c r="N48" i="113"/>
  <c r="F16" i="174"/>
  <c r="V13" i="113"/>
  <c r="U12" i="174"/>
  <c r="F32" i="113"/>
  <c r="S41" i="174"/>
  <c r="O15" i="113"/>
  <c r="V17" i="174"/>
  <c r="H17" i="113"/>
  <c r="L13" i="113"/>
  <c r="C12" i="174"/>
  <c r="H46" i="174"/>
  <c r="R12" i="113"/>
  <c r="E16" i="174"/>
  <c r="G11" i="113"/>
  <c r="T15" i="113"/>
  <c r="O31" i="174"/>
  <c r="G16" i="113"/>
  <c r="E29" i="174"/>
  <c r="L46" i="174"/>
  <c r="V44" i="113"/>
  <c r="S41" i="113"/>
  <c r="P31" i="174"/>
  <c r="Z11" i="113"/>
  <c r="X19" i="113"/>
  <c r="G17" i="113"/>
  <c r="S19" i="113"/>
  <c r="R40" i="174"/>
  <c r="K19" i="113"/>
  <c r="Q19" i="167"/>
  <c r="X11" i="174"/>
  <c r="L41" i="174"/>
  <c r="E41" i="174"/>
  <c r="T14" i="174"/>
  <c r="V17" i="113"/>
  <c r="W14" i="174"/>
  <c r="M17" i="174"/>
  <c r="F40" i="174"/>
  <c r="P46" i="113"/>
  <c r="T13" i="174"/>
  <c r="U46" i="174"/>
  <c r="D28" i="174"/>
  <c r="C27" i="174"/>
  <c r="Q13" i="113"/>
  <c r="M19" i="113"/>
  <c r="O45" i="113"/>
  <c r="L33" i="113"/>
  <c r="U41" i="113"/>
  <c r="N16" i="113"/>
  <c r="E42" i="113"/>
  <c r="X17" i="113"/>
  <c r="G35" i="174"/>
  <c r="E43" i="113"/>
  <c r="Y15" i="113"/>
  <c r="E29" i="113"/>
  <c r="R44" i="174"/>
  <c r="G33" i="113"/>
  <c r="G14" i="174"/>
  <c r="U14" i="113"/>
  <c r="G40" i="174"/>
  <c r="J13" i="113"/>
  <c r="W17" i="113"/>
  <c r="O29" i="174"/>
  <c r="D48" i="167"/>
  <c r="O44" i="113"/>
  <c r="K40" i="113"/>
  <c r="H45" i="113"/>
  <c r="F13" i="113"/>
  <c r="R16" i="174"/>
  <c r="J43" i="174"/>
  <c r="O46" i="174"/>
  <c r="E14" i="113"/>
  <c r="J46" i="113"/>
  <c r="X15" i="113"/>
  <c r="R17" i="113"/>
  <c r="N48" i="174"/>
  <c r="K48" i="113"/>
  <c r="O48" i="167"/>
  <c r="C46" i="174"/>
  <c r="K15" i="113"/>
  <c r="N30" i="174"/>
  <c r="H15" i="113"/>
  <c r="N44" i="174"/>
  <c r="U48" i="113"/>
  <c r="C45" i="174"/>
  <c r="N14" i="174"/>
  <c r="L11" i="113"/>
  <c r="D14" i="113"/>
  <c r="E11" i="113"/>
  <c r="M48" i="113"/>
  <c r="R45" i="113"/>
  <c r="L29" i="113"/>
  <c r="K19" i="174"/>
  <c r="G46" i="174"/>
  <c r="D31" i="174"/>
  <c r="E35" i="167"/>
  <c r="Z17" i="174"/>
  <c r="K14" i="113"/>
  <c r="G42" i="113"/>
  <c r="O46" i="113"/>
  <c r="H16" i="113"/>
  <c r="C28" i="174"/>
  <c r="P29" i="174"/>
  <c r="Y17" i="174"/>
  <c r="G48" i="113"/>
  <c r="O32" i="113"/>
  <c r="P48" i="174"/>
  <c r="K16" i="113"/>
  <c r="G45" i="174"/>
  <c r="F43" i="113"/>
  <c r="I45" i="113"/>
  <c r="O48" i="113"/>
  <c r="Z19" i="174"/>
  <c r="N32" i="113"/>
  <c r="P32" i="113"/>
  <c r="T46" i="174"/>
  <c r="G31" i="113"/>
  <c r="D12" i="174"/>
  <c r="C15" i="113"/>
  <c r="F17" i="174"/>
  <c r="J44" i="174"/>
  <c r="L17" i="113"/>
  <c r="F15" i="113"/>
  <c r="P45" i="174"/>
  <c r="W19" i="113"/>
  <c r="X19" i="167"/>
  <c r="D27" i="174"/>
  <c r="L19" i="113"/>
  <c r="M11" i="113"/>
  <c r="M31" i="174"/>
  <c r="K48" i="167"/>
  <c r="C29" i="174"/>
  <c r="N19" i="174"/>
  <c r="D13" i="174"/>
  <c r="D44" i="174"/>
  <c r="N35" i="174"/>
  <c r="T16" i="174"/>
  <c r="H19" i="174"/>
  <c r="E15" i="174"/>
  <c r="F27" i="113"/>
  <c r="M41" i="113"/>
  <c r="M35" i="167"/>
  <c r="M32" i="113"/>
  <c r="E13" i="174"/>
  <c r="D48" i="113"/>
  <c r="P12" i="174"/>
  <c r="L30" i="174"/>
  <c r="I13" i="113"/>
  <c r="W17" i="174"/>
  <c r="O14" i="174"/>
  <c r="T43" i="113"/>
  <c r="Y19" i="174"/>
  <c r="E35" i="174"/>
  <c r="O45" i="174"/>
  <c r="F43" i="174"/>
  <c r="F45" i="113"/>
  <c r="Y11" i="174"/>
  <c r="I48" i="174"/>
  <c r="V42" i="113"/>
  <c r="P33" i="113"/>
  <c r="M28" i="113"/>
  <c r="D19" i="174"/>
  <c r="P40" i="113"/>
  <c r="D35" i="113"/>
  <c r="G11" i="174"/>
  <c r="K16" i="174"/>
  <c r="S13" i="113"/>
  <c r="W15" i="174"/>
  <c r="N45" i="174"/>
  <c r="K41" i="113"/>
  <c r="K14" i="174"/>
  <c r="D33" i="174"/>
  <c r="F28" i="113"/>
  <c r="Z14" i="113"/>
  <c r="P41" i="113"/>
  <c r="P11" i="174"/>
  <c r="O16" i="174"/>
  <c r="J40" i="113"/>
  <c r="Y12" i="113"/>
  <c r="T45" i="113"/>
  <c r="O30" i="174"/>
  <c r="T19" i="174"/>
  <c r="J41" i="174"/>
  <c r="K15" i="174"/>
  <c r="M45" i="113"/>
  <c r="H14" i="113"/>
  <c r="D40" i="113"/>
  <c r="F13" i="174"/>
  <c r="I14" i="113"/>
  <c r="U42" i="113"/>
  <c r="V15" i="113"/>
  <c r="N46" i="113"/>
  <c r="J11" i="113"/>
  <c r="U13" i="113"/>
  <c r="R44" i="113"/>
  <c r="S11" i="174"/>
  <c r="H44" i="174"/>
  <c r="S46" i="174"/>
  <c r="Z11" i="174"/>
  <c r="W16" i="174"/>
  <c r="Z14" i="174"/>
  <c r="K46" i="174"/>
  <c r="H48" i="174"/>
  <c r="I48" i="167"/>
  <c r="C33" i="174"/>
  <c r="O40" i="174"/>
  <c r="S42" i="113"/>
  <c r="D30" i="113"/>
  <c r="Y19" i="113"/>
  <c r="E19" i="113"/>
  <c r="E12" i="113"/>
  <c r="S45" i="113"/>
  <c r="P30" i="174"/>
  <c r="F12" i="113"/>
  <c r="J43" i="113"/>
  <c r="V11" i="174"/>
  <c r="S19" i="167"/>
  <c r="S16" i="174"/>
  <c r="F11" i="113"/>
  <c r="C11" i="113"/>
  <c r="H17" i="174"/>
  <c r="M48" i="174"/>
  <c r="Y16" i="113"/>
  <c r="P17" i="174"/>
  <c r="O43" i="113"/>
  <c r="C28" i="113"/>
  <c r="D27" i="113"/>
  <c r="C32" i="113"/>
  <c r="Z12" i="113"/>
  <c r="F12" i="174"/>
  <c r="H13" i="174"/>
  <c r="V19" i="167"/>
  <c r="M16" i="174"/>
  <c r="M44" i="174"/>
  <c r="G13" i="113"/>
  <c r="N15" i="113"/>
  <c r="L28" i="174"/>
  <c r="D15" i="113"/>
  <c r="D28" i="113"/>
  <c r="U45" i="174"/>
  <c r="E31" i="174"/>
  <c r="K43" i="113"/>
  <c r="Q43" i="174"/>
  <c r="W16" i="113"/>
  <c r="H43" i="174"/>
  <c r="L19" i="167"/>
  <c r="J48" i="167"/>
  <c r="R40" i="113"/>
  <c r="E44" i="113"/>
  <c r="G48" i="167"/>
  <c r="I46" i="174"/>
  <c r="Q40" i="174"/>
  <c r="S14" i="113"/>
  <c r="V19" i="174"/>
  <c r="K19" i="167"/>
  <c r="N31" i="174"/>
  <c r="D40" i="174"/>
  <c r="S40" i="174"/>
  <c r="G31" i="174"/>
  <c r="T41" i="174"/>
  <c r="Q48" i="167"/>
  <c r="G33" i="174"/>
  <c r="W13" i="174"/>
  <c r="O40" i="113"/>
  <c r="N27" i="174"/>
  <c r="Z17" i="113"/>
  <c r="I40" i="113"/>
  <c r="E17" i="113"/>
  <c r="N42" i="174"/>
  <c r="X14" i="113"/>
  <c r="L40" i="113"/>
  <c r="E30" i="174"/>
  <c r="I44" i="174"/>
  <c r="M30" i="174"/>
  <c r="C30" i="113"/>
  <c r="M43" i="113"/>
  <c r="E32" i="174"/>
  <c r="U17" i="174"/>
  <c r="L31" i="113"/>
  <c r="E19" i="167"/>
  <c r="G46" i="113"/>
  <c r="Z12" i="174"/>
  <c r="G35" i="113"/>
  <c r="U46" i="113"/>
  <c r="K13" i="113"/>
  <c r="L35" i="174"/>
  <c r="M42" i="113"/>
  <c r="H16" i="174"/>
  <c r="K45" i="113"/>
  <c r="D19" i="113"/>
  <c r="Y11" i="113"/>
  <c r="N35" i="167"/>
  <c r="W13" i="113"/>
  <c r="J46" i="174"/>
  <c r="R43" i="174"/>
  <c r="L32" i="113"/>
  <c r="M35" i="113"/>
  <c r="E48" i="113"/>
  <c r="N30" i="113"/>
  <c r="J13" i="174"/>
  <c r="H41" i="113"/>
  <c r="R11" i="174"/>
  <c r="P16" i="113"/>
  <c r="O17" i="113"/>
  <c r="M48" i="167"/>
  <c r="M19" i="167"/>
  <c r="P44" i="113"/>
  <c r="D11" i="113"/>
  <c r="Z13" i="174"/>
  <c r="N17" i="174"/>
  <c r="P30" i="113"/>
  <c r="U48" i="174"/>
  <c r="F48" i="174"/>
  <c r="N29" i="113"/>
  <c r="V15" i="174"/>
  <c r="L33" i="174"/>
  <c r="L43" i="174"/>
  <c r="N43" i="113"/>
  <c r="F14" i="113"/>
  <c r="X11" i="113"/>
  <c r="R42" i="113"/>
  <c r="M15" i="113"/>
  <c r="C17" i="174"/>
  <c r="D29" i="174"/>
  <c r="C11" i="174"/>
  <c r="M11" i="174"/>
  <c r="X16" i="174"/>
  <c r="Q42" i="174"/>
  <c r="K17" i="174"/>
  <c r="V43" i="174"/>
  <c r="K12" i="113"/>
  <c r="J40" i="174"/>
  <c r="P16" i="174"/>
  <c r="U44" i="174"/>
  <c r="C12" i="113"/>
  <c r="S43" i="113"/>
  <c r="L48" i="174"/>
  <c r="X19" i="174"/>
  <c r="X14" i="174"/>
  <c r="R13" i="113"/>
  <c r="Q15" i="113"/>
  <c r="H13" i="113"/>
  <c r="L27" i="113"/>
  <c r="R12" i="174"/>
  <c r="Q16" i="174"/>
  <c r="Q16" i="113"/>
  <c r="J15" i="174"/>
  <c r="C35" i="167"/>
  <c r="Z16" i="174"/>
  <c r="Q43" i="113"/>
  <c r="L12" i="174"/>
  <c r="V14" i="113"/>
  <c r="R15" i="113"/>
  <c r="P14" i="174"/>
  <c r="K40" i="174"/>
  <c r="P48" i="167"/>
  <c r="Q41" i="113"/>
  <c r="P15" i="113"/>
  <c r="O17" i="174"/>
  <c r="F15" i="174"/>
  <c r="S45" i="174"/>
  <c r="F44" i="174"/>
  <c r="L46" i="113"/>
  <c r="U43" i="174"/>
  <c r="C30" i="174"/>
  <c r="H12" i="113"/>
  <c r="F11" i="174"/>
  <c r="N13" i="174"/>
  <c r="Q14" i="113"/>
  <c r="L16" i="113"/>
  <c r="Y17" i="113"/>
  <c r="G27" i="174"/>
  <c r="I44" i="113"/>
  <c r="U40" i="113"/>
  <c r="I15" i="174"/>
  <c r="M35" i="174"/>
  <c r="C35" i="174"/>
  <c r="S48" i="113"/>
  <c r="N27" i="113"/>
  <c r="M12" i="174"/>
  <c r="F30" i="174"/>
  <c r="P13" i="113"/>
  <c r="T17" i="174"/>
  <c r="C15" i="174"/>
  <c r="R19" i="174"/>
  <c r="O19" i="113"/>
  <c r="J42" i="174"/>
  <c r="G30" i="113"/>
  <c r="Y19" i="167"/>
  <c r="L29" i="174"/>
  <c r="I17" i="174"/>
  <c r="D46" i="174"/>
  <c r="Q44" i="113"/>
  <c r="L13" i="174"/>
  <c r="U40" i="174"/>
  <c r="V48" i="113"/>
  <c r="Z15" i="174"/>
  <c r="S11" i="113"/>
  <c r="E40" i="174"/>
  <c r="M17" i="113"/>
  <c r="D41" i="113"/>
  <c r="V46" i="174"/>
  <c r="J12" i="174"/>
  <c r="N14" i="113"/>
  <c r="L28" i="113"/>
  <c r="H46" i="113"/>
  <c r="Y13" i="113"/>
  <c r="N44" i="113"/>
  <c r="V40" i="113"/>
  <c r="E14" i="174"/>
  <c r="E45" i="113"/>
  <c r="L41" i="113"/>
  <c r="Z13" i="113"/>
  <c r="F31" i="174"/>
  <c r="M29" i="174"/>
  <c r="J45" i="174"/>
  <c r="P48" i="113"/>
  <c r="V16" i="174"/>
  <c r="K44" i="174"/>
  <c r="P28" i="113"/>
  <c r="G13" i="174"/>
  <c r="M44" i="113"/>
  <c r="O31" i="113"/>
  <c r="U15" i="113"/>
  <c r="F28" i="174"/>
  <c r="T13" i="113"/>
  <c r="M46" i="113"/>
  <c r="S40" i="113"/>
  <c r="X15" i="174"/>
  <c r="N16" i="174"/>
  <c r="X13" i="174"/>
  <c r="Z19" i="113"/>
  <c r="R14" i="113"/>
  <c r="D46" i="113"/>
  <c r="I12" i="113"/>
  <c r="D45" i="174"/>
  <c r="E13" i="113"/>
  <c r="C40" i="174"/>
  <c r="H15" i="174"/>
  <c r="F16" i="113"/>
  <c r="N40" i="113"/>
  <c r="D42" i="113"/>
  <c r="Y14" i="113"/>
  <c r="G15" i="113"/>
  <c r="O16" i="113"/>
  <c r="P40" i="174"/>
  <c r="F32" i="174"/>
  <c r="Q45" i="174"/>
  <c r="G41" i="174"/>
  <c r="F29" i="113"/>
  <c r="I42" i="174"/>
  <c r="R48" i="167"/>
  <c r="F42" i="113"/>
  <c r="E44" i="174"/>
  <c r="N19" i="113"/>
  <c r="J45" i="113"/>
  <c r="R43" i="113"/>
  <c r="I41" i="113"/>
  <c r="F41" i="113"/>
  <c r="D43" i="174"/>
  <c r="U19" i="174"/>
  <c r="I43" i="113"/>
  <c r="E28" i="113"/>
  <c r="D17" i="113"/>
  <c r="T46" i="113"/>
  <c r="V48" i="174"/>
  <c r="F33" i="174"/>
  <c r="U14" i="174"/>
  <c r="O32" i="174"/>
  <c r="U41" i="174"/>
  <c r="P15" i="174"/>
  <c r="C42" i="113"/>
  <c r="R46" i="174"/>
  <c r="J44" i="113"/>
  <c r="O19" i="167"/>
  <c r="T45" i="174"/>
  <c r="E11" i="174"/>
  <c r="Q19" i="174"/>
  <c r="O11" i="113"/>
  <c r="L45" i="113"/>
  <c r="E28" i="174"/>
  <c r="N15" i="174"/>
  <c r="G48" i="174"/>
  <c r="L45" i="174"/>
  <c r="V40" i="174"/>
  <c r="M14" i="113"/>
  <c r="L42" i="113"/>
  <c r="G32" i="174"/>
  <c r="P31" i="113"/>
  <c r="G44" i="113"/>
  <c r="N17" i="113"/>
  <c r="M28" i="174"/>
  <c r="I17" i="113"/>
  <c r="N45" i="113"/>
  <c r="P42" i="113"/>
  <c r="G16" i="174"/>
  <c r="V41" i="113"/>
  <c r="M27" i="174"/>
  <c r="V12" i="113"/>
  <c r="G28" i="113"/>
  <c r="N42" i="113"/>
  <c r="O28" i="174"/>
  <c r="S12" i="174"/>
  <c r="P35" i="174"/>
  <c r="E33" i="113"/>
  <c r="L35" i="113"/>
  <c r="Q12" i="174"/>
  <c r="F30" i="113"/>
  <c r="U16" i="113"/>
  <c r="R46" i="113"/>
  <c r="M40" i="174"/>
  <c r="D17" i="174"/>
  <c r="H44" i="113"/>
  <c r="I41" i="174"/>
  <c r="G12" i="174"/>
  <c r="M47" i="174" l="1"/>
  <c r="Q35" i="113"/>
  <c r="M34" i="174"/>
  <c r="AA17" i="113"/>
  <c r="V47" i="174"/>
  <c r="E18" i="174"/>
  <c r="P47" i="174"/>
  <c r="W40" i="174"/>
  <c r="W47" i="174" s="1"/>
  <c r="C47" i="174"/>
  <c r="AA12" i="113"/>
  <c r="Q28" i="113"/>
  <c r="E47" i="174"/>
  <c r="U47" i="174"/>
  <c r="AA17" i="174"/>
  <c r="Q29" i="174"/>
  <c r="N34" i="113"/>
  <c r="H35" i="174"/>
  <c r="AA15" i="174"/>
  <c r="G34" i="174"/>
  <c r="F18" i="174"/>
  <c r="H30" i="174"/>
  <c r="K47" i="174"/>
  <c r="H35" i="167"/>
  <c r="Q27" i="113"/>
  <c r="J47" i="174"/>
  <c r="M18" i="174"/>
  <c r="C18" i="174"/>
  <c r="Q33" i="174"/>
  <c r="R18" i="174"/>
  <c r="Q32" i="113"/>
  <c r="Q35" i="174"/>
  <c r="Q31" i="113"/>
  <c r="N34" i="174"/>
  <c r="S47" i="174"/>
  <c r="D47" i="174"/>
  <c r="Q47" i="174"/>
  <c r="Q28" i="174"/>
  <c r="V18" i="174"/>
  <c r="O47" i="174"/>
  <c r="H33" i="174"/>
  <c r="Z18" i="174"/>
  <c r="S18" i="174"/>
  <c r="AA14" i="113"/>
  <c r="P18" i="174"/>
  <c r="G18" i="174"/>
  <c r="AA19" i="174"/>
  <c r="Y18" i="174"/>
  <c r="AA13" i="113"/>
  <c r="Q30" i="174"/>
  <c r="H29" i="174"/>
  <c r="D34" i="174"/>
  <c r="H28" i="174"/>
  <c r="Q29" i="113"/>
  <c r="W45" i="174"/>
  <c r="W46" i="174"/>
  <c r="G47" i="174"/>
  <c r="Q33" i="113"/>
  <c r="H27" i="174"/>
  <c r="C34" i="174"/>
  <c r="F47" i="174"/>
  <c r="X18" i="174"/>
  <c r="R47" i="174"/>
  <c r="Q18" i="174"/>
  <c r="I18" i="174"/>
  <c r="AA11" i="174"/>
  <c r="U18" i="174"/>
  <c r="F34" i="174"/>
  <c r="K18" i="174"/>
  <c r="AA13" i="174"/>
  <c r="AA12" i="174"/>
  <c r="P34" i="174"/>
  <c r="AA16" i="174"/>
  <c r="T47" i="174"/>
  <c r="H31" i="174"/>
  <c r="W48" i="174"/>
  <c r="W41" i="174"/>
  <c r="T18" i="174"/>
  <c r="L18" i="174"/>
  <c r="N47" i="174"/>
  <c r="W48" i="167"/>
  <c r="O18" i="174"/>
  <c r="H32" i="174"/>
  <c r="D18" i="174"/>
  <c r="H47" i="174"/>
  <c r="Q32" i="174"/>
  <c r="E34" i="174"/>
  <c r="Q31" i="174"/>
  <c r="L47" i="174"/>
  <c r="AA19" i="167"/>
  <c r="AA14" i="174"/>
  <c r="H27" i="113"/>
  <c r="O34" i="174"/>
  <c r="AA11" i="113"/>
  <c r="I47" i="174"/>
  <c r="AA16" i="113"/>
  <c r="AA15" i="113"/>
  <c r="J18" i="174"/>
  <c r="W18" i="174"/>
  <c r="H18" i="174"/>
  <c r="W42" i="174"/>
  <c r="W44" i="174"/>
  <c r="W43" i="174"/>
  <c r="Q27" i="174"/>
  <c r="L34" i="174"/>
  <c r="Q34" i="174" s="1"/>
  <c r="Q30" i="113"/>
  <c r="N18" i="174"/>
  <c r="B51" i="151"/>
  <c r="D34" i="151"/>
  <c r="C34" i="151" s="1"/>
  <c r="AA18" i="174" l="1"/>
  <c r="H34" i="174"/>
  <c r="O19" i="151"/>
  <c r="O20" i="151"/>
  <c r="O21" i="151"/>
  <c r="O22" i="151"/>
  <c r="O23" i="151"/>
  <c r="O24" i="151"/>
  <c r="H19" i="151"/>
  <c r="H20" i="151"/>
  <c r="H21" i="151"/>
  <c r="H22" i="151"/>
  <c r="H23" i="151"/>
  <c r="H24" i="151"/>
  <c r="M33" i="151"/>
  <c r="N33" i="151"/>
  <c r="Y29" i="150"/>
  <c r="C33" i="151"/>
  <c r="Z20" i="151" l="1"/>
  <c r="Z19" i="151"/>
  <c r="Z22" i="151"/>
  <c r="Z23" i="151"/>
  <c r="Z2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B71" i="151"/>
  <c r="U70" i="151"/>
  <c r="T70" i="151"/>
  <c r="S70" i="151"/>
  <c r="R70" i="151"/>
  <c r="Q70" i="151"/>
  <c r="P70" i="151"/>
  <c r="O70" i="151"/>
  <c r="N70" i="151"/>
  <c r="M70" i="151"/>
  <c r="L70" i="151"/>
  <c r="K70" i="151"/>
  <c r="J70" i="151"/>
  <c r="I70" i="151"/>
  <c r="H70" i="151"/>
  <c r="G70" i="151"/>
  <c r="F70" i="151"/>
  <c r="E70" i="151"/>
  <c r="D70" i="151"/>
  <c r="C70" i="151"/>
  <c r="B70" i="151"/>
  <c r="V69" i="151"/>
  <c r="U67" i="151"/>
  <c r="U72" i="151" s="1"/>
  <c r="U74" i="151" s="1"/>
  <c r="T67" i="151"/>
  <c r="S67" i="151"/>
  <c r="S72" i="151" s="1"/>
  <c r="S74" i="151" s="1"/>
  <c r="R67" i="151"/>
  <c r="R72" i="151" s="1"/>
  <c r="R74" i="151" s="1"/>
  <c r="Q67" i="151"/>
  <c r="Q72" i="151" s="1"/>
  <c r="Q74" i="151" s="1"/>
  <c r="P67" i="151"/>
  <c r="P72" i="151" s="1"/>
  <c r="P74" i="151" s="1"/>
  <c r="O67" i="151"/>
  <c r="O72" i="151" s="1"/>
  <c r="O74" i="151" s="1"/>
  <c r="N67" i="151"/>
  <c r="N72" i="151" s="1"/>
  <c r="N74" i="151" s="1"/>
  <c r="M67" i="151"/>
  <c r="M72" i="151" s="1"/>
  <c r="M74" i="151" s="1"/>
  <c r="L67" i="151"/>
  <c r="L72" i="151" s="1"/>
  <c r="L74" i="151" s="1"/>
  <c r="K67" i="151"/>
  <c r="K72" i="151" s="1"/>
  <c r="K74" i="151" s="1"/>
  <c r="J67" i="151"/>
  <c r="J72" i="151" s="1"/>
  <c r="J74" i="151" s="1"/>
  <c r="I67" i="151"/>
  <c r="I72" i="151" s="1"/>
  <c r="I74" i="151" s="1"/>
  <c r="H67" i="151"/>
  <c r="H72" i="151" s="1"/>
  <c r="H74" i="151" s="1"/>
  <c r="G67" i="151"/>
  <c r="G72" i="151" s="1"/>
  <c r="G74" i="151" s="1"/>
  <c r="F67" i="151"/>
  <c r="F72" i="151" s="1"/>
  <c r="F74" i="151" s="1"/>
  <c r="E67" i="151"/>
  <c r="E72" i="151" s="1"/>
  <c r="E74" i="151" s="1"/>
  <c r="D67" i="151"/>
  <c r="D72" i="151" s="1"/>
  <c r="D74" i="151" s="1"/>
  <c r="C67" i="151"/>
  <c r="C72" i="151" s="1"/>
  <c r="C74" i="151" s="1"/>
  <c r="B67" i="151"/>
  <c r="B72" i="151" s="1"/>
  <c r="B74" i="151" s="1"/>
  <c r="V66" i="151"/>
  <c r="V65" i="151"/>
  <c r="V64" i="151"/>
  <c r="V63" i="151"/>
  <c r="V62" i="151"/>
  <c r="V61" i="151"/>
  <c r="V60" i="151"/>
  <c r="Q52" i="151"/>
  <c r="P52" i="151"/>
  <c r="O52" i="151"/>
  <c r="N52" i="151"/>
  <c r="M52" i="151"/>
  <c r="F52" i="151"/>
  <c r="E52" i="151"/>
  <c r="D52" i="151"/>
  <c r="C52" i="151"/>
  <c r="B52" i="151"/>
  <c r="Q51" i="151"/>
  <c r="P51" i="151"/>
  <c r="O51" i="151"/>
  <c r="N51" i="151"/>
  <c r="M51" i="151"/>
  <c r="F51" i="151"/>
  <c r="E51" i="151"/>
  <c r="D51" i="151"/>
  <c r="C51" i="151"/>
  <c r="R50" i="151"/>
  <c r="G50" i="151"/>
  <c r="Q48" i="151"/>
  <c r="Q53" i="151" s="1"/>
  <c r="Q55" i="151" s="1"/>
  <c r="P48" i="151"/>
  <c r="P53" i="151" s="1"/>
  <c r="P55" i="151" s="1"/>
  <c r="O48" i="151"/>
  <c r="O53" i="151" s="1"/>
  <c r="O55" i="151" s="1"/>
  <c r="N48" i="151"/>
  <c r="N53" i="151" s="1"/>
  <c r="N55" i="151" s="1"/>
  <c r="M48" i="151"/>
  <c r="M53" i="151" s="1"/>
  <c r="M55" i="151" s="1"/>
  <c r="F48" i="151"/>
  <c r="F53" i="151" s="1"/>
  <c r="F55" i="151" s="1"/>
  <c r="E48" i="151"/>
  <c r="D48" i="151"/>
  <c r="D53" i="151" s="1"/>
  <c r="D55" i="151" s="1"/>
  <c r="C48" i="151"/>
  <c r="C53" i="151" s="1"/>
  <c r="C55" i="151" s="1"/>
  <c r="B48" i="151"/>
  <c r="B53" i="151" s="1"/>
  <c r="B55" i="151" s="1"/>
  <c r="R47" i="151"/>
  <c r="G47" i="151"/>
  <c r="R46" i="151"/>
  <c r="G46" i="151"/>
  <c r="R45" i="151"/>
  <c r="G45" i="151"/>
  <c r="R44" i="151"/>
  <c r="G44" i="151"/>
  <c r="R43" i="151"/>
  <c r="G43" i="151"/>
  <c r="R42" i="151"/>
  <c r="G42" i="151"/>
  <c r="R41" i="151"/>
  <c r="G41" i="151"/>
  <c r="K34" i="151"/>
  <c r="J34" i="151" s="1"/>
  <c r="N28" i="151"/>
  <c r="M28" i="151"/>
  <c r="L33" i="151"/>
  <c r="L28" i="151" s="1"/>
  <c r="K33" i="151"/>
  <c r="K28" i="151" s="1"/>
  <c r="J33" i="151"/>
  <c r="J28" i="151" s="1"/>
  <c r="G33" i="151"/>
  <c r="G28" i="151" s="1"/>
  <c r="F33" i="151"/>
  <c r="F28" i="151" s="1"/>
  <c r="E33" i="151"/>
  <c r="E28" i="151" s="1"/>
  <c r="D33" i="151"/>
  <c r="D28" i="151" s="1"/>
  <c r="C28" i="151"/>
  <c r="Y29" i="151"/>
  <c r="X29" i="151"/>
  <c r="W29" i="151"/>
  <c r="V29" i="151"/>
  <c r="U29" i="151"/>
  <c r="T29" i="151"/>
  <c r="S29" i="151"/>
  <c r="R29" i="151"/>
  <c r="Q29" i="151"/>
  <c r="P29" i="151"/>
  <c r="Y28" i="151"/>
  <c r="X28" i="151"/>
  <c r="W28" i="151"/>
  <c r="V28" i="151"/>
  <c r="U28" i="151"/>
  <c r="T28" i="151"/>
  <c r="S28" i="151"/>
  <c r="R28" i="151"/>
  <c r="Q28" i="151"/>
  <c r="P28" i="151"/>
  <c r="Z27" i="151"/>
  <c r="Y25" i="151"/>
  <c r="Y30" i="151" s="1"/>
  <c r="Y32" i="151" s="1"/>
  <c r="X25" i="151"/>
  <c r="X30" i="151" s="1"/>
  <c r="X32" i="151" s="1"/>
  <c r="W25" i="151"/>
  <c r="W30" i="151" s="1"/>
  <c r="W32" i="151" s="1"/>
  <c r="V25" i="151"/>
  <c r="V30" i="151" s="1"/>
  <c r="V32" i="151" s="1"/>
  <c r="U25" i="151"/>
  <c r="U30" i="151" s="1"/>
  <c r="U32" i="151" s="1"/>
  <c r="T25" i="151"/>
  <c r="T30" i="151" s="1"/>
  <c r="T32" i="151" s="1"/>
  <c r="S25" i="151"/>
  <c r="S30" i="151" s="1"/>
  <c r="S32" i="151" s="1"/>
  <c r="R25" i="151"/>
  <c r="R30" i="151" s="1"/>
  <c r="R32" i="151" s="1"/>
  <c r="Q25" i="151"/>
  <c r="Q30" i="151" s="1"/>
  <c r="Q32" i="151" s="1"/>
  <c r="P25" i="151"/>
  <c r="P30" i="151" s="1"/>
  <c r="P32" i="151" s="1"/>
  <c r="N25" i="151"/>
  <c r="M25" i="151"/>
  <c r="M30" i="151" s="1"/>
  <c r="L25" i="151"/>
  <c r="L30" i="151" s="1"/>
  <c r="K25" i="151"/>
  <c r="K30" i="151" s="1"/>
  <c r="J25" i="151"/>
  <c r="J30" i="151" s="1"/>
  <c r="G25" i="151"/>
  <c r="G30" i="151" s="1"/>
  <c r="F25" i="151"/>
  <c r="F30" i="151" s="1"/>
  <c r="E25" i="151"/>
  <c r="E30" i="151" s="1"/>
  <c r="D25" i="151"/>
  <c r="D30" i="151" s="1"/>
  <c r="C25" i="151"/>
  <c r="C30" i="151" s="1"/>
  <c r="C32" i="151" s="1"/>
  <c r="Z24" i="151"/>
  <c r="F32" i="151" l="1"/>
  <c r="T73" i="151"/>
  <c r="N73" i="151"/>
  <c r="S73" i="151"/>
  <c r="E32" i="151"/>
  <c r="T72" i="151"/>
  <c r="T74" i="151" s="1"/>
  <c r="W31" i="151"/>
  <c r="V31" i="151"/>
  <c r="N30" i="151"/>
  <c r="N32" i="151" s="1"/>
  <c r="C29" i="151"/>
  <c r="C31" i="151" s="1"/>
  <c r="F73" i="151"/>
  <c r="U31" i="151"/>
  <c r="P31" i="151"/>
  <c r="X31" i="151"/>
  <c r="Q31" i="151"/>
  <c r="Y31" i="151"/>
  <c r="R31" i="151"/>
  <c r="S31" i="151"/>
  <c r="T31" i="151"/>
  <c r="M54" i="151"/>
  <c r="N54" i="151"/>
  <c r="O54" i="151"/>
  <c r="P54" i="151"/>
  <c r="Q54" i="151"/>
  <c r="R48" i="151"/>
  <c r="B54" i="151"/>
  <c r="C54" i="151"/>
  <c r="D54" i="151"/>
  <c r="G48" i="151"/>
  <c r="G51" i="151" s="1"/>
  <c r="F54" i="151"/>
  <c r="G73" i="151"/>
  <c r="O73" i="151"/>
  <c r="H73" i="151"/>
  <c r="P73" i="151"/>
  <c r="I73" i="151"/>
  <c r="Q73" i="151"/>
  <c r="B73" i="151"/>
  <c r="J73" i="151"/>
  <c r="R73" i="151"/>
  <c r="C73" i="151"/>
  <c r="K73" i="151"/>
  <c r="D73" i="151"/>
  <c r="L73" i="151"/>
  <c r="E73" i="151"/>
  <c r="M73" i="151"/>
  <c r="U73" i="151"/>
  <c r="L32" i="151"/>
  <c r="L29" i="151"/>
  <c r="L31" i="151" s="1"/>
  <c r="G32" i="151"/>
  <c r="G29" i="151"/>
  <c r="G31" i="151" s="1"/>
  <c r="J32" i="151"/>
  <c r="J29" i="151"/>
  <c r="J31" i="151" s="1"/>
  <c r="E29" i="151"/>
  <c r="E31" i="151" s="1"/>
  <c r="K32" i="151"/>
  <c r="K29" i="151"/>
  <c r="K31" i="151" s="1"/>
  <c r="M29" i="151"/>
  <c r="M31" i="151" s="1"/>
  <c r="M32" i="151"/>
  <c r="D29" i="151"/>
  <c r="D31" i="151" s="1"/>
  <c r="D32" i="151"/>
  <c r="V67" i="151"/>
  <c r="Z25" i="151"/>
  <c r="Z26" i="151" s="1"/>
  <c r="F29" i="151"/>
  <c r="F31" i="151" s="1"/>
  <c r="E53" i="151"/>
  <c r="E55" i="151" s="1"/>
  <c r="E54" i="151"/>
  <c r="N29" i="151" l="1"/>
  <c r="N31" i="151" s="1"/>
  <c r="R51" i="151"/>
  <c r="R49" i="151"/>
  <c r="G49" i="151"/>
  <c r="V70" i="151"/>
  <c r="V68" i="151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U70" i="150"/>
  <c r="T70" i="150"/>
  <c r="S70" i="150"/>
  <c r="R70" i="150"/>
  <c r="Q70" i="150"/>
  <c r="P70" i="150"/>
  <c r="O70" i="150"/>
  <c r="N70" i="150"/>
  <c r="M70" i="150"/>
  <c r="L70" i="150"/>
  <c r="K70" i="150"/>
  <c r="J70" i="150"/>
  <c r="I70" i="150"/>
  <c r="H70" i="150"/>
  <c r="G70" i="150"/>
  <c r="F70" i="150"/>
  <c r="E70" i="150"/>
  <c r="D70" i="150"/>
  <c r="C70" i="150"/>
  <c r="B70" i="150"/>
  <c r="V69" i="150"/>
  <c r="U67" i="150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E72" i="150" s="1"/>
  <c r="E74" i="150" s="1"/>
  <c r="D67" i="150"/>
  <c r="D72" i="150" s="1"/>
  <c r="D74" i="150" s="1"/>
  <c r="C67" i="150"/>
  <c r="C72" i="150" s="1"/>
  <c r="C74" i="150" s="1"/>
  <c r="B67" i="150"/>
  <c r="B72" i="150" s="1"/>
  <c r="B74" i="150" s="1"/>
  <c r="V66" i="150"/>
  <c r="V65" i="150"/>
  <c r="V64" i="150"/>
  <c r="V63" i="150"/>
  <c r="V62" i="150"/>
  <c r="V61" i="150"/>
  <c r="V60" i="150"/>
  <c r="Q52" i="150"/>
  <c r="P52" i="150"/>
  <c r="O52" i="150"/>
  <c r="N52" i="150"/>
  <c r="M52" i="150"/>
  <c r="F52" i="150"/>
  <c r="E52" i="150"/>
  <c r="D52" i="150"/>
  <c r="C52" i="150"/>
  <c r="B52" i="150"/>
  <c r="Q51" i="150"/>
  <c r="P51" i="150"/>
  <c r="O51" i="150"/>
  <c r="N51" i="150"/>
  <c r="M51" i="150"/>
  <c r="F51" i="150"/>
  <c r="E51" i="150"/>
  <c r="D51" i="150"/>
  <c r="C51" i="150"/>
  <c r="B51" i="150"/>
  <c r="R50" i="150"/>
  <c r="G50" i="150"/>
  <c r="Q48" i="150"/>
  <c r="Q53" i="150" s="1"/>
  <c r="Q55" i="150" s="1"/>
  <c r="P48" i="150"/>
  <c r="P53" i="150" s="1"/>
  <c r="P55" i="150" s="1"/>
  <c r="O48" i="150"/>
  <c r="O53" i="150" s="1"/>
  <c r="O55" i="150" s="1"/>
  <c r="N48" i="150"/>
  <c r="N53" i="150" s="1"/>
  <c r="N55" i="150" s="1"/>
  <c r="M48" i="150"/>
  <c r="F48" i="150"/>
  <c r="F53" i="150" s="1"/>
  <c r="F55" i="150" s="1"/>
  <c r="E48" i="150"/>
  <c r="E53" i="150" s="1"/>
  <c r="E55" i="150" s="1"/>
  <c r="D48" i="150"/>
  <c r="D53" i="150" s="1"/>
  <c r="D55" i="150" s="1"/>
  <c r="C48" i="150"/>
  <c r="C53" i="150" s="1"/>
  <c r="C55" i="150" s="1"/>
  <c r="B48" i="150"/>
  <c r="B53" i="150" s="1"/>
  <c r="B55" i="150" s="1"/>
  <c r="R47" i="150"/>
  <c r="G47" i="150"/>
  <c r="R46" i="150"/>
  <c r="G46" i="150"/>
  <c r="R45" i="150"/>
  <c r="G45" i="150"/>
  <c r="R44" i="150"/>
  <c r="G44" i="150"/>
  <c r="R43" i="150"/>
  <c r="G43" i="150"/>
  <c r="R42" i="150"/>
  <c r="G42" i="150"/>
  <c r="R41" i="150"/>
  <c r="G41" i="150"/>
  <c r="K34" i="150"/>
  <c r="J34" i="150" s="1"/>
  <c r="D34" i="150"/>
  <c r="C34" i="150" s="1"/>
  <c r="N33" i="150"/>
  <c r="N28" i="150" s="1"/>
  <c r="M33" i="150"/>
  <c r="M28" i="150" s="1"/>
  <c r="L33" i="150"/>
  <c r="L28" i="150" s="1"/>
  <c r="K33" i="150"/>
  <c r="K28" i="150" s="1"/>
  <c r="J33" i="150"/>
  <c r="J28" i="150" s="1"/>
  <c r="G33" i="150"/>
  <c r="G28" i="150" s="1"/>
  <c r="F33" i="150"/>
  <c r="F28" i="150" s="1"/>
  <c r="E33" i="150"/>
  <c r="E28" i="150" s="1"/>
  <c r="D33" i="150"/>
  <c r="D28" i="150" s="1"/>
  <c r="C33" i="150"/>
  <c r="C28" i="150" s="1"/>
  <c r="X29" i="150"/>
  <c r="W29" i="150"/>
  <c r="V29" i="150"/>
  <c r="U29" i="150"/>
  <c r="T29" i="150"/>
  <c r="S29" i="150"/>
  <c r="R29" i="150"/>
  <c r="Q29" i="150"/>
  <c r="P29" i="150"/>
  <c r="Y28" i="150"/>
  <c r="X28" i="150"/>
  <c r="W28" i="150"/>
  <c r="V28" i="150"/>
  <c r="U28" i="150"/>
  <c r="T28" i="150"/>
  <c r="S28" i="150"/>
  <c r="R28" i="150"/>
  <c r="Q28" i="150"/>
  <c r="P28" i="150"/>
  <c r="Z27" i="150"/>
  <c r="Y25" i="150"/>
  <c r="Y30" i="150" s="1"/>
  <c r="Y32" i="150" s="1"/>
  <c r="X25" i="150"/>
  <c r="X30" i="150" s="1"/>
  <c r="X32" i="150" s="1"/>
  <c r="W25" i="150"/>
  <c r="W30" i="150" s="1"/>
  <c r="W32" i="150" s="1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N25" i="150"/>
  <c r="N30" i="150" s="1"/>
  <c r="M25" i="150"/>
  <c r="M30" i="150" s="1"/>
  <c r="L25" i="150"/>
  <c r="L30" i="150" s="1"/>
  <c r="K25" i="150"/>
  <c r="K30" i="150" s="1"/>
  <c r="J25" i="150"/>
  <c r="J30" i="150" s="1"/>
  <c r="G25" i="150"/>
  <c r="G30" i="150" s="1"/>
  <c r="F25" i="150"/>
  <c r="F30" i="150" s="1"/>
  <c r="E25" i="150"/>
  <c r="E30" i="150" s="1"/>
  <c r="D25" i="150"/>
  <c r="D30" i="150" s="1"/>
  <c r="C25" i="150"/>
  <c r="C30" i="150" s="1"/>
  <c r="O24" i="150"/>
  <c r="H24" i="150"/>
  <c r="O23" i="150"/>
  <c r="H23" i="150"/>
  <c r="O22" i="150"/>
  <c r="H22" i="150"/>
  <c r="O21" i="150"/>
  <c r="H21" i="150"/>
  <c r="Z20" i="150"/>
  <c r="Z19" i="150"/>
  <c r="Z21" i="150" l="1"/>
  <c r="P73" i="150"/>
  <c r="H73" i="150"/>
  <c r="Q73" i="150"/>
  <c r="D54" i="150"/>
  <c r="B73" i="150"/>
  <c r="V31" i="150"/>
  <c r="E54" i="150"/>
  <c r="T31" i="150"/>
  <c r="I73" i="150"/>
  <c r="W31" i="150"/>
  <c r="M73" i="150"/>
  <c r="U73" i="150"/>
  <c r="S31" i="150"/>
  <c r="G48" i="150"/>
  <c r="G51" i="150" s="1"/>
  <c r="N54" i="150"/>
  <c r="Z23" i="150"/>
  <c r="R48" i="150"/>
  <c r="R51" i="150" s="1"/>
  <c r="O54" i="150"/>
  <c r="U31" i="150"/>
  <c r="B54" i="150"/>
  <c r="P54" i="150"/>
  <c r="C73" i="150"/>
  <c r="J73" i="150"/>
  <c r="R73" i="150"/>
  <c r="C54" i="150"/>
  <c r="Q54" i="150"/>
  <c r="H25" i="150"/>
  <c r="Z24" i="150"/>
  <c r="O25" i="150"/>
  <c r="P31" i="150"/>
  <c r="X31" i="150"/>
  <c r="Z22" i="150"/>
  <c r="Q31" i="150"/>
  <c r="Y31" i="150"/>
  <c r="F54" i="150"/>
  <c r="N73" i="150"/>
  <c r="R31" i="150"/>
  <c r="M54" i="150"/>
  <c r="G73" i="150"/>
  <c r="O73" i="150"/>
  <c r="L29" i="150"/>
  <c r="L31" i="150" s="1"/>
  <c r="L32" i="150"/>
  <c r="N32" i="150"/>
  <c r="N29" i="150"/>
  <c r="N31" i="150" s="1"/>
  <c r="C29" i="150"/>
  <c r="C31" i="150" s="1"/>
  <c r="C32" i="150"/>
  <c r="D32" i="150"/>
  <c r="D29" i="150"/>
  <c r="D31" i="150" s="1"/>
  <c r="M29" i="150"/>
  <c r="M31" i="150" s="1"/>
  <c r="M32" i="150"/>
  <c r="G32" i="150"/>
  <c r="G29" i="150"/>
  <c r="G31" i="150" s="1"/>
  <c r="F32" i="150"/>
  <c r="F29" i="150"/>
  <c r="F31" i="150" s="1"/>
  <c r="E32" i="150"/>
  <c r="E29" i="150"/>
  <c r="E31" i="150" s="1"/>
  <c r="J29" i="150"/>
  <c r="J31" i="150" s="1"/>
  <c r="J32" i="150"/>
  <c r="K29" i="150"/>
  <c r="K31" i="150" s="1"/>
  <c r="K32" i="150"/>
  <c r="D73" i="150"/>
  <c r="K73" i="150"/>
  <c r="S73" i="150"/>
  <c r="M53" i="150"/>
  <c r="M55" i="150" s="1"/>
  <c r="E73" i="150"/>
  <c r="L73" i="150"/>
  <c r="T73" i="150"/>
  <c r="V67" i="150"/>
  <c r="F73" i="150"/>
  <c r="M72" i="150"/>
  <c r="M74" i="150" s="1"/>
  <c r="U72" i="150"/>
  <c r="U74" i="150" s="1"/>
  <c r="Z18" i="150"/>
  <c r="C47" i="113"/>
  <c r="D47" i="113"/>
  <c r="E47" i="113"/>
  <c r="F47" i="113"/>
  <c r="G47" i="113"/>
  <c r="R49" i="150" l="1"/>
  <c r="G49" i="150"/>
  <c r="Z25" i="150"/>
  <c r="Z26" i="150" s="1"/>
  <c r="V68" i="150"/>
  <c r="V70" i="150"/>
  <c r="N67" i="149"/>
  <c r="O21" i="149"/>
  <c r="H21" i="149"/>
  <c r="H70" i="149" l="1"/>
  <c r="B51" i="149"/>
  <c r="G70" i="149"/>
  <c r="N70" i="149"/>
  <c r="O70" i="149"/>
  <c r="P70" i="149"/>
  <c r="Q70" i="149"/>
  <c r="R70" i="149"/>
  <c r="S70" i="149"/>
  <c r="T70" i="149"/>
  <c r="U70" i="149"/>
  <c r="V70" i="149"/>
  <c r="M70" i="149"/>
  <c r="D34" i="149" l="1"/>
  <c r="C34" i="149" s="1"/>
  <c r="I71" i="149"/>
  <c r="J33" i="149" l="1"/>
  <c r="Y25" i="149"/>
  <c r="Y30" i="149" s="1"/>
  <c r="X25" i="149"/>
  <c r="V71" i="149" l="1"/>
  <c r="U71" i="149"/>
  <c r="T71" i="149"/>
  <c r="S71" i="149"/>
  <c r="R71" i="149"/>
  <c r="Q71" i="149"/>
  <c r="P71" i="149"/>
  <c r="O71" i="149"/>
  <c r="N71" i="149"/>
  <c r="N73" i="149" s="1"/>
  <c r="M71" i="149"/>
  <c r="L71" i="149"/>
  <c r="K71" i="149"/>
  <c r="J71" i="149"/>
  <c r="H71" i="149"/>
  <c r="G71" i="149"/>
  <c r="F71" i="149"/>
  <c r="E71" i="149"/>
  <c r="D71" i="149"/>
  <c r="C71" i="149"/>
  <c r="B71" i="149"/>
  <c r="L70" i="149"/>
  <c r="K70" i="149"/>
  <c r="J70" i="149"/>
  <c r="I70" i="149"/>
  <c r="F70" i="149"/>
  <c r="E70" i="149"/>
  <c r="D70" i="149"/>
  <c r="C70" i="149"/>
  <c r="B70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P67" i="149"/>
  <c r="O67" i="149"/>
  <c r="N72" i="149"/>
  <c r="N74" i="149" s="1"/>
  <c r="M67" i="149"/>
  <c r="M72" i="149" s="1"/>
  <c r="M74" i="149" s="1"/>
  <c r="L67" i="149"/>
  <c r="L72" i="149" s="1"/>
  <c r="L74" i="149" s="1"/>
  <c r="K67" i="149"/>
  <c r="J67" i="149"/>
  <c r="I67" i="149"/>
  <c r="H67" i="149"/>
  <c r="G67" i="149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R52" i="149"/>
  <c r="Q52" i="149"/>
  <c r="P52" i="149"/>
  <c r="O52" i="149"/>
  <c r="N52" i="149"/>
  <c r="M52" i="149"/>
  <c r="F52" i="149"/>
  <c r="E52" i="149"/>
  <c r="D52" i="149"/>
  <c r="C52" i="149"/>
  <c r="B52" i="149"/>
  <c r="R51" i="149"/>
  <c r="Q51" i="149"/>
  <c r="P51" i="149"/>
  <c r="O51" i="149"/>
  <c r="N51" i="149"/>
  <c r="M51" i="149"/>
  <c r="F51" i="149"/>
  <c r="E51" i="149"/>
  <c r="D51" i="149"/>
  <c r="C51" i="149"/>
  <c r="S50" i="149"/>
  <c r="G50" i="149"/>
  <c r="R48" i="149"/>
  <c r="R53" i="149" s="1"/>
  <c r="R55" i="149" s="1"/>
  <c r="Q48" i="149"/>
  <c r="Q53" i="149" s="1"/>
  <c r="Q55" i="149" s="1"/>
  <c r="P48" i="149"/>
  <c r="P53" i="149" s="1"/>
  <c r="P55" i="149" s="1"/>
  <c r="O48" i="149"/>
  <c r="O53" i="149" s="1"/>
  <c r="O55" i="149" s="1"/>
  <c r="N48" i="149"/>
  <c r="M48" i="149"/>
  <c r="M53" i="149" s="1"/>
  <c r="M55" i="149" s="1"/>
  <c r="F48" i="149"/>
  <c r="E48" i="149"/>
  <c r="E53" i="149" s="1"/>
  <c r="E55" i="149" s="1"/>
  <c r="D48" i="149"/>
  <c r="D53" i="149" s="1"/>
  <c r="D55" i="149" s="1"/>
  <c r="C48" i="149"/>
  <c r="C53" i="149" s="1"/>
  <c r="C55" i="149" s="1"/>
  <c r="B48" i="149"/>
  <c r="B53" i="149" s="1"/>
  <c r="S47" i="149"/>
  <c r="G47" i="149"/>
  <c r="S46" i="149"/>
  <c r="G46" i="149"/>
  <c r="S45" i="149"/>
  <c r="G45" i="149"/>
  <c r="S44" i="149"/>
  <c r="G44" i="149"/>
  <c r="S43" i="149"/>
  <c r="G43" i="149"/>
  <c r="S42" i="149"/>
  <c r="G42" i="149"/>
  <c r="S41" i="149"/>
  <c r="G41" i="149"/>
  <c r="K34" i="149"/>
  <c r="J34" i="149" s="1"/>
  <c r="N33" i="149"/>
  <c r="N28" i="149" s="1"/>
  <c r="M33" i="149"/>
  <c r="M28" i="149" s="1"/>
  <c r="L33" i="149"/>
  <c r="L28" i="149" s="1"/>
  <c r="K33" i="149"/>
  <c r="K28" i="149" s="1"/>
  <c r="J28" i="149"/>
  <c r="G33" i="149"/>
  <c r="G28" i="149" s="1"/>
  <c r="F33" i="149"/>
  <c r="F28" i="149" s="1"/>
  <c r="E33" i="149"/>
  <c r="E28" i="149" s="1"/>
  <c r="D33" i="149"/>
  <c r="D28" i="149" s="1"/>
  <c r="C33" i="149"/>
  <c r="C28" i="149" s="1"/>
  <c r="Y29" i="149"/>
  <c r="Y31" i="149" s="1"/>
  <c r="X29" i="149"/>
  <c r="W29" i="149"/>
  <c r="V29" i="149"/>
  <c r="U29" i="149"/>
  <c r="T29" i="149"/>
  <c r="S29" i="149"/>
  <c r="R29" i="149"/>
  <c r="Q29" i="149"/>
  <c r="P29" i="149"/>
  <c r="Y28" i="149"/>
  <c r="X28" i="149"/>
  <c r="W28" i="149"/>
  <c r="V28" i="149"/>
  <c r="U28" i="149"/>
  <c r="T28" i="149"/>
  <c r="S28" i="149"/>
  <c r="R28" i="149"/>
  <c r="Q28" i="149"/>
  <c r="P28" i="149"/>
  <c r="Z27" i="149"/>
  <c r="Y32" i="149"/>
  <c r="X30" i="149"/>
  <c r="X32" i="149" s="1"/>
  <c r="W25" i="149"/>
  <c r="W30" i="149" s="1"/>
  <c r="W32" i="149" s="1"/>
  <c r="V25" i="149"/>
  <c r="V30" i="149" s="1"/>
  <c r="V32" i="149" s="1"/>
  <c r="U25" i="149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N25" i="149"/>
  <c r="N30" i="149" s="1"/>
  <c r="M25" i="149"/>
  <c r="M30" i="149" s="1"/>
  <c r="L25" i="149"/>
  <c r="L30" i="149" s="1"/>
  <c r="K25" i="149"/>
  <c r="K30" i="149" s="1"/>
  <c r="J25" i="149"/>
  <c r="J30" i="149" s="1"/>
  <c r="G25" i="149"/>
  <c r="G30" i="149" s="1"/>
  <c r="F25" i="149"/>
  <c r="F30" i="149" s="1"/>
  <c r="E25" i="149"/>
  <c r="E30" i="149" s="1"/>
  <c r="D25" i="149"/>
  <c r="D30" i="149" s="1"/>
  <c r="C25" i="149"/>
  <c r="C30" i="149" s="1"/>
  <c r="O24" i="149"/>
  <c r="H24" i="149"/>
  <c r="O23" i="149"/>
  <c r="H23" i="149"/>
  <c r="O22" i="149"/>
  <c r="H22" i="149"/>
  <c r="F53" i="149" l="1"/>
  <c r="F55" i="149" s="1"/>
  <c r="F54" i="149"/>
  <c r="K73" i="149"/>
  <c r="C29" i="149"/>
  <c r="C31" i="149" s="1"/>
  <c r="C32" i="149"/>
  <c r="J73" i="149"/>
  <c r="G73" i="149"/>
  <c r="F73" i="149"/>
  <c r="N54" i="149"/>
  <c r="N53" i="149"/>
  <c r="N55" i="149" s="1"/>
  <c r="U30" i="149"/>
  <c r="U32" i="149" s="1"/>
  <c r="U31" i="149"/>
  <c r="Q30" i="149"/>
  <c r="Q32" i="149" s="1"/>
  <c r="Q31" i="149"/>
  <c r="P30" i="149"/>
  <c r="P32" i="149" s="1"/>
  <c r="P31" i="149"/>
  <c r="B73" i="149"/>
  <c r="F32" i="149"/>
  <c r="O73" i="149"/>
  <c r="V73" i="149"/>
  <c r="R73" i="149"/>
  <c r="G72" i="149"/>
  <c r="G74" i="149" s="1"/>
  <c r="H73" i="149"/>
  <c r="P73" i="149"/>
  <c r="I73" i="149"/>
  <c r="Q73" i="149"/>
  <c r="O54" i="149"/>
  <c r="Z21" i="149"/>
  <c r="E32" i="149"/>
  <c r="D32" i="149"/>
  <c r="Z24" i="149"/>
  <c r="Z19" i="149"/>
  <c r="P54" i="149"/>
  <c r="M54" i="149"/>
  <c r="Q54" i="149"/>
  <c r="R54" i="149"/>
  <c r="B54" i="149"/>
  <c r="B55" i="149"/>
  <c r="C54" i="149"/>
  <c r="D54" i="149"/>
  <c r="E54" i="149"/>
  <c r="G48" i="149"/>
  <c r="G51" i="149" s="1"/>
  <c r="E73" i="149"/>
  <c r="M73" i="149"/>
  <c r="U73" i="149"/>
  <c r="O72" i="149"/>
  <c r="O74" i="149" s="1"/>
  <c r="H72" i="149"/>
  <c r="H74" i="149" s="1"/>
  <c r="D73" i="149"/>
  <c r="L73" i="149"/>
  <c r="T73" i="149"/>
  <c r="P72" i="149"/>
  <c r="P74" i="149" s="1"/>
  <c r="Z22" i="149"/>
  <c r="Z23" i="149"/>
  <c r="V31" i="149"/>
  <c r="W31" i="149"/>
  <c r="X31" i="149"/>
  <c r="R31" i="149"/>
  <c r="S31" i="149"/>
  <c r="T31" i="149"/>
  <c r="Z20" i="149"/>
  <c r="O25" i="149"/>
  <c r="H25" i="149"/>
  <c r="K29" i="149"/>
  <c r="K31" i="149" s="1"/>
  <c r="K32" i="149"/>
  <c r="L29" i="149"/>
  <c r="L31" i="149" s="1"/>
  <c r="L32" i="149"/>
  <c r="G29" i="149"/>
  <c r="G31" i="149" s="1"/>
  <c r="G32" i="149"/>
  <c r="M29" i="149"/>
  <c r="M31" i="149" s="1"/>
  <c r="M32" i="149"/>
  <c r="N32" i="149"/>
  <c r="N29" i="149"/>
  <c r="N31" i="149" s="1"/>
  <c r="J29" i="149"/>
  <c r="J31" i="149" s="1"/>
  <c r="J32" i="149"/>
  <c r="D29" i="149"/>
  <c r="D31" i="149" s="1"/>
  <c r="I72" i="149"/>
  <c r="I74" i="149" s="1"/>
  <c r="Q72" i="149"/>
  <c r="Q74" i="149" s="1"/>
  <c r="S73" i="149"/>
  <c r="E29" i="149"/>
  <c r="E31" i="149" s="1"/>
  <c r="B72" i="149"/>
  <c r="B74" i="149" s="1"/>
  <c r="J72" i="149"/>
  <c r="J74" i="149" s="1"/>
  <c r="R72" i="149"/>
  <c r="R74" i="149" s="1"/>
  <c r="C73" i="149"/>
  <c r="F29" i="149"/>
  <c r="F31" i="149" s="1"/>
  <c r="K72" i="149"/>
  <c r="K74" i="149" s="1"/>
  <c r="Z18" i="149"/>
  <c r="S48" i="149"/>
  <c r="W67" i="149"/>
  <c r="S50" i="148"/>
  <c r="G49" i="149" l="1"/>
  <c r="Z25" i="149"/>
  <c r="Z26" i="149" s="1"/>
  <c r="W68" i="149"/>
  <c r="W70" i="149"/>
  <c r="S54" i="149"/>
  <c r="S49" i="149"/>
  <c r="S55" i="149" s="1"/>
  <c r="S51" i="149"/>
  <c r="N70" i="148"/>
  <c r="O70" i="148"/>
  <c r="P70" i="148"/>
  <c r="Q70" i="148"/>
  <c r="R70" i="148"/>
  <c r="S70" i="148"/>
  <c r="T70" i="148"/>
  <c r="U70" i="148"/>
  <c r="V70" i="148"/>
  <c r="M70" i="148"/>
  <c r="N75" i="147"/>
  <c r="O75" i="147"/>
  <c r="P75" i="147"/>
  <c r="Q75" i="147"/>
  <c r="R75" i="147"/>
  <c r="S75" i="147"/>
  <c r="T75" i="147"/>
  <c r="U75" i="147"/>
  <c r="V75" i="147"/>
  <c r="M75" i="147"/>
  <c r="R48" i="148"/>
  <c r="R53" i="148" s="1"/>
  <c r="R55" i="148" s="1"/>
  <c r="N56" i="147"/>
  <c r="O56" i="147"/>
  <c r="P56" i="147"/>
  <c r="Q56" i="147"/>
  <c r="M56" i="147"/>
  <c r="R52" i="148"/>
  <c r="R51" i="148"/>
  <c r="S42" i="148"/>
  <c r="S43" i="148"/>
  <c r="S44" i="148"/>
  <c r="S45" i="148"/>
  <c r="S46" i="148"/>
  <c r="S47" i="148"/>
  <c r="S41" i="148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U72" i="148" s="1"/>
  <c r="U74" i="148" s="1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I72" i="148" s="1"/>
  <c r="I74" i="148" s="1"/>
  <c r="H67" i="148"/>
  <c r="H72" i="148" s="1"/>
  <c r="H74" i="148" s="1"/>
  <c r="G67" i="148"/>
  <c r="G72" i="148" s="1"/>
  <c r="G74" i="148" s="1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W66" i="148"/>
  <c r="W65" i="148"/>
  <c r="W64" i="148"/>
  <c r="W63" i="148"/>
  <c r="W62" i="148"/>
  <c r="W61" i="148"/>
  <c r="W60" i="148"/>
  <c r="Q52" i="148"/>
  <c r="P52" i="148"/>
  <c r="O52" i="148"/>
  <c r="N52" i="148"/>
  <c r="M52" i="148"/>
  <c r="F52" i="148"/>
  <c r="E52" i="148"/>
  <c r="D52" i="148"/>
  <c r="C52" i="148"/>
  <c r="B52" i="148"/>
  <c r="Q51" i="148"/>
  <c r="P51" i="148"/>
  <c r="O51" i="148"/>
  <c r="N51" i="148"/>
  <c r="M51" i="148"/>
  <c r="F51" i="148"/>
  <c r="E51" i="148"/>
  <c r="D51" i="148"/>
  <c r="C51" i="148"/>
  <c r="B51" i="148"/>
  <c r="G50" i="148"/>
  <c r="Q48" i="148"/>
  <c r="Q53" i="148" s="1"/>
  <c r="Q55" i="148" s="1"/>
  <c r="P48" i="148"/>
  <c r="P53" i="148" s="1"/>
  <c r="P55" i="148" s="1"/>
  <c r="O48" i="148"/>
  <c r="O53" i="148" s="1"/>
  <c r="O55" i="148" s="1"/>
  <c r="N48" i="148"/>
  <c r="N53" i="148" s="1"/>
  <c r="N55" i="148" s="1"/>
  <c r="M48" i="148"/>
  <c r="M53" i="148" s="1"/>
  <c r="M55" i="148" s="1"/>
  <c r="F48" i="148"/>
  <c r="F53" i="148" s="1"/>
  <c r="F55" i="148" s="1"/>
  <c r="E48" i="148"/>
  <c r="E53" i="148" s="1"/>
  <c r="E55" i="148" s="1"/>
  <c r="D48" i="148"/>
  <c r="D53" i="148" s="1"/>
  <c r="D55" i="148" s="1"/>
  <c r="C48" i="148"/>
  <c r="B48" i="148"/>
  <c r="B53" i="148" s="1"/>
  <c r="B55" i="148" s="1"/>
  <c r="G47" i="148"/>
  <c r="G46" i="148"/>
  <c r="G45" i="148"/>
  <c r="G44" i="148"/>
  <c r="G43" i="148"/>
  <c r="G42" i="148"/>
  <c r="G41" i="148"/>
  <c r="K34" i="148"/>
  <c r="J34" i="148" s="1"/>
  <c r="D34" i="148"/>
  <c r="C34" i="148" s="1"/>
  <c r="N33" i="148"/>
  <c r="N28" i="148" s="1"/>
  <c r="M33" i="148"/>
  <c r="M28" i="148" s="1"/>
  <c r="L33" i="148"/>
  <c r="L28" i="148" s="1"/>
  <c r="K33" i="148"/>
  <c r="K28" i="148" s="1"/>
  <c r="J33" i="148"/>
  <c r="J28" i="148" s="1"/>
  <c r="G33" i="148"/>
  <c r="G28" i="148" s="1"/>
  <c r="F33" i="148"/>
  <c r="F28" i="148" s="1"/>
  <c r="E33" i="148"/>
  <c r="E28" i="148" s="1"/>
  <c r="D33" i="148"/>
  <c r="D28" i="148" s="1"/>
  <c r="C33" i="148"/>
  <c r="C28" i="148" s="1"/>
  <c r="Y29" i="148"/>
  <c r="X29" i="148"/>
  <c r="W29" i="148"/>
  <c r="V29" i="148"/>
  <c r="U29" i="148"/>
  <c r="T29" i="148"/>
  <c r="S29" i="148"/>
  <c r="R29" i="148"/>
  <c r="Q29" i="148"/>
  <c r="P29" i="148"/>
  <c r="Y28" i="148"/>
  <c r="X28" i="148"/>
  <c r="W28" i="148"/>
  <c r="V28" i="148"/>
  <c r="U28" i="148"/>
  <c r="T28" i="148"/>
  <c r="S28" i="148"/>
  <c r="R28" i="148"/>
  <c r="Q28" i="148"/>
  <c r="P28" i="148"/>
  <c r="Z27" i="148"/>
  <c r="Y25" i="148"/>
  <c r="Y30" i="148" s="1"/>
  <c r="Y32" i="148" s="1"/>
  <c r="X25" i="148"/>
  <c r="X30" i="148" s="1"/>
  <c r="X32" i="148" s="1"/>
  <c r="W25" i="148"/>
  <c r="W30" i="148" s="1"/>
  <c r="W32" i="148" s="1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N25" i="148"/>
  <c r="N30" i="148" s="1"/>
  <c r="M25" i="148"/>
  <c r="M30" i="148" s="1"/>
  <c r="L25" i="148"/>
  <c r="L30" i="148" s="1"/>
  <c r="K25" i="148"/>
  <c r="K30" i="148" s="1"/>
  <c r="J25" i="148"/>
  <c r="J30" i="148" s="1"/>
  <c r="G25" i="148"/>
  <c r="G30" i="148" s="1"/>
  <c r="F25" i="148"/>
  <c r="F30" i="148" s="1"/>
  <c r="E25" i="148"/>
  <c r="E30" i="148" s="1"/>
  <c r="D25" i="148"/>
  <c r="D30" i="148" s="1"/>
  <c r="D29" i="148" s="1"/>
  <c r="D31" i="148" s="1"/>
  <c r="C25" i="148"/>
  <c r="C30" i="148" s="1"/>
  <c r="O24" i="148"/>
  <c r="H24" i="148"/>
  <c r="O23" i="148"/>
  <c r="H23" i="148"/>
  <c r="O22" i="148"/>
  <c r="H22" i="148"/>
  <c r="O21" i="148"/>
  <c r="H21" i="148"/>
  <c r="O20" i="148"/>
  <c r="H20" i="148"/>
  <c r="O19" i="148"/>
  <c r="H19" i="148"/>
  <c r="O18" i="148"/>
  <c r="H18" i="148"/>
  <c r="Z22" i="148" l="1"/>
  <c r="Z19" i="148"/>
  <c r="F73" i="148"/>
  <c r="Q31" i="148"/>
  <c r="Z23" i="148"/>
  <c r="Z24" i="148"/>
  <c r="H25" i="148"/>
  <c r="R31" i="148"/>
  <c r="S31" i="148"/>
  <c r="Y31" i="148"/>
  <c r="J73" i="148"/>
  <c r="B73" i="148"/>
  <c r="H73" i="148"/>
  <c r="I73" i="148"/>
  <c r="R73" i="148"/>
  <c r="P73" i="148"/>
  <c r="Q73" i="148"/>
  <c r="R54" i="148"/>
  <c r="S48" i="148"/>
  <c r="M54" i="148"/>
  <c r="N54" i="148"/>
  <c r="O25" i="148"/>
  <c r="T31" i="148"/>
  <c r="C73" i="148"/>
  <c r="K73" i="148"/>
  <c r="S73" i="148"/>
  <c r="U31" i="148"/>
  <c r="Q54" i="148"/>
  <c r="Z20" i="148"/>
  <c r="V31" i="148"/>
  <c r="D54" i="148"/>
  <c r="W31" i="148"/>
  <c r="E54" i="148"/>
  <c r="Z21" i="148"/>
  <c r="P31" i="148"/>
  <c r="X31" i="148"/>
  <c r="F54" i="148"/>
  <c r="W67" i="148"/>
  <c r="W70" i="148" s="1"/>
  <c r="G73" i="148"/>
  <c r="O73" i="148"/>
  <c r="B72" i="148"/>
  <c r="B74" i="148" s="1"/>
  <c r="C54" i="148"/>
  <c r="F32" i="148"/>
  <c r="F29" i="148"/>
  <c r="F31" i="148" s="1"/>
  <c r="G32" i="148"/>
  <c r="G29" i="148"/>
  <c r="G31" i="148" s="1"/>
  <c r="J29" i="148"/>
  <c r="J31" i="148" s="1"/>
  <c r="J32" i="148"/>
  <c r="L29" i="148"/>
  <c r="L31" i="148" s="1"/>
  <c r="L32" i="148"/>
  <c r="C29" i="148"/>
  <c r="C31" i="148" s="1"/>
  <c r="C32" i="148"/>
  <c r="M29" i="148"/>
  <c r="M31" i="148" s="1"/>
  <c r="M32" i="148"/>
  <c r="N32" i="148"/>
  <c r="N29" i="148"/>
  <c r="N31" i="148" s="1"/>
  <c r="K32" i="148"/>
  <c r="K29" i="148"/>
  <c r="K31" i="148" s="1"/>
  <c r="E29" i="148"/>
  <c r="E31" i="148" s="1"/>
  <c r="E32" i="148"/>
  <c r="D32" i="148"/>
  <c r="C53" i="148"/>
  <c r="C55" i="148" s="1"/>
  <c r="O54" i="148"/>
  <c r="D73" i="148"/>
  <c r="L73" i="148"/>
  <c r="T73" i="148"/>
  <c r="B54" i="148"/>
  <c r="P54" i="148"/>
  <c r="E73" i="148"/>
  <c r="M73" i="148"/>
  <c r="U73" i="148"/>
  <c r="N73" i="148"/>
  <c r="V73" i="148"/>
  <c r="Z18" i="148"/>
  <c r="F72" i="148"/>
  <c r="F74" i="148" s="1"/>
  <c r="G48" i="148"/>
  <c r="Z25" i="148" l="1"/>
  <c r="Z26" i="148" s="1"/>
  <c r="W68" i="148"/>
  <c r="G51" i="148"/>
  <c r="G49" i="148"/>
  <c r="S49" i="148"/>
  <c r="S55" i="148" s="1"/>
  <c r="S51" i="148"/>
  <c r="S54" i="148"/>
  <c r="V67" i="147" l="1"/>
  <c r="V72" i="147" s="1"/>
  <c r="V74" i="147" s="1"/>
  <c r="V70" i="147"/>
  <c r="V71" i="147"/>
  <c r="Q25" i="147"/>
  <c r="R25" i="147"/>
  <c r="S25" i="147"/>
  <c r="T25" i="147"/>
  <c r="U25" i="147"/>
  <c r="V25" i="147"/>
  <c r="W25" i="147"/>
  <c r="X25" i="147"/>
  <c r="Y25" i="147"/>
  <c r="P25" i="147"/>
  <c r="V73" i="147" l="1"/>
  <c r="S67" i="147"/>
  <c r="C76" i="146"/>
  <c r="D76" i="146"/>
  <c r="E76" i="146"/>
  <c r="F76" i="146"/>
  <c r="G76" i="146"/>
  <c r="H76" i="146"/>
  <c r="I76" i="146"/>
  <c r="J76" i="146"/>
  <c r="K76" i="146"/>
  <c r="B76" i="146"/>
  <c r="G71" i="147"/>
  <c r="G70" i="147"/>
  <c r="G67" i="147"/>
  <c r="G72" i="147" s="1"/>
  <c r="G74" i="147" s="1"/>
  <c r="G73" i="147" l="1"/>
  <c r="U71" i="147" l="1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F71" i="147"/>
  <c r="E71" i="147"/>
  <c r="D71" i="147"/>
  <c r="C71" i="147"/>
  <c r="B71" i="147"/>
  <c r="U70" i="147"/>
  <c r="T70" i="147"/>
  <c r="S70" i="147"/>
  <c r="R70" i="147"/>
  <c r="Q70" i="147"/>
  <c r="P70" i="147"/>
  <c r="O70" i="147"/>
  <c r="N70" i="147"/>
  <c r="M70" i="147"/>
  <c r="L70" i="147"/>
  <c r="K70" i="147"/>
  <c r="J70" i="147"/>
  <c r="I70" i="147"/>
  <c r="H70" i="147"/>
  <c r="F70" i="147"/>
  <c r="E70" i="147"/>
  <c r="D70" i="147"/>
  <c r="C70" i="147"/>
  <c r="B70" i="147"/>
  <c r="W69" i="147"/>
  <c r="U67" i="147"/>
  <c r="U72" i="147" s="1"/>
  <c r="U74" i="147" s="1"/>
  <c r="T67" i="147"/>
  <c r="T72" i="147" s="1"/>
  <c r="T74" i="147" s="1"/>
  <c r="S72" i="147"/>
  <c r="S74" i="147" s="1"/>
  <c r="R67" i="147"/>
  <c r="R72" i="147" s="1"/>
  <c r="R74" i="147" s="1"/>
  <c r="Q67" i="147"/>
  <c r="Q72" i="147" s="1"/>
  <c r="Q74" i="147" s="1"/>
  <c r="P67" i="147"/>
  <c r="P72" i="147" s="1"/>
  <c r="P74" i="147" s="1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I72" i="147" s="1"/>
  <c r="I74" i="147" s="1"/>
  <c r="H67" i="147"/>
  <c r="H72" i="147" s="1"/>
  <c r="H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Q52" i="147"/>
  <c r="P52" i="147"/>
  <c r="O52" i="147"/>
  <c r="N52" i="147"/>
  <c r="M52" i="147"/>
  <c r="F52" i="147"/>
  <c r="E52" i="147"/>
  <c r="D52" i="147"/>
  <c r="C52" i="147"/>
  <c r="B52" i="147"/>
  <c r="Q51" i="147"/>
  <c r="P51" i="147"/>
  <c r="O51" i="147"/>
  <c r="N51" i="147"/>
  <c r="M51" i="147"/>
  <c r="F51" i="147"/>
  <c r="E51" i="147"/>
  <c r="D51" i="147"/>
  <c r="C51" i="147"/>
  <c r="B51" i="147"/>
  <c r="R50" i="147"/>
  <c r="G50" i="147"/>
  <c r="Q48" i="147"/>
  <c r="Q53" i="147" s="1"/>
  <c r="Q55" i="147" s="1"/>
  <c r="P48" i="147"/>
  <c r="P53" i="147" s="1"/>
  <c r="P55" i="147" s="1"/>
  <c r="O48" i="147"/>
  <c r="O53" i="147" s="1"/>
  <c r="O55" i="147" s="1"/>
  <c r="N48" i="147"/>
  <c r="N53" i="147" s="1"/>
  <c r="N55" i="147" s="1"/>
  <c r="M48" i="147"/>
  <c r="M53" i="147" s="1"/>
  <c r="M55" i="147" s="1"/>
  <c r="F48" i="147"/>
  <c r="F53" i="147" s="1"/>
  <c r="F55" i="147" s="1"/>
  <c r="E48" i="147"/>
  <c r="E53" i="147" s="1"/>
  <c r="E55" i="147" s="1"/>
  <c r="D48" i="147"/>
  <c r="D53" i="147" s="1"/>
  <c r="D55" i="147" s="1"/>
  <c r="C48" i="147"/>
  <c r="C53" i="147" s="1"/>
  <c r="C55" i="147" s="1"/>
  <c r="B48" i="147"/>
  <c r="B53" i="147" s="1"/>
  <c r="B55" i="147" s="1"/>
  <c r="R47" i="147"/>
  <c r="G47" i="147"/>
  <c r="R46" i="147"/>
  <c r="G46" i="147"/>
  <c r="R45" i="147"/>
  <c r="G45" i="147"/>
  <c r="R44" i="147"/>
  <c r="G44" i="147"/>
  <c r="R43" i="147"/>
  <c r="G43" i="147"/>
  <c r="R42" i="147"/>
  <c r="G42" i="147"/>
  <c r="R41" i="147"/>
  <c r="G41" i="147"/>
  <c r="K34" i="147"/>
  <c r="J34" i="147" s="1"/>
  <c r="D34" i="147"/>
  <c r="C34" i="147" s="1"/>
  <c r="N33" i="147"/>
  <c r="N28" i="147" s="1"/>
  <c r="M33" i="147"/>
  <c r="M28" i="147" s="1"/>
  <c r="L33" i="147"/>
  <c r="L28" i="147" s="1"/>
  <c r="K33" i="147"/>
  <c r="K28" i="147" s="1"/>
  <c r="J33" i="147"/>
  <c r="J28" i="147" s="1"/>
  <c r="G33" i="147"/>
  <c r="G28" i="147" s="1"/>
  <c r="F33" i="147"/>
  <c r="F28" i="147" s="1"/>
  <c r="E33" i="147"/>
  <c r="E28" i="147" s="1"/>
  <c r="D33" i="147"/>
  <c r="D28" i="147" s="1"/>
  <c r="C33" i="147"/>
  <c r="C28" i="147" s="1"/>
  <c r="Y30" i="147"/>
  <c r="Y32" i="147" s="1"/>
  <c r="X30" i="147"/>
  <c r="X32" i="147" s="1"/>
  <c r="W30" i="147"/>
  <c r="W32" i="147" s="1"/>
  <c r="V30" i="147"/>
  <c r="V32" i="147" s="1"/>
  <c r="U30" i="147"/>
  <c r="U32" i="147" s="1"/>
  <c r="T30" i="147"/>
  <c r="T32" i="147" s="1"/>
  <c r="S30" i="147"/>
  <c r="S32" i="147" s="1"/>
  <c r="R30" i="147"/>
  <c r="R32" i="147" s="1"/>
  <c r="Q30" i="147"/>
  <c r="Q32" i="147" s="1"/>
  <c r="P30" i="147"/>
  <c r="P32" i="147" s="1"/>
  <c r="Y29" i="147"/>
  <c r="Y31" i="147" s="1"/>
  <c r="X29" i="147"/>
  <c r="X31" i="147" s="1"/>
  <c r="W29" i="147"/>
  <c r="W31" i="147" s="1"/>
  <c r="V29" i="147"/>
  <c r="V31" i="147" s="1"/>
  <c r="U29" i="147"/>
  <c r="U31" i="147" s="1"/>
  <c r="T29" i="147"/>
  <c r="T31" i="147" s="1"/>
  <c r="S29" i="147"/>
  <c r="S31" i="147" s="1"/>
  <c r="R29" i="147"/>
  <c r="R31" i="147" s="1"/>
  <c r="Q29" i="147"/>
  <c r="Q31" i="147" s="1"/>
  <c r="P29" i="147"/>
  <c r="P31" i="147" s="1"/>
  <c r="Y28" i="147"/>
  <c r="X28" i="147"/>
  <c r="W28" i="147"/>
  <c r="V28" i="147"/>
  <c r="U28" i="147"/>
  <c r="T28" i="147"/>
  <c r="S28" i="147"/>
  <c r="R28" i="147"/>
  <c r="Q28" i="147"/>
  <c r="P28" i="147"/>
  <c r="Z27" i="147"/>
  <c r="N25" i="147"/>
  <c r="N30" i="147" s="1"/>
  <c r="N29" i="147" s="1"/>
  <c r="N31" i="147" s="1"/>
  <c r="M25" i="147"/>
  <c r="M30" i="147" s="1"/>
  <c r="M29" i="147" s="1"/>
  <c r="M31" i="147" s="1"/>
  <c r="L25" i="147"/>
  <c r="L30" i="147" s="1"/>
  <c r="K25" i="147"/>
  <c r="K30" i="147" s="1"/>
  <c r="J25" i="147"/>
  <c r="J30" i="147" s="1"/>
  <c r="G25" i="147"/>
  <c r="G30" i="147" s="1"/>
  <c r="F25" i="147"/>
  <c r="F30" i="147" s="1"/>
  <c r="E25" i="147"/>
  <c r="E30" i="147" s="1"/>
  <c r="D25" i="147"/>
  <c r="D30" i="147" s="1"/>
  <c r="D29" i="147" s="1"/>
  <c r="D31" i="147" s="1"/>
  <c r="C25" i="147"/>
  <c r="C30" i="147" s="1"/>
  <c r="C29" i="147" s="1"/>
  <c r="C31" i="147" s="1"/>
  <c r="O24" i="147"/>
  <c r="H24" i="147"/>
  <c r="O23" i="147"/>
  <c r="H23" i="147"/>
  <c r="O22" i="147"/>
  <c r="H22" i="147"/>
  <c r="O21" i="147"/>
  <c r="H21" i="147"/>
  <c r="O20" i="147"/>
  <c r="H20" i="147"/>
  <c r="O19" i="147"/>
  <c r="H19" i="147"/>
  <c r="O18" i="147"/>
  <c r="H18" i="147"/>
  <c r="Z23" i="147" l="1"/>
  <c r="Z20" i="147"/>
  <c r="N54" i="147"/>
  <c r="P54" i="147"/>
  <c r="Q73" i="147"/>
  <c r="J73" i="147"/>
  <c r="R73" i="147"/>
  <c r="O25" i="147"/>
  <c r="Z22" i="147"/>
  <c r="Z19" i="147"/>
  <c r="K73" i="147"/>
  <c r="S73" i="147"/>
  <c r="Z21" i="147"/>
  <c r="K32" i="147"/>
  <c r="H25" i="147"/>
  <c r="O54" i="147"/>
  <c r="Q54" i="147"/>
  <c r="I73" i="147"/>
  <c r="B73" i="147"/>
  <c r="D54" i="147"/>
  <c r="C73" i="147"/>
  <c r="L73" i="147"/>
  <c r="T73" i="147"/>
  <c r="E54" i="147"/>
  <c r="D73" i="147"/>
  <c r="M73" i="147"/>
  <c r="U73" i="147"/>
  <c r="F54" i="147"/>
  <c r="E73" i="147"/>
  <c r="N73" i="147"/>
  <c r="Z18" i="147"/>
  <c r="M54" i="147"/>
  <c r="F73" i="147"/>
  <c r="O73" i="147"/>
  <c r="H73" i="147"/>
  <c r="P73" i="147"/>
  <c r="G29" i="147"/>
  <c r="G31" i="147" s="1"/>
  <c r="G32" i="147"/>
  <c r="J32" i="147"/>
  <c r="J29" i="147"/>
  <c r="J31" i="147" s="1"/>
  <c r="L32" i="147"/>
  <c r="L29" i="147"/>
  <c r="L31" i="147" s="1"/>
  <c r="E29" i="147"/>
  <c r="E31" i="147" s="1"/>
  <c r="E32" i="147"/>
  <c r="F29" i="147"/>
  <c r="F31" i="147" s="1"/>
  <c r="F32" i="147"/>
  <c r="C32" i="147"/>
  <c r="D32" i="147"/>
  <c r="C54" i="147"/>
  <c r="W67" i="147"/>
  <c r="K29" i="147"/>
  <c r="K31" i="147" s="1"/>
  <c r="Z24" i="147"/>
  <c r="R48" i="147"/>
  <c r="M32" i="147"/>
  <c r="N32" i="147"/>
  <c r="B54" i="147"/>
  <c r="G48" i="147"/>
  <c r="R28" i="146"/>
  <c r="R29" i="146"/>
  <c r="R31" i="146" s="1"/>
  <c r="R30" i="146"/>
  <c r="R32" i="146" s="1"/>
  <c r="Z25" i="147" l="1"/>
  <c r="Z26" i="147" s="1"/>
  <c r="W70" i="147"/>
  <c r="W68" i="147"/>
  <c r="G51" i="147"/>
  <c r="G49" i="147"/>
  <c r="R49" i="147"/>
  <c r="R55" i="147" s="1"/>
  <c r="R51" i="147"/>
  <c r="R54" i="147"/>
  <c r="U71" i="146"/>
  <c r="T71" i="146"/>
  <c r="S71" i="146"/>
  <c r="R71" i="146"/>
  <c r="R73" i="146" s="1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V69" i="146"/>
  <c r="U67" i="146"/>
  <c r="U72" i="146" s="1"/>
  <c r="U74" i="146" s="1"/>
  <c r="T67" i="146"/>
  <c r="T72" i="146" s="1"/>
  <c r="T74" i="146" s="1"/>
  <c r="S67" i="146"/>
  <c r="S72" i="146" s="1"/>
  <c r="S74" i="146" s="1"/>
  <c r="R67" i="146"/>
  <c r="R72" i="146" s="1"/>
  <c r="R74" i="146" s="1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K72" i="146" s="1"/>
  <c r="K74" i="146" s="1"/>
  <c r="J67" i="146"/>
  <c r="J72" i="146" s="1"/>
  <c r="J74" i="146" s="1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C72" i="146" s="1"/>
  <c r="C74" i="146" s="1"/>
  <c r="B67" i="146"/>
  <c r="B72" i="146" s="1"/>
  <c r="B74" i="146" s="1"/>
  <c r="V66" i="146"/>
  <c r="V65" i="146"/>
  <c r="V64" i="146"/>
  <c r="V63" i="146"/>
  <c r="V62" i="146"/>
  <c r="V61" i="146"/>
  <c r="V60" i="146"/>
  <c r="Q52" i="146"/>
  <c r="P52" i="146"/>
  <c r="O52" i="146"/>
  <c r="N52" i="146"/>
  <c r="M52" i="146"/>
  <c r="F52" i="146"/>
  <c r="E52" i="146"/>
  <c r="D52" i="146"/>
  <c r="C52" i="146"/>
  <c r="B52" i="146"/>
  <c r="Q51" i="146"/>
  <c r="P51" i="146"/>
  <c r="O51" i="146"/>
  <c r="N51" i="146"/>
  <c r="M51" i="146"/>
  <c r="F51" i="146"/>
  <c r="E51" i="146"/>
  <c r="D51" i="146"/>
  <c r="C51" i="146"/>
  <c r="B51" i="146"/>
  <c r="R50" i="146"/>
  <c r="G50" i="146"/>
  <c r="Q48" i="146"/>
  <c r="Q53" i="146" s="1"/>
  <c r="Q55" i="146" s="1"/>
  <c r="P48" i="146"/>
  <c r="P53" i="146" s="1"/>
  <c r="P55" i="146" s="1"/>
  <c r="O48" i="146"/>
  <c r="O53" i="146" s="1"/>
  <c r="O55" i="146" s="1"/>
  <c r="N48" i="146"/>
  <c r="N53" i="146" s="1"/>
  <c r="N55" i="146" s="1"/>
  <c r="M48" i="146"/>
  <c r="M53" i="146" s="1"/>
  <c r="M55" i="146" s="1"/>
  <c r="F48" i="146"/>
  <c r="E48" i="146"/>
  <c r="D48" i="146"/>
  <c r="D53" i="146" s="1"/>
  <c r="D55" i="146" s="1"/>
  <c r="C48" i="146"/>
  <c r="C53" i="146" s="1"/>
  <c r="C55" i="146" s="1"/>
  <c r="B48" i="146"/>
  <c r="R47" i="146"/>
  <c r="G47" i="146"/>
  <c r="R46" i="146"/>
  <c r="G46" i="146"/>
  <c r="R45" i="146"/>
  <c r="G45" i="146"/>
  <c r="R44" i="146"/>
  <c r="G44" i="146"/>
  <c r="R43" i="146"/>
  <c r="G43" i="146"/>
  <c r="R42" i="146"/>
  <c r="G42" i="146"/>
  <c r="R41" i="146"/>
  <c r="G41" i="146"/>
  <c r="K34" i="146"/>
  <c r="J34" i="146" s="1"/>
  <c r="D34" i="146"/>
  <c r="C34" i="146" s="1"/>
  <c r="N33" i="146"/>
  <c r="N28" i="146" s="1"/>
  <c r="M33" i="146"/>
  <c r="M28" i="146" s="1"/>
  <c r="L33" i="146"/>
  <c r="L28" i="146" s="1"/>
  <c r="K33" i="146"/>
  <c r="K28" i="146" s="1"/>
  <c r="J33" i="146"/>
  <c r="J28" i="146" s="1"/>
  <c r="G33" i="146"/>
  <c r="G28" i="146" s="1"/>
  <c r="F33" i="146"/>
  <c r="F28" i="146" s="1"/>
  <c r="E33" i="146"/>
  <c r="E28" i="146" s="1"/>
  <c r="D33" i="146"/>
  <c r="D28" i="146" s="1"/>
  <c r="C33" i="146"/>
  <c r="C28" i="146" s="1"/>
  <c r="Y29" i="146"/>
  <c r="X29" i="146"/>
  <c r="W29" i="146"/>
  <c r="V29" i="146"/>
  <c r="U29" i="146"/>
  <c r="T29" i="146"/>
  <c r="S29" i="146"/>
  <c r="Q29" i="146"/>
  <c r="P29" i="146"/>
  <c r="Y28" i="146"/>
  <c r="X28" i="146"/>
  <c r="W28" i="146"/>
  <c r="V28" i="146"/>
  <c r="U28" i="146"/>
  <c r="T28" i="146"/>
  <c r="S28" i="146"/>
  <c r="Q28" i="146"/>
  <c r="P28" i="146"/>
  <c r="Z27" i="146"/>
  <c r="Y30" i="146"/>
  <c r="Y32" i="146" s="1"/>
  <c r="X30" i="146"/>
  <c r="X32" i="146" s="1"/>
  <c r="W30" i="146"/>
  <c r="W32" i="146" s="1"/>
  <c r="V30" i="146"/>
  <c r="V32" i="146" s="1"/>
  <c r="U30" i="146"/>
  <c r="U32" i="146" s="1"/>
  <c r="T30" i="146"/>
  <c r="T32" i="146" s="1"/>
  <c r="S30" i="146"/>
  <c r="S32" i="146" s="1"/>
  <c r="Q30" i="146"/>
  <c r="Q32" i="146" s="1"/>
  <c r="P30" i="146"/>
  <c r="P32" i="146" s="1"/>
  <c r="N25" i="146"/>
  <c r="N30" i="146" s="1"/>
  <c r="M25" i="146"/>
  <c r="M30" i="146" s="1"/>
  <c r="L25" i="146"/>
  <c r="L30" i="146" s="1"/>
  <c r="K25" i="146"/>
  <c r="K30" i="146" s="1"/>
  <c r="J25" i="146"/>
  <c r="J30" i="146" s="1"/>
  <c r="G25" i="146"/>
  <c r="G30" i="146" s="1"/>
  <c r="F25" i="146"/>
  <c r="F30" i="146" s="1"/>
  <c r="E25" i="146"/>
  <c r="E30" i="146" s="1"/>
  <c r="D25" i="146"/>
  <c r="D30" i="146" s="1"/>
  <c r="C25" i="146"/>
  <c r="C30" i="146" s="1"/>
  <c r="O24" i="146"/>
  <c r="H24" i="146"/>
  <c r="O23" i="146"/>
  <c r="H23" i="146"/>
  <c r="O22" i="146"/>
  <c r="H22" i="146"/>
  <c r="O21" i="146"/>
  <c r="H21" i="146"/>
  <c r="O20" i="146"/>
  <c r="H20" i="146"/>
  <c r="O19" i="146"/>
  <c r="H19" i="146"/>
  <c r="O18" i="146"/>
  <c r="H18" i="146"/>
  <c r="S73" i="146" l="1"/>
  <c r="Z22" i="146"/>
  <c r="N54" i="146"/>
  <c r="Z18" i="146"/>
  <c r="F73" i="146"/>
  <c r="G73" i="146"/>
  <c r="J73" i="146"/>
  <c r="M54" i="146"/>
  <c r="H73" i="146"/>
  <c r="I73" i="146"/>
  <c r="U73" i="146"/>
  <c r="T73" i="146"/>
  <c r="Q54" i="146"/>
  <c r="Z21" i="146"/>
  <c r="Z20" i="146"/>
  <c r="K73" i="146"/>
  <c r="L73" i="146"/>
  <c r="M73" i="146"/>
  <c r="N73" i="146"/>
  <c r="O73" i="146"/>
  <c r="D73" i="146"/>
  <c r="P73" i="146"/>
  <c r="B73" i="146"/>
  <c r="C73" i="146"/>
  <c r="O54" i="146"/>
  <c r="F32" i="146"/>
  <c r="P54" i="146"/>
  <c r="E73" i="146"/>
  <c r="Q73" i="146"/>
  <c r="Z23" i="146"/>
  <c r="E54" i="146"/>
  <c r="F54" i="146"/>
  <c r="C54" i="146"/>
  <c r="G48" i="146"/>
  <c r="G49" i="146" s="1"/>
  <c r="D54" i="146"/>
  <c r="B53" i="146"/>
  <c r="B55" i="146" s="1"/>
  <c r="B54" i="146"/>
  <c r="Q31" i="146"/>
  <c r="T31" i="146"/>
  <c r="Y31" i="146"/>
  <c r="S31" i="146"/>
  <c r="W31" i="146"/>
  <c r="U31" i="146"/>
  <c r="V31" i="146"/>
  <c r="P31" i="146"/>
  <c r="X31" i="146"/>
  <c r="O25" i="146"/>
  <c r="Z24" i="146"/>
  <c r="H25" i="146"/>
  <c r="K29" i="146"/>
  <c r="K31" i="146" s="1"/>
  <c r="K32" i="146"/>
  <c r="L29" i="146"/>
  <c r="L31" i="146" s="1"/>
  <c r="L32" i="146"/>
  <c r="C29" i="146"/>
  <c r="C31" i="146" s="1"/>
  <c r="C32" i="146"/>
  <c r="M29" i="146"/>
  <c r="M31" i="146" s="1"/>
  <c r="M32" i="146"/>
  <c r="J29" i="146"/>
  <c r="J31" i="146" s="1"/>
  <c r="J32" i="146"/>
  <c r="D32" i="146"/>
  <c r="D29" i="146"/>
  <c r="D31" i="146" s="1"/>
  <c r="N29" i="146"/>
  <c r="N31" i="146" s="1"/>
  <c r="N32" i="146"/>
  <c r="E32" i="146"/>
  <c r="E29" i="146"/>
  <c r="E31" i="146" s="1"/>
  <c r="G32" i="146"/>
  <c r="G29" i="146"/>
  <c r="G31" i="146" s="1"/>
  <c r="Z19" i="146"/>
  <c r="F29" i="146"/>
  <c r="F31" i="146" s="1"/>
  <c r="E53" i="146"/>
  <c r="E55" i="146" s="1"/>
  <c r="V67" i="146"/>
  <c r="F53" i="146"/>
  <c r="F55" i="146" s="1"/>
  <c r="R48" i="146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V69" i="145"/>
  <c r="U67" i="145"/>
  <c r="U72" i="145" s="1"/>
  <c r="U74" i="145" s="1"/>
  <c r="T67" i="145"/>
  <c r="T72" i="145" s="1"/>
  <c r="T74" i="145" s="1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M72" i="145" s="1"/>
  <c r="M74" i="145" s="1"/>
  <c r="L67" i="145"/>
  <c r="L72" i="145" s="1"/>
  <c r="L74" i="145" s="1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D72" i="145" s="1"/>
  <c r="D74" i="145" s="1"/>
  <c r="C67" i="145"/>
  <c r="C72" i="145" s="1"/>
  <c r="C74" i="145" s="1"/>
  <c r="B67" i="145"/>
  <c r="B72" i="145" s="1"/>
  <c r="B74" i="145" s="1"/>
  <c r="V66" i="145"/>
  <c r="V65" i="145"/>
  <c r="V64" i="145"/>
  <c r="V63" i="145"/>
  <c r="V62" i="145"/>
  <c r="V61" i="145"/>
  <c r="V60" i="145"/>
  <c r="Q52" i="145"/>
  <c r="P52" i="145"/>
  <c r="O52" i="145"/>
  <c r="N52" i="145"/>
  <c r="M52" i="145"/>
  <c r="F52" i="145"/>
  <c r="E52" i="145"/>
  <c r="D52" i="145"/>
  <c r="C52" i="145"/>
  <c r="B52" i="145"/>
  <c r="Q51" i="145"/>
  <c r="P51" i="145"/>
  <c r="O51" i="145"/>
  <c r="N51" i="145"/>
  <c r="M51" i="145"/>
  <c r="F51" i="145"/>
  <c r="E51" i="145"/>
  <c r="D51" i="145"/>
  <c r="C51" i="145"/>
  <c r="B51" i="145"/>
  <c r="R50" i="145"/>
  <c r="G50" i="145"/>
  <c r="Q48" i="145"/>
  <c r="Q53" i="145" s="1"/>
  <c r="Q55" i="145" s="1"/>
  <c r="P48" i="145"/>
  <c r="P53" i="145" s="1"/>
  <c r="P55" i="145" s="1"/>
  <c r="O48" i="145"/>
  <c r="O53" i="145" s="1"/>
  <c r="O55" i="145" s="1"/>
  <c r="N48" i="145"/>
  <c r="N53" i="145" s="1"/>
  <c r="N55" i="145" s="1"/>
  <c r="M48" i="145"/>
  <c r="F48" i="145"/>
  <c r="F53" i="145" s="1"/>
  <c r="F55" i="145" s="1"/>
  <c r="E48" i="145"/>
  <c r="E53" i="145" s="1"/>
  <c r="E55" i="145" s="1"/>
  <c r="D48" i="145"/>
  <c r="D53" i="145" s="1"/>
  <c r="D55" i="145" s="1"/>
  <c r="C48" i="145"/>
  <c r="C53" i="145" s="1"/>
  <c r="C55" i="145" s="1"/>
  <c r="B48" i="145"/>
  <c r="R47" i="145"/>
  <c r="G47" i="145"/>
  <c r="R46" i="145"/>
  <c r="G46" i="145"/>
  <c r="R45" i="145"/>
  <c r="G45" i="145"/>
  <c r="R44" i="145"/>
  <c r="G44" i="145"/>
  <c r="R43" i="145"/>
  <c r="G43" i="145"/>
  <c r="R42" i="145"/>
  <c r="G42" i="145"/>
  <c r="R41" i="145"/>
  <c r="G41" i="145"/>
  <c r="K34" i="145"/>
  <c r="J34" i="145" s="1"/>
  <c r="D34" i="145"/>
  <c r="C34" i="145" s="1"/>
  <c r="N33" i="145"/>
  <c r="N28" i="145" s="1"/>
  <c r="M33" i="145"/>
  <c r="M28" i="145" s="1"/>
  <c r="L33" i="145"/>
  <c r="L28" i="145" s="1"/>
  <c r="K33" i="145"/>
  <c r="K28" i="145" s="1"/>
  <c r="J33" i="145"/>
  <c r="J28" i="145" s="1"/>
  <c r="G33" i="145"/>
  <c r="G28" i="145" s="1"/>
  <c r="F33" i="145"/>
  <c r="F28" i="145" s="1"/>
  <c r="E33" i="145"/>
  <c r="E28" i="145" s="1"/>
  <c r="D33" i="145"/>
  <c r="D28" i="145" s="1"/>
  <c r="C33" i="145"/>
  <c r="C28" i="145" s="1"/>
  <c r="Y29" i="145"/>
  <c r="X29" i="145"/>
  <c r="W29" i="145"/>
  <c r="V29" i="145"/>
  <c r="U29" i="145"/>
  <c r="T29" i="145"/>
  <c r="S29" i="145"/>
  <c r="R29" i="145"/>
  <c r="Q29" i="145"/>
  <c r="P29" i="145"/>
  <c r="Y28" i="145"/>
  <c r="X28" i="145"/>
  <c r="W28" i="145"/>
  <c r="V28" i="145"/>
  <c r="U28" i="145"/>
  <c r="T28" i="145"/>
  <c r="S28" i="145"/>
  <c r="R28" i="145"/>
  <c r="Q28" i="145"/>
  <c r="P28" i="145"/>
  <c r="Z27" i="145"/>
  <c r="Y25" i="145"/>
  <c r="Y30" i="145" s="1"/>
  <c r="Y32" i="145" s="1"/>
  <c r="X25" i="145"/>
  <c r="X30" i="145" s="1"/>
  <c r="X32" i="145" s="1"/>
  <c r="W25" i="145"/>
  <c r="W30" i="145" s="1"/>
  <c r="W32" i="145" s="1"/>
  <c r="V25" i="145"/>
  <c r="V30" i="145" s="1"/>
  <c r="V32" i="145" s="1"/>
  <c r="U25" i="145"/>
  <c r="U30" i="145" s="1"/>
  <c r="U32" i="145" s="1"/>
  <c r="T25" i="145"/>
  <c r="T30" i="145" s="1"/>
  <c r="T32" i="145" s="1"/>
  <c r="S25" i="145"/>
  <c r="S30" i="145" s="1"/>
  <c r="S32" i="145" s="1"/>
  <c r="R25" i="145"/>
  <c r="R30" i="145" s="1"/>
  <c r="R32" i="145" s="1"/>
  <c r="Q25" i="145"/>
  <c r="Q30" i="145" s="1"/>
  <c r="Q32" i="145" s="1"/>
  <c r="P25" i="145"/>
  <c r="P30" i="145" s="1"/>
  <c r="P32" i="145" s="1"/>
  <c r="N25" i="145"/>
  <c r="N30" i="145" s="1"/>
  <c r="M25" i="145"/>
  <c r="M30" i="145" s="1"/>
  <c r="L25" i="145"/>
  <c r="L30" i="145" s="1"/>
  <c r="K25" i="145"/>
  <c r="K30" i="145" s="1"/>
  <c r="J25" i="145"/>
  <c r="J30" i="145" s="1"/>
  <c r="G25" i="145"/>
  <c r="G30" i="145" s="1"/>
  <c r="F25" i="145"/>
  <c r="F30" i="145" s="1"/>
  <c r="E25" i="145"/>
  <c r="E30" i="145" s="1"/>
  <c r="D25" i="145"/>
  <c r="D30" i="145" s="1"/>
  <c r="C25" i="145"/>
  <c r="C30" i="145" s="1"/>
  <c r="O24" i="145"/>
  <c r="H24" i="145"/>
  <c r="O23" i="145"/>
  <c r="H23" i="145"/>
  <c r="O22" i="145"/>
  <c r="H22" i="145"/>
  <c r="O21" i="145"/>
  <c r="H21" i="145"/>
  <c r="O20" i="145"/>
  <c r="H20" i="145"/>
  <c r="O19" i="145"/>
  <c r="H19" i="145"/>
  <c r="O18" i="145"/>
  <c r="H18" i="145"/>
  <c r="M54" i="145" l="1"/>
  <c r="Z18" i="145"/>
  <c r="G51" i="146"/>
  <c r="Z25" i="146"/>
  <c r="Z26" i="146" s="1"/>
  <c r="V68" i="146"/>
  <c r="V70" i="146"/>
  <c r="R49" i="146"/>
  <c r="R55" i="146" s="1"/>
  <c r="R51" i="146"/>
  <c r="R54" i="146"/>
  <c r="D54" i="145"/>
  <c r="Z21" i="145"/>
  <c r="G32" i="145"/>
  <c r="N73" i="145"/>
  <c r="F73" i="145"/>
  <c r="Q54" i="145"/>
  <c r="P54" i="145"/>
  <c r="C54" i="145"/>
  <c r="S31" i="145"/>
  <c r="Q31" i="145"/>
  <c r="Y31" i="145"/>
  <c r="Z23" i="145"/>
  <c r="B54" i="145"/>
  <c r="O54" i="145"/>
  <c r="T31" i="145"/>
  <c r="E54" i="145"/>
  <c r="I73" i="145"/>
  <c r="Q73" i="145"/>
  <c r="H73" i="145"/>
  <c r="Z22" i="145"/>
  <c r="U31" i="145"/>
  <c r="F54" i="145"/>
  <c r="B73" i="145"/>
  <c r="J73" i="145"/>
  <c r="R73" i="145"/>
  <c r="G73" i="145"/>
  <c r="P73" i="145"/>
  <c r="C73" i="145"/>
  <c r="K73" i="145"/>
  <c r="S73" i="145"/>
  <c r="N54" i="145"/>
  <c r="O73" i="145"/>
  <c r="H25" i="145"/>
  <c r="W31" i="145"/>
  <c r="G48" i="145"/>
  <c r="G51" i="145" s="1"/>
  <c r="D73" i="145"/>
  <c r="L73" i="145"/>
  <c r="T73" i="145"/>
  <c r="B53" i="145"/>
  <c r="B55" i="145" s="1"/>
  <c r="O25" i="145"/>
  <c r="Z20" i="145"/>
  <c r="E73" i="145"/>
  <c r="M73" i="145"/>
  <c r="U73" i="145"/>
  <c r="F32" i="145"/>
  <c r="F29" i="145"/>
  <c r="F31" i="145" s="1"/>
  <c r="V31" i="145"/>
  <c r="G29" i="145"/>
  <c r="G31" i="145" s="1"/>
  <c r="Z24" i="145"/>
  <c r="P31" i="145"/>
  <c r="X31" i="145"/>
  <c r="R31" i="145"/>
  <c r="C29" i="145"/>
  <c r="C31" i="145" s="1"/>
  <c r="C32" i="145"/>
  <c r="N29" i="145"/>
  <c r="N31" i="145" s="1"/>
  <c r="N32" i="145"/>
  <c r="E32" i="145"/>
  <c r="E29" i="145"/>
  <c r="E31" i="145" s="1"/>
  <c r="L29" i="145"/>
  <c r="L31" i="145" s="1"/>
  <c r="L32" i="145"/>
  <c r="M29" i="145"/>
  <c r="M31" i="145" s="1"/>
  <c r="M32" i="145"/>
  <c r="D29" i="145"/>
  <c r="D31" i="145" s="1"/>
  <c r="D32" i="145"/>
  <c r="J32" i="145"/>
  <c r="J29" i="145"/>
  <c r="J31" i="145" s="1"/>
  <c r="K32" i="145"/>
  <c r="K29" i="145"/>
  <c r="K31" i="145" s="1"/>
  <c r="V67" i="145"/>
  <c r="R48" i="145"/>
  <c r="M53" i="145"/>
  <c r="M55" i="145" s="1"/>
  <c r="Z19" i="145"/>
  <c r="E33" i="144"/>
  <c r="E28" i="144" s="1"/>
  <c r="G49" i="145" l="1"/>
  <c r="Z25" i="145"/>
  <c r="Z26" i="145" s="1"/>
  <c r="V68" i="145"/>
  <c r="V70" i="145"/>
  <c r="R49" i="145"/>
  <c r="R55" i="145" s="1"/>
  <c r="R51" i="145"/>
  <c r="R54" i="145"/>
  <c r="H20" i="144"/>
  <c r="R28" i="144"/>
  <c r="M34" i="113" l="1"/>
  <c r="O34" i="113"/>
  <c r="P34" i="113"/>
  <c r="L34" i="113"/>
  <c r="M48" i="144"/>
  <c r="Q34" i="113" l="1"/>
  <c r="B51" i="144"/>
  <c r="C51" i="144"/>
  <c r="D51" i="144"/>
  <c r="E51" i="144"/>
  <c r="F5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V69" i="144"/>
  <c r="U67" i="144"/>
  <c r="U72" i="144" s="1"/>
  <c r="U74" i="144" s="1"/>
  <c r="T67" i="144"/>
  <c r="T72" i="144" s="1"/>
  <c r="T74" i="144" s="1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M72" i="144" s="1"/>
  <c r="M74" i="144" s="1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D72" i="144" s="1"/>
  <c r="D74" i="144" s="1"/>
  <c r="C67" i="144"/>
  <c r="C72" i="144" s="1"/>
  <c r="C74" i="144" s="1"/>
  <c r="B67" i="144"/>
  <c r="V66" i="144"/>
  <c r="V65" i="144"/>
  <c r="V64" i="144"/>
  <c r="V63" i="144"/>
  <c r="V62" i="144"/>
  <c r="V61" i="144"/>
  <c r="V60" i="144"/>
  <c r="Q52" i="144"/>
  <c r="P52" i="144"/>
  <c r="O52" i="144"/>
  <c r="N52" i="144"/>
  <c r="M52" i="144"/>
  <c r="M54" i="144" s="1"/>
  <c r="F52" i="144"/>
  <c r="E52" i="144"/>
  <c r="D52" i="144"/>
  <c r="C52" i="144"/>
  <c r="B52" i="144"/>
  <c r="Q51" i="144"/>
  <c r="P51" i="144"/>
  <c r="O51" i="144"/>
  <c r="N51" i="144"/>
  <c r="M51" i="144"/>
  <c r="R50" i="144"/>
  <c r="G50" i="144"/>
  <c r="Q48" i="144"/>
  <c r="Q53" i="144" s="1"/>
  <c r="Q55" i="144" s="1"/>
  <c r="P48" i="144"/>
  <c r="O48" i="144"/>
  <c r="N48" i="144"/>
  <c r="N53" i="144" s="1"/>
  <c r="N55" i="144" s="1"/>
  <c r="M53" i="144"/>
  <c r="M55" i="144" s="1"/>
  <c r="F48" i="144"/>
  <c r="F53" i="144" s="1"/>
  <c r="F55" i="144" s="1"/>
  <c r="E48" i="144"/>
  <c r="E53" i="144" s="1"/>
  <c r="E55" i="144" s="1"/>
  <c r="D48" i="144"/>
  <c r="D53" i="144" s="1"/>
  <c r="D55" i="144" s="1"/>
  <c r="C48" i="144"/>
  <c r="C53" i="144" s="1"/>
  <c r="C55" i="144" s="1"/>
  <c r="B48" i="144"/>
  <c r="R47" i="144"/>
  <c r="G47" i="144"/>
  <c r="R46" i="144"/>
  <c r="G46" i="144"/>
  <c r="R45" i="144"/>
  <c r="G45" i="144"/>
  <c r="R44" i="144"/>
  <c r="G44" i="144"/>
  <c r="R43" i="144"/>
  <c r="G43" i="144"/>
  <c r="R42" i="144"/>
  <c r="G42" i="144"/>
  <c r="R41" i="144"/>
  <c r="G41" i="144"/>
  <c r="K34" i="144"/>
  <c r="J34" i="144" s="1"/>
  <c r="D34" i="144"/>
  <c r="C34" i="144" s="1"/>
  <c r="N33" i="144"/>
  <c r="N28" i="144" s="1"/>
  <c r="M33" i="144"/>
  <c r="M28" i="144" s="1"/>
  <c r="L33" i="144"/>
  <c r="L28" i="144" s="1"/>
  <c r="K33" i="144"/>
  <c r="K28" i="144" s="1"/>
  <c r="J33" i="144"/>
  <c r="J28" i="144" s="1"/>
  <c r="G33" i="144"/>
  <c r="G28" i="144" s="1"/>
  <c r="F33" i="144"/>
  <c r="F28" i="144" s="1"/>
  <c r="D33" i="144"/>
  <c r="D28" i="144" s="1"/>
  <c r="C33" i="144"/>
  <c r="C28" i="144" s="1"/>
  <c r="Y29" i="144"/>
  <c r="X29" i="144"/>
  <c r="W29" i="144"/>
  <c r="V29" i="144"/>
  <c r="U29" i="144"/>
  <c r="T29" i="144"/>
  <c r="S29" i="144"/>
  <c r="R29" i="144"/>
  <c r="Q29" i="144"/>
  <c r="P29" i="144"/>
  <c r="Y28" i="144"/>
  <c r="X28" i="144"/>
  <c r="W28" i="144"/>
  <c r="V28" i="144"/>
  <c r="U28" i="144"/>
  <c r="T28" i="144"/>
  <c r="S28" i="144"/>
  <c r="Q28" i="144"/>
  <c r="P28" i="144"/>
  <c r="Z27" i="144"/>
  <c r="Y25" i="144"/>
  <c r="Y30" i="144" s="1"/>
  <c r="Y32" i="144" s="1"/>
  <c r="X25" i="144"/>
  <c r="X30" i="144" s="1"/>
  <c r="X32" i="144" s="1"/>
  <c r="W25" i="144"/>
  <c r="W30" i="144" s="1"/>
  <c r="W32" i="144" s="1"/>
  <c r="V25" i="144"/>
  <c r="V30" i="144" s="1"/>
  <c r="V32" i="144" s="1"/>
  <c r="U25" i="144"/>
  <c r="U30" i="144" s="1"/>
  <c r="U32" i="144" s="1"/>
  <c r="T25" i="144"/>
  <c r="T30" i="144" s="1"/>
  <c r="T32" i="144" s="1"/>
  <c r="S25" i="144"/>
  <c r="S30" i="144" s="1"/>
  <c r="S32" i="144" s="1"/>
  <c r="R25" i="144"/>
  <c r="R30" i="144" s="1"/>
  <c r="R32" i="144" s="1"/>
  <c r="Q25" i="144"/>
  <c r="Q30" i="144" s="1"/>
  <c r="Q32" i="144" s="1"/>
  <c r="P25" i="144"/>
  <c r="P30" i="144" s="1"/>
  <c r="P32" i="144" s="1"/>
  <c r="N25" i="144"/>
  <c r="N30" i="144" s="1"/>
  <c r="M25" i="144"/>
  <c r="M30" i="144" s="1"/>
  <c r="L25" i="144"/>
  <c r="L30" i="144" s="1"/>
  <c r="K25" i="144"/>
  <c r="K30" i="144" s="1"/>
  <c r="J25" i="144"/>
  <c r="J30" i="144" s="1"/>
  <c r="G25" i="144"/>
  <c r="G30" i="144" s="1"/>
  <c r="F25" i="144"/>
  <c r="F30" i="144" s="1"/>
  <c r="E25" i="144"/>
  <c r="E30" i="144" s="1"/>
  <c r="D25" i="144"/>
  <c r="D30" i="144" s="1"/>
  <c r="C25" i="144"/>
  <c r="C30" i="144" s="1"/>
  <c r="O24" i="144"/>
  <c r="H24" i="144"/>
  <c r="O23" i="144"/>
  <c r="H23" i="144"/>
  <c r="O22" i="144"/>
  <c r="H22" i="144"/>
  <c r="O21" i="144"/>
  <c r="H21" i="144"/>
  <c r="O20" i="144"/>
  <c r="O19" i="144"/>
  <c r="H19" i="144"/>
  <c r="O18" i="144"/>
  <c r="H18" i="144"/>
  <c r="Q73" i="144" l="1"/>
  <c r="R48" i="144"/>
  <c r="I73" i="144"/>
  <c r="R31" i="144"/>
  <c r="P54" i="144"/>
  <c r="E29" i="144"/>
  <c r="E31" i="144" s="1"/>
  <c r="E32" i="144"/>
  <c r="V31" i="144"/>
  <c r="N32" i="144"/>
  <c r="G32" i="144"/>
  <c r="D32" i="144"/>
  <c r="O54" i="144"/>
  <c r="B54" i="144"/>
  <c r="Z19" i="144"/>
  <c r="Z23" i="144"/>
  <c r="V67" i="144"/>
  <c r="V70" i="144" s="1"/>
  <c r="C73" i="144"/>
  <c r="K73" i="144"/>
  <c r="S73" i="144"/>
  <c r="E73" i="144"/>
  <c r="M73" i="144"/>
  <c r="U73" i="144"/>
  <c r="D73" i="144"/>
  <c r="L73" i="144"/>
  <c r="T73" i="144"/>
  <c r="F73" i="144"/>
  <c r="N73" i="144"/>
  <c r="G73" i="144"/>
  <c r="O73" i="144"/>
  <c r="H73" i="144"/>
  <c r="P73" i="144"/>
  <c r="B73" i="144"/>
  <c r="J73" i="144"/>
  <c r="R73" i="144"/>
  <c r="O53" i="144"/>
  <c r="O55" i="144" s="1"/>
  <c r="P53" i="144"/>
  <c r="P55" i="144" s="1"/>
  <c r="N54" i="144"/>
  <c r="Q54" i="144"/>
  <c r="F54" i="144"/>
  <c r="C54" i="144"/>
  <c r="G48" i="144"/>
  <c r="G49" i="144" s="1"/>
  <c r="D54" i="144"/>
  <c r="B53" i="144"/>
  <c r="B55" i="144" s="1"/>
  <c r="E54" i="144"/>
  <c r="W31" i="144"/>
  <c r="Q31" i="144"/>
  <c r="Y31" i="144"/>
  <c r="S31" i="144"/>
  <c r="T31" i="144"/>
  <c r="U31" i="144"/>
  <c r="P31" i="144"/>
  <c r="X31" i="144"/>
  <c r="Z20" i="144"/>
  <c r="O25" i="144"/>
  <c r="Z21" i="144"/>
  <c r="Z22" i="144"/>
  <c r="Z24" i="144"/>
  <c r="H25" i="144"/>
  <c r="G29" i="144"/>
  <c r="G31" i="144" s="1"/>
  <c r="J32" i="144"/>
  <c r="J29" i="144"/>
  <c r="J31" i="144" s="1"/>
  <c r="D29" i="144"/>
  <c r="D31" i="144" s="1"/>
  <c r="K29" i="144"/>
  <c r="K31" i="144" s="1"/>
  <c r="K32" i="144"/>
  <c r="L29" i="144"/>
  <c r="L31" i="144" s="1"/>
  <c r="L32" i="144"/>
  <c r="N29" i="144"/>
  <c r="N31" i="144" s="1"/>
  <c r="C29" i="144"/>
  <c r="C31" i="144" s="1"/>
  <c r="C32" i="144"/>
  <c r="M29" i="144"/>
  <c r="M31" i="144" s="1"/>
  <c r="M32" i="144"/>
  <c r="F29" i="144"/>
  <c r="F31" i="144" s="1"/>
  <c r="F32" i="144"/>
  <c r="B72" i="144"/>
  <c r="B74" i="144" s="1"/>
  <c r="Z18" i="144"/>
  <c r="M51" i="143"/>
  <c r="B51" i="143"/>
  <c r="V68" i="144" l="1"/>
  <c r="G51" i="144"/>
  <c r="Z25" i="144"/>
  <c r="Z26" i="144" s="1"/>
  <c r="R54" i="144"/>
  <c r="R49" i="144"/>
  <c r="R55" i="144" s="1"/>
  <c r="R51" i="144"/>
  <c r="C51" i="143"/>
  <c r="D51" i="143"/>
  <c r="E51" i="143"/>
  <c r="F51" i="143"/>
  <c r="B52" i="143"/>
  <c r="C52" i="143"/>
  <c r="D52" i="143"/>
  <c r="E52" i="143"/>
  <c r="F52" i="143"/>
  <c r="U25" i="143" l="1"/>
  <c r="W48" i="113" l="1"/>
  <c r="W41" i="113"/>
  <c r="W42" i="113"/>
  <c r="W43" i="113"/>
  <c r="W44" i="113"/>
  <c r="W45" i="113"/>
  <c r="W46" i="113"/>
  <c r="W40" i="113"/>
  <c r="V47" i="113"/>
  <c r="U47" i="113"/>
  <c r="T47" i="113"/>
  <c r="S47" i="113"/>
  <c r="R47" i="113"/>
  <c r="Q47" i="113"/>
  <c r="P47" i="113"/>
  <c r="O47" i="113"/>
  <c r="N47" i="113"/>
  <c r="M47" i="113"/>
  <c r="X63" i="142"/>
  <c r="X62" i="142"/>
  <c r="X61" i="142"/>
  <c r="X60" i="142"/>
  <c r="V69" i="143"/>
  <c r="X69" i="142"/>
  <c r="V61" i="143"/>
  <c r="V62" i="143"/>
  <c r="V63" i="143"/>
  <c r="V64" i="143"/>
  <c r="V65" i="143"/>
  <c r="V66" i="143"/>
  <c r="V60" i="143"/>
  <c r="U71" i="143"/>
  <c r="T71" i="143"/>
  <c r="S71" i="143"/>
  <c r="R71" i="143"/>
  <c r="Q71" i="143"/>
  <c r="U70" i="143"/>
  <c r="T70" i="143"/>
  <c r="S70" i="143"/>
  <c r="R70" i="143"/>
  <c r="Q70" i="143"/>
  <c r="U67" i="143"/>
  <c r="U72" i="143" s="1"/>
  <c r="U74" i="143" s="1"/>
  <c r="T67" i="143"/>
  <c r="T72" i="143" s="1"/>
  <c r="T74" i="143" s="1"/>
  <c r="S67" i="143"/>
  <c r="S72" i="143" s="1"/>
  <c r="S74" i="143" s="1"/>
  <c r="R67" i="143"/>
  <c r="Q67" i="143"/>
  <c r="Q72" i="143" s="1"/>
  <c r="Q74" i="143" s="1"/>
  <c r="P71" i="143"/>
  <c r="O71" i="143"/>
  <c r="N71" i="143"/>
  <c r="M71" i="143"/>
  <c r="L71" i="143"/>
  <c r="P70" i="143"/>
  <c r="O70" i="143"/>
  <c r="N70" i="143"/>
  <c r="M70" i="143"/>
  <c r="L70" i="143"/>
  <c r="P67" i="143"/>
  <c r="P72" i="143" s="1"/>
  <c r="P74" i="143" s="1"/>
  <c r="O67" i="143"/>
  <c r="O72" i="143" s="1"/>
  <c r="O74" i="143" s="1"/>
  <c r="N67" i="143"/>
  <c r="M67" i="143"/>
  <c r="M72" i="143" s="1"/>
  <c r="M74" i="143" s="1"/>
  <c r="L67" i="143"/>
  <c r="L72" i="143" s="1"/>
  <c r="L74" i="143" s="1"/>
  <c r="G67" i="143"/>
  <c r="G72" i="143" s="1"/>
  <c r="G74" i="143" s="1"/>
  <c r="H67" i="143"/>
  <c r="H72" i="143" s="1"/>
  <c r="H74" i="143" s="1"/>
  <c r="I67" i="143"/>
  <c r="J67" i="143"/>
  <c r="J72" i="143" s="1"/>
  <c r="J74" i="143" s="1"/>
  <c r="K67" i="143"/>
  <c r="K72" i="143" s="1"/>
  <c r="K74" i="143" s="1"/>
  <c r="G70" i="143"/>
  <c r="H70" i="143"/>
  <c r="I70" i="143"/>
  <c r="J70" i="143"/>
  <c r="K70" i="143"/>
  <c r="G71" i="143"/>
  <c r="H71" i="143"/>
  <c r="I71" i="143"/>
  <c r="J71" i="143"/>
  <c r="K71" i="143"/>
  <c r="R42" i="143"/>
  <c r="R43" i="143"/>
  <c r="R44" i="143"/>
  <c r="R45" i="143"/>
  <c r="R46" i="143"/>
  <c r="R47" i="143"/>
  <c r="R41" i="143"/>
  <c r="R50" i="143"/>
  <c r="F71" i="143"/>
  <c r="E71" i="143"/>
  <c r="D71" i="143"/>
  <c r="C71" i="143"/>
  <c r="B71" i="143"/>
  <c r="F70" i="143"/>
  <c r="E70" i="143"/>
  <c r="D70" i="143"/>
  <c r="C70" i="143"/>
  <c r="B70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Q52" i="143"/>
  <c r="P52" i="143"/>
  <c r="O52" i="143"/>
  <c r="N52" i="143"/>
  <c r="M52" i="143"/>
  <c r="Q51" i="143"/>
  <c r="P51" i="143"/>
  <c r="O51" i="143"/>
  <c r="N51" i="143"/>
  <c r="G50" i="143"/>
  <c r="Q48" i="143"/>
  <c r="Q53" i="143" s="1"/>
  <c r="Q55" i="143" s="1"/>
  <c r="P48" i="143"/>
  <c r="O48" i="143"/>
  <c r="N48" i="143"/>
  <c r="N53" i="143" s="1"/>
  <c r="N55" i="143" s="1"/>
  <c r="M48" i="143"/>
  <c r="F48" i="143"/>
  <c r="E48" i="143"/>
  <c r="D48" i="143"/>
  <c r="C48" i="143"/>
  <c r="B48" i="143"/>
  <c r="G47" i="143"/>
  <c r="G46" i="143"/>
  <c r="G45" i="143"/>
  <c r="G44" i="143"/>
  <c r="G43" i="143"/>
  <c r="G42" i="143"/>
  <c r="G41" i="143"/>
  <c r="K34" i="143"/>
  <c r="J34" i="143" s="1"/>
  <c r="D34" i="143"/>
  <c r="C34" i="143" s="1"/>
  <c r="N33" i="143"/>
  <c r="N28" i="143" s="1"/>
  <c r="M33" i="143"/>
  <c r="M28" i="143" s="1"/>
  <c r="L33" i="143"/>
  <c r="L28" i="143" s="1"/>
  <c r="K33" i="143"/>
  <c r="K28" i="143" s="1"/>
  <c r="J33" i="143"/>
  <c r="J28" i="143" s="1"/>
  <c r="G33" i="143"/>
  <c r="G28" i="143" s="1"/>
  <c r="F33" i="143"/>
  <c r="F28" i="143" s="1"/>
  <c r="E33" i="143"/>
  <c r="E28" i="143" s="1"/>
  <c r="D33" i="143"/>
  <c r="D28" i="143" s="1"/>
  <c r="C33" i="143"/>
  <c r="C28" i="143" s="1"/>
  <c r="Y29" i="143"/>
  <c r="X29" i="143"/>
  <c r="W29" i="143"/>
  <c r="V29" i="143"/>
  <c r="U29" i="143"/>
  <c r="T29" i="143"/>
  <c r="S29" i="143"/>
  <c r="R29" i="143"/>
  <c r="Q29" i="143"/>
  <c r="P29" i="143"/>
  <c r="Y28" i="143"/>
  <c r="X28" i="143"/>
  <c r="W28" i="143"/>
  <c r="V28" i="143"/>
  <c r="U28" i="143"/>
  <c r="T28" i="143"/>
  <c r="S28" i="143"/>
  <c r="R28" i="143"/>
  <c r="Q28" i="143"/>
  <c r="P28" i="143"/>
  <c r="Z27" i="143"/>
  <c r="Y25" i="143"/>
  <c r="Y30" i="143" s="1"/>
  <c r="Y32" i="143" s="1"/>
  <c r="X25" i="143"/>
  <c r="X30" i="143" s="1"/>
  <c r="X32" i="143" s="1"/>
  <c r="W25" i="143"/>
  <c r="W30" i="143" s="1"/>
  <c r="W32" i="143" s="1"/>
  <c r="V25" i="143"/>
  <c r="V30" i="143" s="1"/>
  <c r="V32" i="143" s="1"/>
  <c r="U30" i="143"/>
  <c r="U32" i="143" s="1"/>
  <c r="T25" i="143"/>
  <c r="T30" i="143" s="1"/>
  <c r="T32" i="143" s="1"/>
  <c r="S25" i="143"/>
  <c r="S30" i="143" s="1"/>
  <c r="S32" i="143" s="1"/>
  <c r="R25" i="143"/>
  <c r="R30" i="143" s="1"/>
  <c r="R32" i="143" s="1"/>
  <c r="Q25" i="143"/>
  <c r="Q30" i="143" s="1"/>
  <c r="Q32" i="143" s="1"/>
  <c r="P25" i="143"/>
  <c r="P30" i="143" s="1"/>
  <c r="P32" i="143" s="1"/>
  <c r="N25" i="143"/>
  <c r="N30" i="143" s="1"/>
  <c r="M25" i="143"/>
  <c r="M30" i="143" s="1"/>
  <c r="L25" i="143"/>
  <c r="L30" i="143" s="1"/>
  <c r="K25" i="143"/>
  <c r="K30" i="143" s="1"/>
  <c r="J25" i="143"/>
  <c r="J30" i="143" s="1"/>
  <c r="G25" i="143"/>
  <c r="G30" i="143" s="1"/>
  <c r="G29" i="143" s="1"/>
  <c r="G31" i="143" s="1"/>
  <c r="F25" i="143"/>
  <c r="F30" i="143" s="1"/>
  <c r="E25" i="143"/>
  <c r="E30" i="143" s="1"/>
  <c r="D25" i="143"/>
  <c r="D30" i="143" s="1"/>
  <c r="D29" i="143" s="1"/>
  <c r="D31" i="143" s="1"/>
  <c r="C25" i="143"/>
  <c r="C30" i="143" s="1"/>
  <c r="O24" i="143"/>
  <c r="H24" i="143"/>
  <c r="O23" i="143"/>
  <c r="H23" i="143"/>
  <c r="O22" i="143"/>
  <c r="H22" i="143"/>
  <c r="O21" i="143"/>
  <c r="H21" i="143"/>
  <c r="O20" i="143"/>
  <c r="H20" i="143"/>
  <c r="O19" i="143"/>
  <c r="H19" i="143"/>
  <c r="O18" i="143"/>
  <c r="H18" i="143"/>
  <c r="R73" i="143" l="1"/>
  <c r="B53" i="143"/>
  <c r="B55" i="143" s="1"/>
  <c r="B54" i="143"/>
  <c r="C53" i="143"/>
  <c r="C55" i="143" s="1"/>
  <c r="C54" i="143"/>
  <c r="I73" i="143"/>
  <c r="F53" i="143"/>
  <c r="F55" i="143" s="1"/>
  <c r="F54" i="143"/>
  <c r="E53" i="143"/>
  <c r="E55" i="143" s="1"/>
  <c r="E54" i="143"/>
  <c r="M53" i="143"/>
  <c r="M55" i="143" s="1"/>
  <c r="R48" i="143"/>
  <c r="R49" i="143" s="1"/>
  <c r="R55" i="143" s="1"/>
  <c r="D53" i="143"/>
  <c r="D55" i="143" s="1"/>
  <c r="D54" i="143"/>
  <c r="O54" i="143"/>
  <c r="P54" i="143"/>
  <c r="N73" i="143"/>
  <c r="W47" i="113"/>
  <c r="G73" i="143"/>
  <c r="P73" i="143"/>
  <c r="V67" i="143"/>
  <c r="V68" i="143" s="1"/>
  <c r="B73" i="143"/>
  <c r="M73" i="143"/>
  <c r="C73" i="143"/>
  <c r="O73" i="143"/>
  <c r="U73" i="143"/>
  <c r="I72" i="143"/>
  <c r="I74" i="143" s="1"/>
  <c r="F73" i="143"/>
  <c r="K73" i="143"/>
  <c r="B72" i="143"/>
  <c r="B74" i="143" s="1"/>
  <c r="J73" i="143"/>
  <c r="L73" i="143"/>
  <c r="Q73" i="143"/>
  <c r="H73" i="143"/>
  <c r="E73" i="143"/>
  <c r="S73" i="143"/>
  <c r="T73" i="143"/>
  <c r="R72" i="143"/>
  <c r="R74" i="143" s="1"/>
  <c r="N72" i="143"/>
  <c r="N74" i="143" s="1"/>
  <c r="M54" i="143"/>
  <c r="N54" i="143"/>
  <c r="P53" i="143"/>
  <c r="P55" i="143" s="1"/>
  <c r="Q54" i="143"/>
  <c r="Z23" i="143"/>
  <c r="Z20" i="143"/>
  <c r="Z21" i="143"/>
  <c r="Z24" i="143"/>
  <c r="V31" i="143"/>
  <c r="P31" i="143"/>
  <c r="X31" i="143"/>
  <c r="Y31" i="143"/>
  <c r="W31" i="143"/>
  <c r="Q31" i="143"/>
  <c r="R31" i="143"/>
  <c r="S31" i="143"/>
  <c r="T31" i="143"/>
  <c r="U31" i="143"/>
  <c r="O25" i="143"/>
  <c r="Z19" i="143"/>
  <c r="Z18" i="143"/>
  <c r="Z22" i="143"/>
  <c r="J32" i="143"/>
  <c r="J29" i="143"/>
  <c r="J31" i="143" s="1"/>
  <c r="K29" i="143"/>
  <c r="K31" i="143" s="1"/>
  <c r="K32" i="143"/>
  <c r="L29" i="143"/>
  <c r="L31" i="143" s="1"/>
  <c r="L32" i="143"/>
  <c r="C32" i="143"/>
  <c r="C29" i="143"/>
  <c r="C31" i="143" s="1"/>
  <c r="M29" i="143"/>
  <c r="M31" i="143" s="1"/>
  <c r="M32" i="143"/>
  <c r="F29" i="143"/>
  <c r="F31" i="143" s="1"/>
  <c r="F32" i="143"/>
  <c r="N29" i="143"/>
  <c r="N31" i="143" s="1"/>
  <c r="N32" i="143"/>
  <c r="E32" i="143"/>
  <c r="E29" i="143"/>
  <c r="E31" i="143" s="1"/>
  <c r="H25" i="143"/>
  <c r="G32" i="143"/>
  <c r="D73" i="143"/>
  <c r="O53" i="143"/>
  <c r="O55" i="143" s="1"/>
  <c r="D32" i="143"/>
  <c r="G48" i="143"/>
  <c r="V70" i="143" l="1"/>
  <c r="R51" i="143"/>
  <c r="R54" i="143"/>
  <c r="Z25" i="143"/>
  <c r="Z26" i="143" s="1"/>
  <c r="G49" i="143"/>
  <c r="G51" i="143"/>
  <c r="S41" i="142" l="1"/>
  <c r="T42" i="142" s="1"/>
  <c r="S42" i="142"/>
  <c r="T43" i="142" s="1"/>
  <c r="S43" i="142"/>
  <c r="T44" i="142" s="1"/>
  <c r="S44" i="142"/>
  <c r="T45" i="142" s="1"/>
  <c r="S45" i="142"/>
  <c r="T46" i="142" s="1"/>
  <c r="S46" i="142"/>
  <c r="T47" i="142" s="1"/>
  <c r="S47" i="142"/>
  <c r="T48" i="142" s="1"/>
  <c r="R48" i="142"/>
  <c r="R53" i="142" s="1"/>
  <c r="S50" i="142"/>
  <c r="R51" i="142"/>
  <c r="R52" i="142"/>
  <c r="M33" i="142"/>
  <c r="M28" i="142" s="1"/>
  <c r="S48" i="142" l="1"/>
  <c r="O24" i="142"/>
  <c r="H24" i="142"/>
  <c r="O23" i="142"/>
  <c r="H23" i="142"/>
  <c r="O22" i="142"/>
  <c r="H22" i="142"/>
  <c r="O21" i="142"/>
  <c r="H21" i="142"/>
  <c r="O20" i="142"/>
  <c r="H20" i="142"/>
  <c r="O19" i="142"/>
  <c r="H19" i="142"/>
  <c r="O18" i="142"/>
  <c r="H18" i="142"/>
  <c r="S49" i="142" l="1"/>
  <c r="T49" i="142"/>
  <c r="S51" i="142"/>
  <c r="R55" i="142"/>
  <c r="R67" i="142"/>
  <c r="R70" i="142"/>
  <c r="R71" i="142"/>
  <c r="L70" i="142"/>
  <c r="L71" i="142"/>
  <c r="L73" i="142" s="1"/>
  <c r="L72" i="142"/>
  <c r="L74" i="142" s="1"/>
  <c r="R73" i="142" l="1"/>
  <c r="R72" i="142"/>
  <c r="R74" i="142" s="1"/>
  <c r="R54" i="142"/>
  <c r="U43" i="142"/>
  <c r="U44" i="142"/>
  <c r="U45" i="142"/>
  <c r="U46" i="142"/>
  <c r="U47" i="142"/>
  <c r="U48" i="142"/>
  <c r="U49" i="142"/>
  <c r="U42" i="142"/>
  <c r="N57" i="141"/>
  <c r="O57" i="141"/>
  <c r="P57" i="141"/>
  <c r="Q57" i="141"/>
  <c r="R57" i="141"/>
  <c r="M57" i="141"/>
  <c r="Z62" i="142"/>
  <c r="Z63" i="142"/>
  <c r="Z64" i="142"/>
  <c r="Z65" i="142"/>
  <c r="Z66" i="142"/>
  <c r="Z67" i="142"/>
  <c r="Z61" i="142"/>
  <c r="X64" i="142"/>
  <c r="X65" i="142"/>
  <c r="X66" i="142"/>
  <c r="C77" i="141"/>
  <c r="D77" i="141"/>
  <c r="E77" i="141"/>
  <c r="F77" i="141"/>
  <c r="G77" i="141"/>
  <c r="H77" i="141"/>
  <c r="I77" i="141"/>
  <c r="J77" i="141"/>
  <c r="K77" i="141"/>
  <c r="L77" i="141"/>
  <c r="M77" i="141"/>
  <c r="N77" i="141"/>
  <c r="O77" i="141"/>
  <c r="P77" i="141"/>
  <c r="Q77" i="141"/>
  <c r="R77" i="141"/>
  <c r="S77" i="141"/>
  <c r="T77" i="141"/>
  <c r="U77" i="141"/>
  <c r="V77" i="141"/>
  <c r="W77" i="141"/>
  <c r="B77" i="141"/>
  <c r="B70" i="142"/>
  <c r="Y66" i="142" l="1"/>
  <c r="Y65" i="142"/>
  <c r="Y64" i="142"/>
  <c r="Y63" i="142"/>
  <c r="Y62" i="142"/>
  <c r="Y61" i="142"/>
  <c r="Y67" i="142"/>
  <c r="W71" i="142"/>
  <c r="V71" i="142"/>
  <c r="U71" i="142"/>
  <c r="T71" i="142"/>
  <c r="S71" i="142"/>
  <c r="Q71" i="142"/>
  <c r="P71" i="142"/>
  <c r="O71" i="142"/>
  <c r="N71" i="142"/>
  <c r="M71" i="142"/>
  <c r="K71" i="142"/>
  <c r="J71" i="142"/>
  <c r="I71" i="142"/>
  <c r="H71" i="142"/>
  <c r="G71" i="142"/>
  <c r="F71" i="142"/>
  <c r="E71" i="142"/>
  <c r="D71" i="142"/>
  <c r="C71" i="142"/>
  <c r="B71" i="142"/>
  <c r="W70" i="142"/>
  <c r="V70" i="142"/>
  <c r="U70" i="142"/>
  <c r="T70" i="142"/>
  <c r="S70" i="142"/>
  <c r="Q70" i="142"/>
  <c r="P70" i="142"/>
  <c r="O70" i="142"/>
  <c r="N70" i="142"/>
  <c r="M70" i="142"/>
  <c r="K70" i="142"/>
  <c r="J70" i="142"/>
  <c r="I70" i="142"/>
  <c r="H70" i="142"/>
  <c r="G70" i="142"/>
  <c r="F70" i="142"/>
  <c r="E70" i="142"/>
  <c r="D70" i="142"/>
  <c r="C70" i="142"/>
  <c r="W67" i="142"/>
  <c r="W72" i="142" s="1"/>
  <c r="W74" i="142" s="1"/>
  <c r="V67" i="142"/>
  <c r="V72" i="142" s="1"/>
  <c r="V74" i="142" s="1"/>
  <c r="U67" i="142"/>
  <c r="U72" i="142" s="1"/>
  <c r="U74" i="142" s="1"/>
  <c r="T67" i="142"/>
  <c r="T72" i="142" s="1"/>
  <c r="T74" i="142" s="1"/>
  <c r="S67" i="142"/>
  <c r="S72" i="142" s="1"/>
  <c r="S74" i="142" s="1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B72" i="142" s="1"/>
  <c r="B74" i="142" s="1"/>
  <c r="Q52" i="142"/>
  <c r="P52" i="142"/>
  <c r="O52" i="142"/>
  <c r="N52" i="142"/>
  <c r="M52" i="142"/>
  <c r="F52" i="142"/>
  <c r="E52" i="142"/>
  <c r="D52" i="142"/>
  <c r="C52" i="142"/>
  <c r="B52" i="142"/>
  <c r="Q51" i="142"/>
  <c r="P51" i="142"/>
  <c r="O51" i="142"/>
  <c r="N51" i="142"/>
  <c r="M51" i="142"/>
  <c r="F51" i="142"/>
  <c r="E51" i="142"/>
  <c r="D51" i="142"/>
  <c r="C51" i="142"/>
  <c r="B51" i="142"/>
  <c r="G50" i="142"/>
  <c r="Q48" i="142"/>
  <c r="Q53" i="142" s="1"/>
  <c r="Q55" i="142" s="1"/>
  <c r="P48" i="142"/>
  <c r="P53" i="142" s="1"/>
  <c r="P55" i="142" s="1"/>
  <c r="O48" i="142"/>
  <c r="O53" i="142" s="1"/>
  <c r="O55" i="142" s="1"/>
  <c r="N48" i="142"/>
  <c r="N53" i="142" s="1"/>
  <c r="N55" i="142" s="1"/>
  <c r="M48" i="142"/>
  <c r="M53" i="142" s="1"/>
  <c r="M55" i="142" s="1"/>
  <c r="F48" i="142"/>
  <c r="F53" i="142" s="1"/>
  <c r="F55" i="142" s="1"/>
  <c r="E48" i="142"/>
  <c r="E53" i="142" s="1"/>
  <c r="E55" i="142" s="1"/>
  <c r="D48" i="142"/>
  <c r="D53" i="142" s="1"/>
  <c r="D55" i="142" s="1"/>
  <c r="C48" i="142"/>
  <c r="C53" i="142" s="1"/>
  <c r="C55" i="142" s="1"/>
  <c r="B48" i="142"/>
  <c r="G47" i="142"/>
  <c r="G46" i="142"/>
  <c r="G45" i="142"/>
  <c r="G44" i="142"/>
  <c r="G43" i="142"/>
  <c r="G42" i="142"/>
  <c r="G41" i="142"/>
  <c r="K34" i="142"/>
  <c r="J34" i="142" s="1"/>
  <c r="D34" i="142"/>
  <c r="C34" i="142" s="1"/>
  <c r="N33" i="142"/>
  <c r="N28" i="142" s="1"/>
  <c r="L33" i="142"/>
  <c r="L28" i="142" s="1"/>
  <c r="K33" i="142"/>
  <c r="K28" i="142" s="1"/>
  <c r="J33" i="142"/>
  <c r="J28" i="142" s="1"/>
  <c r="G33" i="142"/>
  <c r="G28" i="142" s="1"/>
  <c r="F33" i="142"/>
  <c r="F28" i="142" s="1"/>
  <c r="E33" i="142"/>
  <c r="E28" i="142" s="1"/>
  <c r="D33" i="142"/>
  <c r="D28" i="142" s="1"/>
  <c r="C33" i="142"/>
  <c r="C28" i="142" s="1"/>
  <c r="Y29" i="142"/>
  <c r="X29" i="142"/>
  <c r="W29" i="142"/>
  <c r="V29" i="142"/>
  <c r="U29" i="142"/>
  <c r="T29" i="142"/>
  <c r="S29" i="142"/>
  <c r="R29" i="142"/>
  <c r="Q29" i="142"/>
  <c r="P29" i="142"/>
  <c r="Y28" i="142"/>
  <c r="X28" i="142"/>
  <c r="W28" i="142"/>
  <c r="V28" i="142"/>
  <c r="U28" i="142"/>
  <c r="T28" i="142"/>
  <c r="S28" i="142"/>
  <c r="R28" i="142"/>
  <c r="Q28" i="142"/>
  <c r="P28" i="142"/>
  <c r="Z27" i="142"/>
  <c r="Y25" i="142"/>
  <c r="Y30" i="142" s="1"/>
  <c r="Y32" i="142" s="1"/>
  <c r="X25" i="142"/>
  <c r="X30" i="142" s="1"/>
  <c r="X32" i="142" s="1"/>
  <c r="W25" i="142"/>
  <c r="W30" i="142" s="1"/>
  <c r="W32" i="142" s="1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N25" i="142"/>
  <c r="N30" i="142" s="1"/>
  <c r="M25" i="142"/>
  <c r="M30" i="142" s="1"/>
  <c r="L25" i="142"/>
  <c r="L30" i="142" s="1"/>
  <c r="K25" i="142"/>
  <c r="K30" i="142" s="1"/>
  <c r="J25" i="142"/>
  <c r="J30" i="142" s="1"/>
  <c r="G25" i="142"/>
  <c r="G30" i="142" s="1"/>
  <c r="F25" i="142"/>
  <c r="F30" i="142" s="1"/>
  <c r="E25" i="142"/>
  <c r="E30" i="142" s="1"/>
  <c r="D25" i="142"/>
  <c r="D30" i="142" s="1"/>
  <c r="D29" i="142" s="1"/>
  <c r="D31" i="142" s="1"/>
  <c r="C25" i="142"/>
  <c r="C30" i="142" s="1"/>
  <c r="Z24" i="142"/>
  <c r="Z23" i="142"/>
  <c r="Z22" i="142"/>
  <c r="Z21" i="142"/>
  <c r="Z20" i="142"/>
  <c r="Z19" i="142"/>
  <c r="O25" i="142"/>
  <c r="H25" i="142"/>
  <c r="M29" i="142" l="1"/>
  <c r="M31" i="142" s="1"/>
  <c r="M32" i="142"/>
  <c r="G48" i="142"/>
  <c r="G51" i="142" s="1"/>
  <c r="R31" i="142"/>
  <c r="B54" i="142"/>
  <c r="C54" i="142"/>
  <c r="D54" i="142"/>
  <c r="B53" i="142"/>
  <c r="B55" i="142" s="1"/>
  <c r="E54" i="142"/>
  <c r="F54" i="142"/>
  <c r="S31" i="142"/>
  <c r="T31" i="142"/>
  <c r="U31" i="142"/>
  <c r="V31" i="142"/>
  <c r="W31" i="142"/>
  <c r="P31" i="142"/>
  <c r="X31" i="142"/>
  <c r="Q31" i="142"/>
  <c r="Y31" i="142"/>
  <c r="M54" i="142"/>
  <c r="N54" i="142"/>
  <c r="O54" i="142"/>
  <c r="P54" i="142"/>
  <c r="Q54" i="142"/>
  <c r="X67" i="142"/>
  <c r="C73" i="142"/>
  <c r="K73" i="142"/>
  <c r="S73" i="142"/>
  <c r="D73" i="142"/>
  <c r="T73" i="142"/>
  <c r="E73" i="142"/>
  <c r="M73" i="142"/>
  <c r="U73" i="142"/>
  <c r="F73" i="142"/>
  <c r="N73" i="142"/>
  <c r="V73" i="142"/>
  <c r="G73" i="142"/>
  <c r="O73" i="142"/>
  <c r="W73" i="142"/>
  <c r="H73" i="142"/>
  <c r="P73" i="142"/>
  <c r="I73" i="142"/>
  <c r="Q73" i="142"/>
  <c r="B73" i="142"/>
  <c r="J73" i="142"/>
  <c r="K32" i="142"/>
  <c r="K29" i="142"/>
  <c r="K31" i="142" s="1"/>
  <c r="L32" i="142"/>
  <c r="L29" i="142"/>
  <c r="L31" i="142" s="1"/>
  <c r="F29" i="142"/>
  <c r="F31" i="142" s="1"/>
  <c r="F32" i="142"/>
  <c r="E29" i="142"/>
  <c r="E31" i="142" s="1"/>
  <c r="E32" i="142"/>
  <c r="G29" i="142"/>
  <c r="G31" i="142" s="1"/>
  <c r="G32" i="142"/>
  <c r="J32" i="142"/>
  <c r="J29" i="142"/>
  <c r="J31" i="142" s="1"/>
  <c r="C32" i="142"/>
  <c r="C29" i="142"/>
  <c r="C31" i="142" s="1"/>
  <c r="N32" i="142"/>
  <c r="N29" i="142"/>
  <c r="N31" i="142" s="1"/>
  <c r="D32" i="142"/>
  <c r="Z18" i="142"/>
  <c r="Z25" i="142" s="1"/>
  <c r="Z26" i="142" s="1"/>
  <c r="K34" i="141"/>
  <c r="J34" i="141" s="1"/>
  <c r="G49" i="142" l="1"/>
  <c r="X70" i="142"/>
  <c r="X68" i="142"/>
  <c r="P28" i="141"/>
  <c r="R28" i="141"/>
  <c r="S25" i="141" l="1"/>
  <c r="S30" i="141" s="1"/>
  <c r="S32" i="141" s="1"/>
  <c r="S28" i="141"/>
  <c r="S29" i="141"/>
  <c r="O19" i="141"/>
  <c r="H19" i="141"/>
  <c r="O18" i="141"/>
  <c r="H18" i="141"/>
  <c r="W71" i="141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W70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X69" i="141"/>
  <c r="W67" i="141"/>
  <c r="V67" i="141"/>
  <c r="V72" i="141" s="1"/>
  <c r="V74" i="141" s="1"/>
  <c r="U67" i="141"/>
  <c r="U72" i="141" s="1"/>
  <c r="U74" i="141" s="1"/>
  <c r="T67" i="141"/>
  <c r="T72" i="141" s="1"/>
  <c r="T74" i="141" s="1"/>
  <c r="S67" i="141"/>
  <c r="S72" i="141" s="1"/>
  <c r="S74" i="141" s="1"/>
  <c r="R67" i="141"/>
  <c r="R72" i="141" s="1"/>
  <c r="R74" i="141" s="1"/>
  <c r="Q67" i="141"/>
  <c r="P67" i="141"/>
  <c r="P72" i="141" s="1"/>
  <c r="P74" i="141" s="1"/>
  <c r="O67" i="141"/>
  <c r="O72" i="141" s="1"/>
  <c r="O74" i="141" s="1"/>
  <c r="N67" i="141"/>
  <c r="N72" i="141" s="1"/>
  <c r="N74" i="141" s="1"/>
  <c r="M67" i="141"/>
  <c r="M72" i="141" s="1"/>
  <c r="M74" i="141" s="1"/>
  <c r="L67" i="141"/>
  <c r="L72" i="141" s="1"/>
  <c r="L74" i="141" s="1"/>
  <c r="K67" i="141"/>
  <c r="K72" i="141" s="1"/>
  <c r="K74" i="141" s="1"/>
  <c r="J67" i="141"/>
  <c r="J72" i="141" s="1"/>
  <c r="J74" i="141" s="1"/>
  <c r="I67" i="141"/>
  <c r="H67" i="141"/>
  <c r="G67" i="141"/>
  <c r="F67" i="141"/>
  <c r="F72" i="141" s="1"/>
  <c r="F74" i="141" s="1"/>
  <c r="E67" i="141"/>
  <c r="E72" i="141" s="1"/>
  <c r="E74" i="141" s="1"/>
  <c r="D67" i="141"/>
  <c r="D72" i="141" s="1"/>
  <c r="D74" i="141" s="1"/>
  <c r="C67" i="141"/>
  <c r="C72" i="141" s="1"/>
  <c r="C74" i="141" s="1"/>
  <c r="B67" i="141"/>
  <c r="B72" i="141" s="1"/>
  <c r="B74" i="141" s="1"/>
  <c r="X66" i="141"/>
  <c r="X65" i="141"/>
  <c r="X64" i="141"/>
  <c r="X63" i="141"/>
  <c r="X62" i="141"/>
  <c r="X61" i="141"/>
  <c r="X60" i="141"/>
  <c r="R52" i="141"/>
  <c r="Q52" i="141"/>
  <c r="P52" i="141"/>
  <c r="O52" i="141"/>
  <c r="N52" i="141"/>
  <c r="M52" i="141"/>
  <c r="F52" i="141"/>
  <c r="E52" i="141"/>
  <c r="D52" i="141"/>
  <c r="C52" i="141"/>
  <c r="B52" i="141"/>
  <c r="R51" i="141"/>
  <c r="Q51" i="141"/>
  <c r="P51" i="141"/>
  <c r="O51" i="141"/>
  <c r="N51" i="141"/>
  <c r="M51" i="141"/>
  <c r="F51" i="141"/>
  <c r="E51" i="141"/>
  <c r="D51" i="141"/>
  <c r="C51" i="141"/>
  <c r="B51" i="141"/>
  <c r="S50" i="141"/>
  <c r="G50" i="141"/>
  <c r="R48" i="141"/>
  <c r="R54" i="141" s="1"/>
  <c r="Q48" i="141"/>
  <c r="P48" i="141"/>
  <c r="P53" i="141" s="1"/>
  <c r="P55" i="141" s="1"/>
  <c r="O48" i="141"/>
  <c r="O53" i="141" s="1"/>
  <c r="O55" i="141" s="1"/>
  <c r="N48" i="141"/>
  <c r="N53" i="141" s="1"/>
  <c r="N55" i="141" s="1"/>
  <c r="M48" i="141"/>
  <c r="M53" i="141" s="1"/>
  <c r="M55" i="141" s="1"/>
  <c r="F48" i="141"/>
  <c r="F53" i="141" s="1"/>
  <c r="F55" i="141" s="1"/>
  <c r="E48" i="141"/>
  <c r="E53" i="141" s="1"/>
  <c r="E55" i="141" s="1"/>
  <c r="D48" i="141"/>
  <c r="C48" i="141"/>
  <c r="B48" i="141"/>
  <c r="B53" i="141" s="1"/>
  <c r="B55" i="141" s="1"/>
  <c r="S47" i="141"/>
  <c r="G47" i="141"/>
  <c r="S46" i="141"/>
  <c r="G46" i="141"/>
  <c r="S45" i="141"/>
  <c r="G45" i="141"/>
  <c r="S44" i="141"/>
  <c r="G44" i="141"/>
  <c r="S43" i="141"/>
  <c r="G43" i="141"/>
  <c r="S42" i="141"/>
  <c r="G42" i="141"/>
  <c r="S41" i="141"/>
  <c r="G41" i="141"/>
  <c r="D34" i="141"/>
  <c r="C34" i="141" s="1"/>
  <c r="N33" i="141"/>
  <c r="N28" i="141" s="1"/>
  <c r="M33" i="141"/>
  <c r="M28" i="141" s="1"/>
  <c r="L33" i="141"/>
  <c r="L28" i="141" s="1"/>
  <c r="K33" i="141"/>
  <c r="K28" i="141" s="1"/>
  <c r="J33" i="141"/>
  <c r="J28" i="141" s="1"/>
  <c r="G33" i="141"/>
  <c r="G28" i="141" s="1"/>
  <c r="F33" i="141"/>
  <c r="F28" i="141" s="1"/>
  <c r="E33" i="141"/>
  <c r="E28" i="141" s="1"/>
  <c r="D33" i="141"/>
  <c r="D28" i="141" s="1"/>
  <c r="C33" i="141"/>
  <c r="C28" i="141" s="1"/>
  <c r="Y29" i="141"/>
  <c r="X29" i="141"/>
  <c r="W29" i="141"/>
  <c r="V29" i="141"/>
  <c r="U29" i="141"/>
  <c r="T29" i="141"/>
  <c r="R29" i="141"/>
  <c r="Q29" i="141"/>
  <c r="P29" i="141"/>
  <c r="Y28" i="141"/>
  <c r="X28" i="141"/>
  <c r="W28" i="141"/>
  <c r="V28" i="141"/>
  <c r="U28" i="141"/>
  <c r="T28" i="141"/>
  <c r="Q28" i="141"/>
  <c r="Z27" i="141"/>
  <c r="Y25" i="141"/>
  <c r="Y30" i="141" s="1"/>
  <c r="Y32" i="141" s="1"/>
  <c r="X25" i="141"/>
  <c r="X30" i="141" s="1"/>
  <c r="X32" i="141" s="1"/>
  <c r="W25" i="141"/>
  <c r="W30" i="141" s="1"/>
  <c r="W32" i="141" s="1"/>
  <c r="V25" i="141"/>
  <c r="V30" i="141" s="1"/>
  <c r="V32" i="141" s="1"/>
  <c r="U25" i="141"/>
  <c r="U30" i="141" s="1"/>
  <c r="U32" i="141" s="1"/>
  <c r="T25" i="141"/>
  <c r="T30" i="141" s="1"/>
  <c r="T32" i="141" s="1"/>
  <c r="R25" i="141"/>
  <c r="R30" i="141" s="1"/>
  <c r="R32" i="141" s="1"/>
  <c r="Q25" i="141"/>
  <c r="Q30" i="141" s="1"/>
  <c r="Q32" i="141" s="1"/>
  <c r="P25" i="141"/>
  <c r="P30" i="141" s="1"/>
  <c r="P32" i="141" s="1"/>
  <c r="N25" i="141"/>
  <c r="N30" i="141" s="1"/>
  <c r="M25" i="141"/>
  <c r="M30" i="141" s="1"/>
  <c r="L25" i="141"/>
  <c r="L30" i="141" s="1"/>
  <c r="K25" i="141"/>
  <c r="K30" i="141" s="1"/>
  <c r="J25" i="141"/>
  <c r="J30" i="141" s="1"/>
  <c r="G25" i="141"/>
  <c r="G30" i="141" s="1"/>
  <c r="F25" i="141"/>
  <c r="F30" i="141" s="1"/>
  <c r="E25" i="141"/>
  <c r="E30" i="141" s="1"/>
  <c r="D25" i="141"/>
  <c r="D30" i="141" s="1"/>
  <c r="D29" i="141" s="1"/>
  <c r="D31" i="141" s="1"/>
  <c r="C25" i="141"/>
  <c r="C30" i="141" s="1"/>
  <c r="O24" i="141"/>
  <c r="H24" i="141"/>
  <c r="O23" i="141"/>
  <c r="H23" i="141"/>
  <c r="O22" i="141"/>
  <c r="H22" i="141"/>
  <c r="O21" i="141"/>
  <c r="H21" i="141"/>
  <c r="O20" i="141"/>
  <c r="H20" i="141"/>
  <c r="Q54" i="141" l="1"/>
  <c r="Z19" i="141"/>
  <c r="Q73" i="141"/>
  <c r="Z21" i="141"/>
  <c r="G73" i="141"/>
  <c r="I73" i="141"/>
  <c r="Q72" i="141"/>
  <c r="Q74" i="141" s="1"/>
  <c r="H73" i="141"/>
  <c r="W73" i="141"/>
  <c r="Z24" i="141"/>
  <c r="N54" i="141"/>
  <c r="Z22" i="141"/>
  <c r="E32" i="141"/>
  <c r="B54" i="141"/>
  <c r="D54" i="141"/>
  <c r="C54" i="141"/>
  <c r="E73" i="141"/>
  <c r="M73" i="141"/>
  <c r="U73" i="141"/>
  <c r="F73" i="141"/>
  <c r="V73" i="141"/>
  <c r="J73" i="141"/>
  <c r="R73" i="141"/>
  <c r="G72" i="141"/>
  <c r="G74" i="141" s="1"/>
  <c r="C73" i="141"/>
  <c r="K73" i="141"/>
  <c r="S73" i="141"/>
  <c r="H72" i="141"/>
  <c r="H74" i="141" s="1"/>
  <c r="P73" i="141"/>
  <c r="N73" i="141"/>
  <c r="B73" i="141"/>
  <c r="O73" i="141"/>
  <c r="D73" i="141"/>
  <c r="L73" i="141"/>
  <c r="T73" i="141"/>
  <c r="I72" i="141"/>
  <c r="I74" i="141" s="1"/>
  <c r="W72" i="141"/>
  <c r="W74" i="141" s="1"/>
  <c r="O54" i="141"/>
  <c r="P54" i="141"/>
  <c r="S48" i="141"/>
  <c r="S51" i="141" s="1"/>
  <c r="M54" i="141"/>
  <c r="C53" i="141"/>
  <c r="C55" i="141" s="1"/>
  <c r="F54" i="141"/>
  <c r="E54" i="141"/>
  <c r="S31" i="141"/>
  <c r="H25" i="141"/>
  <c r="Z23" i="141"/>
  <c r="Z20" i="141"/>
  <c r="P31" i="141"/>
  <c r="X31" i="141"/>
  <c r="W31" i="141"/>
  <c r="Q31" i="141"/>
  <c r="Y31" i="141"/>
  <c r="R31" i="141"/>
  <c r="T31" i="141"/>
  <c r="U31" i="141"/>
  <c r="V31" i="141"/>
  <c r="L32" i="141"/>
  <c r="L29" i="141"/>
  <c r="L31" i="141" s="1"/>
  <c r="G29" i="141"/>
  <c r="G31" i="141" s="1"/>
  <c r="G32" i="141"/>
  <c r="C32" i="141"/>
  <c r="C29" i="141"/>
  <c r="C31" i="141" s="1"/>
  <c r="N29" i="141"/>
  <c r="N31" i="141" s="1"/>
  <c r="N32" i="141"/>
  <c r="J32" i="141"/>
  <c r="J29" i="141"/>
  <c r="J31" i="141" s="1"/>
  <c r="M32" i="141"/>
  <c r="M29" i="141"/>
  <c r="M31" i="141" s="1"/>
  <c r="F29" i="141"/>
  <c r="F31" i="141" s="1"/>
  <c r="F32" i="141"/>
  <c r="K32" i="141"/>
  <c r="K29" i="141"/>
  <c r="K31" i="141" s="1"/>
  <c r="O25" i="141"/>
  <c r="D53" i="141"/>
  <c r="D55" i="141" s="1"/>
  <c r="R53" i="141"/>
  <c r="R55" i="141" s="1"/>
  <c r="Z18" i="141"/>
  <c r="D32" i="141"/>
  <c r="Q53" i="141"/>
  <c r="Q55" i="141" s="1"/>
  <c r="E29" i="141"/>
  <c r="E31" i="141" s="1"/>
  <c r="G48" i="141"/>
  <c r="X67" i="141"/>
  <c r="D33" i="140"/>
  <c r="D28" i="140" s="1"/>
  <c r="D34" i="140"/>
  <c r="S49" i="141" l="1"/>
  <c r="Z25" i="141"/>
  <c r="Z26" i="141" s="1"/>
  <c r="G49" i="141"/>
  <c r="G51" i="141"/>
  <c r="X70" i="141"/>
  <c r="X68" i="141"/>
  <c r="C34" i="113"/>
  <c r="D34" i="113"/>
  <c r="E34" i="113"/>
  <c r="F34" i="113"/>
  <c r="G34" i="113"/>
  <c r="B51" i="140" l="1"/>
  <c r="B52" i="140"/>
  <c r="X69" i="140" l="1"/>
  <c r="W71" i="140" l="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W70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7" i="140"/>
  <c r="W72" i="140" s="1"/>
  <c r="W74" i="140" s="1"/>
  <c r="V67" i="140"/>
  <c r="V72" i="140" s="1"/>
  <c r="V74" i="140" s="1"/>
  <c r="U67" i="140"/>
  <c r="U72" i="140" s="1"/>
  <c r="U74" i="140" s="1"/>
  <c r="T67" i="140"/>
  <c r="T72" i="140" s="1"/>
  <c r="T74" i="140" s="1"/>
  <c r="S67" i="140"/>
  <c r="S72" i="140" s="1"/>
  <c r="S74" i="140" s="1"/>
  <c r="R67" i="140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H67" i="140"/>
  <c r="G67" i="140"/>
  <c r="G72" i="140" s="1"/>
  <c r="G74" i="140" s="1"/>
  <c r="F67" i="140"/>
  <c r="F72" i="140" s="1"/>
  <c r="F74" i="140" s="1"/>
  <c r="E67" i="140"/>
  <c r="E72" i="140" s="1"/>
  <c r="E74" i="140" s="1"/>
  <c r="D67" i="140"/>
  <c r="D72" i="140" s="1"/>
  <c r="D74" i="140" s="1"/>
  <c r="C67" i="140"/>
  <c r="C72" i="140" s="1"/>
  <c r="C74" i="140" s="1"/>
  <c r="B67" i="140"/>
  <c r="X66" i="140"/>
  <c r="X65" i="140"/>
  <c r="X64" i="140"/>
  <c r="X63" i="140"/>
  <c r="X62" i="140"/>
  <c r="X61" i="140"/>
  <c r="X60" i="140"/>
  <c r="R52" i="140"/>
  <c r="Q52" i="140"/>
  <c r="P52" i="140"/>
  <c r="O52" i="140"/>
  <c r="N52" i="140"/>
  <c r="M52" i="140"/>
  <c r="F52" i="140"/>
  <c r="E52" i="140"/>
  <c r="D52" i="140"/>
  <c r="C52" i="140"/>
  <c r="R51" i="140"/>
  <c r="Q51" i="140"/>
  <c r="P51" i="140"/>
  <c r="O51" i="140"/>
  <c r="N51" i="140"/>
  <c r="M51" i="140"/>
  <c r="F51" i="140"/>
  <c r="E51" i="140"/>
  <c r="D51" i="140"/>
  <c r="C51" i="140"/>
  <c r="S50" i="140"/>
  <c r="G50" i="140"/>
  <c r="R48" i="140"/>
  <c r="Q48" i="140"/>
  <c r="Q53" i="140" s="1"/>
  <c r="Q55" i="140" s="1"/>
  <c r="P48" i="140"/>
  <c r="P53" i="140" s="1"/>
  <c r="P55" i="140" s="1"/>
  <c r="O48" i="140"/>
  <c r="O53" i="140" s="1"/>
  <c r="O55" i="140" s="1"/>
  <c r="N48" i="140"/>
  <c r="N53" i="140" s="1"/>
  <c r="N55" i="140" s="1"/>
  <c r="M48" i="140"/>
  <c r="M53" i="140" s="1"/>
  <c r="M55" i="140" s="1"/>
  <c r="F48" i="140"/>
  <c r="F53" i="140" s="1"/>
  <c r="F55" i="140" s="1"/>
  <c r="E48" i="140"/>
  <c r="E53" i="140" s="1"/>
  <c r="E55" i="140" s="1"/>
  <c r="D48" i="140"/>
  <c r="C48" i="140"/>
  <c r="C53" i="140" s="1"/>
  <c r="C55" i="140" s="1"/>
  <c r="B48" i="140"/>
  <c r="S47" i="140"/>
  <c r="G47" i="140"/>
  <c r="S46" i="140"/>
  <c r="G46" i="140"/>
  <c r="S45" i="140"/>
  <c r="G45" i="140"/>
  <c r="S44" i="140"/>
  <c r="G44" i="140"/>
  <c r="S43" i="140"/>
  <c r="G43" i="140"/>
  <c r="S42" i="140"/>
  <c r="G42" i="140"/>
  <c r="S41" i="140"/>
  <c r="G41" i="140"/>
  <c r="K34" i="140"/>
  <c r="J34" i="140" s="1"/>
  <c r="C34" i="140"/>
  <c r="N33" i="140"/>
  <c r="N28" i="140" s="1"/>
  <c r="M33" i="140"/>
  <c r="M28" i="140" s="1"/>
  <c r="L33" i="140"/>
  <c r="L28" i="140" s="1"/>
  <c r="K33" i="140"/>
  <c r="K28" i="140" s="1"/>
  <c r="J33" i="140"/>
  <c r="J28" i="140" s="1"/>
  <c r="G33" i="140"/>
  <c r="G28" i="140" s="1"/>
  <c r="F33" i="140"/>
  <c r="F28" i="140" s="1"/>
  <c r="E33" i="140"/>
  <c r="E28" i="140" s="1"/>
  <c r="C33" i="140"/>
  <c r="C28" i="140" s="1"/>
  <c r="Y29" i="140"/>
  <c r="X29" i="140"/>
  <c r="W29" i="140"/>
  <c r="V29" i="140"/>
  <c r="U29" i="140"/>
  <c r="T29" i="140"/>
  <c r="S29" i="140"/>
  <c r="R29" i="140"/>
  <c r="Q29" i="140"/>
  <c r="P29" i="140"/>
  <c r="Y28" i="140"/>
  <c r="X28" i="140"/>
  <c r="W28" i="140"/>
  <c r="V28" i="140"/>
  <c r="U28" i="140"/>
  <c r="T28" i="140"/>
  <c r="S28" i="140"/>
  <c r="R28" i="140"/>
  <c r="Q28" i="140"/>
  <c r="P28" i="140"/>
  <c r="Z27" i="140"/>
  <c r="Y25" i="140"/>
  <c r="Y30" i="140" s="1"/>
  <c r="Y32" i="140" s="1"/>
  <c r="X25" i="140"/>
  <c r="X30" i="140" s="1"/>
  <c r="X32" i="140" s="1"/>
  <c r="W25" i="140"/>
  <c r="W30" i="140" s="1"/>
  <c r="W32" i="140" s="1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N25" i="140"/>
  <c r="N30" i="140" s="1"/>
  <c r="M25" i="140"/>
  <c r="M30" i="140" s="1"/>
  <c r="L25" i="140"/>
  <c r="L30" i="140" s="1"/>
  <c r="K25" i="140"/>
  <c r="K30" i="140" s="1"/>
  <c r="J25" i="140"/>
  <c r="J30" i="140" s="1"/>
  <c r="G25" i="140"/>
  <c r="G30" i="140" s="1"/>
  <c r="F25" i="140"/>
  <c r="F30" i="140" s="1"/>
  <c r="E25" i="140"/>
  <c r="E30" i="140" s="1"/>
  <c r="D25" i="140"/>
  <c r="D30" i="140" s="1"/>
  <c r="C25" i="140"/>
  <c r="C30" i="140" s="1"/>
  <c r="O24" i="140"/>
  <c r="H24" i="140"/>
  <c r="O23" i="140"/>
  <c r="H23" i="140"/>
  <c r="O22" i="140"/>
  <c r="H22" i="140"/>
  <c r="O21" i="140"/>
  <c r="H21" i="140"/>
  <c r="O20" i="140"/>
  <c r="H20" i="140"/>
  <c r="O19" i="140"/>
  <c r="H19" i="140"/>
  <c r="O18" i="140"/>
  <c r="H18" i="140"/>
  <c r="Z18" i="140" l="1"/>
  <c r="Z19" i="140"/>
  <c r="P73" i="140"/>
  <c r="H73" i="140"/>
  <c r="Z22" i="140"/>
  <c r="D32" i="140"/>
  <c r="D29" i="140"/>
  <c r="D31" i="140" s="1"/>
  <c r="I73" i="140"/>
  <c r="B53" i="140"/>
  <c r="B55" i="140" s="1"/>
  <c r="B54" i="140"/>
  <c r="R54" i="140"/>
  <c r="D54" i="140"/>
  <c r="Z21" i="140"/>
  <c r="R73" i="140"/>
  <c r="B73" i="140"/>
  <c r="B72" i="140"/>
  <c r="B74" i="140" s="1"/>
  <c r="R72" i="140"/>
  <c r="R74" i="140" s="1"/>
  <c r="J73" i="140"/>
  <c r="L73" i="140"/>
  <c r="F73" i="140"/>
  <c r="N73" i="140"/>
  <c r="V73" i="140"/>
  <c r="G73" i="140"/>
  <c r="O73" i="140"/>
  <c r="W73" i="140"/>
  <c r="Q73" i="140"/>
  <c r="C73" i="140"/>
  <c r="S73" i="140"/>
  <c r="I72" i="140"/>
  <c r="I74" i="140" s="1"/>
  <c r="D73" i="140"/>
  <c r="T73" i="140"/>
  <c r="X67" i="140"/>
  <c r="X70" i="140" s="1"/>
  <c r="E73" i="140"/>
  <c r="M73" i="140"/>
  <c r="U73" i="140"/>
  <c r="K73" i="140"/>
  <c r="P54" i="140"/>
  <c r="M54" i="140"/>
  <c r="N54" i="140"/>
  <c r="S48" i="140"/>
  <c r="S49" i="140" s="1"/>
  <c r="O54" i="140"/>
  <c r="Q54" i="140"/>
  <c r="E54" i="140"/>
  <c r="D53" i="140"/>
  <c r="D55" i="140" s="1"/>
  <c r="C54" i="140"/>
  <c r="G48" i="140"/>
  <c r="G51" i="140" s="1"/>
  <c r="F54" i="140"/>
  <c r="R31" i="140"/>
  <c r="Z20" i="140"/>
  <c r="Z24" i="140"/>
  <c r="Q31" i="140"/>
  <c r="Y31" i="140"/>
  <c r="S31" i="140"/>
  <c r="T31" i="140"/>
  <c r="U31" i="140"/>
  <c r="V31" i="140"/>
  <c r="W31" i="140"/>
  <c r="P31" i="140"/>
  <c r="X31" i="140"/>
  <c r="Z23" i="140"/>
  <c r="O25" i="140"/>
  <c r="E32" i="140"/>
  <c r="E29" i="140"/>
  <c r="E31" i="140" s="1"/>
  <c r="H25" i="140"/>
  <c r="F32" i="140"/>
  <c r="F29" i="140"/>
  <c r="F31" i="140" s="1"/>
  <c r="C29" i="140"/>
  <c r="C31" i="140" s="1"/>
  <c r="C32" i="140"/>
  <c r="M29" i="140"/>
  <c r="M31" i="140" s="1"/>
  <c r="M32" i="140"/>
  <c r="K32" i="140"/>
  <c r="K29" i="140"/>
  <c r="K31" i="140" s="1"/>
  <c r="N29" i="140"/>
  <c r="N31" i="140" s="1"/>
  <c r="N32" i="140"/>
  <c r="G32" i="140"/>
  <c r="G29" i="140"/>
  <c r="G31" i="140" s="1"/>
  <c r="L32" i="140"/>
  <c r="L29" i="140"/>
  <c r="L31" i="140" s="1"/>
  <c r="J32" i="140"/>
  <c r="J29" i="140"/>
  <c r="J31" i="140" s="1"/>
  <c r="R53" i="140"/>
  <c r="R55" i="140" s="1"/>
  <c r="H72" i="140"/>
  <c r="H74" i="140" s="1"/>
  <c r="AA19" i="113"/>
  <c r="X68" i="140" l="1"/>
  <c r="S51" i="140"/>
  <c r="G49" i="140"/>
  <c r="Z25" i="140"/>
  <c r="Z26" i="140" s="1"/>
  <c r="X69" i="139"/>
  <c r="Y28" i="139" l="1"/>
  <c r="X28" i="139"/>
  <c r="W28" i="139"/>
  <c r="V28" i="139"/>
  <c r="U28" i="139"/>
  <c r="T28" i="139"/>
  <c r="S28" i="139"/>
  <c r="R28" i="139"/>
  <c r="Q28" i="139"/>
  <c r="P28" i="139"/>
  <c r="W70" i="139" l="1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R51" i="139"/>
  <c r="Q51" i="139"/>
  <c r="P51" i="139"/>
  <c r="O51" i="139"/>
  <c r="N51" i="139"/>
  <c r="M51" i="139"/>
  <c r="C51" i="139" l="1"/>
  <c r="D51" i="139"/>
  <c r="E51" i="139"/>
  <c r="F51" i="139"/>
  <c r="B51" i="139"/>
  <c r="B58" i="138" l="1"/>
  <c r="W72" i="138" l="1"/>
  <c r="S47" i="139"/>
  <c r="S50" i="139"/>
  <c r="X61" i="139" l="1"/>
  <c r="X62" i="139"/>
  <c r="X63" i="139"/>
  <c r="X64" i="139"/>
  <c r="X65" i="139"/>
  <c r="X66" i="139"/>
  <c r="X60" i="139"/>
  <c r="W64" i="138"/>
  <c r="W65" i="138"/>
  <c r="W66" i="138"/>
  <c r="W67" i="138"/>
  <c r="W68" i="138"/>
  <c r="W69" i="138"/>
  <c r="W63" i="138"/>
  <c r="W64" i="137"/>
  <c r="W65" i="137"/>
  <c r="W66" i="137"/>
  <c r="W67" i="137"/>
  <c r="W68" i="137"/>
  <c r="W69" i="137"/>
  <c r="W63" i="137"/>
  <c r="R71" i="139" l="1"/>
  <c r="R67" i="139"/>
  <c r="R72" i="139" s="1"/>
  <c r="R74" i="139" s="1"/>
  <c r="W71" i="139"/>
  <c r="V71" i="139"/>
  <c r="U71" i="139"/>
  <c r="T71" i="139"/>
  <c r="S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W67" i="139"/>
  <c r="W72" i="139" s="1"/>
  <c r="W74" i="139" s="1"/>
  <c r="V67" i="139"/>
  <c r="V72" i="139" s="1"/>
  <c r="V74" i="139" s="1"/>
  <c r="U67" i="139"/>
  <c r="U72" i="139" s="1"/>
  <c r="U74" i="139" s="1"/>
  <c r="T67" i="139"/>
  <c r="T72" i="139" s="1"/>
  <c r="T74" i="139" s="1"/>
  <c r="S67" i="139"/>
  <c r="S72" i="139" s="1"/>
  <c r="S74" i="139" s="1"/>
  <c r="Q67" i="139"/>
  <c r="Q72" i="139" s="1"/>
  <c r="Q74" i="139" s="1"/>
  <c r="P67" i="139"/>
  <c r="P72" i="139" s="1"/>
  <c r="P74" i="139" s="1"/>
  <c r="O67" i="139"/>
  <c r="O72" i="139" s="1"/>
  <c r="O74" i="139" s="1"/>
  <c r="N67" i="139"/>
  <c r="N72" i="139" s="1"/>
  <c r="N74" i="139" s="1"/>
  <c r="M67" i="139"/>
  <c r="M72" i="139" s="1"/>
  <c r="M74" i="139" s="1"/>
  <c r="L67" i="139"/>
  <c r="K67" i="139"/>
  <c r="K72" i="139" s="1"/>
  <c r="K74" i="139" s="1"/>
  <c r="J67" i="139"/>
  <c r="J72" i="139" s="1"/>
  <c r="J74" i="139" s="1"/>
  <c r="I67" i="139"/>
  <c r="I72" i="139" s="1"/>
  <c r="I74" i="139" s="1"/>
  <c r="H67" i="139"/>
  <c r="H72" i="139" s="1"/>
  <c r="H74" i="139" s="1"/>
  <c r="G67" i="139"/>
  <c r="G72" i="139" s="1"/>
  <c r="G74" i="139" s="1"/>
  <c r="F67" i="139"/>
  <c r="F72" i="139" s="1"/>
  <c r="F74" i="139" s="1"/>
  <c r="E67" i="139"/>
  <c r="E72" i="139" s="1"/>
  <c r="E74" i="139" s="1"/>
  <c r="D67" i="139"/>
  <c r="D72" i="139" s="1"/>
  <c r="D74" i="139" s="1"/>
  <c r="C67" i="139"/>
  <c r="C72" i="139" s="1"/>
  <c r="C74" i="139" s="1"/>
  <c r="B67" i="139"/>
  <c r="B72" i="139" s="1"/>
  <c r="B74" i="139" s="1"/>
  <c r="R52" i="139"/>
  <c r="Q52" i="139"/>
  <c r="P52" i="139"/>
  <c r="O52" i="139"/>
  <c r="N52" i="139"/>
  <c r="M52" i="139"/>
  <c r="F52" i="139"/>
  <c r="E52" i="139"/>
  <c r="D52" i="139"/>
  <c r="C52" i="139"/>
  <c r="B52" i="139"/>
  <c r="G50" i="139"/>
  <c r="R48" i="139"/>
  <c r="Q48" i="139"/>
  <c r="Q53" i="139" s="1"/>
  <c r="Q55" i="139" s="1"/>
  <c r="P48" i="139"/>
  <c r="P53" i="139" s="1"/>
  <c r="P55" i="139" s="1"/>
  <c r="O48" i="139"/>
  <c r="O53" i="139" s="1"/>
  <c r="O55" i="139" s="1"/>
  <c r="N48" i="139"/>
  <c r="N53" i="139" s="1"/>
  <c r="N55" i="139" s="1"/>
  <c r="M48" i="139"/>
  <c r="M53" i="139" s="1"/>
  <c r="M55" i="139" s="1"/>
  <c r="F48" i="139"/>
  <c r="F53" i="139" s="1"/>
  <c r="F55" i="139" s="1"/>
  <c r="E48" i="139"/>
  <c r="D48" i="139"/>
  <c r="D53" i="139" s="1"/>
  <c r="D55" i="139" s="1"/>
  <c r="C48" i="139"/>
  <c r="C53" i="139" s="1"/>
  <c r="C55" i="139" s="1"/>
  <c r="B48" i="139"/>
  <c r="B53" i="139" s="1"/>
  <c r="B55" i="139" s="1"/>
  <c r="G47" i="139"/>
  <c r="S46" i="139"/>
  <c r="G46" i="139"/>
  <c r="S45" i="139"/>
  <c r="G45" i="139"/>
  <c r="S44" i="139"/>
  <c r="G44" i="139"/>
  <c r="S43" i="139"/>
  <c r="G43" i="139"/>
  <c r="S42" i="139"/>
  <c r="G42" i="139"/>
  <c r="S41" i="139"/>
  <c r="G41" i="139"/>
  <c r="K34" i="139"/>
  <c r="J34" i="139" s="1"/>
  <c r="D34" i="139"/>
  <c r="C34" i="139" s="1"/>
  <c r="N33" i="139"/>
  <c r="N28" i="139" s="1"/>
  <c r="M33" i="139"/>
  <c r="M28" i="139" s="1"/>
  <c r="L33" i="139"/>
  <c r="L28" i="139" s="1"/>
  <c r="K33" i="139"/>
  <c r="K28" i="139" s="1"/>
  <c r="J33" i="139"/>
  <c r="J28" i="139" s="1"/>
  <c r="G33" i="139"/>
  <c r="G28" i="139" s="1"/>
  <c r="F33" i="139"/>
  <c r="F28" i="139" s="1"/>
  <c r="E33" i="139"/>
  <c r="E28" i="139" s="1"/>
  <c r="D33" i="139"/>
  <c r="D28" i="139" s="1"/>
  <c r="C33" i="139"/>
  <c r="C28" i="139" s="1"/>
  <c r="Y29" i="139"/>
  <c r="X29" i="139"/>
  <c r="W29" i="139"/>
  <c r="V29" i="139"/>
  <c r="U29" i="139"/>
  <c r="T29" i="139"/>
  <c r="S29" i="139"/>
  <c r="R29" i="139"/>
  <c r="Q29" i="139"/>
  <c r="P29" i="139"/>
  <c r="Z27" i="139"/>
  <c r="Y25" i="139"/>
  <c r="Y30" i="139" s="1"/>
  <c r="Y32" i="139" s="1"/>
  <c r="X25" i="139"/>
  <c r="X30" i="139" s="1"/>
  <c r="X32" i="139" s="1"/>
  <c r="W25" i="139"/>
  <c r="W30" i="139" s="1"/>
  <c r="W32" i="139" s="1"/>
  <c r="V25" i="139"/>
  <c r="V30" i="139" s="1"/>
  <c r="V32" i="139" s="1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Q30" i="139" s="1"/>
  <c r="Q32" i="139" s="1"/>
  <c r="P25" i="139"/>
  <c r="P30" i="139" s="1"/>
  <c r="P32" i="139" s="1"/>
  <c r="N25" i="139"/>
  <c r="N30" i="139" s="1"/>
  <c r="M25" i="139"/>
  <c r="M30" i="139" s="1"/>
  <c r="L25" i="139"/>
  <c r="L30" i="139" s="1"/>
  <c r="K25" i="139"/>
  <c r="K30" i="139" s="1"/>
  <c r="J25" i="139"/>
  <c r="J30" i="139" s="1"/>
  <c r="G25" i="139"/>
  <c r="G30" i="139" s="1"/>
  <c r="F25" i="139"/>
  <c r="F30" i="139" s="1"/>
  <c r="F29" i="139" s="1"/>
  <c r="F31" i="139" s="1"/>
  <c r="E25" i="139"/>
  <c r="E30" i="139" s="1"/>
  <c r="D25" i="139"/>
  <c r="D30" i="139" s="1"/>
  <c r="C25" i="139"/>
  <c r="C30" i="139" s="1"/>
  <c r="O24" i="139"/>
  <c r="H24" i="139"/>
  <c r="O23" i="139"/>
  <c r="H23" i="139"/>
  <c r="O22" i="139"/>
  <c r="H22" i="139"/>
  <c r="O21" i="139"/>
  <c r="H21" i="139"/>
  <c r="O20" i="139"/>
  <c r="H20" i="139"/>
  <c r="O19" i="139"/>
  <c r="H19" i="139"/>
  <c r="O18" i="139"/>
  <c r="H18" i="139"/>
  <c r="Z23" i="139" l="1"/>
  <c r="Z19" i="139"/>
  <c r="Z20" i="139"/>
  <c r="Z22" i="139"/>
  <c r="L73" i="139"/>
  <c r="R54" i="139"/>
  <c r="Y31" i="139"/>
  <c r="S31" i="139"/>
  <c r="T31" i="139"/>
  <c r="Q73" i="139"/>
  <c r="H73" i="139"/>
  <c r="P73" i="139"/>
  <c r="I73" i="139"/>
  <c r="R73" i="139"/>
  <c r="O54" i="139"/>
  <c r="P54" i="139"/>
  <c r="Q54" i="139"/>
  <c r="C54" i="139"/>
  <c r="B54" i="139"/>
  <c r="D54" i="139"/>
  <c r="Q31" i="139"/>
  <c r="G73" i="139"/>
  <c r="O73" i="139"/>
  <c r="O25" i="139"/>
  <c r="R31" i="139"/>
  <c r="S48" i="139"/>
  <c r="S51" i="139" s="1"/>
  <c r="G48" i="139"/>
  <c r="E54" i="139"/>
  <c r="F54" i="139"/>
  <c r="B73" i="139"/>
  <c r="J73" i="139"/>
  <c r="S73" i="139"/>
  <c r="M54" i="139"/>
  <c r="C73" i="139"/>
  <c r="K73" i="139"/>
  <c r="T73" i="139"/>
  <c r="U31" i="139"/>
  <c r="V31" i="139"/>
  <c r="N54" i="139"/>
  <c r="W31" i="139"/>
  <c r="Z21" i="139"/>
  <c r="Z24" i="139"/>
  <c r="P31" i="139"/>
  <c r="X31" i="139"/>
  <c r="F73" i="139"/>
  <c r="N73" i="139"/>
  <c r="W73" i="139"/>
  <c r="C32" i="139"/>
  <c r="C29" i="139"/>
  <c r="C31" i="139" s="1"/>
  <c r="D32" i="139"/>
  <c r="D29" i="139"/>
  <c r="D31" i="139" s="1"/>
  <c r="N32" i="139"/>
  <c r="N29" i="139"/>
  <c r="N31" i="139" s="1"/>
  <c r="L29" i="139"/>
  <c r="L31" i="139" s="1"/>
  <c r="L32" i="139"/>
  <c r="M32" i="139"/>
  <c r="M29" i="139"/>
  <c r="M31" i="139" s="1"/>
  <c r="E32" i="139"/>
  <c r="E29" i="139"/>
  <c r="E31" i="139" s="1"/>
  <c r="G29" i="139"/>
  <c r="G31" i="139" s="1"/>
  <c r="G32" i="139"/>
  <c r="K29" i="139"/>
  <c r="K31" i="139" s="1"/>
  <c r="K32" i="139"/>
  <c r="J29" i="139"/>
  <c r="J31" i="139" s="1"/>
  <c r="J32" i="139"/>
  <c r="U73" i="139"/>
  <c r="E53" i="139"/>
  <c r="E55" i="139" s="1"/>
  <c r="E73" i="139"/>
  <c r="M73" i="139"/>
  <c r="V73" i="139"/>
  <c r="R53" i="139"/>
  <c r="R55" i="139" s="1"/>
  <c r="H25" i="139"/>
  <c r="F32" i="139"/>
  <c r="D73" i="139"/>
  <c r="X67" i="139"/>
  <c r="X70" i="139" s="1"/>
  <c r="L72" i="139"/>
  <c r="L74" i="139" s="1"/>
  <c r="Z18" i="139"/>
  <c r="V74" i="138"/>
  <c r="U74" i="138"/>
  <c r="T74" i="138"/>
  <c r="S74" i="138"/>
  <c r="R74" i="138"/>
  <c r="Q74" i="138"/>
  <c r="P74" i="138"/>
  <c r="O74" i="138"/>
  <c r="N74" i="138"/>
  <c r="M74" i="138"/>
  <c r="L74" i="138"/>
  <c r="K74" i="138"/>
  <c r="J74" i="138"/>
  <c r="I74" i="138"/>
  <c r="H74" i="138"/>
  <c r="G74" i="138"/>
  <c r="F74" i="138"/>
  <c r="E74" i="138"/>
  <c r="D74" i="138"/>
  <c r="C74" i="138"/>
  <c r="B74" i="138"/>
  <c r="V73" i="138"/>
  <c r="U73" i="138"/>
  <c r="T73" i="138"/>
  <c r="S73" i="138"/>
  <c r="R73" i="138"/>
  <c r="Q73" i="138"/>
  <c r="P73" i="138"/>
  <c r="O73" i="138"/>
  <c r="N73" i="138"/>
  <c r="M73" i="138"/>
  <c r="L73" i="138"/>
  <c r="K73" i="138"/>
  <c r="J73" i="138"/>
  <c r="I73" i="138"/>
  <c r="H73" i="138"/>
  <c r="G73" i="138"/>
  <c r="F73" i="138"/>
  <c r="E73" i="138"/>
  <c r="D73" i="138"/>
  <c r="C73" i="138"/>
  <c r="B73" i="138"/>
  <c r="V70" i="138"/>
  <c r="U70" i="138"/>
  <c r="T70" i="138"/>
  <c r="T75" i="138" s="1"/>
  <c r="T77" i="138" s="1"/>
  <c r="S70" i="138"/>
  <c r="S75" i="138" s="1"/>
  <c r="S77" i="138" s="1"/>
  <c r="R70" i="138"/>
  <c r="R75" i="138" s="1"/>
  <c r="R77" i="138" s="1"/>
  <c r="Q70" i="138"/>
  <c r="P70" i="138"/>
  <c r="O70" i="138"/>
  <c r="N70" i="138"/>
  <c r="M70" i="138"/>
  <c r="L70" i="138"/>
  <c r="L75" i="138" s="1"/>
  <c r="L77" i="138" s="1"/>
  <c r="K70" i="138"/>
  <c r="K75" i="138" s="1"/>
  <c r="K77" i="138" s="1"/>
  <c r="J70" i="138"/>
  <c r="J75" i="138" s="1"/>
  <c r="J77" i="138" s="1"/>
  <c r="I70" i="138"/>
  <c r="H70" i="138"/>
  <c r="G70" i="138"/>
  <c r="F70" i="138"/>
  <c r="E70" i="138"/>
  <c r="D70" i="138"/>
  <c r="D75" i="138" s="1"/>
  <c r="D77" i="138" s="1"/>
  <c r="C70" i="138"/>
  <c r="C75" i="138" s="1"/>
  <c r="C77" i="138" s="1"/>
  <c r="B70" i="138"/>
  <c r="B75" i="138" s="1"/>
  <c r="B77" i="138" s="1"/>
  <c r="R54" i="138"/>
  <c r="Q54" i="138"/>
  <c r="P54" i="138"/>
  <c r="O54" i="138"/>
  <c r="N54" i="138"/>
  <c r="M54" i="138"/>
  <c r="F54" i="138"/>
  <c r="E54" i="138"/>
  <c r="D54" i="138"/>
  <c r="C54" i="138"/>
  <c r="B54" i="138"/>
  <c r="R53" i="138"/>
  <c r="Q53" i="138"/>
  <c r="P53" i="138"/>
  <c r="O53" i="138"/>
  <c r="N53" i="138"/>
  <c r="M53" i="138"/>
  <c r="F53" i="138"/>
  <c r="E53" i="138"/>
  <c r="D53" i="138"/>
  <c r="C53" i="138"/>
  <c r="B53" i="138"/>
  <c r="S52" i="138"/>
  <c r="G52" i="138"/>
  <c r="R50" i="138"/>
  <c r="R55" i="138" s="1"/>
  <c r="R57" i="138" s="1"/>
  <c r="Q50" i="138"/>
  <c r="Q55" i="138" s="1"/>
  <c r="Q57" i="138" s="1"/>
  <c r="P50" i="138"/>
  <c r="P55" i="138" s="1"/>
  <c r="P57" i="138" s="1"/>
  <c r="O50" i="138"/>
  <c r="O55" i="138" s="1"/>
  <c r="O57" i="138" s="1"/>
  <c r="N50" i="138"/>
  <c r="N55" i="138" s="1"/>
  <c r="N57" i="138" s="1"/>
  <c r="M50" i="138"/>
  <c r="M55" i="138" s="1"/>
  <c r="M57" i="138" s="1"/>
  <c r="F50" i="138"/>
  <c r="F55" i="138" s="1"/>
  <c r="F57" i="138" s="1"/>
  <c r="E50" i="138"/>
  <c r="D50" i="138"/>
  <c r="D55" i="138" s="1"/>
  <c r="D57" i="138" s="1"/>
  <c r="C50" i="138"/>
  <c r="C55" i="138" s="1"/>
  <c r="C57" i="138" s="1"/>
  <c r="B50" i="138"/>
  <c r="S49" i="138"/>
  <c r="G49" i="138"/>
  <c r="S48" i="138"/>
  <c r="G48" i="138"/>
  <c r="S47" i="138"/>
  <c r="G47" i="138"/>
  <c r="S46" i="138"/>
  <c r="G46" i="138"/>
  <c r="S45" i="138"/>
  <c r="G45" i="138"/>
  <c r="S44" i="138"/>
  <c r="G44" i="138"/>
  <c r="S43" i="138"/>
  <c r="G43" i="138"/>
  <c r="K35" i="138"/>
  <c r="J35" i="138" s="1"/>
  <c r="D35" i="138"/>
  <c r="C35" i="138" s="1"/>
  <c r="N34" i="138"/>
  <c r="N29" i="138" s="1"/>
  <c r="M34" i="138"/>
  <c r="M29" i="138" s="1"/>
  <c r="L34" i="138"/>
  <c r="L29" i="138" s="1"/>
  <c r="K34" i="138"/>
  <c r="K29" i="138" s="1"/>
  <c r="J34" i="138"/>
  <c r="J29" i="138" s="1"/>
  <c r="G34" i="138"/>
  <c r="G29" i="138" s="1"/>
  <c r="F34" i="138"/>
  <c r="F29" i="138" s="1"/>
  <c r="E34" i="138"/>
  <c r="E29" i="138" s="1"/>
  <c r="D34" i="138"/>
  <c r="D29" i="138" s="1"/>
  <c r="C34" i="138"/>
  <c r="C29" i="138" s="1"/>
  <c r="Y30" i="138"/>
  <c r="X30" i="138"/>
  <c r="W30" i="138"/>
  <c r="V30" i="138"/>
  <c r="U30" i="138"/>
  <c r="T30" i="138"/>
  <c r="S30" i="138"/>
  <c r="R30" i="138"/>
  <c r="Q30" i="138"/>
  <c r="P30" i="138"/>
  <c r="Y29" i="138"/>
  <c r="X29" i="138"/>
  <c r="W29" i="138"/>
  <c r="V29" i="138"/>
  <c r="U29" i="138"/>
  <c r="T29" i="138"/>
  <c r="S29" i="138"/>
  <c r="R29" i="138"/>
  <c r="Q29" i="138"/>
  <c r="P29" i="138"/>
  <c r="Z28" i="138"/>
  <c r="Y26" i="138"/>
  <c r="Y31" i="138" s="1"/>
  <c r="Y33" i="138" s="1"/>
  <c r="X26" i="138"/>
  <c r="X31" i="138" s="1"/>
  <c r="X33" i="138" s="1"/>
  <c r="W26" i="138"/>
  <c r="W31" i="138" s="1"/>
  <c r="W33" i="138" s="1"/>
  <c r="V26" i="138"/>
  <c r="V31" i="138" s="1"/>
  <c r="V33" i="138" s="1"/>
  <c r="U26" i="138"/>
  <c r="U31" i="138" s="1"/>
  <c r="U33" i="138" s="1"/>
  <c r="T26" i="138"/>
  <c r="T31" i="138" s="1"/>
  <c r="T33" i="138" s="1"/>
  <c r="S26" i="138"/>
  <c r="S31" i="138" s="1"/>
  <c r="S33" i="138" s="1"/>
  <c r="R26" i="138"/>
  <c r="R31" i="138" s="1"/>
  <c r="R33" i="138" s="1"/>
  <c r="Q26" i="138"/>
  <c r="Q31" i="138" s="1"/>
  <c r="Q33" i="138" s="1"/>
  <c r="P26" i="138"/>
  <c r="P31" i="138" s="1"/>
  <c r="P33" i="138" s="1"/>
  <c r="N26" i="138"/>
  <c r="N31" i="138" s="1"/>
  <c r="M26" i="138"/>
  <c r="M31" i="138" s="1"/>
  <c r="L26" i="138"/>
  <c r="L31" i="138" s="1"/>
  <c r="K26" i="138"/>
  <c r="K31" i="138" s="1"/>
  <c r="J26" i="138"/>
  <c r="J31" i="138" s="1"/>
  <c r="G26" i="138"/>
  <c r="G31" i="138" s="1"/>
  <c r="F26" i="138"/>
  <c r="F31" i="138" s="1"/>
  <c r="E26" i="138"/>
  <c r="E31" i="138" s="1"/>
  <c r="D26" i="138"/>
  <c r="D31" i="138" s="1"/>
  <c r="C26" i="138"/>
  <c r="C31" i="138" s="1"/>
  <c r="O25" i="138"/>
  <c r="H25" i="138"/>
  <c r="O24" i="138"/>
  <c r="H24" i="138"/>
  <c r="O23" i="138"/>
  <c r="H23" i="138"/>
  <c r="O22" i="138"/>
  <c r="H22" i="138"/>
  <c r="O21" i="138"/>
  <c r="H21" i="138"/>
  <c r="O20" i="138"/>
  <c r="H20" i="138"/>
  <c r="O19" i="138"/>
  <c r="H19" i="138"/>
  <c r="Z25" i="138" l="1"/>
  <c r="I76" i="138"/>
  <c r="H76" i="138"/>
  <c r="M76" i="138"/>
  <c r="E76" i="138"/>
  <c r="F76" i="138"/>
  <c r="N76" i="138"/>
  <c r="O76" i="138"/>
  <c r="P76" i="138"/>
  <c r="Q76" i="138"/>
  <c r="Z22" i="138"/>
  <c r="U76" i="138"/>
  <c r="V76" i="138"/>
  <c r="G76" i="138"/>
  <c r="G51" i="139"/>
  <c r="Z25" i="139"/>
  <c r="Z26" i="139" s="1"/>
  <c r="S49" i="139"/>
  <c r="G49" i="139"/>
  <c r="X68" i="139"/>
  <c r="S76" i="138"/>
  <c r="E56" i="138"/>
  <c r="Z20" i="138"/>
  <c r="C76" i="138"/>
  <c r="K76" i="138"/>
  <c r="D76" i="138"/>
  <c r="L76" i="138"/>
  <c r="T76" i="138"/>
  <c r="M75" i="138"/>
  <c r="M77" i="138" s="1"/>
  <c r="N75" i="138"/>
  <c r="N77" i="138" s="1"/>
  <c r="E75" i="138"/>
  <c r="E77" i="138" s="1"/>
  <c r="U75" i="138"/>
  <c r="U77" i="138" s="1"/>
  <c r="B76" i="138"/>
  <c r="J76" i="138"/>
  <c r="R76" i="138"/>
  <c r="F75" i="138"/>
  <c r="F77" i="138" s="1"/>
  <c r="V75" i="138"/>
  <c r="V77" i="138" s="1"/>
  <c r="S50" i="138"/>
  <c r="S51" i="138" s="1"/>
  <c r="N56" i="138"/>
  <c r="O56" i="138"/>
  <c r="P56" i="138"/>
  <c r="Q56" i="138"/>
  <c r="R56" i="138"/>
  <c r="D56" i="138"/>
  <c r="E55" i="138"/>
  <c r="E57" i="138" s="1"/>
  <c r="C56" i="138"/>
  <c r="F56" i="138"/>
  <c r="G50" i="138"/>
  <c r="G53" i="138" s="1"/>
  <c r="B56" i="138"/>
  <c r="W32" i="138"/>
  <c r="P32" i="138"/>
  <c r="Q32" i="138"/>
  <c r="R32" i="138"/>
  <c r="X32" i="138"/>
  <c r="Y32" i="138"/>
  <c r="U32" i="138"/>
  <c r="S32" i="138"/>
  <c r="T32" i="138"/>
  <c r="V32" i="138"/>
  <c r="Z19" i="138"/>
  <c r="Z23" i="138"/>
  <c r="Z24" i="138"/>
  <c r="O26" i="138"/>
  <c r="Z21" i="138"/>
  <c r="H26" i="138"/>
  <c r="G33" i="138"/>
  <c r="G30" i="138"/>
  <c r="G32" i="138" s="1"/>
  <c r="C30" i="138"/>
  <c r="C32" i="138" s="1"/>
  <c r="C33" i="138"/>
  <c r="D30" i="138"/>
  <c r="D32" i="138" s="1"/>
  <c r="D33" i="138"/>
  <c r="N30" i="138"/>
  <c r="N32" i="138" s="1"/>
  <c r="N33" i="138"/>
  <c r="L33" i="138"/>
  <c r="L30" i="138"/>
  <c r="L32" i="138" s="1"/>
  <c r="M33" i="138"/>
  <c r="M30" i="138"/>
  <c r="M32" i="138" s="1"/>
  <c r="E30" i="138"/>
  <c r="E32" i="138" s="1"/>
  <c r="E33" i="138"/>
  <c r="F30" i="138"/>
  <c r="F32" i="138" s="1"/>
  <c r="F33" i="138"/>
  <c r="J33" i="138"/>
  <c r="J30" i="138"/>
  <c r="J32" i="138" s="1"/>
  <c r="K33" i="138"/>
  <c r="K30" i="138"/>
  <c r="K32" i="138" s="1"/>
  <c r="B55" i="138"/>
  <c r="B57" i="138" s="1"/>
  <c r="M56" i="138"/>
  <c r="G75" i="138"/>
  <c r="G77" i="138" s="1"/>
  <c r="O75" i="138"/>
  <c r="O77" i="138" s="1"/>
  <c r="H75" i="138"/>
  <c r="H77" i="138" s="1"/>
  <c r="P75" i="138"/>
  <c r="P77" i="138" s="1"/>
  <c r="I75" i="138"/>
  <c r="I77" i="138" s="1"/>
  <c r="Q75" i="138"/>
  <c r="Q77" i="138" s="1"/>
  <c r="W70" i="138"/>
  <c r="S53" i="138" l="1"/>
  <c r="G51" i="138"/>
  <c r="Z26" i="138"/>
  <c r="Z27" i="138" s="1"/>
  <c r="W73" i="138"/>
  <c r="W71" i="138"/>
  <c r="L74" i="137"/>
  <c r="L73" i="137"/>
  <c r="L70" i="137"/>
  <c r="L75" i="137" s="1"/>
  <c r="L77" i="137" s="1"/>
  <c r="M70" i="137"/>
  <c r="N70" i="137"/>
  <c r="N75" i="137" s="1"/>
  <c r="N77" i="137" s="1"/>
  <c r="O70" i="137"/>
  <c r="P70" i="137"/>
  <c r="P75" i="137" s="1"/>
  <c r="P77" i="137" s="1"/>
  <c r="Q70" i="137"/>
  <c r="R70" i="137"/>
  <c r="S70" i="137"/>
  <c r="S75" i="137" s="1"/>
  <c r="S77" i="137" s="1"/>
  <c r="T70" i="137"/>
  <c r="T75" i="137" s="1"/>
  <c r="T77" i="137" s="1"/>
  <c r="U70" i="137"/>
  <c r="U75" i="137" s="1"/>
  <c r="U77" i="137" s="1"/>
  <c r="V70" i="137"/>
  <c r="V75" i="137" s="1"/>
  <c r="V77" i="137" s="1"/>
  <c r="W72" i="137"/>
  <c r="M73" i="137"/>
  <c r="N73" i="137"/>
  <c r="O73" i="137"/>
  <c r="P73" i="137"/>
  <c r="Q73" i="137"/>
  <c r="R73" i="137"/>
  <c r="S73" i="137"/>
  <c r="T73" i="137"/>
  <c r="U73" i="137"/>
  <c r="V73" i="137"/>
  <c r="M74" i="137"/>
  <c r="N74" i="137"/>
  <c r="O74" i="137"/>
  <c r="P74" i="137"/>
  <c r="Q74" i="137"/>
  <c r="R74" i="137"/>
  <c r="S74" i="137"/>
  <c r="T74" i="137"/>
  <c r="U74" i="137"/>
  <c r="V74" i="137"/>
  <c r="S76" i="137" l="1"/>
  <c r="O76" i="137"/>
  <c r="T76" i="137"/>
  <c r="Q76" i="137"/>
  <c r="R76" i="137"/>
  <c r="P76" i="137"/>
  <c r="O75" i="137"/>
  <c r="O77" i="137" s="1"/>
  <c r="N76" i="137"/>
  <c r="L76" i="137"/>
  <c r="U76" i="137"/>
  <c r="M76" i="137"/>
  <c r="R75" i="137"/>
  <c r="R77" i="137" s="1"/>
  <c r="Q75" i="137"/>
  <c r="Q77" i="137" s="1"/>
  <c r="V76" i="137"/>
  <c r="M75" i="137"/>
  <c r="M77" i="137" s="1"/>
  <c r="S44" i="137" l="1"/>
  <c r="S45" i="137"/>
  <c r="S46" i="137"/>
  <c r="S47" i="137"/>
  <c r="S48" i="137"/>
  <c r="S43" i="137"/>
  <c r="S49" i="137"/>
  <c r="O20" i="137"/>
  <c r="O21" i="137"/>
  <c r="H20" i="137"/>
  <c r="R54" i="137" l="1"/>
  <c r="R53" i="137"/>
  <c r="R50" i="137"/>
  <c r="R55" i="137" s="1"/>
  <c r="R57" i="137" s="1"/>
  <c r="S52" i="137"/>
  <c r="R56" i="137" l="1"/>
  <c r="S50" i="137"/>
  <c r="S53" i="137" s="1"/>
  <c r="O19" i="137"/>
  <c r="K74" i="137"/>
  <c r="J74" i="137"/>
  <c r="I74" i="137"/>
  <c r="H74" i="137"/>
  <c r="G74" i="137"/>
  <c r="F74" i="137"/>
  <c r="E74" i="137"/>
  <c r="D74" i="137"/>
  <c r="C74" i="137"/>
  <c r="B74" i="137"/>
  <c r="K73" i="137"/>
  <c r="J73" i="137"/>
  <c r="I73" i="137"/>
  <c r="H73" i="137"/>
  <c r="G73" i="137"/>
  <c r="F73" i="137"/>
  <c r="E73" i="137"/>
  <c r="D73" i="137"/>
  <c r="C73" i="137"/>
  <c r="B73" i="137"/>
  <c r="K70" i="137"/>
  <c r="K75" i="137" s="1"/>
  <c r="K77" i="137" s="1"/>
  <c r="J70" i="137"/>
  <c r="J75" i="137" s="1"/>
  <c r="J77" i="137" s="1"/>
  <c r="I70" i="137"/>
  <c r="I75" i="137" s="1"/>
  <c r="I77" i="137" s="1"/>
  <c r="H70" i="137"/>
  <c r="H75" i="137" s="1"/>
  <c r="H77" i="137" s="1"/>
  <c r="G70" i="137"/>
  <c r="G75" i="137" s="1"/>
  <c r="G77" i="137" s="1"/>
  <c r="F70" i="137"/>
  <c r="F75" i="137" s="1"/>
  <c r="F77" i="137" s="1"/>
  <c r="E70" i="137"/>
  <c r="E75" i="137" s="1"/>
  <c r="E77" i="137" s="1"/>
  <c r="D70" i="137"/>
  <c r="D75" i="137" s="1"/>
  <c r="D77" i="137" s="1"/>
  <c r="C70" i="137"/>
  <c r="B70" i="137"/>
  <c r="Q54" i="137"/>
  <c r="P54" i="137"/>
  <c r="O54" i="137"/>
  <c r="N54" i="137"/>
  <c r="M54" i="137"/>
  <c r="F54" i="137"/>
  <c r="E54" i="137"/>
  <c r="D54" i="137"/>
  <c r="C54" i="137"/>
  <c r="B54" i="137"/>
  <c r="Q53" i="137"/>
  <c r="P53" i="137"/>
  <c r="O53" i="137"/>
  <c r="N53" i="137"/>
  <c r="M53" i="137"/>
  <c r="F53" i="137"/>
  <c r="E53" i="137"/>
  <c r="D53" i="137"/>
  <c r="C53" i="137"/>
  <c r="B53" i="137"/>
  <c r="G52" i="137"/>
  <c r="Q50" i="137"/>
  <c r="Q55" i="137" s="1"/>
  <c r="Q57" i="137" s="1"/>
  <c r="P50" i="137"/>
  <c r="P55" i="137" s="1"/>
  <c r="P57" i="137" s="1"/>
  <c r="O50" i="137"/>
  <c r="O55" i="137" s="1"/>
  <c r="O57" i="137" s="1"/>
  <c r="N50" i="137"/>
  <c r="M50" i="137"/>
  <c r="M55" i="137" s="1"/>
  <c r="M57" i="137" s="1"/>
  <c r="F50" i="137"/>
  <c r="E50" i="137"/>
  <c r="E55" i="137" s="1"/>
  <c r="E57" i="137" s="1"/>
  <c r="D50" i="137"/>
  <c r="D55" i="137" s="1"/>
  <c r="D57" i="137" s="1"/>
  <c r="C50" i="137"/>
  <c r="C55" i="137" s="1"/>
  <c r="C57" i="137" s="1"/>
  <c r="B50" i="137"/>
  <c r="G49" i="137"/>
  <c r="G48" i="137"/>
  <c r="G47" i="137"/>
  <c r="G46" i="137"/>
  <c r="G45" i="137"/>
  <c r="G44" i="137"/>
  <c r="G43" i="137"/>
  <c r="K35" i="137"/>
  <c r="J35" i="137" s="1"/>
  <c r="D35" i="137"/>
  <c r="C35" i="137" s="1"/>
  <c r="N34" i="137"/>
  <c r="N29" i="137" s="1"/>
  <c r="M34" i="137"/>
  <c r="M29" i="137" s="1"/>
  <c r="L34" i="137"/>
  <c r="L29" i="137" s="1"/>
  <c r="K34" i="137"/>
  <c r="K29" i="137" s="1"/>
  <c r="J34" i="137"/>
  <c r="J29" i="137" s="1"/>
  <c r="G34" i="137"/>
  <c r="G29" i="137" s="1"/>
  <c r="F34" i="137"/>
  <c r="F29" i="137" s="1"/>
  <c r="E34" i="137"/>
  <c r="E29" i="137" s="1"/>
  <c r="D34" i="137"/>
  <c r="D29" i="137" s="1"/>
  <c r="C34" i="137"/>
  <c r="C29" i="137" s="1"/>
  <c r="Y30" i="137"/>
  <c r="X30" i="137"/>
  <c r="W30" i="137"/>
  <c r="V30" i="137"/>
  <c r="U30" i="137"/>
  <c r="T30" i="137"/>
  <c r="S30" i="137"/>
  <c r="R30" i="137"/>
  <c r="Q30" i="137"/>
  <c r="P30" i="137"/>
  <c r="Y29" i="137"/>
  <c r="X29" i="137"/>
  <c r="W29" i="137"/>
  <c r="V29" i="137"/>
  <c r="U29" i="137"/>
  <c r="T29" i="137"/>
  <c r="S29" i="137"/>
  <c r="R29" i="137"/>
  <c r="Q29" i="137"/>
  <c r="P29" i="137"/>
  <c r="Z28" i="137"/>
  <c r="Y26" i="137"/>
  <c r="Y31" i="137" s="1"/>
  <c r="Y33" i="137" s="1"/>
  <c r="X26" i="137"/>
  <c r="X31" i="137" s="1"/>
  <c r="X33" i="137" s="1"/>
  <c r="W26" i="137"/>
  <c r="W31" i="137" s="1"/>
  <c r="W33" i="137" s="1"/>
  <c r="V26" i="137"/>
  <c r="V31" i="137" s="1"/>
  <c r="V33" i="137" s="1"/>
  <c r="U26" i="137"/>
  <c r="U31" i="137" s="1"/>
  <c r="U33" i="137" s="1"/>
  <c r="T26" i="137"/>
  <c r="T31" i="137" s="1"/>
  <c r="T33" i="137" s="1"/>
  <c r="S26" i="137"/>
  <c r="S31" i="137" s="1"/>
  <c r="S33" i="137" s="1"/>
  <c r="R26" i="137"/>
  <c r="R31" i="137" s="1"/>
  <c r="R33" i="137" s="1"/>
  <c r="Q26" i="137"/>
  <c r="Q31" i="137" s="1"/>
  <c r="Q33" i="137" s="1"/>
  <c r="P26" i="137"/>
  <c r="P31" i="137" s="1"/>
  <c r="P33" i="137" s="1"/>
  <c r="N26" i="137"/>
  <c r="N31" i="137" s="1"/>
  <c r="M26" i="137"/>
  <c r="M31" i="137" s="1"/>
  <c r="L26" i="137"/>
  <c r="L31" i="137" s="1"/>
  <c r="K26" i="137"/>
  <c r="K31" i="137" s="1"/>
  <c r="J26" i="137"/>
  <c r="J31" i="137" s="1"/>
  <c r="G26" i="137"/>
  <c r="G31" i="137" s="1"/>
  <c r="F26" i="137"/>
  <c r="F31" i="137" s="1"/>
  <c r="E26" i="137"/>
  <c r="E31" i="137" s="1"/>
  <c r="D26" i="137"/>
  <c r="D31" i="137" s="1"/>
  <c r="C26" i="137"/>
  <c r="C31" i="137" s="1"/>
  <c r="O25" i="137"/>
  <c r="H25" i="137"/>
  <c r="O24" i="137"/>
  <c r="H24" i="137"/>
  <c r="O23" i="137"/>
  <c r="H23" i="137"/>
  <c r="O22" i="137"/>
  <c r="H22" i="137"/>
  <c r="H21" i="137"/>
  <c r="Z21" i="137" s="1"/>
  <c r="Z20" i="137"/>
  <c r="H19" i="137"/>
  <c r="N56" i="137" l="1"/>
  <c r="F33" i="137"/>
  <c r="B75" i="137"/>
  <c r="B77" i="137" s="1"/>
  <c r="W70" i="137"/>
  <c r="C75" i="137"/>
  <c r="C77" i="137" s="1"/>
  <c r="Z22" i="137"/>
  <c r="S51" i="137"/>
  <c r="M56" i="137"/>
  <c r="Z24" i="137"/>
  <c r="Z25" i="137"/>
  <c r="H76" i="137"/>
  <c r="P56" i="137"/>
  <c r="Q56" i="137"/>
  <c r="F56" i="137"/>
  <c r="Q32" i="137"/>
  <c r="Y32" i="137"/>
  <c r="R32" i="137"/>
  <c r="S32" i="137"/>
  <c r="H26" i="137"/>
  <c r="B76" i="137"/>
  <c r="J76" i="137"/>
  <c r="C76" i="137"/>
  <c r="K76" i="137"/>
  <c r="D76" i="137"/>
  <c r="E76" i="137"/>
  <c r="F76" i="137"/>
  <c r="G76" i="137"/>
  <c r="I76" i="137"/>
  <c r="N55" i="137"/>
  <c r="N57" i="137" s="1"/>
  <c r="O56" i="137"/>
  <c r="B56" i="137"/>
  <c r="C56" i="137"/>
  <c r="G50" i="137"/>
  <c r="G53" i="137" s="1"/>
  <c r="D56" i="137"/>
  <c r="B55" i="137"/>
  <c r="B57" i="137" s="1"/>
  <c r="T32" i="137"/>
  <c r="U32" i="137"/>
  <c r="V32" i="137"/>
  <c r="W32" i="137"/>
  <c r="P32" i="137"/>
  <c r="X32" i="137"/>
  <c r="O26" i="137"/>
  <c r="Z23" i="137"/>
  <c r="K33" i="137"/>
  <c r="K30" i="137"/>
  <c r="K32" i="137" s="1"/>
  <c r="M30" i="137"/>
  <c r="M32" i="137" s="1"/>
  <c r="M33" i="137"/>
  <c r="C30" i="137"/>
  <c r="C32" i="137" s="1"/>
  <c r="C33" i="137"/>
  <c r="D30" i="137"/>
  <c r="D32" i="137" s="1"/>
  <c r="D33" i="137"/>
  <c r="N30" i="137"/>
  <c r="N32" i="137" s="1"/>
  <c r="N33" i="137"/>
  <c r="E30" i="137"/>
  <c r="E32" i="137" s="1"/>
  <c r="E33" i="137"/>
  <c r="G33" i="137"/>
  <c r="G30" i="137"/>
  <c r="G32" i="137" s="1"/>
  <c r="L30" i="137"/>
  <c r="L32" i="137" s="1"/>
  <c r="L33" i="137"/>
  <c r="J33" i="137"/>
  <c r="J30" i="137"/>
  <c r="J32" i="137" s="1"/>
  <c r="F30" i="137"/>
  <c r="F32" i="137" s="1"/>
  <c r="E56" i="137"/>
  <c r="F55" i="137"/>
  <c r="F57" i="137" s="1"/>
  <c r="Z19" i="137"/>
  <c r="W71" i="137" l="1"/>
  <c r="W73" i="137"/>
  <c r="G51" i="137"/>
  <c r="Z26" i="137"/>
  <c r="Z27" i="137" s="1"/>
  <c r="O25" i="136" l="1"/>
  <c r="H25" i="136"/>
  <c r="O20" i="136" l="1"/>
  <c r="O21" i="136"/>
  <c r="O22" i="136"/>
  <c r="O23" i="136"/>
  <c r="O24" i="136"/>
  <c r="O19" i="136"/>
  <c r="H20" i="136"/>
  <c r="H21" i="136"/>
  <c r="H22" i="136"/>
  <c r="H23" i="136"/>
  <c r="H24" i="136"/>
  <c r="H19" i="136"/>
  <c r="H28" i="113" l="1"/>
  <c r="H29" i="113"/>
  <c r="H30" i="113"/>
  <c r="H31" i="113"/>
  <c r="H32" i="113"/>
  <c r="H33" i="113"/>
  <c r="H34" i="113" l="1"/>
  <c r="U74" i="136"/>
  <c r="T74" i="136"/>
  <c r="S74" i="136"/>
  <c r="R74" i="136"/>
  <c r="Q74" i="136"/>
  <c r="P74" i="136"/>
  <c r="O74" i="136"/>
  <c r="N74" i="136"/>
  <c r="M74" i="136"/>
  <c r="L74" i="136"/>
  <c r="K74" i="136"/>
  <c r="J74" i="136"/>
  <c r="I74" i="136"/>
  <c r="H74" i="136"/>
  <c r="G74" i="136"/>
  <c r="F74" i="136"/>
  <c r="E74" i="136"/>
  <c r="D74" i="136"/>
  <c r="C74" i="136"/>
  <c r="B74" i="136"/>
  <c r="U73" i="136"/>
  <c r="T73" i="136"/>
  <c r="S73" i="136"/>
  <c r="R73" i="136"/>
  <c r="Q73" i="136"/>
  <c r="P73" i="136"/>
  <c r="O73" i="136"/>
  <c r="N73" i="136"/>
  <c r="M73" i="136"/>
  <c r="L73" i="136"/>
  <c r="K73" i="136"/>
  <c r="J73" i="136"/>
  <c r="I73" i="136"/>
  <c r="H73" i="136"/>
  <c r="G73" i="136"/>
  <c r="F73" i="136"/>
  <c r="E73" i="136"/>
  <c r="D73" i="136"/>
  <c r="C73" i="136"/>
  <c r="B73" i="136"/>
  <c r="V72" i="136"/>
  <c r="U70" i="136"/>
  <c r="U75" i="136" s="1"/>
  <c r="U77" i="136" s="1"/>
  <c r="T70" i="136"/>
  <c r="T75" i="136" s="1"/>
  <c r="T77" i="136" s="1"/>
  <c r="S70" i="136"/>
  <c r="S75" i="136" s="1"/>
  <c r="S77" i="136" s="1"/>
  <c r="R70" i="136"/>
  <c r="R75" i="136" s="1"/>
  <c r="R77" i="136" s="1"/>
  <c r="Q70" i="136"/>
  <c r="Q75" i="136" s="1"/>
  <c r="Q77" i="136" s="1"/>
  <c r="P70" i="136"/>
  <c r="P75" i="136" s="1"/>
  <c r="P77" i="136" s="1"/>
  <c r="O70" i="136"/>
  <c r="O75" i="136" s="1"/>
  <c r="O77" i="136" s="1"/>
  <c r="N70" i="136"/>
  <c r="N75" i="136" s="1"/>
  <c r="N77" i="136" s="1"/>
  <c r="M70" i="136"/>
  <c r="M75" i="136" s="1"/>
  <c r="M77" i="136" s="1"/>
  <c r="L70" i="136"/>
  <c r="L75" i="136" s="1"/>
  <c r="L77" i="136" s="1"/>
  <c r="K70" i="136"/>
  <c r="K75" i="136" s="1"/>
  <c r="K77" i="136" s="1"/>
  <c r="J70" i="136"/>
  <c r="J75" i="136" s="1"/>
  <c r="J77" i="136" s="1"/>
  <c r="I70" i="136"/>
  <c r="I75" i="136" s="1"/>
  <c r="I77" i="136" s="1"/>
  <c r="H70" i="136"/>
  <c r="H75" i="136" s="1"/>
  <c r="H77" i="136" s="1"/>
  <c r="G70" i="136"/>
  <c r="G75" i="136" s="1"/>
  <c r="G77" i="136" s="1"/>
  <c r="F70" i="136"/>
  <c r="F75" i="136" s="1"/>
  <c r="F77" i="136" s="1"/>
  <c r="E70" i="136"/>
  <c r="E75" i="136" s="1"/>
  <c r="E77" i="136" s="1"/>
  <c r="D70" i="136"/>
  <c r="D75" i="136" s="1"/>
  <c r="D77" i="136" s="1"/>
  <c r="C70" i="136"/>
  <c r="C75" i="136" s="1"/>
  <c r="C77" i="136" s="1"/>
  <c r="B70" i="136"/>
  <c r="B75" i="136" s="1"/>
  <c r="B77" i="136" s="1"/>
  <c r="V69" i="136"/>
  <c r="V68" i="136"/>
  <c r="V67" i="136"/>
  <c r="V66" i="136"/>
  <c r="V65" i="136"/>
  <c r="V64" i="136"/>
  <c r="V63" i="136"/>
  <c r="Q54" i="136"/>
  <c r="P54" i="136"/>
  <c r="O54" i="136"/>
  <c r="N54" i="136"/>
  <c r="M54" i="136"/>
  <c r="F54" i="136"/>
  <c r="E54" i="136"/>
  <c r="D54" i="136"/>
  <c r="C54" i="136"/>
  <c r="B54" i="136"/>
  <c r="Q53" i="136"/>
  <c r="P53" i="136"/>
  <c r="O53" i="136"/>
  <c r="N53" i="136"/>
  <c r="M53" i="136"/>
  <c r="F53" i="136"/>
  <c r="E53" i="136"/>
  <c r="D53" i="136"/>
  <c r="C53" i="136"/>
  <c r="B53" i="136"/>
  <c r="R52" i="136"/>
  <c r="G52" i="136"/>
  <c r="Q50" i="136"/>
  <c r="Q55" i="136" s="1"/>
  <c r="Q57" i="136" s="1"/>
  <c r="P50" i="136"/>
  <c r="P55" i="136" s="1"/>
  <c r="P57" i="136" s="1"/>
  <c r="O50" i="136"/>
  <c r="O55" i="136" s="1"/>
  <c r="O57" i="136" s="1"/>
  <c r="N50" i="136"/>
  <c r="N55" i="136" s="1"/>
  <c r="N57" i="136" s="1"/>
  <c r="M50" i="136"/>
  <c r="M55" i="136" s="1"/>
  <c r="M57" i="136" s="1"/>
  <c r="F50" i="136"/>
  <c r="E50" i="136"/>
  <c r="D50" i="136"/>
  <c r="D55" i="136" s="1"/>
  <c r="D57" i="136" s="1"/>
  <c r="C50" i="136"/>
  <c r="B50" i="136"/>
  <c r="B55" i="136" s="1"/>
  <c r="B57" i="136" s="1"/>
  <c r="R49" i="136"/>
  <c r="G49" i="136"/>
  <c r="R48" i="136"/>
  <c r="G48" i="136"/>
  <c r="R47" i="136"/>
  <c r="G47" i="136"/>
  <c r="R46" i="136"/>
  <c r="G46" i="136"/>
  <c r="R45" i="136"/>
  <c r="G45" i="136"/>
  <c r="R44" i="136"/>
  <c r="G44" i="136"/>
  <c r="R43" i="136"/>
  <c r="G43" i="136"/>
  <c r="K35" i="136"/>
  <c r="J35" i="136" s="1"/>
  <c r="D35" i="136"/>
  <c r="C35" i="136" s="1"/>
  <c r="N34" i="136"/>
  <c r="N29" i="136" s="1"/>
  <c r="M34" i="136"/>
  <c r="M29" i="136" s="1"/>
  <c r="L34" i="136"/>
  <c r="L29" i="136" s="1"/>
  <c r="K34" i="136"/>
  <c r="K29" i="136" s="1"/>
  <c r="J34" i="136"/>
  <c r="J29" i="136" s="1"/>
  <c r="G34" i="136"/>
  <c r="G29" i="136" s="1"/>
  <c r="F34" i="136"/>
  <c r="F29" i="136" s="1"/>
  <c r="E34" i="136"/>
  <c r="E29" i="136" s="1"/>
  <c r="D34" i="136"/>
  <c r="D29" i="136" s="1"/>
  <c r="C34" i="136"/>
  <c r="C29" i="136" s="1"/>
  <c r="Y30" i="136"/>
  <c r="X30" i="136"/>
  <c r="W30" i="136"/>
  <c r="V30" i="136"/>
  <c r="U30" i="136"/>
  <c r="T30" i="136"/>
  <c r="S30" i="136"/>
  <c r="R30" i="136"/>
  <c r="Q30" i="136"/>
  <c r="P30" i="136"/>
  <c r="Y29" i="136"/>
  <c r="X29" i="136"/>
  <c r="W29" i="136"/>
  <c r="V29" i="136"/>
  <c r="U29" i="136"/>
  <c r="T29" i="136"/>
  <c r="S29" i="136"/>
  <c r="R29" i="136"/>
  <c r="Q29" i="136"/>
  <c r="P29" i="136"/>
  <c r="Z28" i="136"/>
  <c r="Y26" i="136"/>
  <c r="Y31" i="136" s="1"/>
  <c r="Y33" i="136" s="1"/>
  <c r="X26" i="136"/>
  <c r="X31" i="136" s="1"/>
  <c r="X33" i="136" s="1"/>
  <c r="W26" i="136"/>
  <c r="W31" i="136" s="1"/>
  <c r="W33" i="136" s="1"/>
  <c r="V26" i="136"/>
  <c r="V31" i="136" s="1"/>
  <c r="V33" i="136" s="1"/>
  <c r="U26" i="136"/>
  <c r="U31" i="136" s="1"/>
  <c r="U33" i="136" s="1"/>
  <c r="T26" i="136"/>
  <c r="S26" i="136"/>
  <c r="S31" i="136" s="1"/>
  <c r="S33" i="136" s="1"/>
  <c r="R26" i="136"/>
  <c r="R31" i="136" s="1"/>
  <c r="R33" i="136" s="1"/>
  <c r="Q26" i="136"/>
  <c r="Q31" i="136" s="1"/>
  <c r="Q33" i="136" s="1"/>
  <c r="P26" i="136"/>
  <c r="P31" i="136" s="1"/>
  <c r="P33" i="136" s="1"/>
  <c r="N26" i="136"/>
  <c r="N31" i="136" s="1"/>
  <c r="N30" i="136" s="1"/>
  <c r="N32" i="136" s="1"/>
  <c r="M26" i="136"/>
  <c r="M31" i="136" s="1"/>
  <c r="L26" i="136"/>
  <c r="L31" i="136" s="1"/>
  <c r="K26" i="136"/>
  <c r="K31" i="136" s="1"/>
  <c r="J26" i="136"/>
  <c r="J31" i="136" s="1"/>
  <c r="J30" i="136" s="1"/>
  <c r="J32" i="136" s="1"/>
  <c r="G26" i="136"/>
  <c r="G31" i="136" s="1"/>
  <c r="F26" i="136"/>
  <c r="F31" i="136" s="1"/>
  <c r="E26" i="136"/>
  <c r="E31" i="136" s="1"/>
  <c r="D26" i="136"/>
  <c r="D31" i="136" s="1"/>
  <c r="C26" i="136"/>
  <c r="C31" i="136" s="1"/>
  <c r="Z25" i="136"/>
  <c r="Z24" i="136"/>
  <c r="Z23" i="136"/>
  <c r="Z22" i="136"/>
  <c r="O26" i="136"/>
  <c r="Z20" i="136"/>
  <c r="T32" i="136" l="1"/>
  <c r="L33" i="136"/>
  <c r="Y32" i="136"/>
  <c r="Q32" i="136"/>
  <c r="E56" i="136"/>
  <c r="F76" i="136"/>
  <c r="N76" i="136"/>
  <c r="G76" i="136"/>
  <c r="O76" i="136"/>
  <c r="I76" i="136"/>
  <c r="Q76" i="136"/>
  <c r="D76" i="136"/>
  <c r="B76" i="136"/>
  <c r="J76" i="136"/>
  <c r="R76" i="136"/>
  <c r="T76" i="136"/>
  <c r="C76" i="136"/>
  <c r="K76" i="136"/>
  <c r="S76" i="136"/>
  <c r="L76" i="136"/>
  <c r="E76" i="136"/>
  <c r="M76" i="136"/>
  <c r="U76" i="136"/>
  <c r="Q56" i="136"/>
  <c r="R50" i="136"/>
  <c r="R53" i="136" s="1"/>
  <c r="M56" i="136"/>
  <c r="N56" i="136"/>
  <c r="O56" i="136"/>
  <c r="F56" i="136"/>
  <c r="C56" i="136"/>
  <c r="E55" i="136"/>
  <c r="E57" i="136" s="1"/>
  <c r="F55" i="136"/>
  <c r="F57" i="136" s="1"/>
  <c r="B56" i="136"/>
  <c r="D56" i="136"/>
  <c r="R32" i="136"/>
  <c r="C33" i="136"/>
  <c r="C30" i="136"/>
  <c r="C32" i="136" s="1"/>
  <c r="D30" i="136"/>
  <c r="D32" i="136" s="1"/>
  <c r="D33" i="136"/>
  <c r="T31" i="136"/>
  <c r="T33" i="136" s="1"/>
  <c r="S32" i="136"/>
  <c r="U32" i="136"/>
  <c r="V32" i="136"/>
  <c r="E30" i="136"/>
  <c r="E32" i="136" s="1"/>
  <c r="E33" i="136"/>
  <c r="Z21" i="136"/>
  <c r="G30" i="136"/>
  <c r="G32" i="136" s="1"/>
  <c r="G33" i="136"/>
  <c r="H26" i="136"/>
  <c r="Z19" i="136"/>
  <c r="J33" i="136"/>
  <c r="P56" i="136"/>
  <c r="K33" i="136"/>
  <c r="F33" i="136"/>
  <c r="F30" i="136"/>
  <c r="F32" i="136" s="1"/>
  <c r="K30" i="136"/>
  <c r="K32" i="136" s="1"/>
  <c r="M33" i="136"/>
  <c r="M30" i="136"/>
  <c r="M32" i="136" s="1"/>
  <c r="L30" i="136"/>
  <c r="L32" i="136" s="1"/>
  <c r="W32" i="136"/>
  <c r="N33" i="136"/>
  <c r="G50" i="136"/>
  <c r="C55" i="136"/>
  <c r="C57" i="136" s="1"/>
  <c r="P32" i="136"/>
  <c r="X32" i="136"/>
  <c r="H76" i="136"/>
  <c r="P76" i="136"/>
  <c r="V70" i="136"/>
  <c r="U74" i="134"/>
  <c r="T74" i="134"/>
  <c r="S74" i="134"/>
  <c r="R74" i="134"/>
  <c r="Q74" i="134"/>
  <c r="P74" i="134"/>
  <c r="O74" i="134"/>
  <c r="N74" i="134"/>
  <c r="M74" i="134"/>
  <c r="L74" i="134"/>
  <c r="K74" i="134"/>
  <c r="J74" i="134"/>
  <c r="I74" i="134"/>
  <c r="H74" i="134"/>
  <c r="G74" i="134"/>
  <c r="F74" i="134"/>
  <c r="E74" i="134"/>
  <c r="D74" i="134"/>
  <c r="C74" i="134"/>
  <c r="B74" i="134"/>
  <c r="U73" i="134"/>
  <c r="T73" i="134"/>
  <c r="S73" i="134"/>
  <c r="R73" i="134"/>
  <c r="Q73" i="134"/>
  <c r="P73" i="134"/>
  <c r="O73" i="134"/>
  <c r="N73" i="134"/>
  <c r="M73" i="134"/>
  <c r="L73" i="134"/>
  <c r="K73" i="134"/>
  <c r="J73" i="134"/>
  <c r="I73" i="134"/>
  <c r="H73" i="134"/>
  <c r="G73" i="134"/>
  <c r="F73" i="134"/>
  <c r="E73" i="134"/>
  <c r="D73" i="134"/>
  <c r="C73" i="134"/>
  <c r="B73" i="134"/>
  <c r="V72" i="134"/>
  <c r="U70" i="134"/>
  <c r="U75" i="134" s="1"/>
  <c r="U77" i="134" s="1"/>
  <c r="T70" i="134"/>
  <c r="T75" i="134" s="1"/>
  <c r="T77" i="134" s="1"/>
  <c r="S70" i="134"/>
  <c r="S75" i="134" s="1"/>
  <c r="S77" i="134" s="1"/>
  <c r="R70" i="134"/>
  <c r="R75" i="134" s="1"/>
  <c r="R77" i="134" s="1"/>
  <c r="Q70" i="134"/>
  <c r="Q75" i="134" s="1"/>
  <c r="Q77" i="134" s="1"/>
  <c r="P70" i="134"/>
  <c r="P75" i="134" s="1"/>
  <c r="P77" i="134" s="1"/>
  <c r="O70" i="134"/>
  <c r="O75" i="134" s="1"/>
  <c r="O77" i="134" s="1"/>
  <c r="N70" i="134"/>
  <c r="N75" i="134" s="1"/>
  <c r="N77" i="134" s="1"/>
  <c r="M70" i="134"/>
  <c r="M75" i="134" s="1"/>
  <c r="M77" i="134" s="1"/>
  <c r="L70" i="134"/>
  <c r="L75" i="134" s="1"/>
  <c r="L77" i="134" s="1"/>
  <c r="K70" i="134"/>
  <c r="K75" i="134" s="1"/>
  <c r="K77" i="134" s="1"/>
  <c r="J70" i="134"/>
  <c r="J75" i="134" s="1"/>
  <c r="J77" i="134" s="1"/>
  <c r="I70" i="134"/>
  <c r="I75" i="134" s="1"/>
  <c r="I77" i="134" s="1"/>
  <c r="H70" i="134"/>
  <c r="H75" i="134" s="1"/>
  <c r="H77" i="134" s="1"/>
  <c r="G70" i="134"/>
  <c r="G75" i="134" s="1"/>
  <c r="G77" i="134" s="1"/>
  <c r="F70" i="134"/>
  <c r="F75" i="134" s="1"/>
  <c r="F77" i="134" s="1"/>
  <c r="E70" i="134"/>
  <c r="E75" i="134" s="1"/>
  <c r="E77" i="134" s="1"/>
  <c r="D70" i="134"/>
  <c r="D75" i="134" s="1"/>
  <c r="D77" i="134" s="1"/>
  <c r="C70" i="134"/>
  <c r="C75" i="134" s="1"/>
  <c r="C77" i="134" s="1"/>
  <c r="B70" i="134"/>
  <c r="B75" i="134" s="1"/>
  <c r="B77" i="134" s="1"/>
  <c r="V69" i="134"/>
  <c r="V68" i="134"/>
  <c r="V67" i="134"/>
  <c r="V66" i="134"/>
  <c r="V65" i="134"/>
  <c r="V64" i="134"/>
  <c r="V63" i="134"/>
  <c r="Q54" i="134"/>
  <c r="P54" i="134"/>
  <c r="O54" i="134"/>
  <c r="N54" i="134"/>
  <c r="M54" i="134"/>
  <c r="F54" i="134"/>
  <c r="E54" i="134"/>
  <c r="D54" i="134"/>
  <c r="C54" i="134"/>
  <c r="B54" i="134"/>
  <c r="Q53" i="134"/>
  <c r="P53" i="134"/>
  <c r="O53" i="134"/>
  <c r="N53" i="134"/>
  <c r="M53" i="134"/>
  <c r="F53" i="134"/>
  <c r="E53" i="134"/>
  <c r="D53" i="134"/>
  <c r="C53" i="134"/>
  <c r="B53" i="134"/>
  <c r="R52" i="134"/>
  <c r="G52" i="134"/>
  <c r="Q50" i="134"/>
  <c r="Q55" i="134" s="1"/>
  <c r="Q57" i="134" s="1"/>
  <c r="P50" i="134"/>
  <c r="P55" i="134" s="1"/>
  <c r="P57" i="134" s="1"/>
  <c r="O50" i="134"/>
  <c r="O55" i="134" s="1"/>
  <c r="O57" i="134" s="1"/>
  <c r="N50" i="134"/>
  <c r="N55" i="134" s="1"/>
  <c r="N57" i="134" s="1"/>
  <c r="M50" i="134"/>
  <c r="M55" i="134" s="1"/>
  <c r="M57" i="134" s="1"/>
  <c r="F50" i="134"/>
  <c r="F55" i="134" s="1"/>
  <c r="F57" i="134" s="1"/>
  <c r="E50" i="134"/>
  <c r="E55" i="134" s="1"/>
  <c r="E57" i="134" s="1"/>
  <c r="D50" i="134"/>
  <c r="D55" i="134" s="1"/>
  <c r="D57" i="134" s="1"/>
  <c r="C50" i="134"/>
  <c r="B50" i="134"/>
  <c r="B55" i="134" s="1"/>
  <c r="B57" i="134" s="1"/>
  <c r="R49" i="134"/>
  <c r="G49" i="134"/>
  <c r="R48" i="134"/>
  <c r="G48" i="134"/>
  <c r="R47" i="134"/>
  <c r="G47" i="134"/>
  <c r="R46" i="134"/>
  <c r="G46" i="134"/>
  <c r="R45" i="134"/>
  <c r="G45" i="134"/>
  <c r="R44" i="134"/>
  <c r="G44" i="134"/>
  <c r="R43" i="134"/>
  <c r="G43" i="134"/>
  <c r="K35" i="134"/>
  <c r="J35" i="134" s="1"/>
  <c r="D35" i="134"/>
  <c r="C35" i="134" s="1"/>
  <c r="N34" i="134"/>
  <c r="N29" i="134" s="1"/>
  <c r="M34" i="134"/>
  <c r="M29" i="134" s="1"/>
  <c r="L34" i="134"/>
  <c r="L29" i="134" s="1"/>
  <c r="K34" i="134"/>
  <c r="K29" i="134" s="1"/>
  <c r="J34" i="134"/>
  <c r="J29" i="134" s="1"/>
  <c r="G34" i="134"/>
  <c r="G29" i="134" s="1"/>
  <c r="F34" i="134"/>
  <c r="F29" i="134" s="1"/>
  <c r="E34" i="134"/>
  <c r="E29" i="134" s="1"/>
  <c r="D34" i="134"/>
  <c r="D29" i="134" s="1"/>
  <c r="C34" i="134"/>
  <c r="C29" i="134" s="1"/>
  <c r="Y30" i="134"/>
  <c r="X30" i="134"/>
  <c r="W30" i="134"/>
  <c r="V30" i="134"/>
  <c r="U30" i="134"/>
  <c r="T30" i="134"/>
  <c r="S30" i="134"/>
  <c r="R30" i="134"/>
  <c r="Q30" i="134"/>
  <c r="P30" i="134"/>
  <c r="Y29" i="134"/>
  <c r="X29" i="134"/>
  <c r="W29" i="134"/>
  <c r="V29" i="134"/>
  <c r="U29" i="134"/>
  <c r="T29" i="134"/>
  <c r="S29" i="134"/>
  <c r="R29" i="134"/>
  <c r="Q29" i="134"/>
  <c r="P29" i="134"/>
  <c r="Z28" i="134"/>
  <c r="Y26" i="134"/>
  <c r="Y31" i="134" s="1"/>
  <c r="Y33" i="134" s="1"/>
  <c r="X26" i="134"/>
  <c r="X31" i="134" s="1"/>
  <c r="X33" i="134" s="1"/>
  <c r="W26" i="134"/>
  <c r="W31" i="134" s="1"/>
  <c r="W33" i="134" s="1"/>
  <c r="V26" i="134"/>
  <c r="V31" i="134" s="1"/>
  <c r="V33" i="134" s="1"/>
  <c r="U26" i="134"/>
  <c r="U31" i="134" s="1"/>
  <c r="U33" i="134" s="1"/>
  <c r="T26" i="134"/>
  <c r="T31" i="134" s="1"/>
  <c r="T33" i="134" s="1"/>
  <c r="S26" i="134"/>
  <c r="S31" i="134" s="1"/>
  <c r="S33" i="134" s="1"/>
  <c r="R26" i="134"/>
  <c r="R31" i="134" s="1"/>
  <c r="R33" i="134" s="1"/>
  <c r="Q26" i="134"/>
  <c r="Q31" i="134" s="1"/>
  <c r="Q33" i="134" s="1"/>
  <c r="P26" i="134"/>
  <c r="P31" i="134" s="1"/>
  <c r="P33" i="134" s="1"/>
  <c r="N26" i="134"/>
  <c r="N31" i="134" s="1"/>
  <c r="M26" i="134"/>
  <c r="M31" i="134" s="1"/>
  <c r="L26" i="134"/>
  <c r="L31" i="134" s="1"/>
  <c r="K26" i="134"/>
  <c r="K31" i="134" s="1"/>
  <c r="J26" i="134"/>
  <c r="J31" i="134" s="1"/>
  <c r="G26" i="134"/>
  <c r="G31" i="134" s="1"/>
  <c r="F26" i="134"/>
  <c r="F31" i="134" s="1"/>
  <c r="E26" i="134"/>
  <c r="E31" i="134" s="1"/>
  <c r="D26" i="134"/>
  <c r="D31" i="134" s="1"/>
  <c r="C26" i="134"/>
  <c r="C31" i="134" s="1"/>
  <c r="Z25" i="134"/>
  <c r="Z24" i="134"/>
  <c r="Z23" i="134"/>
  <c r="Z22" i="134"/>
  <c r="O21" i="134"/>
  <c r="H21" i="134"/>
  <c r="O20" i="134"/>
  <c r="H20" i="134"/>
  <c r="O19" i="134"/>
  <c r="H19" i="134"/>
  <c r="Q76" i="134" l="1"/>
  <c r="I76" i="134"/>
  <c r="Q56" i="134"/>
  <c r="Z20" i="134"/>
  <c r="P56" i="134"/>
  <c r="O56" i="134"/>
  <c r="C56" i="134"/>
  <c r="Z21" i="134"/>
  <c r="C55" i="134"/>
  <c r="C57" i="134" s="1"/>
  <c r="L76" i="134"/>
  <c r="M76" i="134"/>
  <c r="X32" i="134"/>
  <c r="Y32" i="134"/>
  <c r="J76" i="134"/>
  <c r="N76" i="134"/>
  <c r="V32" i="134"/>
  <c r="K76" i="134"/>
  <c r="O76" i="134"/>
  <c r="P76" i="134"/>
  <c r="W32" i="134"/>
  <c r="R50" i="134"/>
  <c r="R51" i="134" s="1"/>
  <c r="H26" i="134"/>
  <c r="B76" i="134"/>
  <c r="R76" i="134"/>
  <c r="O26" i="134"/>
  <c r="P32" i="134"/>
  <c r="D56" i="134"/>
  <c r="C76" i="134"/>
  <c r="S76" i="134"/>
  <c r="Q32" i="134"/>
  <c r="E56" i="134"/>
  <c r="D76" i="134"/>
  <c r="T76" i="134"/>
  <c r="R32" i="134"/>
  <c r="F56" i="134"/>
  <c r="E76" i="134"/>
  <c r="U76" i="134"/>
  <c r="S32" i="134"/>
  <c r="M56" i="134"/>
  <c r="F76" i="134"/>
  <c r="T32" i="134"/>
  <c r="N56" i="134"/>
  <c r="G76" i="134"/>
  <c r="U32" i="134"/>
  <c r="H76" i="134"/>
  <c r="R51" i="136"/>
  <c r="V71" i="136"/>
  <c r="V73" i="136"/>
  <c r="Z26" i="136"/>
  <c r="Z27" i="136" s="1"/>
  <c r="G53" i="136"/>
  <c r="G51" i="136"/>
  <c r="D30" i="134"/>
  <c r="D32" i="134" s="1"/>
  <c r="D33" i="134"/>
  <c r="J33" i="134"/>
  <c r="J30" i="134"/>
  <c r="J32" i="134" s="1"/>
  <c r="F30" i="134"/>
  <c r="F32" i="134" s="1"/>
  <c r="F33" i="134"/>
  <c r="E30" i="134"/>
  <c r="E32" i="134" s="1"/>
  <c r="E33" i="134"/>
  <c r="N30" i="134"/>
  <c r="N32" i="134" s="1"/>
  <c r="N33" i="134"/>
  <c r="G30" i="134"/>
  <c r="G32" i="134" s="1"/>
  <c r="G33" i="134"/>
  <c r="K33" i="134"/>
  <c r="K30" i="134"/>
  <c r="K32" i="134" s="1"/>
  <c r="L33" i="134"/>
  <c r="L30" i="134"/>
  <c r="L32" i="134" s="1"/>
  <c r="C30" i="134"/>
  <c r="C32" i="134" s="1"/>
  <c r="C33" i="134"/>
  <c r="M30" i="134"/>
  <c r="M32" i="134" s="1"/>
  <c r="M33" i="134"/>
  <c r="V70" i="134"/>
  <c r="Z19" i="134"/>
  <c r="B56" i="134"/>
  <c r="G50" i="134"/>
  <c r="Z26" i="134" l="1"/>
  <c r="Z27" i="134" s="1"/>
  <c r="R53" i="134"/>
  <c r="V73" i="134"/>
  <c r="V71" i="134"/>
  <c r="G53" i="134"/>
  <c r="G51" i="134"/>
  <c r="U74" i="135" l="1"/>
  <c r="T74" i="135"/>
  <c r="S74" i="135"/>
  <c r="R74" i="135"/>
  <c r="Q74" i="135"/>
  <c r="P74" i="135"/>
  <c r="O74" i="135"/>
  <c r="N74" i="135"/>
  <c r="M74" i="135"/>
  <c r="L74" i="135"/>
  <c r="K74" i="135"/>
  <c r="J74" i="135"/>
  <c r="I74" i="135"/>
  <c r="H74" i="135"/>
  <c r="G74" i="135"/>
  <c r="F74" i="135"/>
  <c r="E74" i="135"/>
  <c r="D74" i="135"/>
  <c r="C74" i="135"/>
  <c r="B74" i="135"/>
  <c r="U73" i="135"/>
  <c r="T73" i="135"/>
  <c r="S73" i="135"/>
  <c r="R73" i="135"/>
  <c r="Q73" i="135"/>
  <c r="P73" i="135"/>
  <c r="O73" i="135"/>
  <c r="N73" i="135"/>
  <c r="M73" i="135"/>
  <c r="L73" i="135"/>
  <c r="K73" i="135"/>
  <c r="J73" i="135"/>
  <c r="I73" i="135"/>
  <c r="H73" i="135"/>
  <c r="G73" i="135"/>
  <c r="F73" i="135"/>
  <c r="E73" i="135"/>
  <c r="D73" i="135"/>
  <c r="C73" i="135"/>
  <c r="B73" i="135"/>
  <c r="V72" i="135"/>
  <c r="U70" i="135"/>
  <c r="U75" i="135" s="1"/>
  <c r="U77" i="135" s="1"/>
  <c r="T70" i="135"/>
  <c r="T75" i="135" s="1"/>
  <c r="T77" i="135" s="1"/>
  <c r="S70" i="135"/>
  <c r="S75" i="135" s="1"/>
  <c r="S77" i="135" s="1"/>
  <c r="R70" i="135"/>
  <c r="R75" i="135" s="1"/>
  <c r="R77" i="135" s="1"/>
  <c r="Q70" i="135"/>
  <c r="Q75" i="135" s="1"/>
  <c r="Q77" i="135" s="1"/>
  <c r="P70" i="135"/>
  <c r="P75" i="135" s="1"/>
  <c r="P77" i="135" s="1"/>
  <c r="O70" i="135"/>
  <c r="O75" i="135" s="1"/>
  <c r="O77" i="135" s="1"/>
  <c r="N70" i="135"/>
  <c r="N75" i="135" s="1"/>
  <c r="N77" i="135" s="1"/>
  <c r="M70" i="135"/>
  <c r="M75" i="135" s="1"/>
  <c r="M77" i="135" s="1"/>
  <c r="L70" i="135"/>
  <c r="L75" i="135" s="1"/>
  <c r="L77" i="135" s="1"/>
  <c r="K70" i="135"/>
  <c r="K75" i="135" s="1"/>
  <c r="K77" i="135" s="1"/>
  <c r="J70" i="135"/>
  <c r="J75" i="135" s="1"/>
  <c r="J77" i="135" s="1"/>
  <c r="I70" i="135"/>
  <c r="I75" i="135" s="1"/>
  <c r="I77" i="135" s="1"/>
  <c r="H70" i="135"/>
  <c r="H75" i="135" s="1"/>
  <c r="H77" i="135" s="1"/>
  <c r="G70" i="135"/>
  <c r="G75" i="135" s="1"/>
  <c r="G77" i="135" s="1"/>
  <c r="F70" i="135"/>
  <c r="F75" i="135" s="1"/>
  <c r="F77" i="135" s="1"/>
  <c r="E70" i="135"/>
  <c r="E75" i="135" s="1"/>
  <c r="E77" i="135" s="1"/>
  <c r="D70" i="135"/>
  <c r="D75" i="135" s="1"/>
  <c r="D77" i="135" s="1"/>
  <c r="C70" i="135"/>
  <c r="C75" i="135" s="1"/>
  <c r="C77" i="135" s="1"/>
  <c r="B70" i="135"/>
  <c r="B75" i="135" s="1"/>
  <c r="B77" i="135" s="1"/>
  <c r="V69" i="135"/>
  <c r="V68" i="135"/>
  <c r="V67" i="135"/>
  <c r="V66" i="135"/>
  <c r="V65" i="135"/>
  <c r="V64" i="135"/>
  <c r="V63" i="135"/>
  <c r="Q54" i="135"/>
  <c r="P54" i="135"/>
  <c r="O54" i="135"/>
  <c r="N54" i="135"/>
  <c r="M54" i="135"/>
  <c r="F54" i="135"/>
  <c r="E54" i="135"/>
  <c r="D54" i="135"/>
  <c r="C54" i="135"/>
  <c r="B54" i="135"/>
  <c r="Q53" i="135"/>
  <c r="P53" i="135"/>
  <c r="O53" i="135"/>
  <c r="N53" i="135"/>
  <c r="M53" i="135"/>
  <c r="F53" i="135"/>
  <c r="E53" i="135"/>
  <c r="D53" i="135"/>
  <c r="C53" i="135"/>
  <c r="B53" i="135"/>
  <c r="R52" i="135"/>
  <c r="G52" i="135"/>
  <c r="Q50" i="135"/>
  <c r="Q55" i="135" s="1"/>
  <c r="Q57" i="135" s="1"/>
  <c r="P50" i="135"/>
  <c r="P55" i="135" s="1"/>
  <c r="P57" i="135" s="1"/>
  <c r="O50" i="135"/>
  <c r="O55" i="135" s="1"/>
  <c r="O57" i="135" s="1"/>
  <c r="N50" i="135"/>
  <c r="N55" i="135" s="1"/>
  <c r="N57" i="135" s="1"/>
  <c r="M50" i="135"/>
  <c r="M55" i="135" s="1"/>
  <c r="M57" i="135" s="1"/>
  <c r="F50" i="135"/>
  <c r="F55" i="135" s="1"/>
  <c r="F57" i="135" s="1"/>
  <c r="E50" i="135"/>
  <c r="D50" i="135"/>
  <c r="D55" i="135" s="1"/>
  <c r="D57" i="135" s="1"/>
  <c r="C50" i="135"/>
  <c r="C55" i="135" s="1"/>
  <c r="C57" i="135" s="1"/>
  <c r="B50" i="135"/>
  <c r="B55" i="135" s="1"/>
  <c r="B57" i="135" s="1"/>
  <c r="R49" i="135"/>
  <c r="G49" i="135"/>
  <c r="R48" i="135"/>
  <c r="G48" i="135"/>
  <c r="R47" i="135"/>
  <c r="G47" i="135"/>
  <c r="R46" i="135"/>
  <c r="G46" i="135"/>
  <c r="R45" i="135"/>
  <c r="G45" i="135"/>
  <c r="R44" i="135"/>
  <c r="G44" i="135"/>
  <c r="R43" i="135"/>
  <c r="G43" i="135"/>
  <c r="K35" i="135"/>
  <c r="J35" i="135" s="1"/>
  <c r="D35" i="135"/>
  <c r="C35" i="135" s="1"/>
  <c r="N34" i="135"/>
  <c r="N29" i="135" s="1"/>
  <c r="M34" i="135"/>
  <c r="M29" i="135" s="1"/>
  <c r="L34" i="135"/>
  <c r="L29" i="135" s="1"/>
  <c r="K34" i="135"/>
  <c r="K29" i="135" s="1"/>
  <c r="J34" i="135"/>
  <c r="J29" i="135" s="1"/>
  <c r="G34" i="135"/>
  <c r="G29" i="135" s="1"/>
  <c r="F34" i="135"/>
  <c r="F29" i="135" s="1"/>
  <c r="E34" i="135"/>
  <c r="E29" i="135" s="1"/>
  <c r="D34" i="135"/>
  <c r="D29" i="135" s="1"/>
  <c r="C34" i="135"/>
  <c r="C29" i="135" s="1"/>
  <c r="Y30" i="135"/>
  <c r="X30" i="135"/>
  <c r="W30" i="135"/>
  <c r="V30" i="135"/>
  <c r="U30" i="135"/>
  <c r="T30" i="135"/>
  <c r="S30" i="135"/>
  <c r="R30" i="135"/>
  <c r="Q30" i="135"/>
  <c r="P30" i="135"/>
  <c r="Y29" i="135"/>
  <c r="X29" i="135"/>
  <c r="W29" i="135"/>
  <c r="V29" i="135"/>
  <c r="U29" i="135"/>
  <c r="T29" i="135"/>
  <c r="S29" i="135"/>
  <c r="R29" i="135"/>
  <c r="Q29" i="135"/>
  <c r="P29" i="135"/>
  <c r="Z28" i="135"/>
  <c r="Y26" i="135"/>
  <c r="Y31" i="135" s="1"/>
  <c r="Y33" i="135" s="1"/>
  <c r="X26" i="135"/>
  <c r="X31" i="135" s="1"/>
  <c r="X33" i="135" s="1"/>
  <c r="W26" i="135"/>
  <c r="W31" i="135" s="1"/>
  <c r="W33" i="135" s="1"/>
  <c r="V26" i="135"/>
  <c r="V31" i="135" s="1"/>
  <c r="V33" i="135" s="1"/>
  <c r="U26" i="135"/>
  <c r="U31" i="135" s="1"/>
  <c r="U33" i="135" s="1"/>
  <c r="T26" i="135"/>
  <c r="T31" i="135" s="1"/>
  <c r="T33" i="135" s="1"/>
  <c r="S26" i="135"/>
  <c r="S31" i="135" s="1"/>
  <c r="S33" i="135" s="1"/>
  <c r="R26" i="135"/>
  <c r="R31" i="135" s="1"/>
  <c r="R33" i="135" s="1"/>
  <c r="Q26" i="135"/>
  <c r="Q31" i="135" s="1"/>
  <c r="Q33" i="135" s="1"/>
  <c r="P26" i="135"/>
  <c r="P31" i="135" s="1"/>
  <c r="P33" i="135" s="1"/>
  <c r="N26" i="135"/>
  <c r="N31" i="135" s="1"/>
  <c r="M26" i="135"/>
  <c r="M31" i="135" s="1"/>
  <c r="L26" i="135"/>
  <c r="L31" i="135" s="1"/>
  <c r="K26" i="135"/>
  <c r="K31" i="135" s="1"/>
  <c r="J26" i="135"/>
  <c r="J31" i="135" s="1"/>
  <c r="G26" i="135"/>
  <c r="G31" i="135" s="1"/>
  <c r="F26" i="135"/>
  <c r="F31" i="135" s="1"/>
  <c r="E26" i="135"/>
  <c r="E31" i="135" s="1"/>
  <c r="D26" i="135"/>
  <c r="D31" i="135" s="1"/>
  <c r="C26" i="135"/>
  <c r="C31" i="135" s="1"/>
  <c r="Z25" i="135"/>
  <c r="Z24" i="135"/>
  <c r="Z23" i="135"/>
  <c r="Z22" i="135"/>
  <c r="O21" i="135"/>
  <c r="H21" i="135"/>
  <c r="O20" i="135"/>
  <c r="H20" i="135"/>
  <c r="O19" i="135"/>
  <c r="H19" i="135"/>
  <c r="Z20" i="135" l="1"/>
  <c r="Z21" i="135"/>
  <c r="O26" i="135"/>
  <c r="E33" i="135"/>
  <c r="H26" i="135"/>
  <c r="O56" i="135"/>
  <c r="U32" i="135"/>
  <c r="R50" i="135"/>
  <c r="R51" i="135" s="1"/>
  <c r="W32" i="135"/>
  <c r="P32" i="135"/>
  <c r="X32" i="135"/>
  <c r="Q32" i="135"/>
  <c r="Y32" i="135"/>
  <c r="O76" i="135"/>
  <c r="G76" i="135"/>
  <c r="F76" i="135"/>
  <c r="N76" i="135"/>
  <c r="H76" i="135"/>
  <c r="I76" i="135"/>
  <c r="Q76" i="135"/>
  <c r="P76" i="135"/>
  <c r="B76" i="135"/>
  <c r="J76" i="135"/>
  <c r="R76" i="135"/>
  <c r="C76" i="135"/>
  <c r="K76" i="135"/>
  <c r="S76" i="135"/>
  <c r="D76" i="135"/>
  <c r="L76" i="135"/>
  <c r="T76" i="135"/>
  <c r="E76" i="135"/>
  <c r="M76" i="135"/>
  <c r="U76" i="135"/>
  <c r="P56" i="135"/>
  <c r="Q56" i="135"/>
  <c r="M56" i="135"/>
  <c r="N56" i="135"/>
  <c r="E56" i="135"/>
  <c r="B56" i="135"/>
  <c r="G50" i="135"/>
  <c r="G53" i="135" s="1"/>
  <c r="C56" i="135"/>
  <c r="F56" i="135"/>
  <c r="R32" i="135"/>
  <c r="S32" i="135"/>
  <c r="T32" i="135"/>
  <c r="V32" i="135"/>
  <c r="D56" i="135"/>
  <c r="K30" i="135"/>
  <c r="K32" i="135" s="1"/>
  <c r="K33" i="135"/>
  <c r="L30" i="135"/>
  <c r="L32" i="135" s="1"/>
  <c r="L33" i="135"/>
  <c r="C30" i="135"/>
  <c r="C32" i="135" s="1"/>
  <c r="C33" i="135"/>
  <c r="M30" i="135"/>
  <c r="M32" i="135" s="1"/>
  <c r="M33" i="135"/>
  <c r="F33" i="135"/>
  <c r="F30" i="135"/>
  <c r="F32" i="135" s="1"/>
  <c r="D33" i="135"/>
  <c r="D30" i="135"/>
  <c r="D32" i="135" s="1"/>
  <c r="N33" i="135"/>
  <c r="N30" i="135"/>
  <c r="N32" i="135" s="1"/>
  <c r="G33" i="135"/>
  <c r="G30" i="135"/>
  <c r="G32" i="135" s="1"/>
  <c r="J30" i="135"/>
  <c r="J32" i="135" s="1"/>
  <c r="J33" i="135"/>
  <c r="E30" i="135"/>
  <c r="E32" i="135" s="1"/>
  <c r="V70" i="135"/>
  <c r="E55" i="135"/>
  <c r="E57" i="135" s="1"/>
  <c r="Z19" i="135"/>
  <c r="Z26" i="135" l="1"/>
  <c r="Z27" i="135" s="1"/>
  <c r="R53" i="135"/>
  <c r="G51" i="135"/>
  <c r="V73" i="135"/>
  <c r="V71" i="135"/>
  <c r="O25" i="133" l="1"/>
  <c r="H25" i="133"/>
  <c r="O24" i="133" l="1"/>
  <c r="H24" i="133"/>
  <c r="O23" i="133" l="1"/>
  <c r="H23" i="133"/>
  <c r="O22" i="133" l="1"/>
  <c r="H22" i="133"/>
  <c r="O21" i="133" l="1"/>
  <c r="H21" i="133"/>
  <c r="O20" i="133" l="1"/>
  <c r="H20" i="133"/>
  <c r="O19" i="133"/>
  <c r="H19" i="133"/>
  <c r="U74" i="133"/>
  <c r="T74" i="133"/>
  <c r="S74" i="133"/>
  <c r="R74" i="133"/>
  <c r="Q74" i="133"/>
  <c r="P74" i="133"/>
  <c r="O74" i="133"/>
  <c r="N74" i="133"/>
  <c r="M74" i="133"/>
  <c r="L74" i="133"/>
  <c r="K74" i="133"/>
  <c r="J74" i="133"/>
  <c r="I74" i="133"/>
  <c r="H74" i="133"/>
  <c r="G74" i="133"/>
  <c r="F74" i="133"/>
  <c r="E74" i="133"/>
  <c r="D74" i="133"/>
  <c r="C74" i="133"/>
  <c r="B74" i="133"/>
  <c r="U73" i="133"/>
  <c r="T73" i="133"/>
  <c r="S73" i="133"/>
  <c r="R73" i="133"/>
  <c r="Q73" i="133"/>
  <c r="P73" i="133"/>
  <c r="O73" i="133"/>
  <c r="N73" i="133"/>
  <c r="M73" i="133"/>
  <c r="L73" i="133"/>
  <c r="K73" i="133"/>
  <c r="J73" i="133"/>
  <c r="I73" i="133"/>
  <c r="H73" i="133"/>
  <c r="G73" i="133"/>
  <c r="F73" i="133"/>
  <c r="E73" i="133"/>
  <c r="D73" i="133"/>
  <c r="C73" i="133"/>
  <c r="B73" i="133"/>
  <c r="V72" i="133"/>
  <c r="U70" i="133"/>
  <c r="U75" i="133" s="1"/>
  <c r="U77" i="133" s="1"/>
  <c r="T70" i="133"/>
  <c r="T75" i="133" s="1"/>
  <c r="T77" i="133" s="1"/>
  <c r="S70" i="133"/>
  <c r="S75" i="133" s="1"/>
  <c r="S77" i="133" s="1"/>
  <c r="R70" i="133"/>
  <c r="R75" i="133" s="1"/>
  <c r="R77" i="133" s="1"/>
  <c r="Q70" i="133"/>
  <c r="Q75" i="133" s="1"/>
  <c r="Q77" i="133" s="1"/>
  <c r="P70" i="133"/>
  <c r="P75" i="133" s="1"/>
  <c r="P77" i="133" s="1"/>
  <c r="O70" i="133"/>
  <c r="O75" i="133" s="1"/>
  <c r="O77" i="133" s="1"/>
  <c r="N70" i="133"/>
  <c r="N75" i="133" s="1"/>
  <c r="N77" i="133" s="1"/>
  <c r="M70" i="133"/>
  <c r="M75" i="133" s="1"/>
  <c r="M77" i="133" s="1"/>
  <c r="L70" i="133"/>
  <c r="L75" i="133" s="1"/>
  <c r="L77" i="133" s="1"/>
  <c r="K70" i="133"/>
  <c r="K75" i="133" s="1"/>
  <c r="K77" i="133" s="1"/>
  <c r="J70" i="133"/>
  <c r="J75" i="133" s="1"/>
  <c r="J77" i="133" s="1"/>
  <c r="I70" i="133"/>
  <c r="I75" i="133" s="1"/>
  <c r="I77" i="133" s="1"/>
  <c r="H70" i="133"/>
  <c r="H75" i="133" s="1"/>
  <c r="H77" i="133" s="1"/>
  <c r="G70" i="133"/>
  <c r="G75" i="133" s="1"/>
  <c r="G77" i="133" s="1"/>
  <c r="F70" i="133"/>
  <c r="F75" i="133" s="1"/>
  <c r="F77" i="133" s="1"/>
  <c r="E70" i="133"/>
  <c r="D70" i="133"/>
  <c r="D75" i="133" s="1"/>
  <c r="D77" i="133" s="1"/>
  <c r="C70" i="133"/>
  <c r="C75" i="133" s="1"/>
  <c r="C77" i="133" s="1"/>
  <c r="B70" i="133"/>
  <c r="B75" i="133" s="1"/>
  <c r="B77" i="133" s="1"/>
  <c r="V69" i="133"/>
  <c r="V68" i="133"/>
  <c r="V67" i="133"/>
  <c r="V66" i="133"/>
  <c r="V65" i="133"/>
  <c r="V64" i="133"/>
  <c r="V63" i="133"/>
  <c r="Q54" i="133"/>
  <c r="P54" i="133"/>
  <c r="O54" i="133"/>
  <c r="N54" i="133"/>
  <c r="M54" i="133"/>
  <c r="F54" i="133"/>
  <c r="E54" i="133"/>
  <c r="D54" i="133"/>
  <c r="C54" i="133"/>
  <c r="B54" i="133"/>
  <c r="Q53" i="133"/>
  <c r="P53" i="133"/>
  <c r="O53" i="133"/>
  <c r="N53" i="133"/>
  <c r="M53" i="133"/>
  <c r="F53" i="133"/>
  <c r="E53" i="133"/>
  <c r="D53" i="133"/>
  <c r="C53" i="133"/>
  <c r="B53" i="133"/>
  <c r="R52" i="133"/>
  <c r="G52" i="133"/>
  <c r="Q50" i="133"/>
  <c r="Q55" i="133" s="1"/>
  <c r="Q57" i="133" s="1"/>
  <c r="P50" i="133"/>
  <c r="O50" i="133"/>
  <c r="O55" i="133" s="1"/>
  <c r="O57" i="133" s="1"/>
  <c r="N50" i="133"/>
  <c r="N55" i="133" s="1"/>
  <c r="N57" i="133" s="1"/>
  <c r="M50" i="133"/>
  <c r="M55" i="133" s="1"/>
  <c r="M57" i="133" s="1"/>
  <c r="F50" i="133"/>
  <c r="F55" i="133" s="1"/>
  <c r="F57" i="133" s="1"/>
  <c r="E50" i="133"/>
  <c r="E55" i="133" s="1"/>
  <c r="E57" i="133" s="1"/>
  <c r="D50" i="133"/>
  <c r="D55" i="133" s="1"/>
  <c r="D57" i="133" s="1"/>
  <c r="C50" i="133"/>
  <c r="B50" i="133"/>
  <c r="R49" i="133"/>
  <c r="G49" i="133"/>
  <c r="R48" i="133"/>
  <c r="G48" i="133"/>
  <c r="R47" i="133"/>
  <c r="G47" i="133"/>
  <c r="R46" i="133"/>
  <c r="G46" i="133"/>
  <c r="R45" i="133"/>
  <c r="G45" i="133"/>
  <c r="R44" i="133"/>
  <c r="G44" i="133"/>
  <c r="R43" i="133"/>
  <c r="G43" i="133"/>
  <c r="K35" i="133"/>
  <c r="J35" i="133" s="1"/>
  <c r="D35" i="133"/>
  <c r="C35" i="133" s="1"/>
  <c r="N34" i="133"/>
  <c r="N29" i="133" s="1"/>
  <c r="M34" i="133"/>
  <c r="M29" i="133" s="1"/>
  <c r="L34" i="133"/>
  <c r="L29" i="133" s="1"/>
  <c r="K34" i="133"/>
  <c r="K29" i="133" s="1"/>
  <c r="J34" i="133"/>
  <c r="J29" i="133" s="1"/>
  <c r="G34" i="133"/>
  <c r="G29" i="133" s="1"/>
  <c r="F34" i="133"/>
  <c r="F29" i="133" s="1"/>
  <c r="E34" i="133"/>
  <c r="E29" i="133" s="1"/>
  <c r="D34" i="133"/>
  <c r="D29" i="133" s="1"/>
  <c r="C34" i="133"/>
  <c r="C29" i="133" s="1"/>
  <c r="Y30" i="133"/>
  <c r="X30" i="133"/>
  <c r="W30" i="133"/>
  <c r="V30" i="133"/>
  <c r="U30" i="133"/>
  <c r="T30" i="133"/>
  <c r="S30" i="133"/>
  <c r="R30" i="133"/>
  <c r="Q30" i="133"/>
  <c r="P30" i="133"/>
  <c r="Y29" i="133"/>
  <c r="X29" i="133"/>
  <c r="W29" i="133"/>
  <c r="V29" i="133"/>
  <c r="U29" i="133"/>
  <c r="T29" i="133"/>
  <c r="S29" i="133"/>
  <c r="R29" i="133"/>
  <c r="Q29" i="133"/>
  <c r="P29" i="133"/>
  <c r="Z28" i="133"/>
  <c r="Y26" i="133"/>
  <c r="Y31" i="133" s="1"/>
  <c r="Y33" i="133" s="1"/>
  <c r="X26" i="133"/>
  <c r="X31" i="133" s="1"/>
  <c r="X33" i="133" s="1"/>
  <c r="W26" i="133"/>
  <c r="W31" i="133" s="1"/>
  <c r="W33" i="133" s="1"/>
  <c r="V26" i="133"/>
  <c r="V31" i="133" s="1"/>
  <c r="V33" i="133" s="1"/>
  <c r="U26" i="133"/>
  <c r="U31" i="133" s="1"/>
  <c r="U33" i="133" s="1"/>
  <c r="T26" i="133"/>
  <c r="T31" i="133" s="1"/>
  <c r="T33" i="133" s="1"/>
  <c r="S26" i="133"/>
  <c r="S31" i="133" s="1"/>
  <c r="S33" i="133" s="1"/>
  <c r="R26" i="133"/>
  <c r="R31" i="133" s="1"/>
  <c r="R33" i="133" s="1"/>
  <c r="Q26" i="133"/>
  <c r="Q31" i="133" s="1"/>
  <c r="Q33" i="133" s="1"/>
  <c r="P26" i="133"/>
  <c r="P31" i="133" s="1"/>
  <c r="P33" i="133" s="1"/>
  <c r="N26" i="133"/>
  <c r="N31" i="133" s="1"/>
  <c r="M26" i="133"/>
  <c r="M31" i="133" s="1"/>
  <c r="L26" i="133"/>
  <c r="L31" i="133" s="1"/>
  <c r="K26" i="133"/>
  <c r="K31" i="133" s="1"/>
  <c r="J26" i="133"/>
  <c r="J31" i="133" s="1"/>
  <c r="G26" i="133"/>
  <c r="G31" i="133" s="1"/>
  <c r="F26" i="133"/>
  <c r="F31" i="133" s="1"/>
  <c r="E26" i="133"/>
  <c r="E31" i="133" s="1"/>
  <c r="D26" i="133"/>
  <c r="D31" i="133" s="1"/>
  <c r="C26" i="133"/>
  <c r="C31" i="133" s="1"/>
  <c r="Z25" i="133"/>
  <c r="Z24" i="133"/>
  <c r="Z23" i="133"/>
  <c r="Z22" i="133"/>
  <c r="Z21" i="133"/>
  <c r="H26" i="133" l="1"/>
  <c r="O26" i="133"/>
  <c r="P56" i="133"/>
  <c r="T32" i="133"/>
  <c r="C56" i="133"/>
  <c r="F76" i="133"/>
  <c r="N76" i="133"/>
  <c r="I76" i="133"/>
  <c r="Q76" i="133"/>
  <c r="J76" i="133"/>
  <c r="K76" i="133"/>
  <c r="V70" i="133"/>
  <c r="V73" i="133" s="1"/>
  <c r="D76" i="133"/>
  <c r="L76" i="133"/>
  <c r="T76" i="133"/>
  <c r="C76" i="133"/>
  <c r="S76" i="133"/>
  <c r="E76" i="133"/>
  <c r="M76" i="133"/>
  <c r="U76" i="133"/>
  <c r="B76" i="133"/>
  <c r="G76" i="133"/>
  <c r="O76" i="133"/>
  <c r="R76" i="133"/>
  <c r="H76" i="133"/>
  <c r="P76" i="133"/>
  <c r="Q56" i="133"/>
  <c r="P55" i="133"/>
  <c r="P57" i="133" s="1"/>
  <c r="N56" i="133"/>
  <c r="R50" i="133"/>
  <c r="R51" i="133" s="1"/>
  <c r="M56" i="133"/>
  <c r="O56" i="133"/>
  <c r="G50" i="133"/>
  <c r="G53" i="133" s="1"/>
  <c r="D56" i="133"/>
  <c r="B55" i="133"/>
  <c r="B57" i="133" s="1"/>
  <c r="E56" i="133"/>
  <c r="C55" i="133"/>
  <c r="C57" i="133" s="1"/>
  <c r="F56" i="133"/>
  <c r="Q32" i="133"/>
  <c r="Y32" i="133"/>
  <c r="S32" i="133"/>
  <c r="U32" i="133"/>
  <c r="V32" i="133"/>
  <c r="W32" i="133"/>
  <c r="P32" i="133"/>
  <c r="X32" i="133"/>
  <c r="R32" i="133"/>
  <c r="N30" i="133"/>
  <c r="N32" i="133" s="1"/>
  <c r="N33" i="133"/>
  <c r="E33" i="133"/>
  <c r="E30" i="133"/>
  <c r="E32" i="133" s="1"/>
  <c r="F33" i="133"/>
  <c r="F30" i="133"/>
  <c r="F32" i="133" s="1"/>
  <c r="D30" i="133"/>
  <c r="D32" i="133" s="1"/>
  <c r="D33" i="133"/>
  <c r="G30" i="133"/>
  <c r="G32" i="133" s="1"/>
  <c r="G33" i="133"/>
  <c r="J33" i="133"/>
  <c r="J30" i="133"/>
  <c r="J32" i="133" s="1"/>
  <c r="K30" i="133"/>
  <c r="K32" i="133" s="1"/>
  <c r="K33" i="133"/>
  <c r="L33" i="133"/>
  <c r="L30" i="133"/>
  <c r="L32" i="133" s="1"/>
  <c r="C33" i="133"/>
  <c r="C30" i="133"/>
  <c r="C32" i="133" s="1"/>
  <c r="M30" i="133"/>
  <c r="M32" i="133" s="1"/>
  <c r="M33" i="133"/>
  <c r="E75" i="133"/>
  <c r="E77" i="133" s="1"/>
  <c r="Z19" i="133"/>
  <c r="Z20" i="133"/>
  <c r="B56" i="133"/>
  <c r="V71" i="133" l="1"/>
  <c r="R53" i="133"/>
  <c r="G51" i="133"/>
  <c r="Z26" i="133"/>
  <c r="Z27" i="133" s="1"/>
  <c r="O25" i="132" l="1"/>
  <c r="H25" i="132"/>
  <c r="O24" i="132" l="1"/>
  <c r="H24" i="132"/>
  <c r="O23" i="132" l="1"/>
  <c r="H23" i="132"/>
  <c r="O22" i="132" l="1"/>
  <c r="H22" i="132"/>
  <c r="B73" i="132" l="1"/>
  <c r="O21" i="132" l="1"/>
  <c r="H21" i="132"/>
  <c r="C34" i="132" l="1"/>
  <c r="C29" i="132" s="1"/>
  <c r="O20" i="132"/>
  <c r="H20" i="132"/>
  <c r="O19" i="132"/>
  <c r="H19" i="132"/>
  <c r="U74" i="132"/>
  <c r="T74" i="132"/>
  <c r="S74" i="132"/>
  <c r="R74" i="132"/>
  <c r="Q74" i="132"/>
  <c r="P74" i="132"/>
  <c r="O74" i="132"/>
  <c r="N74" i="132"/>
  <c r="M74" i="132"/>
  <c r="L74" i="132"/>
  <c r="K74" i="132"/>
  <c r="J74" i="132"/>
  <c r="I74" i="132"/>
  <c r="H74" i="132"/>
  <c r="G74" i="132"/>
  <c r="F74" i="132"/>
  <c r="E74" i="132"/>
  <c r="D74" i="132"/>
  <c r="C74" i="132"/>
  <c r="B74" i="132"/>
  <c r="U73" i="132"/>
  <c r="T73" i="132"/>
  <c r="S73" i="132"/>
  <c r="R73" i="132"/>
  <c r="Q73" i="132"/>
  <c r="P73" i="132"/>
  <c r="O73" i="132"/>
  <c r="N73" i="132"/>
  <c r="M73" i="132"/>
  <c r="L73" i="132"/>
  <c r="K73" i="132"/>
  <c r="J73" i="132"/>
  <c r="I73" i="132"/>
  <c r="H73" i="132"/>
  <c r="G73" i="132"/>
  <c r="F73" i="132"/>
  <c r="E73" i="132"/>
  <c r="D73" i="132"/>
  <c r="C73" i="132"/>
  <c r="V72" i="132"/>
  <c r="U70" i="132"/>
  <c r="U75" i="132" s="1"/>
  <c r="U77" i="132" s="1"/>
  <c r="T70" i="132"/>
  <c r="T75" i="132" s="1"/>
  <c r="T77" i="132" s="1"/>
  <c r="S70" i="132"/>
  <c r="S75" i="132" s="1"/>
  <c r="S77" i="132" s="1"/>
  <c r="R70" i="132"/>
  <c r="R75" i="132" s="1"/>
  <c r="R77" i="132" s="1"/>
  <c r="Q70" i="132"/>
  <c r="Q75" i="132" s="1"/>
  <c r="Q77" i="132" s="1"/>
  <c r="P70" i="132"/>
  <c r="P75" i="132" s="1"/>
  <c r="P77" i="132" s="1"/>
  <c r="O70" i="132"/>
  <c r="O75" i="132" s="1"/>
  <c r="O77" i="132" s="1"/>
  <c r="N70" i="132"/>
  <c r="N75" i="132" s="1"/>
  <c r="N77" i="132" s="1"/>
  <c r="M70" i="132"/>
  <c r="M75" i="132" s="1"/>
  <c r="M77" i="132" s="1"/>
  <c r="L70" i="132"/>
  <c r="L75" i="132" s="1"/>
  <c r="L77" i="132" s="1"/>
  <c r="K70" i="132"/>
  <c r="K75" i="132" s="1"/>
  <c r="K77" i="132" s="1"/>
  <c r="J70" i="132"/>
  <c r="J75" i="132" s="1"/>
  <c r="J77" i="132" s="1"/>
  <c r="I70" i="132"/>
  <c r="I75" i="132" s="1"/>
  <c r="I77" i="132" s="1"/>
  <c r="H70" i="132"/>
  <c r="H75" i="132" s="1"/>
  <c r="H77" i="132" s="1"/>
  <c r="G70" i="132"/>
  <c r="G75" i="132" s="1"/>
  <c r="G77" i="132" s="1"/>
  <c r="F70" i="132"/>
  <c r="F75" i="132" s="1"/>
  <c r="F77" i="132" s="1"/>
  <c r="E70" i="132"/>
  <c r="E75" i="132" s="1"/>
  <c r="E77" i="132" s="1"/>
  <c r="D70" i="132"/>
  <c r="D75" i="132" s="1"/>
  <c r="D77" i="132" s="1"/>
  <c r="C70" i="132"/>
  <c r="C75" i="132" s="1"/>
  <c r="C77" i="132" s="1"/>
  <c r="B70" i="132"/>
  <c r="B75" i="132" s="1"/>
  <c r="B77" i="132" s="1"/>
  <c r="V69" i="132"/>
  <c r="V68" i="132"/>
  <c r="V67" i="132"/>
  <c r="V66" i="132"/>
  <c r="V65" i="132"/>
  <c r="V64" i="132"/>
  <c r="V63" i="132"/>
  <c r="Q54" i="132"/>
  <c r="P54" i="132"/>
  <c r="O54" i="132"/>
  <c r="N54" i="132"/>
  <c r="M54" i="132"/>
  <c r="F54" i="132"/>
  <c r="E54" i="132"/>
  <c r="D54" i="132"/>
  <c r="C54" i="132"/>
  <c r="B54" i="132"/>
  <c r="Q53" i="132"/>
  <c r="P53" i="132"/>
  <c r="O53" i="132"/>
  <c r="N53" i="132"/>
  <c r="M53" i="132"/>
  <c r="F53" i="132"/>
  <c r="E53" i="132"/>
  <c r="D53" i="132"/>
  <c r="C53" i="132"/>
  <c r="B53" i="132"/>
  <c r="R52" i="132"/>
  <c r="G52" i="132"/>
  <c r="Q50" i="132"/>
  <c r="Q55" i="132" s="1"/>
  <c r="Q57" i="132" s="1"/>
  <c r="P50" i="132"/>
  <c r="P55" i="132" s="1"/>
  <c r="P57" i="132" s="1"/>
  <c r="O50" i="132"/>
  <c r="N50" i="132"/>
  <c r="N55" i="132" s="1"/>
  <c r="N57" i="132" s="1"/>
  <c r="M50" i="132"/>
  <c r="F50" i="132"/>
  <c r="E50" i="132"/>
  <c r="E55" i="132" s="1"/>
  <c r="E57" i="132" s="1"/>
  <c r="D50" i="132"/>
  <c r="D55" i="132" s="1"/>
  <c r="D57" i="132" s="1"/>
  <c r="C50" i="132"/>
  <c r="C55" i="132" s="1"/>
  <c r="C57" i="132" s="1"/>
  <c r="B50" i="132"/>
  <c r="B55" i="132" s="1"/>
  <c r="B57" i="132" s="1"/>
  <c r="R49" i="132"/>
  <c r="G49" i="132"/>
  <c r="R48" i="132"/>
  <c r="G48" i="132"/>
  <c r="R47" i="132"/>
  <c r="G47" i="132"/>
  <c r="R46" i="132"/>
  <c r="G46" i="132"/>
  <c r="R45" i="132"/>
  <c r="G45" i="132"/>
  <c r="R44" i="132"/>
  <c r="G44" i="132"/>
  <c r="R43" i="132"/>
  <c r="G43" i="132"/>
  <c r="K35" i="132"/>
  <c r="J35" i="132" s="1"/>
  <c r="D35" i="132"/>
  <c r="C35" i="132" s="1"/>
  <c r="N34" i="132"/>
  <c r="N29" i="132" s="1"/>
  <c r="M34" i="132"/>
  <c r="M29" i="132" s="1"/>
  <c r="L34" i="132"/>
  <c r="L29" i="132" s="1"/>
  <c r="K34" i="132"/>
  <c r="K29" i="132" s="1"/>
  <c r="J34" i="132"/>
  <c r="J29" i="132" s="1"/>
  <c r="G34" i="132"/>
  <c r="G29" i="132" s="1"/>
  <c r="F34" i="132"/>
  <c r="F29" i="132" s="1"/>
  <c r="E34" i="132"/>
  <c r="E29" i="132" s="1"/>
  <c r="D34" i="132"/>
  <c r="D29" i="132" s="1"/>
  <c r="Y30" i="132"/>
  <c r="X30" i="132"/>
  <c r="W30" i="132"/>
  <c r="V30" i="132"/>
  <c r="U30" i="132"/>
  <c r="T30" i="132"/>
  <c r="S30" i="132"/>
  <c r="R30" i="132"/>
  <c r="Q30" i="132"/>
  <c r="P30" i="132"/>
  <c r="Y29" i="132"/>
  <c r="X29" i="132"/>
  <c r="W29" i="132"/>
  <c r="V29" i="132"/>
  <c r="U29" i="132"/>
  <c r="T29" i="132"/>
  <c r="S29" i="132"/>
  <c r="R29" i="132"/>
  <c r="Q29" i="132"/>
  <c r="P29" i="132"/>
  <c r="Z28" i="132"/>
  <c r="Y26" i="132"/>
  <c r="Y31" i="132" s="1"/>
  <c r="Y33" i="132" s="1"/>
  <c r="X26" i="132"/>
  <c r="X31" i="132" s="1"/>
  <c r="X33" i="132" s="1"/>
  <c r="W26" i="132"/>
  <c r="W31" i="132" s="1"/>
  <c r="W33" i="132" s="1"/>
  <c r="V26" i="132"/>
  <c r="V31" i="132" s="1"/>
  <c r="V33" i="132" s="1"/>
  <c r="U26" i="132"/>
  <c r="U31" i="132" s="1"/>
  <c r="U33" i="132" s="1"/>
  <c r="T26" i="132"/>
  <c r="T31" i="132" s="1"/>
  <c r="T33" i="132" s="1"/>
  <c r="S26" i="132"/>
  <c r="S31" i="132" s="1"/>
  <c r="S33" i="132" s="1"/>
  <c r="R26" i="132"/>
  <c r="R31" i="132" s="1"/>
  <c r="R33" i="132" s="1"/>
  <c r="Q26" i="132"/>
  <c r="Q31" i="132" s="1"/>
  <c r="Q33" i="132" s="1"/>
  <c r="P26" i="132"/>
  <c r="P31" i="132" s="1"/>
  <c r="P33" i="132" s="1"/>
  <c r="N26" i="132"/>
  <c r="N31" i="132" s="1"/>
  <c r="M26" i="132"/>
  <c r="M31" i="132" s="1"/>
  <c r="L26" i="132"/>
  <c r="L31" i="132" s="1"/>
  <c r="K26" i="132"/>
  <c r="K31" i="132" s="1"/>
  <c r="J26" i="132"/>
  <c r="J31" i="132" s="1"/>
  <c r="G26" i="132"/>
  <c r="G31" i="132" s="1"/>
  <c r="F26" i="132"/>
  <c r="F31" i="132" s="1"/>
  <c r="E26" i="132"/>
  <c r="E31" i="132" s="1"/>
  <c r="D26" i="132"/>
  <c r="D31" i="132" s="1"/>
  <c r="C26" i="132"/>
  <c r="C31" i="132" s="1"/>
  <c r="C30" i="132" s="1"/>
  <c r="Z25" i="132"/>
  <c r="Z24" i="132"/>
  <c r="Z23" i="132"/>
  <c r="Z22" i="132"/>
  <c r="Z21" i="132"/>
  <c r="O26" i="132" l="1"/>
  <c r="M56" i="132"/>
  <c r="O56" i="132"/>
  <c r="F56" i="132"/>
  <c r="D56" i="132"/>
  <c r="N76" i="132"/>
  <c r="R76" i="132"/>
  <c r="I76" i="132"/>
  <c r="Q76" i="132"/>
  <c r="D76" i="132"/>
  <c r="L76" i="132"/>
  <c r="T76" i="132"/>
  <c r="O55" i="132"/>
  <c r="O57" i="132" s="1"/>
  <c r="N56" i="132"/>
  <c r="C56" i="132"/>
  <c r="Z19" i="132"/>
  <c r="H26" i="132"/>
  <c r="X32" i="132"/>
  <c r="Y32" i="132"/>
  <c r="S32" i="132"/>
  <c r="T32" i="132"/>
  <c r="P32" i="132"/>
  <c r="Q32" i="132"/>
  <c r="G76" i="132"/>
  <c r="O76" i="132"/>
  <c r="F76" i="132"/>
  <c r="H76" i="132"/>
  <c r="P76" i="132"/>
  <c r="B76" i="132"/>
  <c r="J76" i="132"/>
  <c r="C76" i="132"/>
  <c r="K76" i="132"/>
  <c r="S76" i="132"/>
  <c r="E76" i="132"/>
  <c r="M76" i="132"/>
  <c r="U76" i="132"/>
  <c r="R50" i="132"/>
  <c r="R51" i="132" s="1"/>
  <c r="P56" i="132"/>
  <c r="Q56" i="132"/>
  <c r="G50" i="132"/>
  <c r="G53" i="132" s="1"/>
  <c r="B56" i="132"/>
  <c r="E56" i="132"/>
  <c r="G33" i="132"/>
  <c r="F33" i="132"/>
  <c r="F30" i="132"/>
  <c r="F32" i="132" s="1"/>
  <c r="R32" i="132"/>
  <c r="U32" i="132"/>
  <c r="V32" i="132"/>
  <c r="W32" i="132"/>
  <c r="J33" i="132"/>
  <c r="J30" i="132"/>
  <c r="J32" i="132" s="1"/>
  <c r="K33" i="132"/>
  <c r="K30" i="132"/>
  <c r="K32" i="132" s="1"/>
  <c r="M30" i="132"/>
  <c r="M32" i="132" s="1"/>
  <c r="M33" i="132"/>
  <c r="D30" i="132"/>
  <c r="D32" i="132" s="1"/>
  <c r="D33" i="132"/>
  <c r="L30" i="132"/>
  <c r="L32" i="132" s="1"/>
  <c r="L33" i="132"/>
  <c r="C32" i="132"/>
  <c r="C33" i="132"/>
  <c r="N30" i="132"/>
  <c r="N32" i="132" s="1"/>
  <c r="N33" i="132"/>
  <c r="E33" i="132"/>
  <c r="E30" i="132"/>
  <c r="E32" i="132" s="1"/>
  <c r="Z20" i="132"/>
  <c r="G30" i="132"/>
  <c r="G32" i="132" s="1"/>
  <c r="F55" i="132"/>
  <c r="F57" i="132" s="1"/>
  <c r="V70" i="132"/>
  <c r="M55" i="132"/>
  <c r="M57" i="132" s="1"/>
  <c r="Z26" i="132" l="1"/>
  <c r="Z27" i="132" s="1"/>
  <c r="G51" i="132"/>
  <c r="R53" i="132"/>
  <c r="V73" i="132"/>
  <c r="V71" i="132"/>
  <c r="O50" i="131" l="1"/>
  <c r="O25" i="131"/>
  <c r="H25" i="131"/>
  <c r="O24" i="131" l="1"/>
  <c r="H24" i="131"/>
  <c r="B73" i="131" l="1"/>
  <c r="O23" i="131"/>
  <c r="H23" i="131"/>
  <c r="O22" i="131" l="1"/>
  <c r="H22" i="131"/>
  <c r="O21" i="131" l="1"/>
  <c r="H21" i="131"/>
  <c r="P53" i="131" l="1"/>
  <c r="C53" i="131" l="1"/>
  <c r="D53" i="131"/>
  <c r="E53" i="131"/>
  <c r="F53" i="131"/>
  <c r="B53" i="131"/>
  <c r="B53" i="130" l="1"/>
  <c r="O20" i="131"/>
  <c r="H20" i="131"/>
  <c r="N26" i="131"/>
  <c r="N31" i="131" s="1"/>
  <c r="N30" i="131" s="1"/>
  <c r="N32" i="131" s="1"/>
  <c r="G26" i="131"/>
  <c r="G31" i="131" s="1"/>
  <c r="H19" i="131"/>
  <c r="O19" i="131"/>
  <c r="U74" i="131"/>
  <c r="T74" i="131"/>
  <c r="S74" i="131"/>
  <c r="R74" i="131"/>
  <c r="Q74" i="131"/>
  <c r="P74" i="131"/>
  <c r="O74" i="131"/>
  <c r="N74" i="131"/>
  <c r="M74" i="131"/>
  <c r="L74" i="131"/>
  <c r="K74" i="131"/>
  <c r="J74" i="131"/>
  <c r="I74" i="131"/>
  <c r="H74" i="131"/>
  <c r="G74" i="131"/>
  <c r="F74" i="131"/>
  <c r="E74" i="131"/>
  <c r="D74" i="131"/>
  <c r="C74" i="131"/>
  <c r="B74" i="131"/>
  <c r="U73" i="131"/>
  <c r="T73" i="131"/>
  <c r="S73" i="131"/>
  <c r="R73" i="131"/>
  <c r="Q73" i="131"/>
  <c r="P73" i="131"/>
  <c r="O73" i="131"/>
  <c r="N73" i="131"/>
  <c r="M73" i="131"/>
  <c r="L73" i="131"/>
  <c r="K73" i="131"/>
  <c r="J73" i="131"/>
  <c r="I73" i="131"/>
  <c r="H73" i="131"/>
  <c r="G73" i="131"/>
  <c r="F73" i="131"/>
  <c r="E73" i="131"/>
  <c r="D73" i="131"/>
  <c r="C73" i="131"/>
  <c r="V72" i="131"/>
  <c r="U70" i="131"/>
  <c r="U75" i="131" s="1"/>
  <c r="U77" i="131" s="1"/>
  <c r="T70" i="131"/>
  <c r="T75" i="131" s="1"/>
  <c r="T77" i="131" s="1"/>
  <c r="S70" i="131"/>
  <c r="S75" i="131" s="1"/>
  <c r="S77" i="131" s="1"/>
  <c r="R70" i="131"/>
  <c r="R75" i="131" s="1"/>
  <c r="R77" i="131" s="1"/>
  <c r="Q70" i="131"/>
  <c r="Q75" i="131" s="1"/>
  <c r="Q77" i="131" s="1"/>
  <c r="P70" i="131"/>
  <c r="P75" i="131" s="1"/>
  <c r="P77" i="131" s="1"/>
  <c r="O70" i="131"/>
  <c r="O75" i="131" s="1"/>
  <c r="O77" i="131" s="1"/>
  <c r="N70" i="131"/>
  <c r="N75" i="131" s="1"/>
  <c r="N77" i="131" s="1"/>
  <c r="M70" i="131"/>
  <c r="M75" i="131" s="1"/>
  <c r="M77" i="131" s="1"/>
  <c r="L70" i="131"/>
  <c r="L75" i="131" s="1"/>
  <c r="L77" i="131" s="1"/>
  <c r="K70" i="131"/>
  <c r="K75" i="131" s="1"/>
  <c r="K77" i="131" s="1"/>
  <c r="J70" i="131"/>
  <c r="J75" i="131" s="1"/>
  <c r="J77" i="131" s="1"/>
  <c r="I70" i="131"/>
  <c r="I75" i="131" s="1"/>
  <c r="I77" i="131" s="1"/>
  <c r="H70" i="131"/>
  <c r="H75" i="131" s="1"/>
  <c r="H77" i="131" s="1"/>
  <c r="G70" i="131"/>
  <c r="G75" i="131" s="1"/>
  <c r="G77" i="131" s="1"/>
  <c r="F70" i="131"/>
  <c r="F75" i="131" s="1"/>
  <c r="F77" i="131" s="1"/>
  <c r="E70" i="131"/>
  <c r="E75" i="131" s="1"/>
  <c r="E77" i="131" s="1"/>
  <c r="D70" i="131"/>
  <c r="D75" i="131" s="1"/>
  <c r="D77" i="131" s="1"/>
  <c r="C70" i="131"/>
  <c r="C75" i="131" s="1"/>
  <c r="C77" i="131" s="1"/>
  <c r="B70" i="131"/>
  <c r="B75" i="131" s="1"/>
  <c r="B77" i="131" s="1"/>
  <c r="V69" i="131"/>
  <c r="V68" i="131"/>
  <c r="V67" i="131"/>
  <c r="V66" i="131"/>
  <c r="V65" i="131"/>
  <c r="V64" i="131"/>
  <c r="V63" i="131"/>
  <c r="Q54" i="131"/>
  <c r="P54" i="131"/>
  <c r="O54" i="131"/>
  <c r="N54" i="131"/>
  <c r="M54" i="131"/>
  <c r="F54" i="131"/>
  <c r="E54" i="131"/>
  <c r="D54" i="131"/>
  <c r="C54" i="131"/>
  <c r="B54" i="131"/>
  <c r="Q53" i="131"/>
  <c r="O53" i="131"/>
  <c r="N53" i="131"/>
  <c r="M53" i="131"/>
  <c r="R52" i="131"/>
  <c r="G52" i="131"/>
  <c r="Q50" i="131"/>
  <c r="Q55" i="131" s="1"/>
  <c r="Q57" i="131" s="1"/>
  <c r="P50" i="131"/>
  <c r="P55" i="131" s="1"/>
  <c r="P57" i="131" s="1"/>
  <c r="O55" i="131"/>
  <c r="O57" i="131" s="1"/>
  <c r="N50" i="131"/>
  <c r="N55" i="131" s="1"/>
  <c r="N57" i="131" s="1"/>
  <c r="M50" i="131"/>
  <c r="M55" i="131" s="1"/>
  <c r="M57" i="131" s="1"/>
  <c r="F50" i="131"/>
  <c r="E50" i="131"/>
  <c r="E55" i="131" s="1"/>
  <c r="E57" i="131" s="1"/>
  <c r="D50" i="131"/>
  <c r="D55" i="131" s="1"/>
  <c r="D57" i="131" s="1"/>
  <c r="C50" i="131"/>
  <c r="B50" i="131"/>
  <c r="B55" i="131" s="1"/>
  <c r="B57" i="131" s="1"/>
  <c r="R49" i="131"/>
  <c r="G49" i="131"/>
  <c r="R48" i="131"/>
  <c r="G48" i="131"/>
  <c r="R47" i="131"/>
  <c r="G47" i="131"/>
  <c r="R46" i="131"/>
  <c r="G46" i="131"/>
  <c r="R45" i="131"/>
  <c r="G45" i="131"/>
  <c r="R44" i="131"/>
  <c r="G44" i="131"/>
  <c r="R43" i="131"/>
  <c r="G43" i="131"/>
  <c r="K35" i="131"/>
  <c r="J35" i="131" s="1"/>
  <c r="D35" i="131"/>
  <c r="C35" i="131" s="1"/>
  <c r="N34" i="131"/>
  <c r="N29" i="131" s="1"/>
  <c r="M34" i="131"/>
  <c r="M29" i="131" s="1"/>
  <c r="L34" i="131"/>
  <c r="L29" i="131" s="1"/>
  <c r="K34" i="131"/>
  <c r="K29" i="131" s="1"/>
  <c r="J34" i="131"/>
  <c r="J29" i="131" s="1"/>
  <c r="G34" i="131"/>
  <c r="G29" i="131" s="1"/>
  <c r="F34" i="131"/>
  <c r="F29" i="131" s="1"/>
  <c r="E34" i="131"/>
  <c r="E29" i="131" s="1"/>
  <c r="D34" i="131"/>
  <c r="D29" i="131" s="1"/>
  <c r="C34" i="131"/>
  <c r="C29" i="131" s="1"/>
  <c r="Y30" i="131"/>
  <c r="X30" i="131"/>
  <c r="W30" i="131"/>
  <c r="V30" i="131"/>
  <c r="U30" i="131"/>
  <c r="T30" i="131"/>
  <c r="S30" i="131"/>
  <c r="R30" i="131"/>
  <c r="Q30" i="131"/>
  <c r="P30" i="131"/>
  <c r="Y29" i="131"/>
  <c r="X29" i="131"/>
  <c r="W29" i="131"/>
  <c r="V29" i="131"/>
  <c r="U29" i="131"/>
  <c r="T29" i="131"/>
  <c r="S29" i="131"/>
  <c r="R29" i="131"/>
  <c r="Q29" i="131"/>
  <c r="P29" i="131"/>
  <c r="Z28" i="131"/>
  <c r="Y26" i="131"/>
  <c r="Y31" i="131" s="1"/>
  <c r="Y33" i="131" s="1"/>
  <c r="X26" i="131"/>
  <c r="X31" i="131" s="1"/>
  <c r="X33" i="131" s="1"/>
  <c r="W26" i="131"/>
  <c r="W31" i="131" s="1"/>
  <c r="W33" i="131" s="1"/>
  <c r="V26" i="131"/>
  <c r="V31" i="131" s="1"/>
  <c r="V33" i="131" s="1"/>
  <c r="U26" i="131"/>
  <c r="U31" i="131" s="1"/>
  <c r="U33" i="131" s="1"/>
  <c r="T26" i="131"/>
  <c r="S26" i="131"/>
  <c r="S31" i="131" s="1"/>
  <c r="S33" i="131" s="1"/>
  <c r="R26" i="131"/>
  <c r="R31" i="131" s="1"/>
  <c r="R33" i="131" s="1"/>
  <c r="Q26" i="131"/>
  <c r="Q31" i="131" s="1"/>
  <c r="Q33" i="131" s="1"/>
  <c r="P26" i="131"/>
  <c r="P31" i="131" s="1"/>
  <c r="P33" i="131" s="1"/>
  <c r="M26" i="131"/>
  <c r="M31" i="131" s="1"/>
  <c r="L26" i="131"/>
  <c r="L31" i="131" s="1"/>
  <c r="K26" i="131"/>
  <c r="K31" i="131" s="1"/>
  <c r="J26" i="131"/>
  <c r="J31" i="131" s="1"/>
  <c r="F26" i="131"/>
  <c r="F31" i="131" s="1"/>
  <c r="E26" i="131"/>
  <c r="E31" i="131" s="1"/>
  <c r="D26" i="131"/>
  <c r="D31" i="131" s="1"/>
  <c r="D30" i="131" s="1"/>
  <c r="D32" i="131" s="1"/>
  <c r="C26" i="131"/>
  <c r="C31" i="131" s="1"/>
  <c r="Z25" i="131"/>
  <c r="Z24" i="131"/>
  <c r="Z23" i="131"/>
  <c r="Z22" i="131"/>
  <c r="Z19" i="131" l="1"/>
  <c r="Z20" i="131"/>
  <c r="K33" i="131"/>
  <c r="C56" i="131"/>
  <c r="F56" i="131"/>
  <c r="M33" i="131"/>
  <c r="H26" i="131"/>
  <c r="T32" i="131"/>
  <c r="L33" i="131"/>
  <c r="J33" i="131"/>
  <c r="O26" i="131"/>
  <c r="Q32" i="131"/>
  <c r="Y32" i="131"/>
  <c r="S32" i="131"/>
  <c r="T31" i="131"/>
  <c r="T33" i="131" s="1"/>
  <c r="F76" i="131"/>
  <c r="N76" i="131"/>
  <c r="E76" i="131"/>
  <c r="M76" i="131"/>
  <c r="L76" i="131"/>
  <c r="C76" i="131"/>
  <c r="K76" i="131"/>
  <c r="S76" i="131"/>
  <c r="T76" i="131"/>
  <c r="D76" i="131"/>
  <c r="U76" i="131"/>
  <c r="G76" i="131"/>
  <c r="O76" i="131"/>
  <c r="N56" i="131"/>
  <c r="O56" i="131"/>
  <c r="R50" i="131"/>
  <c r="R51" i="131" s="1"/>
  <c r="M56" i="131"/>
  <c r="F55" i="131"/>
  <c r="F57" i="131" s="1"/>
  <c r="B56" i="131"/>
  <c r="D56" i="131"/>
  <c r="E56" i="131"/>
  <c r="V32" i="131"/>
  <c r="C33" i="131"/>
  <c r="C30" i="131"/>
  <c r="C32" i="131" s="1"/>
  <c r="R32" i="131"/>
  <c r="U32" i="131"/>
  <c r="L30" i="131"/>
  <c r="L32" i="131" s="1"/>
  <c r="W32" i="131"/>
  <c r="P32" i="131"/>
  <c r="X32" i="131"/>
  <c r="E30" i="131"/>
  <c r="E32" i="131" s="1"/>
  <c r="E33" i="131"/>
  <c r="F30" i="131"/>
  <c r="F32" i="131" s="1"/>
  <c r="F33" i="131"/>
  <c r="M30" i="131"/>
  <c r="M32" i="131" s="1"/>
  <c r="G30" i="131"/>
  <c r="G32" i="131" s="1"/>
  <c r="G33" i="131"/>
  <c r="P56" i="131"/>
  <c r="V70" i="131"/>
  <c r="Q76" i="131"/>
  <c r="Z21" i="131"/>
  <c r="C55" i="131"/>
  <c r="C57" i="131" s="1"/>
  <c r="G50" i="131"/>
  <c r="B76" i="131"/>
  <c r="R76" i="131"/>
  <c r="J30" i="131"/>
  <c r="J32" i="131" s="1"/>
  <c r="Q56" i="131"/>
  <c r="H76" i="131"/>
  <c r="I76" i="131"/>
  <c r="J76" i="131"/>
  <c r="K30" i="131"/>
  <c r="K32" i="131" s="1"/>
  <c r="D33" i="131"/>
  <c r="N33" i="131"/>
  <c r="P76" i="131"/>
  <c r="Z26" i="131" l="1"/>
  <c r="Z27" i="131" s="1"/>
  <c r="R53" i="131"/>
  <c r="G53" i="131"/>
  <c r="G51" i="131"/>
  <c r="V71" i="131"/>
  <c r="V73" i="131"/>
  <c r="O25" i="130"/>
  <c r="H25" i="130"/>
  <c r="E50" i="130" l="1"/>
  <c r="E55" i="130" s="1"/>
  <c r="E57" i="130" s="1"/>
  <c r="E53" i="130"/>
  <c r="E54" i="130"/>
  <c r="E56" i="130" l="1"/>
  <c r="O24" i="130" l="1"/>
  <c r="H24" i="130"/>
  <c r="O23" i="130" l="1"/>
  <c r="H23" i="130"/>
  <c r="Z23" i="130" l="1"/>
  <c r="H22" i="130"/>
  <c r="H21" i="130"/>
  <c r="H20" i="130"/>
  <c r="H19" i="130"/>
  <c r="O20" i="130"/>
  <c r="O21" i="130"/>
  <c r="O22" i="130"/>
  <c r="O19" i="130"/>
  <c r="K35" i="130" l="1"/>
  <c r="J35" i="130" s="1"/>
  <c r="D35" i="130"/>
  <c r="C35" i="130" s="1"/>
  <c r="R46" i="130" l="1"/>
  <c r="R47" i="130"/>
  <c r="R48" i="130"/>
  <c r="R49" i="130"/>
  <c r="V66" i="130"/>
  <c r="V67" i="130"/>
  <c r="V68" i="130"/>
  <c r="V69" i="130"/>
  <c r="V65" i="130"/>
  <c r="R45" i="130" l="1"/>
  <c r="Q29" i="130" l="1"/>
  <c r="R29" i="130"/>
  <c r="S29" i="130"/>
  <c r="T29" i="130"/>
  <c r="U29" i="130"/>
  <c r="V29" i="130"/>
  <c r="W29" i="130"/>
  <c r="X29" i="130"/>
  <c r="Y29" i="130"/>
  <c r="P29" i="130"/>
  <c r="K34" i="130" l="1"/>
  <c r="L34" i="130"/>
  <c r="M34" i="130"/>
  <c r="N34" i="130"/>
  <c r="J34" i="130"/>
  <c r="D34" i="130"/>
  <c r="E34" i="130"/>
  <c r="F34" i="130"/>
  <c r="G34" i="130"/>
  <c r="C34" i="130"/>
  <c r="G45" i="130" l="1"/>
  <c r="G46" i="130"/>
  <c r="G47" i="130"/>
  <c r="G48" i="130"/>
  <c r="G49" i="130"/>
  <c r="V64" i="130" l="1"/>
  <c r="V63" i="130"/>
  <c r="R44" i="130"/>
  <c r="R43" i="130"/>
  <c r="G44" i="130"/>
  <c r="G43" i="130"/>
  <c r="U74" i="130" l="1"/>
  <c r="T74" i="130"/>
  <c r="S74" i="130"/>
  <c r="R74" i="130"/>
  <c r="Q74" i="130"/>
  <c r="P74" i="130"/>
  <c r="O74" i="130"/>
  <c r="N74" i="130"/>
  <c r="M74" i="130"/>
  <c r="L74" i="130"/>
  <c r="K74" i="130"/>
  <c r="J74" i="130"/>
  <c r="I74" i="130"/>
  <c r="H74" i="130"/>
  <c r="G74" i="130"/>
  <c r="F74" i="130"/>
  <c r="E74" i="130"/>
  <c r="D74" i="130"/>
  <c r="C74" i="130"/>
  <c r="B74" i="130"/>
  <c r="U73" i="130"/>
  <c r="T73" i="130"/>
  <c r="S73" i="130"/>
  <c r="R73" i="130"/>
  <c r="Q73" i="130"/>
  <c r="P73" i="130"/>
  <c r="O73" i="130"/>
  <c r="N73" i="130"/>
  <c r="M73" i="130"/>
  <c r="L73" i="130"/>
  <c r="K73" i="130"/>
  <c r="J73" i="130"/>
  <c r="I73" i="130"/>
  <c r="H73" i="130"/>
  <c r="G73" i="130"/>
  <c r="F73" i="130"/>
  <c r="E73" i="130"/>
  <c r="D73" i="130"/>
  <c r="C73" i="130"/>
  <c r="B73" i="130"/>
  <c r="V72" i="130"/>
  <c r="U70" i="130"/>
  <c r="U75" i="130" s="1"/>
  <c r="U77" i="130" s="1"/>
  <c r="T70" i="130"/>
  <c r="T75" i="130" s="1"/>
  <c r="T77" i="130" s="1"/>
  <c r="S70" i="130"/>
  <c r="S75" i="130" s="1"/>
  <c r="S77" i="130" s="1"/>
  <c r="R70" i="130"/>
  <c r="R75" i="130" s="1"/>
  <c r="R77" i="130" s="1"/>
  <c r="Q70" i="130"/>
  <c r="Q75" i="130" s="1"/>
  <c r="Q77" i="130" s="1"/>
  <c r="P70" i="130"/>
  <c r="P75" i="130" s="1"/>
  <c r="P77" i="130" s="1"/>
  <c r="O70" i="130"/>
  <c r="O75" i="130" s="1"/>
  <c r="O77" i="130" s="1"/>
  <c r="N70" i="130"/>
  <c r="N75" i="130" s="1"/>
  <c r="N77" i="130" s="1"/>
  <c r="M70" i="130"/>
  <c r="M75" i="130" s="1"/>
  <c r="M77" i="130" s="1"/>
  <c r="L70" i="130"/>
  <c r="L75" i="130" s="1"/>
  <c r="L77" i="130" s="1"/>
  <c r="K70" i="130"/>
  <c r="K75" i="130" s="1"/>
  <c r="K77" i="130" s="1"/>
  <c r="J70" i="130"/>
  <c r="J75" i="130" s="1"/>
  <c r="J77" i="130" s="1"/>
  <c r="I70" i="130"/>
  <c r="I75" i="130" s="1"/>
  <c r="I77" i="130" s="1"/>
  <c r="H70" i="130"/>
  <c r="H75" i="130" s="1"/>
  <c r="H77" i="130" s="1"/>
  <c r="G70" i="130"/>
  <c r="G75" i="130" s="1"/>
  <c r="G77" i="130" s="1"/>
  <c r="F70" i="130"/>
  <c r="F75" i="130" s="1"/>
  <c r="F77" i="130" s="1"/>
  <c r="E70" i="130"/>
  <c r="E75" i="130" s="1"/>
  <c r="E77" i="130" s="1"/>
  <c r="D70" i="130"/>
  <c r="D75" i="130" s="1"/>
  <c r="D77" i="130" s="1"/>
  <c r="C70" i="130"/>
  <c r="C75" i="130" s="1"/>
  <c r="C77" i="130" s="1"/>
  <c r="B70" i="130"/>
  <c r="Q54" i="130"/>
  <c r="P54" i="130"/>
  <c r="O54" i="130"/>
  <c r="N54" i="130"/>
  <c r="M54" i="130"/>
  <c r="F54" i="130"/>
  <c r="D54" i="130"/>
  <c r="C54" i="130"/>
  <c r="B54" i="130"/>
  <c r="Q53" i="130"/>
  <c r="P53" i="130"/>
  <c r="O53" i="130"/>
  <c r="N53" i="130"/>
  <c r="M53" i="130"/>
  <c r="F53" i="130"/>
  <c r="D53" i="130"/>
  <c r="C53" i="130"/>
  <c r="R52" i="130"/>
  <c r="G52" i="130"/>
  <c r="Q50" i="130"/>
  <c r="P50" i="130"/>
  <c r="P55" i="130" s="1"/>
  <c r="P57" i="130" s="1"/>
  <c r="O50" i="130"/>
  <c r="O55" i="130" s="1"/>
  <c r="O57" i="130" s="1"/>
  <c r="N50" i="130"/>
  <c r="N55" i="130" s="1"/>
  <c r="N57" i="130" s="1"/>
  <c r="M50" i="130"/>
  <c r="M55" i="130" s="1"/>
  <c r="M57" i="130" s="1"/>
  <c r="F50" i="130"/>
  <c r="D50" i="130"/>
  <c r="D55" i="130" s="1"/>
  <c r="D57" i="130" s="1"/>
  <c r="C50" i="130"/>
  <c r="B50" i="130"/>
  <c r="B55" i="130" s="1"/>
  <c r="B57" i="130" s="1"/>
  <c r="R50" i="130"/>
  <c r="N29" i="130"/>
  <c r="M29" i="130"/>
  <c r="L29" i="130"/>
  <c r="K29" i="130"/>
  <c r="J29" i="130"/>
  <c r="G29" i="130"/>
  <c r="F29" i="130"/>
  <c r="E29" i="130"/>
  <c r="D29" i="130"/>
  <c r="C29" i="130"/>
  <c r="Y30" i="130"/>
  <c r="X30" i="130"/>
  <c r="W30" i="130"/>
  <c r="V30" i="130"/>
  <c r="U30" i="130"/>
  <c r="T30" i="130"/>
  <c r="S30" i="130"/>
  <c r="R30" i="130"/>
  <c r="Q30" i="130"/>
  <c r="P30" i="130"/>
  <c r="Z28" i="130"/>
  <c r="Y26" i="130"/>
  <c r="Y31" i="130" s="1"/>
  <c r="Y33" i="130" s="1"/>
  <c r="X26" i="130"/>
  <c r="X31" i="130" s="1"/>
  <c r="X33" i="130" s="1"/>
  <c r="W26" i="130"/>
  <c r="W31" i="130" s="1"/>
  <c r="W33" i="130" s="1"/>
  <c r="V26" i="130"/>
  <c r="V31" i="130" s="1"/>
  <c r="V33" i="130" s="1"/>
  <c r="U26" i="130"/>
  <c r="U31" i="130" s="1"/>
  <c r="U33" i="130" s="1"/>
  <c r="T26" i="130"/>
  <c r="T31" i="130" s="1"/>
  <c r="T33" i="130" s="1"/>
  <c r="S26" i="130"/>
  <c r="S31" i="130" s="1"/>
  <c r="S33" i="130" s="1"/>
  <c r="R26" i="130"/>
  <c r="R31" i="130" s="1"/>
  <c r="R33" i="130" s="1"/>
  <c r="Q26" i="130"/>
  <c r="Q31" i="130" s="1"/>
  <c r="Q33" i="130" s="1"/>
  <c r="P26" i="130"/>
  <c r="P31" i="130" s="1"/>
  <c r="P33" i="130" s="1"/>
  <c r="N26" i="130"/>
  <c r="N31" i="130" s="1"/>
  <c r="M26" i="130"/>
  <c r="M31" i="130" s="1"/>
  <c r="L26" i="130"/>
  <c r="L31" i="130" s="1"/>
  <c r="K26" i="130"/>
  <c r="K31" i="130" s="1"/>
  <c r="J26" i="130"/>
  <c r="J31" i="130" s="1"/>
  <c r="G26" i="130"/>
  <c r="G31" i="130" s="1"/>
  <c r="F26" i="130"/>
  <c r="F31" i="130" s="1"/>
  <c r="E26" i="130"/>
  <c r="E31" i="130" s="1"/>
  <c r="D26" i="130"/>
  <c r="D31" i="130" s="1"/>
  <c r="C26" i="130"/>
  <c r="C31" i="130" s="1"/>
  <c r="C33" i="130" s="1"/>
  <c r="Z25" i="130"/>
  <c r="O26" i="130"/>
  <c r="Z22" i="130"/>
  <c r="Z21" i="130"/>
  <c r="Z20" i="130"/>
  <c r="Z19" i="130"/>
  <c r="C56" i="130" l="1"/>
  <c r="F56" i="130"/>
  <c r="Q56" i="130"/>
  <c r="D33" i="130"/>
  <c r="E33" i="130"/>
  <c r="S32" i="130"/>
  <c r="R32" i="130"/>
  <c r="H76" i="130"/>
  <c r="P76" i="130"/>
  <c r="B76" i="130"/>
  <c r="J76" i="130"/>
  <c r="R76" i="130"/>
  <c r="D76" i="130"/>
  <c r="L76" i="130"/>
  <c r="T76" i="130"/>
  <c r="E76" i="130"/>
  <c r="M76" i="130"/>
  <c r="U76" i="130"/>
  <c r="F76" i="130"/>
  <c r="N76" i="130"/>
  <c r="G76" i="130"/>
  <c r="O76" i="130"/>
  <c r="V70" i="130"/>
  <c r="V71" i="130" s="1"/>
  <c r="I76" i="130"/>
  <c r="Q76" i="130"/>
  <c r="C76" i="130"/>
  <c r="K76" i="130"/>
  <c r="S76" i="130"/>
  <c r="M56" i="130"/>
  <c r="N56" i="130"/>
  <c r="O56" i="130"/>
  <c r="P56" i="130"/>
  <c r="F55" i="130"/>
  <c r="F57" i="130" s="1"/>
  <c r="B56" i="130"/>
  <c r="Q32" i="130"/>
  <c r="Y32" i="130"/>
  <c r="T32" i="130"/>
  <c r="U32" i="130"/>
  <c r="V32" i="130"/>
  <c r="W32" i="130"/>
  <c r="P32" i="130"/>
  <c r="X32" i="130"/>
  <c r="J30" i="130"/>
  <c r="J32" i="130" s="1"/>
  <c r="J33" i="130"/>
  <c r="R51" i="130"/>
  <c r="R53" i="130"/>
  <c r="K30" i="130"/>
  <c r="K32" i="130" s="1"/>
  <c r="K33" i="130"/>
  <c r="N33" i="130"/>
  <c r="N30" i="130"/>
  <c r="N32" i="130" s="1"/>
  <c r="F33" i="130"/>
  <c r="F30" i="130"/>
  <c r="F32" i="130" s="1"/>
  <c r="L30" i="130"/>
  <c r="L32" i="130" s="1"/>
  <c r="L33" i="130"/>
  <c r="C30" i="130"/>
  <c r="C32" i="130" s="1"/>
  <c r="M33" i="130"/>
  <c r="M30" i="130"/>
  <c r="M32" i="130" s="1"/>
  <c r="G30" i="130"/>
  <c r="G32" i="130" s="1"/>
  <c r="G33" i="130"/>
  <c r="B75" i="130"/>
  <c r="B77" i="130" s="1"/>
  <c r="H26" i="130"/>
  <c r="G50" i="130"/>
  <c r="E30" i="130"/>
  <c r="E32" i="130" s="1"/>
  <c r="C55" i="130"/>
  <c r="C57" i="130" s="1"/>
  <c r="Q55" i="130"/>
  <c r="Q57" i="130" s="1"/>
  <c r="D56" i="130"/>
  <c r="Z24" i="130"/>
  <c r="Z26" i="130" s="1"/>
  <c r="Z27" i="130" s="1"/>
  <c r="D30" i="130"/>
  <c r="D32" i="130" s="1"/>
  <c r="V73" i="130" l="1"/>
  <c r="G51" i="130"/>
  <c r="G53" i="130"/>
  <c r="K26" i="128"/>
  <c r="M53" i="128" l="1"/>
  <c r="O21" i="128" l="1"/>
  <c r="H21" i="128"/>
  <c r="C34" i="128"/>
  <c r="C29" i="128" s="1"/>
  <c r="O20" i="128"/>
  <c r="O22" i="128"/>
  <c r="O23" i="128"/>
  <c r="O24" i="128"/>
  <c r="O25" i="128"/>
  <c r="O19" i="128"/>
  <c r="H20" i="128"/>
  <c r="H22" i="128"/>
  <c r="H23" i="128"/>
  <c r="H24" i="128"/>
  <c r="H25" i="128"/>
  <c r="H19" i="128"/>
  <c r="Z21" i="128" l="1"/>
  <c r="O26" i="128"/>
  <c r="H26" i="128"/>
  <c r="U74" i="128"/>
  <c r="T74" i="128"/>
  <c r="S74" i="128"/>
  <c r="R74" i="128"/>
  <c r="Q74" i="128"/>
  <c r="P74" i="128"/>
  <c r="O74" i="128"/>
  <c r="N74" i="128"/>
  <c r="M74" i="128"/>
  <c r="L74" i="128"/>
  <c r="K74" i="128"/>
  <c r="J74" i="128"/>
  <c r="I74" i="128"/>
  <c r="H74" i="128"/>
  <c r="G74" i="128"/>
  <c r="F74" i="128"/>
  <c r="E74" i="128"/>
  <c r="D74" i="128"/>
  <c r="C74" i="128"/>
  <c r="B74" i="128"/>
  <c r="U73" i="128"/>
  <c r="T73" i="128"/>
  <c r="S73" i="128"/>
  <c r="R73" i="128"/>
  <c r="Q73" i="128"/>
  <c r="P73" i="128"/>
  <c r="O73" i="128"/>
  <c r="N73" i="128"/>
  <c r="M73" i="128"/>
  <c r="L73" i="128"/>
  <c r="K73" i="128"/>
  <c r="J73" i="128"/>
  <c r="I73" i="128"/>
  <c r="H73" i="128"/>
  <c r="G73" i="128"/>
  <c r="F73" i="128"/>
  <c r="E73" i="128"/>
  <c r="D73" i="128"/>
  <c r="C73" i="128"/>
  <c r="B73" i="128"/>
  <c r="V72" i="128"/>
  <c r="U70" i="128"/>
  <c r="U75" i="128" s="1"/>
  <c r="U77" i="128" s="1"/>
  <c r="T70" i="128"/>
  <c r="T75" i="128" s="1"/>
  <c r="T77" i="128" s="1"/>
  <c r="S70" i="128"/>
  <c r="S75" i="128" s="1"/>
  <c r="S77" i="128" s="1"/>
  <c r="R70" i="128"/>
  <c r="R75" i="128" s="1"/>
  <c r="R77" i="128" s="1"/>
  <c r="Q70" i="128"/>
  <c r="Q75" i="128" s="1"/>
  <c r="Q77" i="128" s="1"/>
  <c r="P70" i="128"/>
  <c r="P75" i="128" s="1"/>
  <c r="P77" i="128" s="1"/>
  <c r="O70" i="128"/>
  <c r="O75" i="128" s="1"/>
  <c r="O77" i="128" s="1"/>
  <c r="N70" i="128"/>
  <c r="N75" i="128" s="1"/>
  <c r="N77" i="128" s="1"/>
  <c r="M70" i="128"/>
  <c r="M75" i="128" s="1"/>
  <c r="M77" i="128" s="1"/>
  <c r="L70" i="128"/>
  <c r="L75" i="128" s="1"/>
  <c r="L77" i="128" s="1"/>
  <c r="K70" i="128"/>
  <c r="K75" i="128" s="1"/>
  <c r="K77" i="128" s="1"/>
  <c r="J70" i="128"/>
  <c r="J75" i="128" s="1"/>
  <c r="J77" i="128" s="1"/>
  <c r="I70" i="128"/>
  <c r="I75" i="128" s="1"/>
  <c r="I77" i="128" s="1"/>
  <c r="H70" i="128"/>
  <c r="H75" i="128" s="1"/>
  <c r="H77" i="128" s="1"/>
  <c r="G70" i="128"/>
  <c r="G75" i="128" s="1"/>
  <c r="G77" i="128" s="1"/>
  <c r="F70" i="128"/>
  <c r="F75" i="128" s="1"/>
  <c r="F77" i="128" s="1"/>
  <c r="E70" i="128"/>
  <c r="E75" i="128" s="1"/>
  <c r="E77" i="128" s="1"/>
  <c r="D70" i="128"/>
  <c r="D75" i="128" s="1"/>
  <c r="D77" i="128" s="1"/>
  <c r="C70" i="128"/>
  <c r="C75" i="128" s="1"/>
  <c r="C77" i="128" s="1"/>
  <c r="B70" i="128"/>
  <c r="B75" i="128" s="1"/>
  <c r="B77" i="128" s="1"/>
  <c r="V69" i="128"/>
  <c r="V68" i="128"/>
  <c r="V67" i="128"/>
  <c r="V66" i="128"/>
  <c r="V65" i="128"/>
  <c r="V64" i="128"/>
  <c r="V63" i="128"/>
  <c r="Q54" i="128"/>
  <c r="P54" i="128"/>
  <c r="O54" i="128"/>
  <c r="N54" i="128"/>
  <c r="M54" i="128"/>
  <c r="F54" i="128"/>
  <c r="E54" i="128"/>
  <c r="D54" i="128"/>
  <c r="C54" i="128"/>
  <c r="B54" i="128"/>
  <c r="Q53" i="128"/>
  <c r="P53" i="128"/>
  <c r="O53" i="128"/>
  <c r="N53" i="128"/>
  <c r="F53" i="128"/>
  <c r="E53" i="128"/>
  <c r="D53" i="128"/>
  <c r="C53" i="128"/>
  <c r="B53" i="128"/>
  <c r="R52" i="128"/>
  <c r="G52" i="128"/>
  <c r="Q50" i="128"/>
  <c r="Q55" i="128" s="1"/>
  <c r="Q57" i="128" s="1"/>
  <c r="P50" i="128"/>
  <c r="P55" i="128" s="1"/>
  <c r="P57" i="128" s="1"/>
  <c r="O50" i="128"/>
  <c r="O55" i="128" s="1"/>
  <c r="O57" i="128" s="1"/>
  <c r="N50" i="128"/>
  <c r="N55" i="128" s="1"/>
  <c r="N57" i="128" s="1"/>
  <c r="M50" i="128"/>
  <c r="M55" i="128" s="1"/>
  <c r="M57" i="128" s="1"/>
  <c r="F50" i="128"/>
  <c r="F55" i="128" s="1"/>
  <c r="F57" i="128" s="1"/>
  <c r="E50" i="128"/>
  <c r="D50" i="128"/>
  <c r="D55" i="128" s="1"/>
  <c r="D57" i="128" s="1"/>
  <c r="C50" i="128"/>
  <c r="C55" i="128" s="1"/>
  <c r="C57" i="128" s="1"/>
  <c r="B50" i="128"/>
  <c r="B55" i="128" s="1"/>
  <c r="B57" i="128" s="1"/>
  <c r="R49" i="128"/>
  <c r="G49" i="128"/>
  <c r="R48" i="128"/>
  <c r="G48" i="128"/>
  <c r="R47" i="128"/>
  <c r="G47" i="128"/>
  <c r="R46" i="128"/>
  <c r="G46" i="128"/>
  <c r="R45" i="128"/>
  <c r="G45" i="128"/>
  <c r="R44" i="128"/>
  <c r="G44" i="128"/>
  <c r="R43" i="128"/>
  <c r="G43" i="128"/>
  <c r="K35" i="128"/>
  <c r="J35" i="128" s="1"/>
  <c r="D35" i="128"/>
  <c r="C35" i="128" s="1"/>
  <c r="N34" i="128"/>
  <c r="N29" i="128" s="1"/>
  <c r="M34" i="128"/>
  <c r="M29" i="128" s="1"/>
  <c r="L34" i="128"/>
  <c r="L29" i="128" s="1"/>
  <c r="K34" i="128"/>
  <c r="K29" i="128" s="1"/>
  <c r="J34" i="128"/>
  <c r="J29" i="128" s="1"/>
  <c r="G34" i="128"/>
  <c r="G29" i="128" s="1"/>
  <c r="F34" i="128"/>
  <c r="F29" i="128" s="1"/>
  <c r="E34" i="128"/>
  <c r="E29" i="128" s="1"/>
  <c r="D34" i="128"/>
  <c r="D29" i="128" s="1"/>
  <c r="Y30" i="128"/>
  <c r="X30" i="128"/>
  <c r="W30" i="128"/>
  <c r="V30" i="128"/>
  <c r="U30" i="128"/>
  <c r="T30" i="128"/>
  <c r="S30" i="128"/>
  <c r="R30" i="128"/>
  <c r="Q30" i="128"/>
  <c r="P30" i="128"/>
  <c r="Y29" i="128"/>
  <c r="X29" i="128"/>
  <c r="W29" i="128"/>
  <c r="V29" i="128"/>
  <c r="U29" i="128"/>
  <c r="T29" i="128"/>
  <c r="S29" i="128"/>
  <c r="R29" i="128"/>
  <c r="Q29" i="128"/>
  <c r="P29" i="128"/>
  <c r="Z28" i="128"/>
  <c r="Y26" i="128"/>
  <c r="Y31" i="128" s="1"/>
  <c r="Y33" i="128" s="1"/>
  <c r="X26" i="128"/>
  <c r="X31" i="128" s="1"/>
  <c r="X33" i="128" s="1"/>
  <c r="W26" i="128"/>
  <c r="W31" i="128" s="1"/>
  <c r="W33" i="128" s="1"/>
  <c r="V26" i="128"/>
  <c r="V31" i="128" s="1"/>
  <c r="V33" i="128" s="1"/>
  <c r="U26" i="128"/>
  <c r="U31" i="128" s="1"/>
  <c r="U33" i="128" s="1"/>
  <c r="T26" i="128"/>
  <c r="T31" i="128" s="1"/>
  <c r="T33" i="128" s="1"/>
  <c r="S26" i="128"/>
  <c r="S31" i="128" s="1"/>
  <c r="S33" i="128" s="1"/>
  <c r="R26" i="128"/>
  <c r="R31" i="128" s="1"/>
  <c r="R33" i="128" s="1"/>
  <c r="Q26" i="128"/>
  <c r="Q31" i="128" s="1"/>
  <c r="Q33" i="128" s="1"/>
  <c r="P26" i="128"/>
  <c r="P31" i="128" s="1"/>
  <c r="P33" i="128" s="1"/>
  <c r="N26" i="128"/>
  <c r="N31" i="128" s="1"/>
  <c r="M26" i="128"/>
  <c r="M31" i="128" s="1"/>
  <c r="L26" i="128"/>
  <c r="L31" i="128" s="1"/>
  <c r="K31" i="128"/>
  <c r="J26" i="128"/>
  <c r="J31" i="128" s="1"/>
  <c r="G26" i="128"/>
  <c r="G31" i="128" s="1"/>
  <c r="F26" i="128"/>
  <c r="F31" i="128" s="1"/>
  <c r="E26" i="128"/>
  <c r="E31" i="128" s="1"/>
  <c r="D26" i="128"/>
  <c r="D31" i="128" s="1"/>
  <c r="C26" i="128"/>
  <c r="C31" i="128" s="1"/>
  <c r="Z25" i="128"/>
  <c r="Z24" i="128"/>
  <c r="Z23" i="128"/>
  <c r="Z22" i="128"/>
  <c r="Z20" i="128"/>
  <c r="N76" i="128" l="1"/>
  <c r="E55" i="128"/>
  <c r="E57" i="128" s="1"/>
  <c r="E56" i="128"/>
  <c r="F76" i="128"/>
  <c r="F33" i="128"/>
  <c r="M56" i="128"/>
  <c r="G76" i="128"/>
  <c r="O76" i="128"/>
  <c r="H76" i="128"/>
  <c r="I76" i="128"/>
  <c r="Q76" i="128"/>
  <c r="P76" i="128"/>
  <c r="B76" i="128"/>
  <c r="J76" i="128"/>
  <c r="R76" i="128"/>
  <c r="C76" i="128"/>
  <c r="K76" i="128"/>
  <c r="S76" i="128"/>
  <c r="D76" i="128"/>
  <c r="L76" i="128"/>
  <c r="T76" i="128"/>
  <c r="E76" i="128"/>
  <c r="M76" i="128"/>
  <c r="U76" i="128"/>
  <c r="P56" i="128"/>
  <c r="R50" i="128"/>
  <c r="R53" i="128" s="1"/>
  <c r="N56" i="128"/>
  <c r="O56" i="128"/>
  <c r="Q56" i="128"/>
  <c r="G50" i="128"/>
  <c r="G53" i="128" s="1"/>
  <c r="C56" i="128"/>
  <c r="D56" i="128"/>
  <c r="F56" i="128"/>
  <c r="W32" i="128"/>
  <c r="Q32" i="128"/>
  <c r="Y32" i="128"/>
  <c r="P32" i="128"/>
  <c r="X32" i="128"/>
  <c r="R32" i="128"/>
  <c r="S32" i="128"/>
  <c r="T32" i="128"/>
  <c r="U32" i="128"/>
  <c r="V32" i="128"/>
  <c r="K33" i="128"/>
  <c r="K30" i="128"/>
  <c r="K32" i="128" s="1"/>
  <c r="C30" i="128"/>
  <c r="C32" i="128" s="1"/>
  <c r="C33" i="128"/>
  <c r="M30" i="128"/>
  <c r="M32" i="128" s="1"/>
  <c r="M33" i="128"/>
  <c r="D30" i="128"/>
  <c r="D32" i="128" s="1"/>
  <c r="D33" i="128"/>
  <c r="J33" i="128"/>
  <c r="J30" i="128"/>
  <c r="J32" i="128" s="1"/>
  <c r="L30" i="128"/>
  <c r="L32" i="128" s="1"/>
  <c r="L33" i="128"/>
  <c r="N33" i="128"/>
  <c r="N30" i="128"/>
  <c r="N32" i="128" s="1"/>
  <c r="E30" i="128"/>
  <c r="E32" i="128" s="1"/>
  <c r="E33" i="128"/>
  <c r="G33" i="128"/>
  <c r="G30" i="128"/>
  <c r="G32" i="128" s="1"/>
  <c r="F30" i="128"/>
  <c r="F32" i="128" s="1"/>
  <c r="B56" i="128"/>
  <c r="V70" i="128"/>
  <c r="Z19" i="128"/>
  <c r="Z26" i="128" s="1"/>
  <c r="Z27" i="128" s="1"/>
  <c r="R51" i="128" l="1"/>
  <c r="G51" i="128"/>
  <c r="V73" i="128"/>
  <c r="V71" i="128"/>
  <c r="P18" i="113" l="1"/>
  <c r="I18" i="113"/>
  <c r="AA18" i="113" l="1"/>
  <c r="M54" i="127"/>
  <c r="M53" i="127"/>
  <c r="R44" i="127"/>
  <c r="R45" i="127"/>
  <c r="R46" i="127"/>
  <c r="R47" i="127"/>
  <c r="R48" i="127"/>
  <c r="R49" i="127"/>
  <c r="R43" i="127"/>
  <c r="F54" i="127"/>
  <c r="E54" i="127"/>
  <c r="D54" i="127"/>
  <c r="C54" i="127"/>
  <c r="B54" i="127"/>
  <c r="G45" i="127"/>
  <c r="F53" i="127"/>
  <c r="E53" i="127"/>
  <c r="D53" i="127"/>
  <c r="C53" i="127"/>
  <c r="B53" i="127"/>
  <c r="O25" i="127" l="1"/>
  <c r="O24" i="127"/>
  <c r="O23" i="127"/>
  <c r="O22" i="127"/>
  <c r="O21" i="127"/>
  <c r="O20" i="127"/>
  <c r="O19" i="127"/>
  <c r="H21" i="127"/>
  <c r="Z21" i="127" s="1"/>
  <c r="H22" i="127"/>
  <c r="Z22" i="127" s="1"/>
  <c r="H23" i="127"/>
  <c r="H24" i="127"/>
  <c r="H25" i="127"/>
  <c r="H20" i="127"/>
  <c r="H19" i="127"/>
  <c r="J34" i="127"/>
  <c r="J29" i="127" s="1"/>
  <c r="K34" i="127"/>
  <c r="K29" i="127" s="1"/>
  <c r="L34" i="127"/>
  <c r="L29" i="127" s="1"/>
  <c r="M34" i="127"/>
  <c r="M29" i="127" s="1"/>
  <c r="N34" i="127"/>
  <c r="N29" i="127" s="1"/>
  <c r="D34" i="127"/>
  <c r="D29" i="127" s="1"/>
  <c r="E34" i="127"/>
  <c r="E29" i="127" s="1"/>
  <c r="F34" i="127"/>
  <c r="F29" i="127" s="1"/>
  <c r="G34" i="127"/>
  <c r="G29" i="127" s="1"/>
  <c r="C34" i="127"/>
  <c r="C29" i="127" s="1"/>
  <c r="Z24" i="127" l="1"/>
  <c r="Z25" i="127"/>
  <c r="Z23" i="127"/>
  <c r="Z19" i="127"/>
  <c r="Z20" i="127"/>
  <c r="H26" i="127"/>
  <c r="O26" i="127"/>
  <c r="K35" i="127"/>
  <c r="J35" i="127" s="1"/>
  <c r="D35" i="127"/>
  <c r="C35" i="127" s="1"/>
  <c r="P53" i="127" l="1"/>
  <c r="Q53" i="127"/>
  <c r="P54" i="127"/>
  <c r="Q54" i="127"/>
  <c r="U74" i="127"/>
  <c r="T74" i="127"/>
  <c r="S74" i="127"/>
  <c r="R74" i="127"/>
  <c r="Q74" i="127"/>
  <c r="P74" i="127"/>
  <c r="O74" i="127"/>
  <c r="N74" i="127"/>
  <c r="M74" i="127"/>
  <c r="L74" i="127"/>
  <c r="K74" i="127"/>
  <c r="J74" i="127"/>
  <c r="I74" i="127"/>
  <c r="H74" i="127"/>
  <c r="G74" i="127"/>
  <c r="F74" i="127"/>
  <c r="E74" i="127"/>
  <c r="D74" i="127"/>
  <c r="C74" i="127"/>
  <c r="B74" i="127"/>
  <c r="U73" i="127"/>
  <c r="T73" i="127"/>
  <c r="S73" i="127"/>
  <c r="R73" i="127"/>
  <c r="Q73" i="127"/>
  <c r="P73" i="127"/>
  <c r="O73" i="127"/>
  <c r="N73" i="127"/>
  <c r="M73" i="127"/>
  <c r="L73" i="127"/>
  <c r="K73" i="127"/>
  <c r="J73" i="127"/>
  <c r="I73" i="127"/>
  <c r="H73" i="127"/>
  <c r="G73" i="127"/>
  <c r="F73" i="127"/>
  <c r="E73" i="127"/>
  <c r="D73" i="127"/>
  <c r="C73" i="127"/>
  <c r="B73" i="127"/>
  <c r="V72" i="127"/>
  <c r="U70" i="127"/>
  <c r="U75" i="127" s="1"/>
  <c r="U77" i="127" s="1"/>
  <c r="T70" i="127"/>
  <c r="T75" i="127" s="1"/>
  <c r="T77" i="127" s="1"/>
  <c r="S70" i="127"/>
  <c r="S75" i="127" s="1"/>
  <c r="S77" i="127" s="1"/>
  <c r="R70" i="127"/>
  <c r="R75" i="127" s="1"/>
  <c r="R77" i="127" s="1"/>
  <c r="Q70" i="127"/>
  <c r="Q75" i="127" s="1"/>
  <c r="Q77" i="127" s="1"/>
  <c r="P70" i="127"/>
  <c r="P75" i="127" s="1"/>
  <c r="P77" i="127" s="1"/>
  <c r="O70" i="127"/>
  <c r="O75" i="127" s="1"/>
  <c r="O77" i="127" s="1"/>
  <c r="N70" i="127"/>
  <c r="N75" i="127" s="1"/>
  <c r="N77" i="127" s="1"/>
  <c r="M70" i="127"/>
  <c r="M75" i="127" s="1"/>
  <c r="M77" i="127" s="1"/>
  <c r="L70" i="127"/>
  <c r="L75" i="127" s="1"/>
  <c r="L77" i="127" s="1"/>
  <c r="K70" i="127"/>
  <c r="K75" i="127" s="1"/>
  <c r="K77" i="127" s="1"/>
  <c r="J70" i="127"/>
  <c r="J75" i="127" s="1"/>
  <c r="J77" i="127" s="1"/>
  <c r="I70" i="127"/>
  <c r="I75" i="127" s="1"/>
  <c r="I77" i="127" s="1"/>
  <c r="H70" i="127"/>
  <c r="H75" i="127" s="1"/>
  <c r="H77" i="127" s="1"/>
  <c r="G70" i="127"/>
  <c r="G75" i="127" s="1"/>
  <c r="G77" i="127" s="1"/>
  <c r="F70" i="127"/>
  <c r="F75" i="127" s="1"/>
  <c r="F77" i="127" s="1"/>
  <c r="E70" i="127"/>
  <c r="E75" i="127" s="1"/>
  <c r="E77" i="127" s="1"/>
  <c r="D70" i="127"/>
  <c r="D75" i="127" s="1"/>
  <c r="D77" i="127" s="1"/>
  <c r="C70" i="127"/>
  <c r="C75" i="127" s="1"/>
  <c r="C77" i="127" s="1"/>
  <c r="B70" i="127"/>
  <c r="B75" i="127" s="1"/>
  <c r="B77" i="127" s="1"/>
  <c r="V69" i="127"/>
  <c r="V68" i="127"/>
  <c r="V67" i="127"/>
  <c r="V66" i="127"/>
  <c r="V65" i="127"/>
  <c r="V64" i="127"/>
  <c r="V63" i="127"/>
  <c r="O54" i="127"/>
  <c r="N54" i="127"/>
  <c r="O53" i="127"/>
  <c r="N53" i="127"/>
  <c r="R52" i="127"/>
  <c r="G52" i="127"/>
  <c r="Q50" i="127"/>
  <c r="Q55" i="127" s="1"/>
  <c r="Q57" i="127" s="1"/>
  <c r="P50" i="127"/>
  <c r="O50" i="127"/>
  <c r="O55" i="127" s="1"/>
  <c r="O57" i="127" s="1"/>
  <c r="N50" i="127"/>
  <c r="N55" i="127" s="1"/>
  <c r="N57" i="127" s="1"/>
  <c r="M50" i="127"/>
  <c r="F50" i="127"/>
  <c r="E50" i="127"/>
  <c r="E55" i="127" s="1"/>
  <c r="E57" i="127" s="1"/>
  <c r="D50" i="127"/>
  <c r="D55" i="127" s="1"/>
  <c r="D57" i="127" s="1"/>
  <c r="C50" i="127"/>
  <c r="C55" i="127" s="1"/>
  <c r="C57" i="127" s="1"/>
  <c r="B50" i="127"/>
  <c r="G49" i="127"/>
  <c r="G48" i="127"/>
  <c r="G47" i="127"/>
  <c r="G46" i="127"/>
  <c r="G44" i="127"/>
  <c r="G43" i="127"/>
  <c r="Y30" i="127"/>
  <c r="X30" i="127"/>
  <c r="W30" i="127"/>
  <c r="V30" i="127"/>
  <c r="U30" i="127"/>
  <c r="T30" i="127"/>
  <c r="S30" i="127"/>
  <c r="R30" i="127"/>
  <c r="Q30" i="127"/>
  <c r="P30" i="127"/>
  <c r="Y29" i="127"/>
  <c r="X29" i="127"/>
  <c r="W29" i="127"/>
  <c r="V29" i="127"/>
  <c r="U29" i="127"/>
  <c r="T29" i="127"/>
  <c r="S29" i="127"/>
  <c r="R29" i="127"/>
  <c r="Q29" i="127"/>
  <c r="P29" i="127"/>
  <c r="Z28" i="127"/>
  <c r="Y26" i="127"/>
  <c r="Y31" i="127" s="1"/>
  <c r="Y33" i="127" s="1"/>
  <c r="X26" i="127"/>
  <c r="X31" i="127" s="1"/>
  <c r="X33" i="127" s="1"/>
  <c r="W26" i="127"/>
  <c r="W31" i="127" s="1"/>
  <c r="W33" i="127" s="1"/>
  <c r="V26" i="127"/>
  <c r="V31" i="127" s="1"/>
  <c r="V33" i="127" s="1"/>
  <c r="U26" i="127"/>
  <c r="U31" i="127" s="1"/>
  <c r="U33" i="127" s="1"/>
  <c r="T26" i="127"/>
  <c r="T31" i="127" s="1"/>
  <c r="T33" i="127" s="1"/>
  <c r="S26" i="127"/>
  <c r="S31" i="127" s="1"/>
  <c r="S33" i="127" s="1"/>
  <c r="R26" i="127"/>
  <c r="R31" i="127" s="1"/>
  <c r="R33" i="127" s="1"/>
  <c r="Q26" i="127"/>
  <c r="Q31" i="127" s="1"/>
  <c r="Q33" i="127" s="1"/>
  <c r="P26" i="127"/>
  <c r="P31" i="127" s="1"/>
  <c r="P33" i="127" s="1"/>
  <c r="N26" i="127"/>
  <c r="N31" i="127" s="1"/>
  <c r="N33" i="127" s="1"/>
  <c r="M26" i="127"/>
  <c r="M31" i="127" s="1"/>
  <c r="M33" i="127" s="1"/>
  <c r="L26" i="127"/>
  <c r="L31" i="127" s="1"/>
  <c r="L33" i="127" s="1"/>
  <c r="K26" i="127"/>
  <c r="K31" i="127" s="1"/>
  <c r="K33" i="127" s="1"/>
  <c r="J26" i="127"/>
  <c r="J31" i="127" s="1"/>
  <c r="J33" i="127" s="1"/>
  <c r="G26" i="127"/>
  <c r="G31" i="127" s="1"/>
  <c r="F26" i="127"/>
  <c r="F31" i="127" s="1"/>
  <c r="E26" i="127"/>
  <c r="E31" i="127" s="1"/>
  <c r="E30" i="127" s="1"/>
  <c r="D26" i="127"/>
  <c r="D31" i="127" s="1"/>
  <c r="C26" i="127"/>
  <c r="C31" i="127" s="1"/>
  <c r="M55" i="127" l="1"/>
  <c r="M57" i="127" s="1"/>
  <c r="M56" i="127"/>
  <c r="F55" i="127"/>
  <c r="F57" i="127" s="1"/>
  <c r="B55" i="127"/>
  <c r="B57" i="127" s="1"/>
  <c r="B56" i="127"/>
  <c r="C33" i="127"/>
  <c r="C30" i="127"/>
  <c r="C32" i="127" s="1"/>
  <c r="D30" i="127"/>
  <c r="D32" i="127" s="1"/>
  <c r="D33" i="127"/>
  <c r="F30" i="127"/>
  <c r="F32" i="127" s="1"/>
  <c r="F33" i="127"/>
  <c r="G33" i="127"/>
  <c r="G30" i="127"/>
  <c r="G32" i="127" s="1"/>
  <c r="N30" i="127"/>
  <c r="N32" i="127" s="1"/>
  <c r="M30" i="127"/>
  <c r="M32" i="127" s="1"/>
  <c r="L30" i="127"/>
  <c r="L32" i="127" s="1"/>
  <c r="K30" i="127"/>
  <c r="K32" i="127" s="1"/>
  <c r="J30" i="127"/>
  <c r="J32" i="127" s="1"/>
  <c r="E33" i="127"/>
  <c r="P56" i="127"/>
  <c r="P55" i="127"/>
  <c r="P57" i="127" s="1"/>
  <c r="H76" i="127"/>
  <c r="P76" i="127"/>
  <c r="Z26" i="127"/>
  <c r="Z27" i="127" s="1"/>
  <c r="Q56" i="127"/>
  <c r="I76" i="127"/>
  <c r="Q76" i="127"/>
  <c r="B76" i="127"/>
  <c r="J76" i="127"/>
  <c r="R76" i="127"/>
  <c r="S76" i="127"/>
  <c r="D76" i="127"/>
  <c r="L76" i="127"/>
  <c r="T76" i="127"/>
  <c r="E76" i="127"/>
  <c r="M76" i="127"/>
  <c r="U76" i="127"/>
  <c r="F76" i="127"/>
  <c r="N76" i="127"/>
  <c r="C76" i="127"/>
  <c r="G76" i="127"/>
  <c r="O76" i="127"/>
  <c r="K76" i="127"/>
  <c r="C56" i="127"/>
  <c r="D56" i="127"/>
  <c r="E56" i="127"/>
  <c r="F56" i="127"/>
  <c r="N56" i="127"/>
  <c r="O56" i="127"/>
  <c r="R32" i="127"/>
  <c r="S32" i="127"/>
  <c r="T32" i="127"/>
  <c r="U32" i="127"/>
  <c r="V32" i="127"/>
  <c r="W32" i="127"/>
  <c r="E32" i="127"/>
  <c r="P32" i="127"/>
  <c r="X32" i="127"/>
  <c r="Q32" i="127"/>
  <c r="Y32" i="127"/>
  <c r="G50" i="127"/>
  <c r="V70" i="127"/>
  <c r="J18" i="113"/>
  <c r="C18" i="113"/>
  <c r="V73" i="127" l="1"/>
  <c r="V71" i="127"/>
  <c r="G53" i="127"/>
  <c r="G51" i="127"/>
  <c r="X25" i="126"/>
  <c r="X19" i="126"/>
  <c r="U74" i="126"/>
  <c r="T74" i="126"/>
  <c r="S74" i="126"/>
  <c r="R74" i="126"/>
  <c r="Q74" i="126"/>
  <c r="P74" i="126"/>
  <c r="O74" i="126"/>
  <c r="N74" i="126"/>
  <c r="M74" i="126"/>
  <c r="L74" i="126"/>
  <c r="K74" i="126"/>
  <c r="J74" i="126"/>
  <c r="I74" i="126"/>
  <c r="H74" i="126"/>
  <c r="G74" i="126"/>
  <c r="F74" i="126"/>
  <c r="E74" i="126"/>
  <c r="D74" i="126"/>
  <c r="C74" i="126"/>
  <c r="B74" i="126"/>
  <c r="U73" i="126"/>
  <c r="T73" i="126"/>
  <c r="S73" i="126"/>
  <c r="R73" i="126"/>
  <c r="Q73" i="126"/>
  <c r="P73" i="126"/>
  <c r="O73" i="126"/>
  <c r="N73" i="126"/>
  <c r="M73" i="126"/>
  <c r="L73" i="126"/>
  <c r="K73" i="126"/>
  <c r="J73" i="126"/>
  <c r="I73" i="126"/>
  <c r="H73" i="126"/>
  <c r="G73" i="126"/>
  <c r="F73" i="126"/>
  <c r="E73" i="126"/>
  <c r="D73" i="126"/>
  <c r="C73" i="126"/>
  <c r="B73" i="126"/>
  <c r="U70" i="126"/>
  <c r="U75" i="126" s="1"/>
  <c r="U77" i="126" s="1"/>
  <c r="T70" i="126"/>
  <c r="T75" i="126" s="1"/>
  <c r="T77" i="126" s="1"/>
  <c r="S70" i="126"/>
  <c r="S75" i="126" s="1"/>
  <c r="S77" i="126" s="1"/>
  <c r="R70" i="126"/>
  <c r="R75" i="126" s="1"/>
  <c r="R77" i="126" s="1"/>
  <c r="Q70" i="126"/>
  <c r="Q75" i="126" s="1"/>
  <c r="Q77" i="126" s="1"/>
  <c r="P70" i="126"/>
  <c r="P75" i="126" s="1"/>
  <c r="P77" i="126" s="1"/>
  <c r="O70" i="126"/>
  <c r="O75" i="126" s="1"/>
  <c r="O77" i="126" s="1"/>
  <c r="N70" i="126"/>
  <c r="N75" i="126" s="1"/>
  <c r="M70" i="126"/>
  <c r="M75" i="126" s="1"/>
  <c r="M77" i="126" s="1"/>
  <c r="L70" i="126"/>
  <c r="L75" i="126" s="1"/>
  <c r="L77" i="126" s="1"/>
  <c r="K70" i="126"/>
  <c r="K75" i="126" s="1"/>
  <c r="K77" i="126" s="1"/>
  <c r="J70" i="126"/>
  <c r="J75" i="126" s="1"/>
  <c r="J77" i="126" s="1"/>
  <c r="I70" i="126"/>
  <c r="I75" i="126" s="1"/>
  <c r="I77" i="126" s="1"/>
  <c r="H70" i="126"/>
  <c r="H75" i="126" s="1"/>
  <c r="H77" i="126" s="1"/>
  <c r="G70" i="126"/>
  <c r="G75" i="126" s="1"/>
  <c r="G77" i="126" s="1"/>
  <c r="F70" i="126"/>
  <c r="E70" i="126"/>
  <c r="E75" i="126" s="1"/>
  <c r="E77" i="126" s="1"/>
  <c r="D70" i="126"/>
  <c r="D75" i="126" s="1"/>
  <c r="D77" i="126" s="1"/>
  <c r="C70" i="126"/>
  <c r="C75" i="126" s="1"/>
  <c r="C77" i="126" s="1"/>
  <c r="B70" i="126"/>
  <c r="B75" i="126" s="1"/>
  <c r="B77" i="126" s="1"/>
  <c r="V69" i="126"/>
  <c r="V68" i="126"/>
  <c r="V67" i="126"/>
  <c r="V66" i="126"/>
  <c r="V65" i="126"/>
  <c r="V64" i="126"/>
  <c r="V63" i="126"/>
  <c r="S54" i="126"/>
  <c r="R54" i="126"/>
  <c r="Q51" i="126"/>
  <c r="P51" i="126"/>
  <c r="O51" i="126"/>
  <c r="H51" i="126"/>
  <c r="G51" i="126"/>
  <c r="F51" i="126"/>
  <c r="E51" i="126"/>
  <c r="D51" i="126"/>
  <c r="C51" i="126"/>
  <c r="B51" i="126"/>
  <c r="Q50" i="126"/>
  <c r="P50" i="126"/>
  <c r="O50" i="126"/>
  <c r="H50" i="126"/>
  <c r="G50" i="126"/>
  <c r="F50" i="126"/>
  <c r="E50" i="126"/>
  <c r="D50" i="126"/>
  <c r="C50" i="126"/>
  <c r="B50" i="126"/>
  <c r="T49" i="126"/>
  <c r="I49" i="126"/>
  <c r="S47" i="126"/>
  <c r="S53" i="126" s="1"/>
  <c r="R47" i="126"/>
  <c r="R53" i="126" s="1"/>
  <c r="Q47" i="126"/>
  <c r="Q52" i="126" s="1"/>
  <c r="Q54" i="126" s="1"/>
  <c r="P47" i="126"/>
  <c r="P52" i="126" s="1"/>
  <c r="P54" i="126" s="1"/>
  <c r="O47" i="126"/>
  <c r="O52" i="126" s="1"/>
  <c r="O54" i="126" s="1"/>
  <c r="H47" i="126"/>
  <c r="H52" i="126" s="1"/>
  <c r="H54" i="126" s="1"/>
  <c r="G47" i="126"/>
  <c r="G52" i="126" s="1"/>
  <c r="G54" i="126" s="1"/>
  <c r="F47" i="126"/>
  <c r="F52" i="126" s="1"/>
  <c r="F54" i="126" s="1"/>
  <c r="E47" i="126"/>
  <c r="E52" i="126" s="1"/>
  <c r="E54" i="126" s="1"/>
  <c r="D47" i="126"/>
  <c r="D52" i="126" s="1"/>
  <c r="D54" i="126" s="1"/>
  <c r="C47" i="126"/>
  <c r="C52" i="126" s="1"/>
  <c r="C54" i="126" s="1"/>
  <c r="B47" i="126"/>
  <c r="B52" i="126" s="1"/>
  <c r="B54" i="126" s="1"/>
  <c r="T46" i="126"/>
  <c r="I46" i="126"/>
  <c r="T45" i="126"/>
  <c r="I45" i="126"/>
  <c r="T44" i="126"/>
  <c r="I44" i="126"/>
  <c r="T43" i="126"/>
  <c r="I43" i="126"/>
  <c r="T42" i="126"/>
  <c r="I42" i="126"/>
  <c r="T41" i="126"/>
  <c r="I41" i="126"/>
  <c r="T40" i="126"/>
  <c r="I40" i="126"/>
  <c r="W30" i="126"/>
  <c r="V30" i="126"/>
  <c r="U30" i="126"/>
  <c r="T30" i="126"/>
  <c r="S30" i="126"/>
  <c r="R30" i="126"/>
  <c r="Q30" i="126"/>
  <c r="P30" i="126"/>
  <c r="O30" i="126"/>
  <c r="N30" i="126"/>
  <c r="M30" i="126"/>
  <c r="L30" i="126"/>
  <c r="K30" i="126"/>
  <c r="J30" i="126"/>
  <c r="I30" i="126"/>
  <c r="G30" i="126"/>
  <c r="F30" i="126"/>
  <c r="E30" i="126"/>
  <c r="D30" i="126"/>
  <c r="C30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G29" i="126"/>
  <c r="F29" i="126"/>
  <c r="E29" i="126"/>
  <c r="D29" i="126"/>
  <c r="C29" i="126"/>
  <c r="X28" i="126"/>
  <c r="W26" i="126"/>
  <c r="W31" i="126" s="1"/>
  <c r="W33" i="126" s="1"/>
  <c r="V26" i="126"/>
  <c r="V31" i="126" s="1"/>
  <c r="V33" i="126" s="1"/>
  <c r="U26" i="126"/>
  <c r="U31" i="126" s="1"/>
  <c r="U33" i="126" s="1"/>
  <c r="T26" i="126"/>
  <c r="T31" i="126" s="1"/>
  <c r="T33" i="126" s="1"/>
  <c r="S26" i="126"/>
  <c r="S31" i="126" s="1"/>
  <c r="S33" i="126" s="1"/>
  <c r="R26" i="126"/>
  <c r="R31" i="126" s="1"/>
  <c r="R33" i="126" s="1"/>
  <c r="Q26" i="126"/>
  <c r="Q31" i="126" s="1"/>
  <c r="Q33" i="126" s="1"/>
  <c r="P26" i="126"/>
  <c r="P31" i="126" s="1"/>
  <c r="P33" i="126" s="1"/>
  <c r="O26" i="126"/>
  <c r="O31" i="126" s="1"/>
  <c r="O33" i="126" s="1"/>
  <c r="N26" i="126"/>
  <c r="N31" i="126" s="1"/>
  <c r="N33" i="126" s="1"/>
  <c r="M26" i="126"/>
  <c r="M31" i="126" s="1"/>
  <c r="M33" i="126" s="1"/>
  <c r="L26" i="126"/>
  <c r="L31" i="126" s="1"/>
  <c r="L33" i="126" s="1"/>
  <c r="K26" i="126"/>
  <c r="K31" i="126" s="1"/>
  <c r="K33" i="126" s="1"/>
  <c r="J26" i="126"/>
  <c r="J31" i="126" s="1"/>
  <c r="J33" i="126" s="1"/>
  <c r="I26" i="126"/>
  <c r="I31" i="126" s="1"/>
  <c r="I33" i="126" s="1"/>
  <c r="G26" i="126"/>
  <c r="G31" i="126" s="1"/>
  <c r="G33" i="126" s="1"/>
  <c r="F26" i="126"/>
  <c r="F31" i="126" s="1"/>
  <c r="F33" i="126" s="1"/>
  <c r="E26" i="126"/>
  <c r="E31" i="126" s="1"/>
  <c r="E33" i="126" s="1"/>
  <c r="D26" i="126"/>
  <c r="D31" i="126" s="1"/>
  <c r="D33" i="126" s="1"/>
  <c r="C26" i="126"/>
  <c r="C31" i="126" s="1"/>
  <c r="C33" i="126" s="1"/>
  <c r="X24" i="126"/>
  <c r="X23" i="126"/>
  <c r="X22" i="126"/>
  <c r="X21" i="126"/>
  <c r="X20" i="126"/>
  <c r="E53" i="126" l="1"/>
  <c r="F53" i="126"/>
  <c r="K76" i="126"/>
  <c r="T47" i="126"/>
  <c r="T50" i="126" s="1"/>
  <c r="N77" i="126"/>
  <c r="V72" i="126"/>
  <c r="O32" i="126"/>
  <c r="W32" i="126"/>
  <c r="C76" i="126"/>
  <c r="S76" i="126"/>
  <c r="P32" i="126"/>
  <c r="D76" i="126"/>
  <c r="L76" i="126"/>
  <c r="T76" i="126"/>
  <c r="Q32" i="126"/>
  <c r="V70" i="126"/>
  <c r="E76" i="126"/>
  <c r="M76" i="126"/>
  <c r="U76" i="126"/>
  <c r="R32" i="126"/>
  <c r="H53" i="126"/>
  <c r="F76" i="126"/>
  <c r="N76" i="126"/>
  <c r="S32" i="126"/>
  <c r="O53" i="126"/>
  <c r="G76" i="126"/>
  <c r="O76" i="126"/>
  <c r="T32" i="126"/>
  <c r="B53" i="126"/>
  <c r="P53" i="126"/>
  <c r="H76" i="126"/>
  <c r="P76" i="126"/>
  <c r="U32" i="126"/>
  <c r="C53" i="126"/>
  <c r="Q53" i="126"/>
  <c r="I76" i="126"/>
  <c r="Q76" i="126"/>
  <c r="N32" i="126"/>
  <c r="V32" i="126"/>
  <c r="D53" i="126"/>
  <c r="B76" i="126"/>
  <c r="J76" i="126"/>
  <c r="R76" i="126"/>
  <c r="K32" i="126"/>
  <c r="X26" i="126"/>
  <c r="X27" i="126" s="1"/>
  <c r="C32" i="126"/>
  <c r="L32" i="126"/>
  <c r="E32" i="126"/>
  <c r="D32" i="126"/>
  <c r="F32" i="126"/>
  <c r="G32" i="126"/>
  <c r="M32" i="126"/>
  <c r="I32" i="126"/>
  <c r="J32" i="126"/>
  <c r="F75" i="126"/>
  <c r="F77" i="126" s="1"/>
  <c r="I47" i="126"/>
  <c r="G53" i="126"/>
  <c r="T48" i="126" l="1"/>
  <c r="V73" i="126"/>
  <c r="V71" i="126"/>
  <c r="I50" i="126"/>
  <c r="I48" i="126"/>
  <c r="R54" i="124" l="1"/>
  <c r="S54" i="124"/>
  <c r="T46" i="124"/>
  <c r="T45" i="124"/>
  <c r="R47" i="124"/>
  <c r="R53" i="124" s="1"/>
  <c r="S47" i="124"/>
  <c r="S53" i="124" s="1"/>
  <c r="T49" i="124"/>
  <c r="U71" i="124" l="1"/>
  <c r="T71" i="124"/>
  <c r="S71" i="124"/>
  <c r="R71" i="124"/>
  <c r="Q71" i="124"/>
  <c r="P71" i="124"/>
  <c r="O71" i="124"/>
  <c r="N71" i="124"/>
  <c r="M71" i="124"/>
  <c r="L71" i="124"/>
  <c r="K71" i="124"/>
  <c r="J71" i="124"/>
  <c r="I71" i="124"/>
  <c r="H71" i="124"/>
  <c r="G71" i="124"/>
  <c r="F71" i="124"/>
  <c r="E71" i="124"/>
  <c r="D71" i="124"/>
  <c r="C71" i="124"/>
  <c r="B71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B70" i="124"/>
  <c r="V69" i="124"/>
  <c r="U67" i="124"/>
  <c r="U72" i="124" s="1"/>
  <c r="U74" i="124" s="1"/>
  <c r="T67" i="124"/>
  <c r="T72" i="124" s="1"/>
  <c r="T74" i="124" s="1"/>
  <c r="S67" i="124"/>
  <c r="S72" i="124" s="1"/>
  <c r="S74" i="124" s="1"/>
  <c r="R67" i="124"/>
  <c r="R72" i="124" s="1"/>
  <c r="R74" i="124" s="1"/>
  <c r="Q67" i="124"/>
  <c r="Q72" i="124" s="1"/>
  <c r="Q74" i="124" s="1"/>
  <c r="P67" i="124"/>
  <c r="P72" i="124" s="1"/>
  <c r="P74" i="124" s="1"/>
  <c r="O67" i="124"/>
  <c r="O72" i="124" s="1"/>
  <c r="O74" i="124" s="1"/>
  <c r="N67" i="124"/>
  <c r="N72" i="124" s="1"/>
  <c r="N74" i="124" s="1"/>
  <c r="M67" i="124"/>
  <c r="M72" i="124" s="1"/>
  <c r="M74" i="124" s="1"/>
  <c r="L67" i="124"/>
  <c r="L72" i="124" s="1"/>
  <c r="L74" i="124" s="1"/>
  <c r="K67" i="124"/>
  <c r="K72" i="124" s="1"/>
  <c r="K74" i="124" s="1"/>
  <c r="J67" i="124"/>
  <c r="J72" i="124" s="1"/>
  <c r="J74" i="124" s="1"/>
  <c r="I67" i="124"/>
  <c r="I72" i="124" s="1"/>
  <c r="I74" i="124" s="1"/>
  <c r="H67" i="124"/>
  <c r="H72" i="124" s="1"/>
  <c r="H74" i="124" s="1"/>
  <c r="G67" i="124"/>
  <c r="G72" i="124" s="1"/>
  <c r="G74" i="124" s="1"/>
  <c r="F67" i="124"/>
  <c r="F72" i="124" s="1"/>
  <c r="F74" i="124" s="1"/>
  <c r="E67" i="124"/>
  <c r="E72" i="124" s="1"/>
  <c r="E74" i="124" s="1"/>
  <c r="D67" i="124"/>
  <c r="D72" i="124" s="1"/>
  <c r="D74" i="124" s="1"/>
  <c r="C67" i="124"/>
  <c r="C72" i="124" s="1"/>
  <c r="C74" i="124" s="1"/>
  <c r="B67" i="124"/>
  <c r="B72" i="124" s="1"/>
  <c r="B74" i="124" s="1"/>
  <c r="V66" i="124"/>
  <c r="V65" i="124"/>
  <c r="V64" i="124"/>
  <c r="V63" i="124"/>
  <c r="V62" i="124"/>
  <c r="V61" i="124"/>
  <c r="V60" i="124"/>
  <c r="Q51" i="124"/>
  <c r="P51" i="124"/>
  <c r="O51" i="124"/>
  <c r="H51" i="124"/>
  <c r="G51" i="124"/>
  <c r="F51" i="124"/>
  <c r="E51" i="124"/>
  <c r="D51" i="124"/>
  <c r="C51" i="124"/>
  <c r="B51" i="124"/>
  <c r="Q50" i="124"/>
  <c r="P50" i="124"/>
  <c r="O50" i="124"/>
  <c r="H50" i="124"/>
  <c r="G50" i="124"/>
  <c r="F50" i="124"/>
  <c r="E50" i="124"/>
  <c r="D50" i="124"/>
  <c r="C50" i="124"/>
  <c r="B50" i="124"/>
  <c r="I49" i="124"/>
  <c r="Q47" i="124"/>
  <c r="Q52" i="124" s="1"/>
  <c r="Q54" i="124" s="1"/>
  <c r="P47" i="124"/>
  <c r="P52" i="124" s="1"/>
  <c r="P54" i="124" s="1"/>
  <c r="O47" i="124"/>
  <c r="O52" i="124" s="1"/>
  <c r="O54" i="124" s="1"/>
  <c r="H47" i="124"/>
  <c r="H52" i="124" s="1"/>
  <c r="H54" i="124" s="1"/>
  <c r="G47" i="124"/>
  <c r="G52" i="124" s="1"/>
  <c r="G54" i="124" s="1"/>
  <c r="F47" i="124"/>
  <c r="F52" i="124" s="1"/>
  <c r="F54" i="124" s="1"/>
  <c r="E47" i="124"/>
  <c r="E52" i="124" s="1"/>
  <c r="E54" i="124" s="1"/>
  <c r="D47" i="124"/>
  <c r="D52" i="124" s="1"/>
  <c r="D54" i="124" s="1"/>
  <c r="C47" i="124"/>
  <c r="C52" i="124" s="1"/>
  <c r="C54" i="124" s="1"/>
  <c r="B47" i="124"/>
  <c r="B52" i="124" s="1"/>
  <c r="B54" i="124" s="1"/>
  <c r="I46" i="124"/>
  <c r="I45" i="124"/>
  <c r="T44" i="124"/>
  <c r="I44" i="124"/>
  <c r="T43" i="124"/>
  <c r="I43" i="124"/>
  <c r="T42" i="124"/>
  <c r="I42" i="124"/>
  <c r="T41" i="124"/>
  <c r="I41" i="124"/>
  <c r="T40" i="124"/>
  <c r="I40" i="124"/>
  <c r="W30" i="124"/>
  <c r="V30" i="124"/>
  <c r="U30" i="124"/>
  <c r="T30" i="124"/>
  <c r="S30" i="124"/>
  <c r="R30" i="124"/>
  <c r="Q30" i="124"/>
  <c r="P30" i="124"/>
  <c r="O30" i="124"/>
  <c r="N30" i="124"/>
  <c r="M30" i="124"/>
  <c r="L30" i="124"/>
  <c r="K30" i="124"/>
  <c r="J30" i="124"/>
  <c r="I30" i="124"/>
  <c r="G30" i="124"/>
  <c r="F30" i="124"/>
  <c r="E30" i="124"/>
  <c r="D30" i="124"/>
  <c r="C30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G29" i="124"/>
  <c r="F29" i="124"/>
  <c r="E29" i="124"/>
  <c r="D29" i="124"/>
  <c r="C29" i="124"/>
  <c r="X28" i="124"/>
  <c r="W26" i="124"/>
  <c r="W31" i="124" s="1"/>
  <c r="W33" i="124" s="1"/>
  <c r="V26" i="124"/>
  <c r="V31" i="124" s="1"/>
  <c r="V33" i="124" s="1"/>
  <c r="U26" i="124"/>
  <c r="U31" i="124" s="1"/>
  <c r="U33" i="124" s="1"/>
  <c r="T26" i="124"/>
  <c r="T31" i="124" s="1"/>
  <c r="T33" i="124" s="1"/>
  <c r="S26" i="124"/>
  <c r="S31" i="124" s="1"/>
  <c r="S33" i="124" s="1"/>
  <c r="R26" i="124"/>
  <c r="R31" i="124" s="1"/>
  <c r="R33" i="124" s="1"/>
  <c r="Q26" i="124"/>
  <c r="Q31" i="124" s="1"/>
  <c r="Q33" i="124" s="1"/>
  <c r="P26" i="124"/>
  <c r="P31" i="124" s="1"/>
  <c r="P33" i="124" s="1"/>
  <c r="O26" i="124"/>
  <c r="O31" i="124" s="1"/>
  <c r="O33" i="124" s="1"/>
  <c r="N26" i="124"/>
  <c r="N31" i="124" s="1"/>
  <c r="N33" i="124" s="1"/>
  <c r="M26" i="124"/>
  <c r="M31" i="124" s="1"/>
  <c r="M33" i="124" s="1"/>
  <c r="L26" i="124"/>
  <c r="L31" i="124" s="1"/>
  <c r="L33" i="124" s="1"/>
  <c r="K26" i="124"/>
  <c r="K31" i="124" s="1"/>
  <c r="K33" i="124" s="1"/>
  <c r="J26" i="124"/>
  <c r="J31" i="124" s="1"/>
  <c r="J33" i="124" s="1"/>
  <c r="I26" i="124"/>
  <c r="I31" i="124" s="1"/>
  <c r="I33" i="124" s="1"/>
  <c r="G26" i="124"/>
  <c r="G31" i="124" s="1"/>
  <c r="G33" i="124" s="1"/>
  <c r="F26" i="124"/>
  <c r="F31" i="124" s="1"/>
  <c r="F33" i="124" s="1"/>
  <c r="E26" i="124"/>
  <c r="E31" i="124" s="1"/>
  <c r="E33" i="124" s="1"/>
  <c r="D26" i="124"/>
  <c r="D31" i="124" s="1"/>
  <c r="D33" i="124" s="1"/>
  <c r="C26" i="124"/>
  <c r="C31" i="124" s="1"/>
  <c r="C33" i="124" s="1"/>
  <c r="X25" i="124"/>
  <c r="X24" i="124"/>
  <c r="X23" i="124"/>
  <c r="X22" i="124"/>
  <c r="X21" i="124"/>
  <c r="X20" i="124"/>
  <c r="X19" i="124"/>
  <c r="T47" i="124" l="1"/>
  <c r="T48" i="124" s="1"/>
  <c r="O53" i="124"/>
  <c r="X26" i="124"/>
  <c r="X27" i="124" s="1"/>
  <c r="J32" i="124"/>
  <c r="R32" i="124"/>
  <c r="F73" i="124"/>
  <c r="N73" i="124"/>
  <c r="K32" i="124"/>
  <c r="S32" i="124"/>
  <c r="G73" i="124"/>
  <c r="O73" i="124"/>
  <c r="C32" i="124"/>
  <c r="L32" i="124"/>
  <c r="T32" i="124"/>
  <c r="H73" i="124"/>
  <c r="P73" i="124"/>
  <c r="D32" i="124"/>
  <c r="M32" i="124"/>
  <c r="U32" i="124"/>
  <c r="I73" i="124"/>
  <c r="Q73" i="124"/>
  <c r="E32" i="124"/>
  <c r="N32" i="124"/>
  <c r="V32" i="124"/>
  <c r="B73" i="124"/>
  <c r="J73" i="124"/>
  <c r="R73" i="124"/>
  <c r="F32" i="124"/>
  <c r="O32" i="124"/>
  <c r="W32" i="124"/>
  <c r="C73" i="124"/>
  <c r="K73" i="124"/>
  <c r="S73" i="124"/>
  <c r="G32" i="124"/>
  <c r="P32" i="124"/>
  <c r="D73" i="124"/>
  <c r="L73" i="124"/>
  <c r="T73" i="124"/>
  <c r="I32" i="124"/>
  <c r="Q32" i="124"/>
  <c r="E73" i="124"/>
  <c r="M73" i="124"/>
  <c r="U73" i="124"/>
  <c r="B53" i="124"/>
  <c r="E53" i="124"/>
  <c r="F53" i="124"/>
  <c r="P53" i="124"/>
  <c r="Q53" i="124"/>
  <c r="H53" i="124"/>
  <c r="C53" i="124"/>
  <c r="D53" i="124"/>
  <c r="G53" i="124"/>
  <c r="I47" i="124"/>
  <c r="V67" i="124"/>
  <c r="T50" i="124" l="1"/>
  <c r="V70" i="124"/>
  <c r="V68" i="124"/>
  <c r="I48" i="124"/>
  <c r="I50" i="124"/>
  <c r="B29" i="123" l="1"/>
  <c r="I49" i="123" l="1"/>
  <c r="H51" i="123"/>
  <c r="H50" i="123"/>
  <c r="H47" i="123"/>
  <c r="H52" i="123" s="1"/>
  <c r="H54" i="123" s="1"/>
  <c r="I42" i="123"/>
  <c r="I43" i="123"/>
  <c r="I44" i="123"/>
  <c r="I45" i="123"/>
  <c r="I46" i="123"/>
  <c r="I40" i="123"/>
  <c r="I41" i="123"/>
  <c r="H53" i="123" l="1"/>
  <c r="V60" i="123" l="1"/>
  <c r="V61" i="123"/>
  <c r="V62" i="123"/>
  <c r="V63" i="123"/>
  <c r="V64" i="123"/>
  <c r="V65" i="123"/>
  <c r="V66" i="123"/>
  <c r="U71" i="123"/>
  <c r="T71" i="123"/>
  <c r="S71" i="123"/>
  <c r="R71" i="123"/>
  <c r="Q71" i="123"/>
  <c r="P71" i="123"/>
  <c r="O71" i="123"/>
  <c r="N71" i="123"/>
  <c r="M71" i="123"/>
  <c r="L71" i="123"/>
  <c r="K71" i="123"/>
  <c r="J71" i="123"/>
  <c r="I71" i="123"/>
  <c r="H71" i="123"/>
  <c r="G71" i="123"/>
  <c r="F71" i="123"/>
  <c r="E71" i="123"/>
  <c r="D71" i="123"/>
  <c r="C71" i="123"/>
  <c r="B71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B70" i="123"/>
  <c r="V69" i="123"/>
  <c r="U67" i="123"/>
  <c r="T67" i="123"/>
  <c r="T72" i="123" s="1"/>
  <c r="T74" i="123" s="1"/>
  <c r="S67" i="123"/>
  <c r="S72" i="123" s="1"/>
  <c r="S74" i="123" s="1"/>
  <c r="R67" i="123"/>
  <c r="R72" i="123" s="1"/>
  <c r="R74" i="123" s="1"/>
  <c r="Q67" i="123"/>
  <c r="P67" i="123"/>
  <c r="P72" i="123" s="1"/>
  <c r="P74" i="123" s="1"/>
  <c r="O67" i="123"/>
  <c r="O72" i="123" s="1"/>
  <c r="O74" i="123" s="1"/>
  <c r="N67" i="123"/>
  <c r="N72" i="123" s="1"/>
  <c r="N74" i="123" s="1"/>
  <c r="M67" i="123"/>
  <c r="L67" i="123"/>
  <c r="L72" i="123" s="1"/>
  <c r="L74" i="123" s="1"/>
  <c r="K67" i="123"/>
  <c r="K72" i="123" s="1"/>
  <c r="K74" i="123" s="1"/>
  <c r="J67" i="123"/>
  <c r="I67" i="123"/>
  <c r="I72" i="123" s="1"/>
  <c r="I74" i="123" s="1"/>
  <c r="H67" i="123"/>
  <c r="H72" i="123" s="1"/>
  <c r="H74" i="123" s="1"/>
  <c r="G67" i="123"/>
  <c r="G72" i="123" s="1"/>
  <c r="G74" i="123" s="1"/>
  <c r="F67" i="123"/>
  <c r="E67" i="123"/>
  <c r="E72" i="123" s="1"/>
  <c r="E74" i="123" s="1"/>
  <c r="D67" i="123"/>
  <c r="D72" i="123" s="1"/>
  <c r="D74" i="123" s="1"/>
  <c r="C67" i="123"/>
  <c r="C72" i="123" s="1"/>
  <c r="C74" i="123" s="1"/>
  <c r="B67" i="123"/>
  <c r="U51" i="123"/>
  <c r="T51" i="123"/>
  <c r="S51" i="123"/>
  <c r="G51" i="123"/>
  <c r="F51" i="123"/>
  <c r="E51" i="123"/>
  <c r="D51" i="123"/>
  <c r="C51" i="123"/>
  <c r="B51" i="123"/>
  <c r="U50" i="123"/>
  <c r="T50" i="123"/>
  <c r="S50" i="123"/>
  <c r="G50" i="123"/>
  <c r="F50" i="123"/>
  <c r="E50" i="123"/>
  <c r="D50" i="123"/>
  <c r="C50" i="123"/>
  <c r="B50" i="123"/>
  <c r="V49" i="123"/>
  <c r="U47" i="123"/>
  <c r="T47" i="123"/>
  <c r="S47" i="123"/>
  <c r="G47" i="123"/>
  <c r="G52" i="123" s="1"/>
  <c r="G54" i="123" s="1"/>
  <c r="F47" i="123"/>
  <c r="F52" i="123" s="1"/>
  <c r="F54" i="123" s="1"/>
  <c r="E47" i="123"/>
  <c r="E52" i="123" s="1"/>
  <c r="E54" i="123" s="1"/>
  <c r="D47" i="123"/>
  <c r="D52" i="123" s="1"/>
  <c r="D54" i="123" s="1"/>
  <c r="C47" i="123"/>
  <c r="C52" i="123" s="1"/>
  <c r="C54" i="123" s="1"/>
  <c r="B47" i="123"/>
  <c r="V46" i="123"/>
  <c r="V45" i="123"/>
  <c r="V44" i="123"/>
  <c r="V43" i="123"/>
  <c r="V42" i="123"/>
  <c r="V41" i="123"/>
  <c r="V40" i="123"/>
  <c r="U30" i="123"/>
  <c r="T30" i="123"/>
  <c r="S30" i="123"/>
  <c r="R30" i="123"/>
  <c r="Q30" i="123"/>
  <c r="P30" i="123"/>
  <c r="O30" i="123"/>
  <c r="N30" i="123"/>
  <c r="M30" i="123"/>
  <c r="L30" i="123"/>
  <c r="K30" i="123"/>
  <c r="J30" i="123"/>
  <c r="I30" i="123"/>
  <c r="H30" i="123"/>
  <c r="G30" i="123"/>
  <c r="F30" i="123"/>
  <c r="E30" i="123"/>
  <c r="D30" i="123"/>
  <c r="C30" i="123"/>
  <c r="B30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V28" i="123"/>
  <c r="U26" i="123"/>
  <c r="U31" i="123" s="1"/>
  <c r="U33" i="123" s="1"/>
  <c r="T26" i="123"/>
  <c r="T31" i="123" s="1"/>
  <c r="T33" i="123" s="1"/>
  <c r="S26" i="123"/>
  <c r="S31" i="123" s="1"/>
  <c r="S33" i="123" s="1"/>
  <c r="R26" i="123"/>
  <c r="R31" i="123" s="1"/>
  <c r="R33" i="123" s="1"/>
  <c r="Q26" i="123"/>
  <c r="Q31" i="123" s="1"/>
  <c r="Q33" i="123" s="1"/>
  <c r="P26" i="123"/>
  <c r="P31" i="123" s="1"/>
  <c r="P33" i="123" s="1"/>
  <c r="O26" i="123"/>
  <c r="O31" i="123" s="1"/>
  <c r="O33" i="123" s="1"/>
  <c r="N26" i="123"/>
  <c r="N31" i="123" s="1"/>
  <c r="N33" i="123" s="1"/>
  <c r="M26" i="123"/>
  <c r="M31" i="123" s="1"/>
  <c r="M33" i="123" s="1"/>
  <c r="L26" i="123"/>
  <c r="L31" i="123" s="1"/>
  <c r="L33" i="123" s="1"/>
  <c r="K26" i="123"/>
  <c r="K31" i="123" s="1"/>
  <c r="K33" i="123" s="1"/>
  <c r="J26" i="123"/>
  <c r="J31" i="123" s="1"/>
  <c r="J33" i="123" s="1"/>
  <c r="I26" i="123"/>
  <c r="I31" i="123" s="1"/>
  <c r="I33" i="123" s="1"/>
  <c r="H26" i="123"/>
  <c r="H31" i="123" s="1"/>
  <c r="H33" i="123" s="1"/>
  <c r="G26" i="123"/>
  <c r="G31" i="123" s="1"/>
  <c r="G33" i="123" s="1"/>
  <c r="F26" i="123"/>
  <c r="F31" i="123" s="1"/>
  <c r="F33" i="123" s="1"/>
  <c r="E26" i="123"/>
  <c r="E31" i="123" s="1"/>
  <c r="E33" i="123" s="1"/>
  <c r="D26" i="123"/>
  <c r="D31" i="123" s="1"/>
  <c r="D33" i="123" s="1"/>
  <c r="C26" i="123"/>
  <c r="C31" i="123" s="1"/>
  <c r="C33" i="123" s="1"/>
  <c r="B26" i="123"/>
  <c r="V25" i="123"/>
  <c r="V24" i="123"/>
  <c r="V23" i="123"/>
  <c r="V22" i="123"/>
  <c r="V21" i="123"/>
  <c r="V20" i="123"/>
  <c r="V19" i="123"/>
  <c r="U52" i="123" l="1"/>
  <c r="U54" i="123" s="1"/>
  <c r="U53" i="123"/>
  <c r="T52" i="123"/>
  <c r="T54" i="123" s="1"/>
  <c r="T53" i="123"/>
  <c r="S52" i="123"/>
  <c r="S54" i="123" s="1"/>
  <c r="S53" i="123"/>
  <c r="B31" i="123"/>
  <c r="B33" i="123" s="1"/>
  <c r="B32" i="123"/>
  <c r="B52" i="123"/>
  <c r="B54" i="123" s="1"/>
  <c r="I47" i="123"/>
  <c r="I48" i="123" s="1"/>
  <c r="V67" i="123"/>
  <c r="V70" i="123" s="1"/>
  <c r="Q32" i="123"/>
  <c r="D32" i="123"/>
  <c r="N32" i="123"/>
  <c r="I32" i="123"/>
  <c r="F32" i="123"/>
  <c r="S32" i="123"/>
  <c r="H32" i="123"/>
  <c r="M32" i="123"/>
  <c r="U32" i="123"/>
  <c r="B73" i="123"/>
  <c r="J73" i="123"/>
  <c r="Q73" i="123"/>
  <c r="H73" i="123"/>
  <c r="O73" i="123"/>
  <c r="J32" i="123"/>
  <c r="O32" i="123"/>
  <c r="R32" i="123"/>
  <c r="C73" i="123"/>
  <c r="K73" i="123"/>
  <c r="R73" i="123"/>
  <c r="E32" i="123"/>
  <c r="D73" i="123"/>
  <c r="S73" i="123"/>
  <c r="V47" i="123"/>
  <c r="V48" i="123" s="1"/>
  <c r="C32" i="123"/>
  <c r="K32" i="123"/>
  <c r="P32" i="123"/>
  <c r="V26" i="123"/>
  <c r="V27" i="123" s="1"/>
  <c r="F73" i="123"/>
  <c r="M73" i="123"/>
  <c r="U73" i="123"/>
  <c r="G32" i="123"/>
  <c r="L32" i="123"/>
  <c r="T32" i="123"/>
  <c r="E73" i="123"/>
  <c r="L73" i="123"/>
  <c r="T73" i="123"/>
  <c r="C53" i="123"/>
  <c r="D53" i="123"/>
  <c r="E53" i="123"/>
  <c r="F53" i="123"/>
  <c r="G53" i="123"/>
  <c r="B53" i="123"/>
  <c r="M72" i="123"/>
  <c r="M74" i="123" s="1"/>
  <c r="I73" i="123"/>
  <c r="P73" i="123"/>
  <c r="F72" i="123"/>
  <c r="F74" i="123" s="1"/>
  <c r="U72" i="123"/>
  <c r="U74" i="123" s="1"/>
  <c r="B72" i="123"/>
  <c r="B74" i="123" s="1"/>
  <c r="J72" i="123"/>
  <c r="J74" i="123" s="1"/>
  <c r="Q72" i="123"/>
  <c r="Q74" i="123" s="1"/>
  <c r="G73" i="123"/>
  <c r="N73" i="123"/>
  <c r="V50" i="123" l="1"/>
  <c r="I50" i="123"/>
  <c r="V68" i="123"/>
  <c r="H47" i="113" l="1"/>
  <c r="I47" i="113"/>
  <c r="J47" i="113"/>
  <c r="K47" i="113"/>
  <c r="L47" i="113"/>
  <c r="K71" i="122"/>
  <c r="K70" i="122"/>
  <c r="K67" i="122"/>
  <c r="K72" i="122" s="1"/>
  <c r="K74" i="122" s="1"/>
  <c r="K73" i="122" l="1"/>
  <c r="W69" i="122"/>
  <c r="F71" i="122" l="1"/>
  <c r="E71" i="122"/>
  <c r="D71" i="122"/>
  <c r="C71" i="122"/>
  <c r="B71" i="122"/>
  <c r="F70" i="122"/>
  <c r="E70" i="122"/>
  <c r="D70" i="122"/>
  <c r="C70" i="122"/>
  <c r="B70" i="122"/>
  <c r="F67" i="122"/>
  <c r="F72" i="122" s="1"/>
  <c r="F74" i="122" s="1"/>
  <c r="E67" i="122"/>
  <c r="E72" i="122" s="1"/>
  <c r="E74" i="122" s="1"/>
  <c r="D67" i="122"/>
  <c r="D72" i="122" s="1"/>
  <c r="D74" i="122" s="1"/>
  <c r="C67" i="122"/>
  <c r="C72" i="122" s="1"/>
  <c r="C74" i="122" s="1"/>
  <c r="B67" i="122"/>
  <c r="B72" i="122" s="1"/>
  <c r="B74" i="122" s="1"/>
  <c r="V71" i="122"/>
  <c r="U71" i="122"/>
  <c r="T71" i="122"/>
  <c r="S71" i="122"/>
  <c r="R71" i="122"/>
  <c r="V70" i="122"/>
  <c r="U70" i="122"/>
  <c r="T70" i="122"/>
  <c r="S70" i="122"/>
  <c r="R70" i="122"/>
  <c r="V67" i="122"/>
  <c r="V72" i="122" s="1"/>
  <c r="V74" i="122" s="1"/>
  <c r="U67" i="122"/>
  <c r="U72" i="122" s="1"/>
  <c r="U74" i="122" s="1"/>
  <c r="T67" i="122"/>
  <c r="S67" i="122"/>
  <c r="S72" i="122" s="1"/>
  <c r="S74" i="122" s="1"/>
  <c r="R67" i="122"/>
  <c r="R72" i="122" s="1"/>
  <c r="R74" i="122" s="1"/>
  <c r="Q71" i="122"/>
  <c r="P71" i="122"/>
  <c r="O71" i="122"/>
  <c r="N71" i="122"/>
  <c r="M71" i="122"/>
  <c r="Q70" i="122"/>
  <c r="P70" i="122"/>
  <c r="O70" i="122"/>
  <c r="N70" i="122"/>
  <c r="M70" i="122"/>
  <c r="Q67" i="122"/>
  <c r="Q72" i="122" s="1"/>
  <c r="Q74" i="122" s="1"/>
  <c r="P67" i="122"/>
  <c r="P72" i="122" s="1"/>
  <c r="P74" i="122" s="1"/>
  <c r="O67" i="122"/>
  <c r="O72" i="122" s="1"/>
  <c r="O74" i="122" s="1"/>
  <c r="N67" i="122"/>
  <c r="N72" i="122" s="1"/>
  <c r="N74" i="122" s="1"/>
  <c r="M67" i="122"/>
  <c r="M72" i="122" s="1"/>
  <c r="M74" i="122" s="1"/>
  <c r="L71" i="122"/>
  <c r="J71" i="122"/>
  <c r="I71" i="122"/>
  <c r="H71" i="122"/>
  <c r="G71" i="122"/>
  <c r="L70" i="122"/>
  <c r="J70" i="122"/>
  <c r="I70" i="122"/>
  <c r="H70" i="122"/>
  <c r="G70" i="122"/>
  <c r="L67" i="122"/>
  <c r="L72" i="122" s="1"/>
  <c r="L74" i="122" s="1"/>
  <c r="J67" i="122"/>
  <c r="J72" i="122" s="1"/>
  <c r="J74" i="122" s="1"/>
  <c r="I67" i="122"/>
  <c r="I72" i="122" s="1"/>
  <c r="I74" i="122" s="1"/>
  <c r="H67" i="122"/>
  <c r="H72" i="122" s="1"/>
  <c r="H74" i="122" s="1"/>
  <c r="G67" i="122"/>
  <c r="W66" i="122"/>
  <c r="W65" i="122"/>
  <c r="W64" i="122"/>
  <c r="W63" i="122"/>
  <c r="W62" i="122"/>
  <c r="W61" i="122"/>
  <c r="W60" i="122"/>
  <c r="W51" i="122"/>
  <c r="V51" i="122"/>
  <c r="U51" i="122"/>
  <c r="T51" i="122"/>
  <c r="I51" i="122"/>
  <c r="H51" i="122"/>
  <c r="G51" i="122"/>
  <c r="F51" i="122"/>
  <c r="E51" i="122"/>
  <c r="D51" i="122"/>
  <c r="C51" i="122"/>
  <c r="B51" i="122"/>
  <c r="W50" i="122"/>
  <c r="V50" i="122"/>
  <c r="U50" i="122"/>
  <c r="T50" i="122"/>
  <c r="I50" i="122"/>
  <c r="H50" i="122"/>
  <c r="G50" i="122"/>
  <c r="F50" i="122"/>
  <c r="E50" i="122"/>
  <c r="D50" i="122"/>
  <c r="C50" i="122"/>
  <c r="B50" i="122"/>
  <c r="X49" i="122"/>
  <c r="J49" i="122"/>
  <c r="W47" i="122"/>
  <c r="W52" i="122" s="1"/>
  <c r="W54" i="122" s="1"/>
  <c r="V47" i="122"/>
  <c r="V52" i="122" s="1"/>
  <c r="V54" i="122" s="1"/>
  <c r="U47" i="122"/>
  <c r="U52" i="122" s="1"/>
  <c r="U54" i="122" s="1"/>
  <c r="T47" i="122"/>
  <c r="T52" i="122" s="1"/>
  <c r="T54" i="122" s="1"/>
  <c r="I47" i="122"/>
  <c r="I52" i="122" s="1"/>
  <c r="I54" i="122" s="1"/>
  <c r="H47" i="122"/>
  <c r="H52" i="122" s="1"/>
  <c r="H54" i="122" s="1"/>
  <c r="G47" i="122"/>
  <c r="G52" i="122" s="1"/>
  <c r="G54" i="122" s="1"/>
  <c r="F47" i="122"/>
  <c r="F52" i="122" s="1"/>
  <c r="F54" i="122" s="1"/>
  <c r="E47" i="122"/>
  <c r="E52" i="122" s="1"/>
  <c r="E54" i="122" s="1"/>
  <c r="D47" i="122"/>
  <c r="D52" i="122" s="1"/>
  <c r="D54" i="122" s="1"/>
  <c r="C47" i="122"/>
  <c r="C52" i="122" s="1"/>
  <c r="C54" i="122" s="1"/>
  <c r="B47" i="122"/>
  <c r="X46" i="122"/>
  <c r="J46" i="122"/>
  <c r="X45" i="122"/>
  <c r="J45" i="122"/>
  <c r="X44" i="122"/>
  <c r="J44" i="122"/>
  <c r="X43" i="122"/>
  <c r="J43" i="122"/>
  <c r="X42" i="122"/>
  <c r="J42" i="122"/>
  <c r="X41" i="122"/>
  <c r="J41" i="122"/>
  <c r="X40" i="122"/>
  <c r="J40" i="122"/>
  <c r="Y30" i="122"/>
  <c r="X30" i="122"/>
  <c r="W30" i="122"/>
  <c r="V30" i="122"/>
  <c r="U30" i="122"/>
  <c r="T30" i="122"/>
  <c r="S30" i="122"/>
  <c r="R30" i="122"/>
  <c r="Q30" i="122"/>
  <c r="P30" i="122"/>
  <c r="O30" i="122"/>
  <c r="M30" i="122"/>
  <c r="L30" i="122"/>
  <c r="K30" i="122"/>
  <c r="J30" i="122"/>
  <c r="I30" i="122"/>
  <c r="H30" i="122"/>
  <c r="G30" i="122"/>
  <c r="F30" i="122"/>
  <c r="E30" i="122"/>
  <c r="D30" i="122"/>
  <c r="C30" i="122"/>
  <c r="B30" i="122"/>
  <c r="Y29" i="122"/>
  <c r="X29" i="122"/>
  <c r="W29" i="122"/>
  <c r="V29" i="122"/>
  <c r="U29" i="122"/>
  <c r="T29" i="122"/>
  <c r="S29" i="122"/>
  <c r="R29" i="122"/>
  <c r="Q29" i="122"/>
  <c r="P29" i="122"/>
  <c r="O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6" i="122"/>
  <c r="Y31" i="122" s="1"/>
  <c r="Y33" i="122" s="1"/>
  <c r="X26" i="122"/>
  <c r="X31" i="122" s="1"/>
  <c r="X33" i="122" s="1"/>
  <c r="W26" i="122"/>
  <c r="W31" i="122" s="1"/>
  <c r="W33" i="122" s="1"/>
  <c r="V26" i="122"/>
  <c r="V31" i="122" s="1"/>
  <c r="V33" i="122" s="1"/>
  <c r="U26" i="122"/>
  <c r="U31" i="122" s="1"/>
  <c r="U33" i="122" s="1"/>
  <c r="T26" i="122"/>
  <c r="T31" i="122" s="1"/>
  <c r="T33" i="122" s="1"/>
  <c r="S26" i="122"/>
  <c r="S31" i="122" s="1"/>
  <c r="S33" i="122" s="1"/>
  <c r="R26" i="122"/>
  <c r="R31" i="122" s="1"/>
  <c r="R33" i="122" s="1"/>
  <c r="Q26" i="122"/>
  <c r="Q31" i="122" s="1"/>
  <c r="Q33" i="122" s="1"/>
  <c r="P26" i="122"/>
  <c r="P31" i="122" s="1"/>
  <c r="P33" i="122" s="1"/>
  <c r="O26" i="122"/>
  <c r="O31" i="122" s="1"/>
  <c r="O33" i="122" s="1"/>
  <c r="M26" i="122"/>
  <c r="M31" i="122" s="1"/>
  <c r="M33" i="122" s="1"/>
  <c r="L26" i="122"/>
  <c r="L31" i="122" s="1"/>
  <c r="L33" i="122" s="1"/>
  <c r="K26" i="122"/>
  <c r="K31" i="122" s="1"/>
  <c r="K33" i="122" s="1"/>
  <c r="J26" i="122"/>
  <c r="J31" i="122" s="1"/>
  <c r="J33" i="122" s="1"/>
  <c r="I26" i="122"/>
  <c r="I31" i="122" s="1"/>
  <c r="I33" i="122" s="1"/>
  <c r="H26" i="122"/>
  <c r="H31" i="122" s="1"/>
  <c r="H33" i="122" s="1"/>
  <c r="G26" i="122"/>
  <c r="G31" i="122" s="1"/>
  <c r="G33" i="122" s="1"/>
  <c r="F26" i="122"/>
  <c r="F31" i="122" s="1"/>
  <c r="F33" i="122" s="1"/>
  <c r="E26" i="122"/>
  <c r="E31" i="122" s="1"/>
  <c r="E33" i="122" s="1"/>
  <c r="D26" i="122"/>
  <c r="D31" i="122" s="1"/>
  <c r="D33" i="122" s="1"/>
  <c r="C26" i="122"/>
  <c r="C31" i="122" s="1"/>
  <c r="C33" i="122" s="1"/>
  <c r="B26" i="122"/>
  <c r="B31" i="122" s="1"/>
  <c r="B33" i="122" s="1"/>
  <c r="Z25" i="122"/>
  <c r="Z24" i="122"/>
  <c r="Z23" i="122"/>
  <c r="Z22" i="122"/>
  <c r="Z21" i="122"/>
  <c r="Z20" i="122"/>
  <c r="Z19" i="122"/>
  <c r="P73" i="122" l="1"/>
  <c r="T73" i="122"/>
  <c r="D73" i="122"/>
  <c r="R73" i="122"/>
  <c r="U73" i="122"/>
  <c r="B73" i="122"/>
  <c r="C73" i="122"/>
  <c r="V73" i="122"/>
  <c r="E73" i="122"/>
  <c r="F73" i="122"/>
  <c r="S73" i="122"/>
  <c r="T72" i="122"/>
  <c r="T74" i="122" s="1"/>
  <c r="O73" i="122"/>
  <c r="M73" i="122"/>
  <c r="Q73" i="122"/>
  <c r="N73" i="122"/>
  <c r="W53" i="122"/>
  <c r="F53" i="122"/>
  <c r="E32" i="122"/>
  <c r="M32" i="122"/>
  <c r="V32" i="122"/>
  <c r="G32" i="122"/>
  <c r="P32" i="122"/>
  <c r="X32" i="122"/>
  <c r="I32" i="122"/>
  <c r="R32" i="122"/>
  <c r="B53" i="122"/>
  <c r="T53" i="122"/>
  <c r="C32" i="122"/>
  <c r="K32" i="122"/>
  <c r="T32" i="122"/>
  <c r="L73" i="122"/>
  <c r="B32" i="122"/>
  <c r="J32" i="122"/>
  <c r="S32" i="122"/>
  <c r="G73" i="122"/>
  <c r="Z26" i="122"/>
  <c r="Z27" i="122" s="1"/>
  <c r="X47" i="122"/>
  <c r="X48" i="122" s="1"/>
  <c r="C53" i="122"/>
  <c r="U53" i="122"/>
  <c r="D53" i="122"/>
  <c r="V53" i="122"/>
  <c r="D32" i="122"/>
  <c r="L32" i="122"/>
  <c r="U32" i="122"/>
  <c r="E53" i="122"/>
  <c r="H73" i="122"/>
  <c r="F32" i="122"/>
  <c r="O32" i="122"/>
  <c r="W32" i="122"/>
  <c r="G53" i="122"/>
  <c r="J73" i="122"/>
  <c r="J47" i="122"/>
  <c r="J50" i="122" s="1"/>
  <c r="H53" i="122"/>
  <c r="H32" i="122"/>
  <c r="Q32" i="122"/>
  <c r="Y32" i="122"/>
  <c r="I53" i="122"/>
  <c r="W67" i="122"/>
  <c r="W70" i="122" s="1"/>
  <c r="I73" i="122"/>
  <c r="G72" i="122"/>
  <c r="G74" i="122" s="1"/>
  <c r="B52" i="122"/>
  <c r="B54" i="122" s="1"/>
  <c r="J48" i="122" l="1"/>
  <c r="W68" i="122"/>
  <c r="X50" i="122"/>
  <c r="Y20" i="121" l="1"/>
  <c r="Y19" i="121"/>
  <c r="Y21" i="121"/>
  <c r="X43" i="121"/>
  <c r="X44" i="121"/>
  <c r="X45" i="121"/>
  <c r="X46" i="121"/>
  <c r="X42" i="121"/>
  <c r="X40" i="121"/>
  <c r="X41" i="121"/>
  <c r="W50" i="121"/>
  <c r="W51" i="121"/>
  <c r="W47" i="121"/>
  <c r="W52" i="121" s="1"/>
  <c r="W54" i="121" s="1"/>
  <c r="B29" i="121"/>
  <c r="C29" i="121"/>
  <c r="D29" i="121"/>
  <c r="E29" i="121"/>
  <c r="F29" i="121"/>
  <c r="G29" i="121"/>
  <c r="H29" i="121"/>
  <c r="I29" i="121"/>
  <c r="J29" i="121"/>
  <c r="K29" i="121"/>
  <c r="L29" i="121"/>
  <c r="M29" i="121"/>
  <c r="N29" i="121"/>
  <c r="O29" i="121"/>
  <c r="P29" i="121"/>
  <c r="Q29" i="121"/>
  <c r="R29" i="121"/>
  <c r="S29" i="121"/>
  <c r="T29" i="121"/>
  <c r="U29" i="121"/>
  <c r="V29" i="121"/>
  <c r="W29" i="121"/>
  <c r="X29" i="121"/>
  <c r="Y28" i="121"/>
  <c r="W53" i="121" l="1"/>
  <c r="X49" i="121"/>
  <c r="F71" i="121" l="1"/>
  <c r="E71" i="121"/>
  <c r="D71" i="121"/>
  <c r="C71" i="121"/>
  <c r="B71" i="121"/>
  <c r="F70" i="121"/>
  <c r="E70" i="121"/>
  <c r="D70" i="121"/>
  <c r="C70" i="121"/>
  <c r="B70" i="121"/>
  <c r="G69" i="121"/>
  <c r="F67" i="121"/>
  <c r="F72" i="121" s="1"/>
  <c r="F74" i="121" s="1"/>
  <c r="E67" i="121"/>
  <c r="D67" i="121"/>
  <c r="C67" i="121"/>
  <c r="C72" i="121" s="1"/>
  <c r="C74" i="121" s="1"/>
  <c r="B67" i="121"/>
  <c r="G66" i="121"/>
  <c r="G65" i="121"/>
  <c r="G64" i="121"/>
  <c r="G63" i="121"/>
  <c r="G62" i="121"/>
  <c r="G61" i="121"/>
  <c r="G60" i="121"/>
  <c r="V51" i="121"/>
  <c r="U51" i="121"/>
  <c r="T51" i="121"/>
  <c r="I51" i="121"/>
  <c r="H51" i="121"/>
  <c r="G51" i="121"/>
  <c r="F51" i="121"/>
  <c r="E51" i="121"/>
  <c r="D51" i="121"/>
  <c r="C51" i="121"/>
  <c r="B51" i="121"/>
  <c r="V50" i="121"/>
  <c r="U50" i="121"/>
  <c r="T50" i="121"/>
  <c r="I50" i="121"/>
  <c r="H50" i="121"/>
  <c r="G50" i="121"/>
  <c r="F50" i="121"/>
  <c r="E50" i="121"/>
  <c r="D50" i="121"/>
  <c r="C50" i="121"/>
  <c r="B50" i="121"/>
  <c r="J49" i="121"/>
  <c r="V47" i="121"/>
  <c r="V52" i="121" s="1"/>
  <c r="V54" i="121" s="1"/>
  <c r="U47" i="121"/>
  <c r="U52" i="121" s="1"/>
  <c r="U54" i="121" s="1"/>
  <c r="T47" i="121"/>
  <c r="T52" i="121" s="1"/>
  <c r="T54" i="121" s="1"/>
  <c r="I47" i="121"/>
  <c r="I52" i="121" s="1"/>
  <c r="I54" i="121" s="1"/>
  <c r="H47" i="121"/>
  <c r="H52" i="121" s="1"/>
  <c r="H54" i="121" s="1"/>
  <c r="G47" i="121"/>
  <c r="G52" i="121" s="1"/>
  <c r="G54" i="121" s="1"/>
  <c r="F47" i="121"/>
  <c r="F52" i="121" s="1"/>
  <c r="F54" i="121" s="1"/>
  <c r="E47" i="121"/>
  <c r="E52" i="121" s="1"/>
  <c r="E54" i="121" s="1"/>
  <c r="D47" i="121"/>
  <c r="D52" i="121" s="1"/>
  <c r="D54" i="121" s="1"/>
  <c r="C47" i="121"/>
  <c r="C52" i="121" s="1"/>
  <c r="C54" i="121" s="1"/>
  <c r="B47" i="121"/>
  <c r="B52" i="121" s="1"/>
  <c r="B54" i="121" s="1"/>
  <c r="J46" i="121"/>
  <c r="J45" i="121"/>
  <c r="J44" i="121"/>
  <c r="J43" i="121"/>
  <c r="J42" i="121"/>
  <c r="J41" i="121"/>
  <c r="J40" i="121"/>
  <c r="X30" i="121"/>
  <c r="W30" i="121"/>
  <c r="V30" i="121"/>
  <c r="U30" i="121"/>
  <c r="T30" i="121"/>
  <c r="S30" i="121"/>
  <c r="R30" i="121"/>
  <c r="Q30" i="121"/>
  <c r="P30" i="121"/>
  <c r="O30" i="121"/>
  <c r="N30" i="121"/>
  <c r="M30" i="121"/>
  <c r="L30" i="121"/>
  <c r="K30" i="121"/>
  <c r="J30" i="121"/>
  <c r="I30" i="121"/>
  <c r="H30" i="121"/>
  <c r="G30" i="121"/>
  <c r="F30" i="121"/>
  <c r="E30" i="121"/>
  <c r="D30" i="121"/>
  <c r="C30" i="121"/>
  <c r="B30" i="121"/>
  <c r="X26" i="121"/>
  <c r="X31" i="121" s="1"/>
  <c r="X33" i="121" s="1"/>
  <c r="W26" i="121"/>
  <c r="W31" i="121" s="1"/>
  <c r="W33" i="121" s="1"/>
  <c r="V26" i="121"/>
  <c r="V31" i="121" s="1"/>
  <c r="V33" i="121" s="1"/>
  <c r="U26" i="121"/>
  <c r="U31" i="121" s="1"/>
  <c r="U33" i="121" s="1"/>
  <c r="T26" i="121"/>
  <c r="T31" i="121" s="1"/>
  <c r="T33" i="121" s="1"/>
  <c r="S26" i="121"/>
  <c r="S31" i="121" s="1"/>
  <c r="S33" i="121" s="1"/>
  <c r="R26" i="121"/>
  <c r="R31" i="121" s="1"/>
  <c r="R33" i="121" s="1"/>
  <c r="Q26" i="121"/>
  <c r="Q31" i="121" s="1"/>
  <c r="Q33" i="121" s="1"/>
  <c r="P26" i="121"/>
  <c r="P31" i="121" s="1"/>
  <c r="P33" i="121" s="1"/>
  <c r="O26" i="121"/>
  <c r="O31" i="121" s="1"/>
  <c r="O33" i="121" s="1"/>
  <c r="N26" i="121"/>
  <c r="N31" i="121" s="1"/>
  <c r="N33" i="121" s="1"/>
  <c r="M26" i="121"/>
  <c r="M31" i="121" s="1"/>
  <c r="M33" i="121" s="1"/>
  <c r="L26" i="121"/>
  <c r="L31" i="121" s="1"/>
  <c r="L33" i="121" s="1"/>
  <c r="K26" i="121"/>
  <c r="K31" i="121" s="1"/>
  <c r="K33" i="121" s="1"/>
  <c r="J26" i="121"/>
  <c r="J31" i="121" s="1"/>
  <c r="J33" i="121" s="1"/>
  <c r="I26" i="121"/>
  <c r="I31" i="121" s="1"/>
  <c r="I33" i="121" s="1"/>
  <c r="H26" i="121"/>
  <c r="H31" i="121" s="1"/>
  <c r="H33" i="121" s="1"/>
  <c r="G26" i="121"/>
  <c r="G31" i="121" s="1"/>
  <c r="G33" i="121" s="1"/>
  <c r="F26" i="121"/>
  <c r="F31" i="121" s="1"/>
  <c r="F33" i="121" s="1"/>
  <c r="E26" i="121"/>
  <c r="E31" i="121" s="1"/>
  <c r="E33" i="121" s="1"/>
  <c r="D26" i="121"/>
  <c r="D31" i="121" s="1"/>
  <c r="D33" i="121" s="1"/>
  <c r="C26" i="121"/>
  <c r="C31" i="121" s="1"/>
  <c r="C33" i="121" s="1"/>
  <c r="B26" i="121"/>
  <c r="B31" i="121" s="1"/>
  <c r="B33" i="121" s="1"/>
  <c r="Y25" i="121"/>
  <c r="Y24" i="121"/>
  <c r="Y23" i="121"/>
  <c r="Y22" i="121"/>
  <c r="E32" i="121" l="1"/>
  <c r="M32" i="121"/>
  <c r="U32" i="121"/>
  <c r="B53" i="121"/>
  <c r="I53" i="121"/>
  <c r="D73" i="121"/>
  <c r="E73" i="121"/>
  <c r="B73" i="121"/>
  <c r="C73" i="121"/>
  <c r="F73" i="121"/>
  <c r="G67" i="121"/>
  <c r="G68" i="121" s="1"/>
  <c r="B72" i="121"/>
  <c r="B74" i="121" s="1"/>
  <c r="X47" i="121"/>
  <c r="X50" i="121" s="1"/>
  <c r="T53" i="121"/>
  <c r="U53" i="121"/>
  <c r="V53" i="121"/>
  <c r="E53" i="121"/>
  <c r="G53" i="121"/>
  <c r="H53" i="121"/>
  <c r="C53" i="121"/>
  <c r="D53" i="121"/>
  <c r="G32" i="121"/>
  <c r="O32" i="121"/>
  <c r="W32" i="121"/>
  <c r="J32" i="121"/>
  <c r="K32" i="121"/>
  <c r="N32" i="121"/>
  <c r="H32" i="121"/>
  <c r="P32" i="121"/>
  <c r="X32" i="121"/>
  <c r="Q32" i="121"/>
  <c r="Y26" i="121"/>
  <c r="Y27" i="121" s="1"/>
  <c r="B32" i="121"/>
  <c r="R32" i="121"/>
  <c r="C32" i="121"/>
  <c r="S32" i="121"/>
  <c r="F32" i="121"/>
  <c r="V32" i="121"/>
  <c r="D32" i="121"/>
  <c r="L32" i="121"/>
  <c r="T32" i="121"/>
  <c r="I32" i="121"/>
  <c r="D72" i="121"/>
  <c r="D74" i="121" s="1"/>
  <c r="E72" i="121"/>
  <c r="E74" i="121" s="1"/>
  <c r="J47" i="121"/>
  <c r="F53" i="121"/>
  <c r="G70" i="121" l="1"/>
  <c r="X48" i="121"/>
  <c r="J50" i="121"/>
  <c r="J48" i="121"/>
  <c r="Y28" i="120"/>
  <c r="N30" i="120"/>
  <c r="N29" i="120"/>
  <c r="N26" i="120"/>
  <c r="N31" i="120" s="1"/>
  <c r="N33" i="120" s="1"/>
  <c r="P30" i="120"/>
  <c r="F71" i="120"/>
  <c r="E71" i="120"/>
  <c r="D71" i="120"/>
  <c r="C71" i="120"/>
  <c r="B71" i="120"/>
  <c r="F70" i="120"/>
  <c r="E70" i="120"/>
  <c r="D70" i="120"/>
  <c r="C70" i="120"/>
  <c r="B70" i="120"/>
  <c r="G69" i="120"/>
  <c r="F67" i="120"/>
  <c r="F72" i="120" s="1"/>
  <c r="F74" i="120" s="1"/>
  <c r="E67" i="120"/>
  <c r="E72" i="120" s="1"/>
  <c r="E74" i="120" s="1"/>
  <c r="D67" i="120"/>
  <c r="D72" i="120" s="1"/>
  <c r="D74" i="120" s="1"/>
  <c r="C67" i="120"/>
  <c r="B67" i="120"/>
  <c r="B72" i="120" s="1"/>
  <c r="B74" i="120" s="1"/>
  <c r="G66" i="120"/>
  <c r="G65" i="120"/>
  <c r="G64" i="120"/>
  <c r="G63" i="120"/>
  <c r="G62" i="120"/>
  <c r="G61" i="120"/>
  <c r="G60" i="120"/>
  <c r="V51" i="120"/>
  <c r="U51" i="120"/>
  <c r="T51" i="120"/>
  <c r="I51" i="120"/>
  <c r="H51" i="120"/>
  <c r="G51" i="120"/>
  <c r="F51" i="120"/>
  <c r="E51" i="120"/>
  <c r="D51" i="120"/>
  <c r="C51" i="120"/>
  <c r="B51" i="120"/>
  <c r="V50" i="120"/>
  <c r="U50" i="120"/>
  <c r="T50" i="120"/>
  <c r="I50" i="120"/>
  <c r="H50" i="120"/>
  <c r="G50" i="120"/>
  <c r="F50" i="120"/>
  <c r="E50" i="120"/>
  <c r="D50" i="120"/>
  <c r="C50" i="120"/>
  <c r="B50" i="120"/>
  <c r="W49" i="120"/>
  <c r="J49" i="120"/>
  <c r="V47" i="120"/>
  <c r="U47" i="120"/>
  <c r="T47" i="120"/>
  <c r="T52" i="120" s="1"/>
  <c r="T54" i="120" s="1"/>
  <c r="I47" i="120"/>
  <c r="I52" i="120" s="1"/>
  <c r="I54" i="120" s="1"/>
  <c r="H47" i="120"/>
  <c r="H52" i="120" s="1"/>
  <c r="H54" i="120" s="1"/>
  <c r="G47" i="120"/>
  <c r="G52" i="120" s="1"/>
  <c r="G54" i="120" s="1"/>
  <c r="F47" i="120"/>
  <c r="F52" i="120" s="1"/>
  <c r="F54" i="120" s="1"/>
  <c r="E47" i="120"/>
  <c r="E52" i="120" s="1"/>
  <c r="E54" i="120" s="1"/>
  <c r="D47" i="120"/>
  <c r="C47" i="120"/>
  <c r="C52" i="120" s="1"/>
  <c r="C54" i="120" s="1"/>
  <c r="B47" i="120"/>
  <c r="B52" i="120" s="1"/>
  <c r="B54" i="120" s="1"/>
  <c r="W46" i="120"/>
  <c r="J46" i="120"/>
  <c r="W45" i="120"/>
  <c r="J45" i="120"/>
  <c r="W44" i="120"/>
  <c r="J44" i="120"/>
  <c r="W43" i="120"/>
  <c r="J43" i="120"/>
  <c r="W42" i="120"/>
  <c r="J42" i="120"/>
  <c r="W41" i="120"/>
  <c r="J41" i="120"/>
  <c r="W40" i="120"/>
  <c r="J40" i="120"/>
  <c r="X30" i="120"/>
  <c r="W30" i="120"/>
  <c r="V30" i="120"/>
  <c r="U30" i="120"/>
  <c r="T30" i="120"/>
  <c r="S30" i="120"/>
  <c r="R30" i="120"/>
  <c r="Q30" i="120"/>
  <c r="O30" i="120"/>
  <c r="M30" i="120"/>
  <c r="L30" i="120"/>
  <c r="K30" i="120"/>
  <c r="J30" i="120"/>
  <c r="I30" i="120"/>
  <c r="H30" i="120"/>
  <c r="G30" i="120"/>
  <c r="F30" i="120"/>
  <c r="E30" i="120"/>
  <c r="D30" i="120"/>
  <c r="C30" i="120"/>
  <c r="B30" i="120"/>
  <c r="X29" i="120"/>
  <c r="W29" i="120"/>
  <c r="V29" i="120"/>
  <c r="U29" i="120"/>
  <c r="T29" i="120"/>
  <c r="S29" i="120"/>
  <c r="R29" i="120"/>
  <c r="Q29" i="120"/>
  <c r="P29" i="120"/>
  <c r="O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X26" i="120"/>
  <c r="X31" i="120" s="1"/>
  <c r="X33" i="120" s="1"/>
  <c r="W26" i="120"/>
  <c r="W31" i="120" s="1"/>
  <c r="W33" i="120" s="1"/>
  <c r="V26" i="120"/>
  <c r="V31" i="120" s="1"/>
  <c r="V33" i="120" s="1"/>
  <c r="U26" i="120"/>
  <c r="U31" i="120" s="1"/>
  <c r="U33" i="120" s="1"/>
  <c r="T26" i="120"/>
  <c r="T31" i="120" s="1"/>
  <c r="T33" i="120" s="1"/>
  <c r="S26" i="120"/>
  <c r="S31" i="120" s="1"/>
  <c r="S33" i="120" s="1"/>
  <c r="R26" i="120"/>
  <c r="Q26" i="120"/>
  <c r="Q31" i="120" s="1"/>
  <c r="Q33" i="120" s="1"/>
  <c r="P26" i="120"/>
  <c r="P31" i="120" s="1"/>
  <c r="P33" i="120" s="1"/>
  <c r="O26" i="120"/>
  <c r="O31" i="120" s="1"/>
  <c r="O33" i="120" s="1"/>
  <c r="M26" i="120"/>
  <c r="M31" i="120" s="1"/>
  <c r="M33" i="120" s="1"/>
  <c r="L26" i="120"/>
  <c r="L31" i="120" s="1"/>
  <c r="L33" i="120" s="1"/>
  <c r="K26" i="120"/>
  <c r="K31" i="120" s="1"/>
  <c r="K33" i="120" s="1"/>
  <c r="J26" i="120"/>
  <c r="J31" i="120" s="1"/>
  <c r="J33" i="120" s="1"/>
  <c r="I26" i="120"/>
  <c r="H26" i="120"/>
  <c r="H31" i="120" s="1"/>
  <c r="H33" i="120" s="1"/>
  <c r="G26" i="120"/>
  <c r="F26" i="120"/>
  <c r="F31" i="120" s="1"/>
  <c r="F33" i="120" s="1"/>
  <c r="E26" i="120"/>
  <c r="E31" i="120" s="1"/>
  <c r="E33" i="120" s="1"/>
  <c r="D26" i="120"/>
  <c r="D31" i="120" s="1"/>
  <c r="D33" i="120" s="1"/>
  <c r="C26" i="120"/>
  <c r="C31" i="120" s="1"/>
  <c r="C33" i="120" s="1"/>
  <c r="B26" i="120"/>
  <c r="B31" i="120" s="1"/>
  <c r="B33" i="120" s="1"/>
  <c r="Y25" i="120"/>
  <c r="Y24" i="120"/>
  <c r="Y23" i="120"/>
  <c r="Y22" i="120"/>
  <c r="Y21" i="120"/>
  <c r="Y20" i="120"/>
  <c r="Y19" i="120"/>
  <c r="U53" i="120" l="1"/>
  <c r="R32" i="120"/>
  <c r="D53" i="120"/>
  <c r="V53" i="120"/>
  <c r="G32" i="120"/>
  <c r="C73" i="120"/>
  <c r="N32" i="120"/>
  <c r="P32" i="120"/>
  <c r="C53" i="120"/>
  <c r="E32" i="120"/>
  <c r="M32" i="120"/>
  <c r="W32" i="120"/>
  <c r="F32" i="120"/>
  <c r="O32" i="120"/>
  <c r="X32" i="120"/>
  <c r="B73" i="120"/>
  <c r="G31" i="120"/>
  <c r="G33" i="120" s="1"/>
  <c r="H53" i="120"/>
  <c r="B32" i="120"/>
  <c r="J32" i="120"/>
  <c r="T32" i="120"/>
  <c r="C32" i="120"/>
  <c r="K32" i="120"/>
  <c r="U32" i="120"/>
  <c r="W47" i="120"/>
  <c r="W50" i="120" s="1"/>
  <c r="E53" i="120"/>
  <c r="S32" i="120"/>
  <c r="I32" i="120"/>
  <c r="D32" i="120"/>
  <c r="L32" i="120"/>
  <c r="V32" i="120"/>
  <c r="F53" i="120"/>
  <c r="E73" i="120"/>
  <c r="G53" i="120"/>
  <c r="Y26" i="120"/>
  <c r="Y27" i="120" s="1"/>
  <c r="Q32" i="120"/>
  <c r="I53" i="120"/>
  <c r="H32" i="120"/>
  <c r="B53" i="120"/>
  <c r="T53" i="120"/>
  <c r="U52" i="120"/>
  <c r="U54" i="120" s="1"/>
  <c r="D52" i="120"/>
  <c r="D54" i="120" s="1"/>
  <c r="V52" i="120"/>
  <c r="V54" i="120" s="1"/>
  <c r="D73" i="120"/>
  <c r="F73" i="120"/>
  <c r="I31" i="120"/>
  <c r="I33" i="120" s="1"/>
  <c r="R31" i="120"/>
  <c r="R33" i="120" s="1"/>
  <c r="C72" i="120"/>
  <c r="C74" i="120" s="1"/>
  <c r="G67" i="120"/>
  <c r="J47" i="120"/>
  <c r="J42" i="119"/>
  <c r="J43" i="119"/>
  <c r="J44" i="119"/>
  <c r="J45" i="119"/>
  <c r="J41" i="119"/>
  <c r="I46" i="119"/>
  <c r="I51" i="119" s="1"/>
  <c r="I53" i="119" s="1"/>
  <c r="I49" i="119"/>
  <c r="I50" i="119"/>
  <c r="I52" i="119" l="1"/>
  <c r="W48" i="120"/>
  <c r="J50" i="120"/>
  <c r="J48" i="120"/>
  <c r="G70" i="120"/>
  <c r="G68" i="120"/>
  <c r="H35" i="113"/>
  <c r="J41" i="118"/>
  <c r="J45" i="118"/>
  <c r="J44" i="118"/>
  <c r="J43" i="118"/>
  <c r="J42" i="118"/>
  <c r="J40" i="118"/>
  <c r="J39" i="118"/>
  <c r="I46" i="118"/>
  <c r="I51" i="118" s="1"/>
  <c r="I53" i="118" s="1"/>
  <c r="I50" i="118"/>
  <c r="I49" i="118"/>
  <c r="I52" i="118" l="1"/>
  <c r="J48" i="118"/>
  <c r="J48" i="119" l="1"/>
  <c r="H49" i="119"/>
  <c r="H50" i="119"/>
  <c r="H46" i="119"/>
  <c r="H51" i="119" s="1"/>
  <c r="H53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D71" i="119" s="1"/>
  <c r="D73" i="119" s="1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U50" i="119"/>
  <c r="T50" i="119"/>
  <c r="S50" i="119"/>
  <c r="G50" i="119"/>
  <c r="F50" i="119"/>
  <c r="E50" i="119"/>
  <c r="D50" i="119"/>
  <c r="C50" i="119"/>
  <c r="B50" i="119"/>
  <c r="U49" i="119"/>
  <c r="T49" i="119"/>
  <c r="S49" i="119"/>
  <c r="G49" i="119"/>
  <c r="F49" i="119"/>
  <c r="E49" i="119"/>
  <c r="D49" i="119"/>
  <c r="C49" i="119"/>
  <c r="B49" i="119"/>
  <c r="V48" i="119"/>
  <c r="U46" i="119"/>
  <c r="U51" i="119" s="1"/>
  <c r="S53" i="119" s="1"/>
  <c r="T46" i="119"/>
  <c r="T51" i="119" s="1"/>
  <c r="R53" i="119" s="1"/>
  <c r="S46" i="119"/>
  <c r="G46" i="119"/>
  <c r="G51" i="119" s="1"/>
  <c r="G53" i="119" s="1"/>
  <c r="F46" i="119"/>
  <c r="F51" i="119" s="1"/>
  <c r="F53" i="119" s="1"/>
  <c r="E46" i="119"/>
  <c r="E51" i="119" s="1"/>
  <c r="E53" i="119" s="1"/>
  <c r="D46" i="119"/>
  <c r="D51" i="119" s="1"/>
  <c r="D53" i="119" s="1"/>
  <c r="C46" i="119"/>
  <c r="C51" i="119" s="1"/>
  <c r="C53" i="119" s="1"/>
  <c r="B46" i="119"/>
  <c r="V45" i="119"/>
  <c r="V44" i="119"/>
  <c r="V43" i="119"/>
  <c r="V42" i="119"/>
  <c r="V41" i="119"/>
  <c r="V40" i="119"/>
  <c r="J40" i="119"/>
  <c r="V39" i="119"/>
  <c r="J3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X27" i="119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X24" i="119"/>
  <c r="X23" i="119"/>
  <c r="X22" i="119"/>
  <c r="X21" i="119"/>
  <c r="X20" i="119"/>
  <c r="X19" i="119"/>
  <c r="X18" i="119"/>
  <c r="H50" i="118"/>
  <c r="H49" i="118"/>
  <c r="H46" i="118"/>
  <c r="F31" i="119" l="1"/>
  <c r="H52" i="119"/>
  <c r="H52" i="118"/>
  <c r="N31" i="119"/>
  <c r="C31" i="119"/>
  <c r="K31" i="119"/>
  <c r="S31" i="119"/>
  <c r="E31" i="119"/>
  <c r="M31" i="119"/>
  <c r="U31" i="119"/>
  <c r="J46" i="119"/>
  <c r="J49" i="119" s="1"/>
  <c r="G52" i="119"/>
  <c r="D72" i="119"/>
  <c r="R52" i="119"/>
  <c r="D31" i="119"/>
  <c r="L31" i="119"/>
  <c r="T31" i="119"/>
  <c r="F72" i="119"/>
  <c r="H31" i="119"/>
  <c r="P31" i="119"/>
  <c r="D52" i="119"/>
  <c r="Q52" i="119"/>
  <c r="E52" i="119"/>
  <c r="B31" i="119"/>
  <c r="J31" i="119"/>
  <c r="R31" i="119"/>
  <c r="F52" i="119"/>
  <c r="B72" i="119"/>
  <c r="G31" i="119"/>
  <c r="O31" i="119"/>
  <c r="W31" i="119"/>
  <c r="C72" i="119"/>
  <c r="B52" i="119"/>
  <c r="S52" i="119"/>
  <c r="X25" i="119"/>
  <c r="X26" i="119" s="1"/>
  <c r="I31" i="119"/>
  <c r="Q31" i="119"/>
  <c r="C52" i="119"/>
  <c r="V46" i="119"/>
  <c r="V49" i="119" s="1"/>
  <c r="E72" i="119"/>
  <c r="S51" i="119"/>
  <c r="Q53" i="119" s="1"/>
  <c r="V31" i="119"/>
  <c r="B51" i="119"/>
  <c r="B53" i="119" s="1"/>
  <c r="G66" i="119"/>
  <c r="F30" i="119"/>
  <c r="F32" i="119" s="1"/>
  <c r="N30" i="119"/>
  <c r="N32" i="119" s="1"/>
  <c r="H51" i="118"/>
  <c r="H53" i="118" s="1"/>
  <c r="J47" i="119" l="1"/>
  <c r="V47" i="119"/>
  <c r="G69" i="119"/>
  <c r="G67" i="119"/>
  <c r="F70" i="118" l="1"/>
  <c r="E70" i="118"/>
  <c r="D70" i="118"/>
  <c r="C70" i="118"/>
  <c r="B70" i="118"/>
  <c r="F69" i="118"/>
  <c r="E69" i="118"/>
  <c r="D69" i="118"/>
  <c r="C69" i="118"/>
  <c r="B69" i="118"/>
  <c r="G68" i="118"/>
  <c r="F66" i="118"/>
  <c r="F71" i="118" s="1"/>
  <c r="F73" i="118" s="1"/>
  <c r="E66" i="118"/>
  <c r="E71" i="118" s="1"/>
  <c r="E73" i="118" s="1"/>
  <c r="D66" i="118"/>
  <c r="D71" i="118" s="1"/>
  <c r="D73" i="118" s="1"/>
  <c r="C66" i="118"/>
  <c r="C71" i="118" s="1"/>
  <c r="C73" i="118" s="1"/>
  <c r="B66" i="118"/>
  <c r="G65" i="118"/>
  <c r="G64" i="118"/>
  <c r="G63" i="118"/>
  <c r="G62" i="118"/>
  <c r="G61" i="118"/>
  <c r="G60" i="118"/>
  <c r="G59" i="118"/>
  <c r="V50" i="118"/>
  <c r="U50" i="118"/>
  <c r="T50" i="118"/>
  <c r="G50" i="118"/>
  <c r="F50" i="118"/>
  <c r="E50" i="118"/>
  <c r="D50" i="118"/>
  <c r="C50" i="118"/>
  <c r="B50" i="118"/>
  <c r="V49" i="118"/>
  <c r="U49" i="118"/>
  <c r="T49" i="118"/>
  <c r="G49" i="118"/>
  <c r="F49" i="118"/>
  <c r="E49" i="118"/>
  <c r="D49" i="118"/>
  <c r="C49" i="118"/>
  <c r="B49" i="118"/>
  <c r="W48" i="118"/>
  <c r="V46" i="118"/>
  <c r="V51" i="118" s="1"/>
  <c r="V53" i="118" s="1"/>
  <c r="U46" i="118"/>
  <c r="U51" i="118" s="1"/>
  <c r="U53" i="118" s="1"/>
  <c r="T46" i="118"/>
  <c r="T51" i="118" s="1"/>
  <c r="T53" i="118" s="1"/>
  <c r="G46" i="118"/>
  <c r="G51" i="118" s="1"/>
  <c r="G53" i="118" s="1"/>
  <c r="F46" i="118"/>
  <c r="F51" i="118" s="1"/>
  <c r="F53" i="118" s="1"/>
  <c r="E46" i="118"/>
  <c r="E51" i="118" s="1"/>
  <c r="E53" i="118" s="1"/>
  <c r="D46" i="118"/>
  <c r="C46" i="118"/>
  <c r="C51" i="118" s="1"/>
  <c r="C53" i="118" s="1"/>
  <c r="B46" i="118"/>
  <c r="W45" i="118"/>
  <c r="W44" i="118"/>
  <c r="W43" i="118"/>
  <c r="W42" i="118"/>
  <c r="W41" i="118"/>
  <c r="W40" i="118"/>
  <c r="W39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C29" i="118"/>
  <c r="B29" i="118"/>
  <c r="W28" i="118"/>
  <c r="V28" i="118"/>
  <c r="U28" i="118"/>
  <c r="T28" i="118"/>
  <c r="S28" i="118"/>
  <c r="R28" i="118"/>
  <c r="Q28" i="118"/>
  <c r="P28" i="118"/>
  <c r="O28" i="118"/>
  <c r="N28" i="118"/>
  <c r="M28" i="118"/>
  <c r="L28" i="118"/>
  <c r="K28" i="118"/>
  <c r="J28" i="118"/>
  <c r="I28" i="118"/>
  <c r="H28" i="118"/>
  <c r="G28" i="118"/>
  <c r="F28" i="118"/>
  <c r="E28" i="118"/>
  <c r="D28" i="118"/>
  <c r="C28" i="118"/>
  <c r="B28" i="118"/>
  <c r="X27" i="118"/>
  <c r="W25" i="118"/>
  <c r="W30" i="118" s="1"/>
  <c r="W32" i="118" s="1"/>
  <c r="V25" i="118"/>
  <c r="V30" i="118" s="1"/>
  <c r="V32" i="118" s="1"/>
  <c r="U25" i="118"/>
  <c r="U30" i="118" s="1"/>
  <c r="U32" i="118" s="1"/>
  <c r="T25" i="118"/>
  <c r="T30" i="118" s="1"/>
  <c r="T32" i="118" s="1"/>
  <c r="S25" i="118"/>
  <c r="S30" i="118" s="1"/>
  <c r="S32" i="118" s="1"/>
  <c r="R25" i="118"/>
  <c r="R30" i="118" s="1"/>
  <c r="R32" i="118" s="1"/>
  <c r="Q25" i="118"/>
  <c r="P25" i="118"/>
  <c r="O25" i="118"/>
  <c r="N25" i="118"/>
  <c r="N30" i="118" s="1"/>
  <c r="N32" i="118" s="1"/>
  <c r="M25" i="118"/>
  <c r="M30" i="118" s="1"/>
  <c r="M32" i="118" s="1"/>
  <c r="L25" i="118"/>
  <c r="L30" i="118" s="1"/>
  <c r="L32" i="118" s="1"/>
  <c r="K25" i="118"/>
  <c r="K30" i="118" s="1"/>
  <c r="K32" i="118" s="1"/>
  <c r="J25" i="118"/>
  <c r="J30" i="118" s="1"/>
  <c r="J32" i="118" s="1"/>
  <c r="I25" i="118"/>
  <c r="I30" i="118" s="1"/>
  <c r="I32" i="118" s="1"/>
  <c r="H25" i="118"/>
  <c r="G25" i="118"/>
  <c r="G30" i="118" s="1"/>
  <c r="G32" i="118" s="1"/>
  <c r="F25" i="118"/>
  <c r="F30" i="118" s="1"/>
  <c r="F32" i="118" s="1"/>
  <c r="E25" i="118"/>
  <c r="E30" i="118" s="1"/>
  <c r="E32" i="118" s="1"/>
  <c r="D25" i="118"/>
  <c r="D30" i="118" s="1"/>
  <c r="D32" i="118" s="1"/>
  <c r="C25" i="118"/>
  <c r="C30" i="118" s="1"/>
  <c r="C32" i="118" s="1"/>
  <c r="B25" i="118"/>
  <c r="B30" i="118" s="1"/>
  <c r="B32" i="118" s="1"/>
  <c r="X24" i="118"/>
  <c r="X23" i="118"/>
  <c r="X22" i="118"/>
  <c r="X21" i="118"/>
  <c r="X20" i="118"/>
  <c r="X19" i="118"/>
  <c r="X18" i="118"/>
  <c r="O31" i="118" l="1"/>
  <c r="B51" i="118"/>
  <c r="B53" i="118" s="1"/>
  <c r="J46" i="118"/>
  <c r="P31" i="118"/>
  <c r="W46" i="118"/>
  <c r="W47" i="118" s="1"/>
  <c r="Q31" i="118"/>
  <c r="H31" i="118"/>
  <c r="H30" i="118"/>
  <c r="H32" i="118" s="1"/>
  <c r="E52" i="118"/>
  <c r="D72" i="118"/>
  <c r="E72" i="118"/>
  <c r="F72" i="118"/>
  <c r="G66" i="118"/>
  <c r="G67" i="118" s="1"/>
  <c r="T52" i="118"/>
  <c r="U52" i="118"/>
  <c r="V52" i="118"/>
  <c r="F52" i="118"/>
  <c r="G52" i="118"/>
  <c r="B52" i="118"/>
  <c r="C52" i="118"/>
  <c r="B31" i="118"/>
  <c r="J31" i="118"/>
  <c r="R31" i="118"/>
  <c r="S31" i="118"/>
  <c r="X25" i="118"/>
  <c r="X26" i="118" s="1"/>
  <c r="W31" i="118"/>
  <c r="C31" i="118"/>
  <c r="K31" i="118"/>
  <c r="D31" i="118"/>
  <c r="L31" i="118"/>
  <c r="T31" i="118"/>
  <c r="O30" i="118"/>
  <c r="O32" i="118" s="1"/>
  <c r="E31" i="118"/>
  <c r="M31" i="118"/>
  <c r="U31" i="118"/>
  <c r="P30" i="118"/>
  <c r="P32" i="118" s="1"/>
  <c r="F31" i="118"/>
  <c r="N31" i="118"/>
  <c r="G31" i="118"/>
  <c r="V31" i="118"/>
  <c r="B72" i="118"/>
  <c r="D52" i="118"/>
  <c r="I31" i="118"/>
  <c r="C72" i="118"/>
  <c r="Q30" i="118"/>
  <c r="Q32" i="118" s="1"/>
  <c r="B71" i="118"/>
  <c r="B73" i="118" s="1"/>
  <c r="D51" i="118"/>
  <c r="D53" i="118" s="1"/>
  <c r="B28" i="117"/>
  <c r="W49" i="118" l="1"/>
  <c r="G69" i="118"/>
  <c r="J47" i="118"/>
  <c r="J49" i="118"/>
  <c r="F70" i="117"/>
  <c r="E70" i="117"/>
  <c r="D70" i="117"/>
  <c r="C70" i="117"/>
  <c r="B70" i="117"/>
  <c r="F69" i="117"/>
  <c r="E69" i="117"/>
  <c r="D69" i="117"/>
  <c r="C69" i="117"/>
  <c r="B69" i="117"/>
  <c r="G68" i="117"/>
  <c r="F66" i="117"/>
  <c r="E66" i="117"/>
  <c r="D66" i="117"/>
  <c r="C66" i="117"/>
  <c r="B66" i="117"/>
  <c r="G65" i="117"/>
  <c r="G64" i="117"/>
  <c r="G63" i="117"/>
  <c r="G62" i="117"/>
  <c r="G61" i="117"/>
  <c r="G60" i="117"/>
  <c r="G59" i="117"/>
  <c r="S50" i="117"/>
  <c r="R50" i="117"/>
  <c r="Q50" i="117"/>
  <c r="G50" i="117"/>
  <c r="F50" i="117"/>
  <c r="E50" i="117"/>
  <c r="D50" i="117"/>
  <c r="C50" i="117"/>
  <c r="B50" i="117"/>
  <c r="S49" i="117"/>
  <c r="R49" i="117"/>
  <c r="Q49" i="117"/>
  <c r="G49" i="117"/>
  <c r="F49" i="117"/>
  <c r="E49" i="117"/>
  <c r="D49" i="117"/>
  <c r="C49" i="117"/>
  <c r="B49" i="117"/>
  <c r="T48" i="117"/>
  <c r="H48" i="117"/>
  <c r="S46" i="117"/>
  <c r="S51" i="117" s="1"/>
  <c r="S53" i="117" s="1"/>
  <c r="R46" i="117"/>
  <c r="R51" i="117" s="1"/>
  <c r="R53" i="117" s="1"/>
  <c r="Q46" i="117"/>
  <c r="Q51" i="117" s="1"/>
  <c r="Q53" i="117" s="1"/>
  <c r="G46" i="117"/>
  <c r="F46" i="117"/>
  <c r="E46" i="117"/>
  <c r="D46" i="117"/>
  <c r="C46" i="117"/>
  <c r="B46" i="117"/>
  <c r="T45" i="117"/>
  <c r="H45" i="117"/>
  <c r="T44" i="117"/>
  <c r="H44" i="117"/>
  <c r="T43" i="117"/>
  <c r="H43" i="117"/>
  <c r="T42" i="117"/>
  <c r="H42" i="117"/>
  <c r="T41" i="117"/>
  <c r="H41" i="117"/>
  <c r="T40" i="117"/>
  <c r="H40" i="117"/>
  <c r="T39" i="117"/>
  <c r="H3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X27" i="117"/>
  <c r="W25" i="117"/>
  <c r="V25" i="117"/>
  <c r="U25" i="117"/>
  <c r="T25" i="117"/>
  <c r="S25" i="117"/>
  <c r="R25" i="117"/>
  <c r="Q25" i="117"/>
  <c r="P25" i="117"/>
  <c r="P30" i="117" s="1"/>
  <c r="P32" i="117" s="1"/>
  <c r="O25" i="117"/>
  <c r="N25" i="117"/>
  <c r="M25" i="117"/>
  <c r="L25" i="117"/>
  <c r="K25" i="117"/>
  <c r="K30" i="117" s="1"/>
  <c r="K32" i="117" s="1"/>
  <c r="J25" i="117"/>
  <c r="I25" i="117"/>
  <c r="H25" i="117"/>
  <c r="H30" i="117" s="1"/>
  <c r="H32" i="117" s="1"/>
  <c r="G25" i="117"/>
  <c r="G30" i="117" s="1"/>
  <c r="G32" i="117" s="1"/>
  <c r="F25" i="117"/>
  <c r="F30" i="117" s="1"/>
  <c r="F32" i="117" s="1"/>
  <c r="E25" i="117"/>
  <c r="D25" i="117"/>
  <c r="C25" i="117"/>
  <c r="B25" i="117"/>
  <c r="X24" i="117"/>
  <c r="X23" i="117"/>
  <c r="X22" i="117"/>
  <c r="X21" i="117"/>
  <c r="X20" i="117"/>
  <c r="X19" i="117"/>
  <c r="X18" i="117"/>
  <c r="D31" i="117" l="1"/>
  <c r="F71" i="117"/>
  <c r="F73" i="117" s="1"/>
  <c r="E71" i="117"/>
  <c r="E73" i="117" s="1"/>
  <c r="D71" i="117"/>
  <c r="D73" i="117" s="1"/>
  <c r="B71" i="117"/>
  <c r="B73" i="117" s="1"/>
  <c r="G51" i="117"/>
  <c r="G53" i="117" s="1"/>
  <c r="D51" i="117"/>
  <c r="D53" i="117" s="1"/>
  <c r="C51" i="117"/>
  <c r="C53" i="117" s="1"/>
  <c r="B51" i="117"/>
  <c r="B53" i="117" s="1"/>
  <c r="C30" i="117"/>
  <c r="C32" i="117" s="1"/>
  <c r="I30" i="117"/>
  <c r="I32" i="117" s="1"/>
  <c r="W30" i="117"/>
  <c r="W32" i="117" s="1"/>
  <c r="V30" i="117"/>
  <c r="V32" i="117" s="1"/>
  <c r="U30" i="117"/>
  <c r="U32" i="117" s="1"/>
  <c r="S30" i="117"/>
  <c r="S32" i="117" s="1"/>
  <c r="R30" i="117"/>
  <c r="R32" i="117" s="1"/>
  <c r="Q30" i="117"/>
  <c r="Q32" i="117" s="1"/>
  <c r="O30" i="117"/>
  <c r="O32" i="117" s="1"/>
  <c r="N30" i="117"/>
  <c r="N32" i="117" s="1"/>
  <c r="M30" i="117"/>
  <c r="M32" i="117" s="1"/>
  <c r="E30" i="117"/>
  <c r="E32" i="117" s="1"/>
  <c r="E52" i="117"/>
  <c r="S52" i="117"/>
  <c r="X25" i="117"/>
  <c r="X26" i="117" s="1"/>
  <c r="P31" i="117"/>
  <c r="R52" i="117"/>
  <c r="C72" i="117"/>
  <c r="B72" i="117"/>
  <c r="E72" i="117"/>
  <c r="F72" i="117"/>
  <c r="B52" i="117"/>
  <c r="C52" i="117"/>
  <c r="E51" i="117"/>
  <c r="E53" i="117" s="1"/>
  <c r="H46" i="117"/>
  <c r="H49" i="117" s="1"/>
  <c r="F51" i="117"/>
  <c r="F53" i="117" s="1"/>
  <c r="F52" i="117"/>
  <c r="D52" i="117"/>
  <c r="G52" i="117"/>
  <c r="T46" i="117"/>
  <c r="T47" i="117" s="1"/>
  <c r="Q52" i="117"/>
  <c r="J31" i="117"/>
  <c r="B31" i="117"/>
  <c r="L31" i="117"/>
  <c r="T31" i="117"/>
  <c r="H31" i="117"/>
  <c r="B30" i="117"/>
  <c r="B32" i="117" s="1"/>
  <c r="R31" i="117"/>
  <c r="I31" i="117"/>
  <c r="Q31" i="117"/>
  <c r="D30" i="117"/>
  <c r="D32" i="117" s="1"/>
  <c r="T30" i="117"/>
  <c r="T32" i="117" s="1"/>
  <c r="S31" i="117"/>
  <c r="C31" i="117"/>
  <c r="J30" i="117"/>
  <c r="J32" i="117" s="1"/>
  <c r="E31" i="117"/>
  <c r="M31" i="117"/>
  <c r="U31" i="117"/>
  <c r="L30" i="117"/>
  <c r="L32" i="117" s="1"/>
  <c r="F31" i="117"/>
  <c r="N31" i="117"/>
  <c r="V31" i="117"/>
  <c r="K31" i="117"/>
  <c r="G31" i="117"/>
  <c r="O31" i="117"/>
  <c r="W31" i="117"/>
  <c r="C71" i="117"/>
  <c r="C73" i="117" s="1"/>
  <c r="G66" i="117"/>
  <c r="D72" i="117"/>
  <c r="F69" i="116"/>
  <c r="E69" i="116"/>
  <c r="D69" i="116"/>
  <c r="C69" i="116"/>
  <c r="B69" i="116"/>
  <c r="S49" i="116"/>
  <c r="R49" i="116"/>
  <c r="Q49" i="116"/>
  <c r="G49" i="116"/>
  <c r="F49" i="116"/>
  <c r="E49" i="116"/>
  <c r="D49" i="116"/>
  <c r="C49" i="116"/>
  <c r="B49" i="116"/>
  <c r="C2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B28" i="116"/>
  <c r="T49" i="117" l="1"/>
  <c r="H47" i="117"/>
  <c r="G69" i="117"/>
  <c r="G67" i="117"/>
  <c r="B46" i="116"/>
  <c r="B25" i="116"/>
  <c r="B70" i="116" l="1"/>
  <c r="F70" i="116" l="1"/>
  <c r="E70" i="116"/>
  <c r="D70" i="116"/>
  <c r="C70" i="116"/>
  <c r="G68" i="116"/>
  <c r="F66" i="116"/>
  <c r="E66" i="116"/>
  <c r="D66" i="116"/>
  <c r="C66" i="116"/>
  <c r="B66" i="116"/>
  <c r="G65" i="116"/>
  <c r="G64" i="116"/>
  <c r="G63" i="116"/>
  <c r="G62" i="116"/>
  <c r="G61" i="116"/>
  <c r="G60" i="116"/>
  <c r="G59" i="116"/>
  <c r="S50" i="116"/>
  <c r="R50" i="116"/>
  <c r="Q50" i="116"/>
  <c r="G50" i="116"/>
  <c r="F50" i="116"/>
  <c r="E50" i="116"/>
  <c r="D50" i="116"/>
  <c r="C50" i="116"/>
  <c r="B50" i="116"/>
  <c r="T48" i="116"/>
  <c r="H48" i="116"/>
  <c r="S46" i="116"/>
  <c r="S51" i="116" s="1"/>
  <c r="S53" i="116" s="1"/>
  <c r="R46" i="116"/>
  <c r="R51" i="116" s="1"/>
  <c r="R53" i="116" s="1"/>
  <c r="Q46" i="116"/>
  <c r="G46" i="116"/>
  <c r="G51" i="116" s="1"/>
  <c r="G53" i="116" s="1"/>
  <c r="F46" i="116"/>
  <c r="F51" i="116" s="1"/>
  <c r="F53" i="116" s="1"/>
  <c r="E46" i="116"/>
  <c r="E51" i="116" s="1"/>
  <c r="E53" i="116" s="1"/>
  <c r="D46" i="116"/>
  <c r="D51" i="116" s="1"/>
  <c r="D53" i="116" s="1"/>
  <c r="C46" i="116"/>
  <c r="B51" i="116"/>
  <c r="B53" i="116" s="1"/>
  <c r="T45" i="116"/>
  <c r="H45" i="116"/>
  <c r="T44" i="116"/>
  <c r="H44" i="116"/>
  <c r="T43" i="116"/>
  <c r="H43" i="116"/>
  <c r="T42" i="116"/>
  <c r="H42" i="116"/>
  <c r="T41" i="116"/>
  <c r="H41" i="116"/>
  <c r="T40" i="116"/>
  <c r="H40" i="116"/>
  <c r="T39" i="116"/>
  <c r="H3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B31" i="116" s="1"/>
  <c r="X27" i="116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30" i="116"/>
  <c r="B32" i="116" s="1"/>
  <c r="X24" i="116"/>
  <c r="X23" i="116"/>
  <c r="X22" i="116"/>
  <c r="X21" i="116"/>
  <c r="X20" i="116"/>
  <c r="X19" i="116"/>
  <c r="X18" i="116"/>
  <c r="E72" i="116" l="1"/>
  <c r="F71" i="116"/>
  <c r="F73" i="116" s="1"/>
  <c r="F72" i="116"/>
  <c r="D71" i="116"/>
  <c r="D73" i="116" s="1"/>
  <c r="D72" i="116"/>
  <c r="C71" i="116"/>
  <c r="C73" i="116" s="1"/>
  <c r="C72" i="116"/>
  <c r="B71" i="116"/>
  <c r="B73" i="116" s="1"/>
  <c r="B72" i="116"/>
  <c r="Q51" i="116"/>
  <c r="Q53" i="116" s="1"/>
  <c r="Q52" i="116"/>
  <c r="B52" i="116"/>
  <c r="Q31" i="116"/>
  <c r="H31" i="116"/>
  <c r="I31" i="116"/>
  <c r="D52" i="116"/>
  <c r="C52" i="116"/>
  <c r="E71" i="116"/>
  <c r="E73" i="116" s="1"/>
  <c r="G66" i="116"/>
  <c r="G67" i="116" s="1"/>
  <c r="E52" i="116"/>
  <c r="G52" i="116"/>
  <c r="F52" i="116"/>
  <c r="R52" i="116"/>
  <c r="S52" i="116"/>
  <c r="T46" i="116"/>
  <c r="T49" i="116" s="1"/>
  <c r="O31" i="116"/>
  <c r="X25" i="116"/>
  <c r="X26" i="116" s="1"/>
  <c r="F31" i="116"/>
  <c r="N31" i="116"/>
  <c r="V31" i="116"/>
  <c r="P31" i="116"/>
  <c r="W31" i="116"/>
  <c r="J31" i="116"/>
  <c r="R31" i="116"/>
  <c r="C31" i="116"/>
  <c r="K31" i="116"/>
  <c r="S31" i="116"/>
  <c r="D31" i="116"/>
  <c r="L31" i="116"/>
  <c r="T31" i="116"/>
  <c r="E31" i="116"/>
  <c r="M31" i="116"/>
  <c r="U31" i="116"/>
  <c r="G31" i="116"/>
  <c r="H46" i="116"/>
  <c r="C51" i="116"/>
  <c r="C53" i="116" s="1"/>
  <c r="R49" i="115"/>
  <c r="S49" i="115"/>
  <c r="Q49" i="115"/>
  <c r="C68" i="115"/>
  <c r="D68" i="115"/>
  <c r="E68" i="115"/>
  <c r="F68" i="115"/>
  <c r="G69" i="116" l="1"/>
  <c r="T47" i="116"/>
  <c r="H47" i="116"/>
  <c r="H49" i="116"/>
  <c r="G64" i="115"/>
  <c r="B2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B29" i="115"/>
  <c r="C29" i="115"/>
  <c r="D29" i="115"/>
  <c r="E29" i="115"/>
  <c r="F29" i="115"/>
  <c r="G29" i="115"/>
  <c r="H29" i="115"/>
  <c r="I29" i="115"/>
  <c r="J29" i="115"/>
  <c r="K29" i="115"/>
  <c r="L29" i="115"/>
  <c r="M29" i="115"/>
  <c r="N29" i="115"/>
  <c r="O29" i="115"/>
  <c r="P29" i="115"/>
  <c r="Q29" i="115"/>
  <c r="R29" i="115"/>
  <c r="S29" i="115"/>
  <c r="T29" i="115"/>
  <c r="U29" i="115"/>
  <c r="V29" i="115"/>
  <c r="W29" i="115"/>
  <c r="H39" i="115"/>
  <c r="T39" i="115"/>
  <c r="H40" i="115"/>
  <c r="T40" i="115"/>
  <c r="V25" i="115" l="1"/>
  <c r="U25" i="115"/>
  <c r="I25" i="115"/>
  <c r="T25" i="115"/>
  <c r="W25" i="115"/>
  <c r="N25" i="115"/>
  <c r="H41" i="115"/>
  <c r="M25" i="115"/>
  <c r="O25" i="115"/>
  <c r="Q25" i="115"/>
  <c r="L25" i="115"/>
  <c r="T41" i="115"/>
  <c r="G62" i="115"/>
  <c r="E25" i="115"/>
  <c r="E30" i="115" s="1"/>
  <c r="E32" i="115" s="1"/>
  <c r="G25" i="115"/>
  <c r="G30" i="115" s="1"/>
  <c r="G32" i="115" s="1"/>
  <c r="K25" i="115"/>
  <c r="C25" i="115"/>
  <c r="C30" i="115" s="1"/>
  <c r="C32" i="115" s="1"/>
  <c r="D25" i="115"/>
  <c r="F25" i="115"/>
  <c r="F30" i="115" s="1"/>
  <c r="F32" i="115" s="1"/>
  <c r="G63" i="115"/>
  <c r="G61" i="115"/>
  <c r="G60" i="115"/>
  <c r="R25" i="115"/>
  <c r="R30" i="115" s="1"/>
  <c r="R32" i="115" s="1"/>
  <c r="J25" i="115"/>
  <c r="S25" i="115"/>
  <c r="P25" i="115"/>
  <c r="H25" i="115"/>
  <c r="B25" i="115"/>
  <c r="B30" i="115" s="1"/>
  <c r="B32" i="115" s="1"/>
  <c r="G31" i="115" l="1"/>
  <c r="C31" i="115"/>
  <c r="R31" i="115"/>
  <c r="F31" i="115"/>
  <c r="B31" i="115"/>
  <c r="E31" i="115"/>
  <c r="W30" i="115"/>
  <c r="W32" i="115" s="1"/>
  <c r="W31" i="115"/>
  <c r="V30" i="115"/>
  <c r="V32" i="115" s="1"/>
  <c r="V31" i="115"/>
  <c r="U30" i="115"/>
  <c r="U32" i="115" s="1"/>
  <c r="U31" i="115"/>
  <c r="T30" i="115"/>
  <c r="T32" i="115" s="1"/>
  <c r="T31" i="115"/>
  <c r="S30" i="115"/>
  <c r="S32" i="115" s="1"/>
  <c r="S31" i="115"/>
  <c r="Q30" i="115"/>
  <c r="Q32" i="115" s="1"/>
  <c r="Q31" i="115"/>
  <c r="P30" i="115"/>
  <c r="P32" i="115" s="1"/>
  <c r="P31" i="115"/>
  <c r="O30" i="115"/>
  <c r="O32" i="115" s="1"/>
  <c r="O31" i="115"/>
  <c r="N30" i="115"/>
  <c r="N32" i="115" s="1"/>
  <c r="N31" i="115"/>
  <c r="M30" i="115"/>
  <c r="M32" i="115" s="1"/>
  <c r="M31" i="115"/>
  <c r="L30" i="115"/>
  <c r="L32" i="115" s="1"/>
  <c r="L31" i="115"/>
  <c r="K30" i="115"/>
  <c r="K32" i="115" s="1"/>
  <c r="K31" i="115"/>
  <c r="J30" i="115"/>
  <c r="J32" i="115" s="1"/>
  <c r="J31" i="115"/>
  <c r="I30" i="115"/>
  <c r="I32" i="115" s="1"/>
  <c r="I31" i="115"/>
  <c r="H30" i="115"/>
  <c r="H32" i="115" s="1"/>
  <c r="H31" i="115"/>
  <c r="D30" i="115"/>
  <c r="D32" i="115" s="1"/>
  <c r="D31" i="115"/>
  <c r="F69" i="115"/>
  <c r="E69" i="115"/>
  <c r="D69" i="115"/>
  <c r="C69" i="115"/>
  <c r="B69" i="115"/>
  <c r="G67" i="115"/>
  <c r="E65" i="115"/>
  <c r="C65" i="115"/>
  <c r="F65" i="115"/>
  <c r="G59" i="115"/>
  <c r="G58" i="115"/>
  <c r="S50" i="115"/>
  <c r="R50" i="115"/>
  <c r="Q50" i="115"/>
  <c r="G50" i="115"/>
  <c r="F50" i="115"/>
  <c r="E50" i="115"/>
  <c r="D50" i="115"/>
  <c r="C50" i="115"/>
  <c r="B50" i="115"/>
  <c r="G49" i="115"/>
  <c r="F49" i="115"/>
  <c r="E49" i="115"/>
  <c r="D49" i="115"/>
  <c r="C49" i="115"/>
  <c r="B49" i="115"/>
  <c r="T48" i="115"/>
  <c r="H48" i="115"/>
  <c r="T45" i="115"/>
  <c r="H45" i="115"/>
  <c r="H44" i="115"/>
  <c r="T43" i="115"/>
  <c r="H43" i="115"/>
  <c r="R46" i="115"/>
  <c r="Q46" i="115"/>
  <c r="B46" i="115"/>
  <c r="X27" i="115"/>
  <c r="B52" i="115" l="1"/>
  <c r="C71" i="115"/>
  <c r="Q52" i="115"/>
  <c r="E71" i="115"/>
  <c r="R52" i="115"/>
  <c r="F71" i="115"/>
  <c r="R51" i="115"/>
  <c r="R53" i="115" s="1"/>
  <c r="Q51" i="115"/>
  <c r="Q53" i="115" s="1"/>
  <c r="F70" i="115"/>
  <c r="F72" i="115" s="1"/>
  <c r="E70" i="115"/>
  <c r="E72" i="115" s="1"/>
  <c r="C70" i="115"/>
  <c r="C72" i="115" s="1"/>
  <c r="D65" i="115"/>
  <c r="D71" i="115" s="1"/>
  <c r="B65" i="115"/>
  <c r="B71" i="115" s="1"/>
  <c r="S46" i="115"/>
  <c r="S52" i="115" s="1"/>
  <c r="T42" i="115"/>
  <c r="T44" i="115"/>
  <c r="C46" i="115"/>
  <c r="C51" i="115" s="1"/>
  <c r="C53" i="115" s="1"/>
  <c r="E46" i="115"/>
  <c r="E52" i="115" s="1"/>
  <c r="H42" i="115"/>
  <c r="F46" i="115"/>
  <c r="F52" i="115" s="1"/>
  <c r="G46" i="115"/>
  <c r="G52" i="115" s="1"/>
  <c r="D46" i="115"/>
  <c r="D52" i="115" s="1"/>
  <c r="B51" i="115"/>
  <c r="B53" i="115" s="1"/>
  <c r="H59" i="112"/>
  <c r="H58" i="112"/>
  <c r="C52" i="115" l="1"/>
  <c r="S51" i="115"/>
  <c r="S53" i="115" s="1"/>
  <c r="G51" i="115"/>
  <c r="G53" i="115" s="1"/>
  <c r="F51" i="115"/>
  <c r="F53" i="115" s="1"/>
  <c r="E51" i="115"/>
  <c r="E53" i="115" s="1"/>
  <c r="D51" i="115"/>
  <c r="D53" i="115" s="1"/>
  <c r="D70" i="115"/>
  <c r="D72" i="115" s="1"/>
  <c r="B70" i="115"/>
  <c r="B72" i="115" s="1"/>
  <c r="G65" i="115"/>
  <c r="T46" i="115"/>
  <c r="T49" i="115" s="1"/>
  <c r="H46" i="115"/>
  <c r="H49" i="115" s="1"/>
  <c r="H59" i="114"/>
  <c r="H58" i="114"/>
  <c r="H47" i="115" l="1"/>
  <c r="G66" i="115"/>
  <c r="G68" i="115"/>
  <c r="T47" i="115"/>
  <c r="G42" i="114"/>
  <c r="G43" i="114"/>
  <c r="G44" i="114"/>
  <c r="G45" i="114"/>
  <c r="G41" i="114"/>
  <c r="F42" i="114"/>
  <c r="F43" i="114"/>
  <c r="F44" i="114"/>
  <c r="F45" i="114"/>
  <c r="F41" i="114"/>
  <c r="E42" i="114"/>
  <c r="E43" i="114"/>
  <c r="E44" i="114"/>
  <c r="E45" i="114"/>
  <c r="E41" i="114"/>
  <c r="D42" i="114"/>
  <c r="D43" i="114"/>
  <c r="D44" i="114"/>
  <c r="D45" i="114"/>
  <c r="D41" i="114"/>
  <c r="C42" i="114"/>
  <c r="C43" i="114"/>
  <c r="C44" i="114"/>
  <c r="C45" i="114"/>
  <c r="C41" i="114"/>
  <c r="B42" i="114"/>
  <c r="B43" i="114"/>
  <c r="B44" i="114"/>
  <c r="B45" i="114"/>
  <c r="B41" i="114"/>
  <c r="G69" i="114" l="1"/>
  <c r="F69" i="114"/>
  <c r="E69" i="114"/>
  <c r="D69" i="114"/>
  <c r="C69" i="114"/>
  <c r="B69" i="114"/>
  <c r="G68" i="114"/>
  <c r="F68" i="114"/>
  <c r="E68" i="114"/>
  <c r="D68" i="114"/>
  <c r="C68" i="114"/>
  <c r="H67" i="114"/>
  <c r="G64" i="114"/>
  <c r="F64" i="114"/>
  <c r="E64" i="114"/>
  <c r="D64" i="114"/>
  <c r="C64" i="114"/>
  <c r="B64" i="114"/>
  <c r="G63" i="114"/>
  <c r="F63" i="114"/>
  <c r="E63" i="114"/>
  <c r="D63" i="114"/>
  <c r="C63" i="114"/>
  <c r="B63" i="114"/>
  <c r="G62" i="114"/>
  <c r="F62" i="114"/>
  <c r="E62" i="114"/>
  <c r="D62" i="114"/>
  <c r="C62" i="114"/>
  <c r="B62" i="114"/>
  <c r="G61" i="114"/>
  <c r="F61" i="114"/>
  <c r="E61" i="114"/>
  <c r="D61" i="114"/>
  <c r="C61" i="114"/>
  <c r="B61" i="114"/>
  <c r="G60" i="114"/>
  <c r="F60" i="114"/>
  <c r="E60" i="114"/>
  <c r="D60" i="114"/>
  <c r="C60" i="114"/>
  <c r="B60" i="114"/>
  <c r="T50" i="114"/>
  <c r="S50" i="114"/>
  <c r="R50" i="114"/>
  <c r="Q50" i="114"/>
  <c r="G50" i="114"/>
  <c r="F50" i="114"/>
  <c r="E50" i="114"/>
  <c r="D50" i="114"/>
  <c r="C50" i="114"/>
  <c r="B50" i="114"/>
  <c r="G49" i="114"/>
  <c r="F49" i="114"/>
  <c r="E49" i="114"/>
  <c r="D49" i="114"/>
  <c r="C49" i="114"/>
  <c r="B49" i="114"/>
  <c r="U48" i="114"/>
  <c r="H48" i="114"/>
  <c r="T45" i="114"/>
  <c r="S45" i="114"/>
  <c r="R45" i="114"/>
  <c r="Q45" i="114"/>
  <c r="T44" i="114"/>
  <c r="S44" i="114"/>
  <c r="R44" i="114"/>
  <c r="Q44" i="114"/>
  <c r="H44" i="114"/>
  <c r="T43" i="114"/>
  <c r="S43" i="114"/>
  <c r="R43" i="114"/>
  <c r="Q43" i="114"/>
  <c r="H43" i="114"/>
  <c r="T42" i="114"/>
  <c r="S42" i="114"/>
  <c r="R42" i="114"/>
  <c r="Q42" i="114"/>
  <c r="E46" i="114"/>
  <c r="E51" i="114" s="1"/>
  <c r="T41" i="114"/>
  <c r="S41" i="114"/>
  <c r="R41" i="114"/>
  <c r="Q41" i="114"/>
  <c r="F46" i="114"/>
  <c r="F51" i="114" s="1"/>
  <c r="U40" i="114"/>
  <c r="H40" i="114"/>
  <c r="U39" i="114"/>
  <c r="H3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X27" i="114"/>
  <c r="W24" i="114"/>
  <c r="V24" i="114"/>
  <c r="U24" i="114"/>
  <c r="T24" i="114"/>
  <c r="S24" i="114"/>
  <c r="R24" i="114"/>
  <c r="Q24" i="114"/>
  <c r="P24" i="114"/>
  <c r="O24" i="114"/>
  <c r="N24" i="114"/>
  <c r="M24" i="114"/>
  <c r="L24" i="114"/>
  <c r="K24" i="114"/>
  <c r="J24" i="114"/>
  <c r="I24" i="114"/>
  <c r="H24" i="114"/>
  <c r="G24" i="114"/>
  <c r="F24" i="114"/>
  <c r="E24" i="114"/>
  <c r="D24" i="114"/>
  <c r="C24" i="114"/>
  <c r="B24" i="114"/>
  <c r="W23" i="114"/>
  <c r="V23" i="114"/>
  <c r="U23" i="114"/>
  <c r="T23" i="114"/>
  <c r="S23" i="114"/>
  <c r="R23" i="114"/>
  <c r="Q23" i="114"/>
  <c r="P23" i="114"/>
  <c r="O23" i="114"/>
  <c r="N23" i="114"/>
  <c r="M23" i="114"/>
  <c r="L23" i="114"/>
  <c r="K23" i="114"/>
  <c r="J23" i="114"/>
  <c r="I23" i="114"/>
  <c r="H23" i="114"/>
  <c r="G23" i="114"/>
  <c r="F23" i="114"/>
  <c r="E23" i="114"/>
  <c r="D23" i="114"/>
  <c r="C23" i="114"/>
  <c r="B23" i="114"/>
  <c r="W22" i="114"/>
  <c r="V22" i="114"/>
  <c r="U22" i="114"/>
  <c r="T22" i="114"/>
  <c r="S22" i="114"/>
  <c r="R22" i="114"/>
  <c r="Q22" i="114"/>
  <c r="P22" i="114"/>
  <c r="O22" i="114"/>
  <c r="N22" i="114"/>
  <c r="M22" i="114"/>
  <c r="L22" i="114"/>
  <c r="K22" i="114"/>
  <c r="J22" i="114"/>
  <c r="I22" i="114"/>
  <c r="H22" i="114"/>
  <c r="G22" i="114"/>
  <c r="F22" i="114"/>
  <c r="E22" i="114"/>
  <c r="D22" i="114"/>
  <c r="C22" i="114"/>
  <c r="B22" i="114"/>
  <c r="W21" i="114"/>
  <c r="V21" i="114"/>
  <c r="U21" i="114"/>
  <c r="T21" i="114"/>
  <c r="S21" i="114"/>
  <c r="R21" i="114"/>
  <c r="Q21" i="114"/>
  <c r="P21" i="114"/>
  <c r="O21" i="114"/>
  <c r="N21" i="114"/>
  <c r="M21" i="114"/>
  <c r="L21" i="114"/>
  <c r="K21" i="114"/>
  <c r="J21" i="114"/>
  <c r="I21" i="114"/>
  <c r="H21" i="114"/>
  <c r="G21" i="114"/>
  <c r="F21" i="114"/>
  <c r="E21" i="114"/>
  <c r="D21" i="114"/>
  <c r="C21" i="114"/>
  <c r="B21" i="114"/>
  <c r="W20" i="114"/>
  <c r="V20" i="114"/>
  <c r="U20" i="114"/>
  <c r="T20" i="114"/>
  <c r="S20" i="114"/>
  <c r="R20" i="114"/>
  <c r="Q20" i="114"/>
  <c r="P20" i="114"/>
  <c r="O20" i="114"/>
  <c r="N20" i="114"/>
  <c r="M20" i="114"/>
  <c r="L20" i="114"/>
  <c r="K20" i="114"/>
  <c r="J20" i="114"/>
  <c r="I20" i="114"/>
  <c r="H20" i="114"/>
  <c r="G20" i="114"/>
  <c r="F20" i="114"/>
  <c r="E20" i="114"/>
  <c r="D20" i="114"/>
  <c r="C20" i="114"/>
  <c r="B20" i="114"/>
  <c r="X19" i="114"/>
  <c r="X18" i="114"/>
  <c r="H63" i="114" l="1"/>
  <c r="H60" i="114"/>
  <c r="H62" i="114"/>
  <c r="H61" i="114"/>
  <c r="H64" i="114"/>
  <c r="U42" i="114"/>
  <c r="U25" i="114"/>
  <c r="U30" i="114" s="1"/>
  <c r="M25" i="114"/>
  <c r="M30" i="114" s="1"/>
  <c r="E25" i="114"/>
  <c r="E30" i="114" s="1"/>
  <c r="G65" i="114"/>
  <c r="G70" i="114" s="1"/>
  <c r="F65" i="114"/>
  <c r="F70" i="114" s="1"/>
  <c r="R46" i="114"/>
  <c r="R51" i="114" s="1"/>
  <c r="U44" i="114"/>
  <c r="S46" i="114"/>
  <c r="S51" i="114" s="1"/>
  <c r="T46" i="114"/>
  <c r="T51" i="114" s="1"/>
  <c r="U43" i="114"/>
  <c r="U45" i="114"/>
  <c r="B65" i="114"/>
  <c r="B70" i="114" s="1"/>
  <c r="C65" i="114"/>
  <c r="C70" i="114" s="1"/>
  <c r="D65" i="114"/>
  <c r="D70" i="114" s="1"/>
  <c r="E65" i="114"/>
  <c r="E70" i="114" s="1"/>
  <c r="Q46" i="114"/>
  <c r="Q51" i="114" s="1"/>
  <c r="G46" i="114"/>
  <c r="G51" i="114" s="1"/>
  <c r="H41" i="114"/>
  <c r="C46" i="114"/>
  <c r="C51" i="114" s="1"/>
  <c r="H45" i="114"/>
  <c r="D46" i="114"/>
  <c r="D51" i="114" s="1"/>
  <c r="J25" i="114"/>
  <c r="J30" i="114" s="1"/>
  <c r="R25" i="114"/>
  <c r="R30" i="114" s="1"/>
  <c r="B25" i="114"/>
  <c r="B30" i="114" s="1"/>
  <c r="H25" i="114"/>
  <c r="H30" i="114" s="1"/>
  <c r="P25" i="114"/>
  <c r="P30" i="114" s="1"/>
  <c r="I25" i="114"/>
  <c r="I30" i="114" s="1"/>
  <c r="Q25" i="114"/>
  <c r="Q30" i="114" s="1"/>
  <c r="X20" i="114"/>
  <c r="D25" i="114"/>
  <c r="D30" i="114" s="1"/>
  <c r="L25" i="114"/>
  <c r="L30" i="114" s="1"/>
  <c r="T25" i="114"/>
  <c r="T30" i="114" s="1"/>
  <c r="X23" i="114"/>
  <c r="X24" i="114"/>
  <c r="C25" i="114"/>
  <c r="C30" i="114" s="1"/>
  <c r="K25" i="114"/>
  <c r="K30" i="114" s="1"/>
  <c r="S25" i="114"/>
  <c r="S30" i="114" s="1"/>
  <c r="X22" i="114"/>
  <c r="F25" i="114"/>
  <c r="F30" i="114" s="1"/>
  <c r="N25" i="114"/>
  <c r="N30" i="114" s="1"/>
  <c r="V25" i="114"/>
  <c r="V30" i="114" s="1"/>
  <c r="G25" i="114"/>
  <c r="G30" i="114" s="1"/>
  <c r="O25" i="114"/>
  <c r="O30" i="114" s="1"/>
  <c r="W25" i="114"/>
  <c r="W30" i="114" s="1"/>
  <c r="U41" i="114"/>
  <c r="B46" i="114"/>
  <c r="X21" i="114"/>
  <c r="H42" i="114"/>
  <c r="G61" i="112"/>
  <c r="G62" i="112"/>
  <c r="G63" i="112"/>
  <c r="G64" i="112"/>
  <c r="F61" i="112"/>
  <c r="F62" i="112"/>
  <c r="F63" i="112"/>
  <c r="F64" i="112"/>
  <c r="E61" i="112"/>
  <c r="E62" i="112"/>
  <c r="E63" i="112"/>
  <c r="E64" i="112"/>
  <c r="D64" i="112"/>
  <c r="D61" i="112"/>
  <c r="D62" i="112"/>
  <c r="D63" i="112"/>
  <c r="C61" i="112"/>
  <c r="C62" i="112"/>
  <c r="C63" i="112"/>
  <c r="C64" i="112"/>
  <c r="B61" i="112"/>
  <c r="B62" i="112"/>
  <c r="B63" i="112"/>
  <c r="B64" i="112"/>
  <c r="G60" i="112"/>
  <c r="F60" i="112"/>
  <c r="E60" i="112"/>
  <c r="D60" i="112"/>
  <c r="C60" i="112"/>
  <c r="B60" i="112"/>
  <c r="T41" i="112"/>
  <c r="F18" i="113"/>
  <c r="E18" i="113"/>
  <c r="G18" i="113"/>
  <c r="H18" i="113"/>
  <c r="K18" i="113"/>
  <c r="L18" i="113"/>
  <c r="M18" i="113"/>
  <c r="N18" i="113"/>
  <c r="O18" i="113"/>
  <c r="Q18" i="113"/>
  <c r="R18" i="113"/>
  <c r="S18" i="113"/>
  <c r="T18" i="113"/>
  <c r="U18" i="113"/>
  <c r="V18" i="113"/>
  <c r="W18" i="113"/>
  <c r="X18" i="113"/>
  <c r="Y18" i="113"/>
  <c r="Z18" i="113"/>
  <c r="D18" i="113"/>
  <c r="W21" i="112"/>
  <c r="W22" i="112"/>
  <c r="W23" i="112"/>
  <c r="W24" i="112"/>
  <c r="W20" i="112"/>
  <c r="V21" i="112"/>
  <c r="V22" i="112"/>
  <c r="V23" i="112"/>
  <c r="V24" i="112"/>
  <c r="V20" i="112"/>
  <c r="U21" i="112"/>
  <c r="U22" i="112"/>
  <c r="U23" i="112"/>
  <c r="U24" i="112"/>
  <c r="U20" i="112"/>
  <c r="T21" i="112"/>
  <c r="T22" i="112"/>
  <c r="T23" i="112"/>
  <c r="T24" i="112"/>
  <c r="T20" i="112"/>
  <c r="S21" i="112"/>
  <c r="S22" i="112"/>
  <c r="S23" i="112"/>
  <c r="S24" i="112"/>
  <c r="S20" i="112"/>
  <c r="R21" i="112"/>
  <c r="R22" i="112"/>
  <c r="R23" i="112"/>
  <c r="R24" i="112"/>
  <c r="R20" i="112"/>
  <c r="Q21" i="112"/>
  <c r="Q22" i="112"/>
  <c r="Q23" i="112"/>
  <c r="Q24" i="112"/>
  <c r="Q20" i="112"/>
  <c r="P21" i="112"/>
  <c r="P22" i="112"/>
  <c r="P23" i="112"/>
  <c r="P24" i="112"/>
  <c r="P20" i="112"/>
  <c r="O21" i="112"/>
  <c r="O22" i="112"/>
  <c r="O23" i="112"/>
  <c r="O24" i="112"/>
  <c r="O20" i="112"/>
  <c r="N21" i="112"/>
  <c r="N22" i="112"/>
  <c r="N23" i="112"/>
  <c r="N24" i="112"/>
  <c r="N20" i="112"/>
  <c r="M21" i="112"/>
  <c r="M22" i="112"/>
  <c r="M23" i="112"/>
  <c r="M24" i="112"/>
  <c r="M20" i="112"/>
  <c r="L21" i="112"/>
  <c r="L22" i="112"/>
  <c r="L23" i="112"/>
  <c r="L24" i="112"/>
  <c r="L20" i="112"/>
  <c r="K21" i="112"/>
  <c r="K22" i="112"/>
  <c r="K23" i="112"/>
  <c r="K24" i="112"/>
  <c r="K20" i="112"/>
  <c r="J21" i="112"/>
  <c r="J22" i="112"/>
  <c r="J23" i="112"/>
  <c r="J24" i="112"/>
  <c r="J20" i="112"/>
  <c r="I21" i="112"/>
  <c r="I22" i="112"/>
  <c r="I23" i="112"/>
  <c r="I24" i="112"/>
  <c r="I20" i="112"/>
  <c r="H21" i="112"/>
  <c r="H22" i="112"/>
  <c r="H23" i="112"/>
  <c r="H24" i="112"/>
  <c r="H20" i="112"/>
  <c r="G21" i="112"/>
  <c r="G22" i="112"/>
  <c r="G23" i="112"/>
  <c r="G24" i="112"/>
  <c r="G20" i="112"/>
  <c r="F21" i="112"/>
  <c r="F22" i="112"/>
  <c r="F23" i="112"/>
  <c r="F24" i="112"/>
  <c r="F20" i="112"/>
  <c r="E21" i="112"/>
  <c r="E22" i="112"/>
  <c r="E23" i="112"/>
  <c r="E24" i="112"/>
  <c r="E20" i="112"/>
  <c r="D21" i="112"/>
  <c r="D22" i="112"/>
  <c r="D23" i="112"/>
  <c r="D24" i="112"/>
  <c r="D20" i="112"/>
  <c r="C21" i="112"/>
  <c r="C22" i="112"/>
  <c r="C23" i="112"/>
  <c r="C24" i="112"/>
  <c r="C20" i="112"/>
  <c r="B21" i="112"/>
  <c r="B22" i="112"/>
  <c r="B23" i="112"/>
  <c r="B24" i="112"/>
  <c r="B20" i="112"/>
  <c r="G42" i="112"/>
  <c r="G43" i="112"/>
  <c r="G44" i="112"/>
  <c r="G45" i="112"/>
  <c r="G41" i="112"/>
  <c r="F42" i="112"/>
  <c r="F43" i="112"/>
  <c r="F44" i="112"/>
  <c r="F45" i="112"/>
  <c r="F41" i="112"/>
  <c r="E42" i="112"/>
  <c r="E43" i="112"/>
  <c r="E44" i="112"/>
  <c r="E45" i="112"/>
  <c r="E41" i="112"/>
  <c r="D42" i="112"/>
  <c r="D43" i="112"/>
  <c r="D44" i="112"/>
  <c r="D45" i="112"/>
  <c r="D41" i="112"/>
  <c r="C42" i="112"/>
  <c r="C43" i="112"/>
  <c r="C44" i="112"/>
  <c r="C45" i="112"/>
  <c r="C41" i="112"/>
  <c r="B42" i="112"/>
  <c r="B43" i="112"/>
  <c r="B44" i="112"/>
  <c r="B45" i="112"/>
  <c r="B41" i="112"/>
  <c r="B31" i="114" l="1"/>
  <c r="M31" i="114"/>
  <c r="K31" i="114"/>
  <c r="R31" i="114"/>
  <c r="P31" i="114"/>
  <c r="J31" i="114"/>
  <c r="C31" i="114"/>
  <c r="Q31" i="114"/>
  <c r="N31" i="114"/>
  <c r="V31" i="114"/>
  <c r="L31" i="114"/>
  <c r="U31" i="114"/>
  <c r="H31" i="114"/>
  <c r="D31" i="114"/>
  <c r="I31" i="114"/>
  <c r="S31" i="114"/>
  <c r="T31" i="114"/>
  <c r="H63" i="112"/>
  <c r="F31" i="114"/>
  <c r="E31" i="114"/>
  <c r="G31" i="114"/>
  <c r="W31" i="114"/>
  <c r="O31" i="114"/>
  <c r="H62" i="112"/>
  <c r="H61" i="112"/>
  <c r="H60" i="112"/>
  <c r="H64" i="112"/>
  <c r="U46" i="114"/>
  <c r="U49" i="114" s="1"/>
  <c r="H65" i="114"/>
  <c r="H68" i="114" s="1"/>
  <c r="X25" i="114"/>
  <c r="X26" i="114" s="1"/>
  <c r="B51" i="114"/>
  <c r="H46" i="114"/>
  <c r="E65" i="112"/>
  <c r="U47" i="114" l="1"/>
  <c r="H66" i="114"/>
  <c r="H49" i="114"/>
  <c r="H47" i="114"/>
  <c r="G65" i="112"/>
  <c r="F65" i="112"/>
  <c r="B65" i="112"/>
  <c r="C65" i="112"/>
  <c r="D65" i="112"/>
  <c r="T42" i="112"/>
  <c r="T43" i="112"/>
  <c r="T44" i="112"/>
  <c r="T45" i="112"/>
  <c r="Q43" i="112"/>
  <c r="Q45" i="112"/>
  <c r="Q44" i="112"/>
  <c r="Q41" i="112"/>
  <c r="Q42" i="112"/>
  <c r="R45" i="112"/>
  <c r="R42" i="112"/>
  <c r="R43" i="112"/>
  <c r="R44" i="112"/>
  <c r="R41" i="112"/>
  <c r="S45" i="112"/>
  <c r="S44" i="112"/>
  <c r="S41" i="112"/>
  <c r="S43" i="112"/>
  <c r="S42" i="112"/>
  <c r="B46" i="112"/>
  <c r="R46" i="112" l="1"/>
  <c r="U43" i="112"/>
  <c r="S46" i="112"/>
  <c r="U42" i="112"/>
  <c r="O25" i="112"/>
  <c r="W25" i="112"/>
  <c r="X24" i="112"/>
  <c r="I25" i="112"/>
  <c r="T46" i="112"/>
  <c r="U39" i="112"/>
  <c r="U45" i="112"/>
  <c r="U44" i="112"/>
  <c r="U41" i="112"/>
  <c r="U40" i="112"/>
  <c r="Q46" i="112"/>
  <c r="Q25" i="112"/>
  <c r="X23" i="112"/>
  <c r="X21" i="112"/>
  <c r="H25" i="112"/>
  <c r="P25" i="112"/>
  <c r="F25" i="112"/>
  <c r="V25" i="112"/>
  <c r="X20" i="112"/>
  <c r="E25" i="112"/>
  <c r="M25" i="112"/>
  <c r="U25" i="112"/>
  <c r="N25" i="112"/>
  <c r="X19" i="112"/>
  <c r="D25" i="112"/>
  <c r="L25" i="112"/>
  <c r="T25" i="112"/>
  <c r="G25" i="112"/>
  <c r="C25" i="112"/>
  <c r="K25" i="112"/>
  <c r="S25" i="112"/>
  <c r="X22" i="112"/>
  <c r="X18" i="112"/>
  <c r="J25" i="112"/>
  <c r="R25" i="112"/>
  <c r="B25" i="112"/>
  <c r="X25" i="112" l="1"/>
  <c r="G69" i="112" l="1"/>
  <c r="F69" i="112"/>
  <c r="E69" i="112"/>
  <c r="D69" i="112"/>
  <c r="C69" i="112"/>
  <c r="B69" i="112"/>
  <c r="G68" i="112"/>
  <c r="F68" i="112"/>
  <c r="E68" i="112"/>
  <c r="D68" i="112"/>
  <c r="C68" i="112"/>
  <c r="H67" i="112"/>
  <c r="G70" i="112"/>
  <c r="F70" i="112"/>
  <c r="T50" i="112"/>
  <c r="S50" i="112"/>
  <c r="R50" i="112"/>
  <c r="Q50" i="112"/>
  <c r="G50" i="112"/>
  <c r="F50" i="112"/>
  <c r="E50" i="112"/>
  <c r="D50" i="112"/>
  <c r="C50" i="112"/>
  <c r="B50" i="112"/>
  <c r="G49" i="112"/>
  <c r="F49" i="112"/>
  <c r="E49" i="112"/>
  <c r="D49" i="112"/>
  <c r="C49" i="112"/>
  <c r="B49" i="112"/>
  <c r="U48" i="112"/>
  <c r="H48" i="112"/>
  <c r="H45" i="112"/>
  <c r="H44" i="112"/>
  <c r="H43" i="112"/>
  <c r="G46" i="112"/>
  <c r="G51" i="112" s="1"/>
  <c r="H42" i="112"/>
  <c r="T51" i="112"/>
  <c r="S51" i="112"/>
  <c r="R51" i="112"/>
  <c r="Q51" i="112"/>
  <c r="F46" i="112"/>
  <c r="F51" i="112" s="1"/>
  <c r="E46" i="112"/>
  <c r="E51" i="112" s="1"/>
  <c r="D46" i="112"/>
  <c r="D51" i="112" s="1"/>
  <c r="C46" i="112"/>
  <c r="C51" i="112" s="1"/>
  <c r="H41" i="112"/>
  <c r="H40" i="112"/>
  <c r="H3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X27" i="112"/>
  <c r="R30" i="112"/>
  <c r="J30" i="112"/>
  <c r="B30" i="112"/>
  <c r="W30" i="112"/>
  <c r="V30" i="112"/>
  <c r="U30" i="112"/>
  <c r="T30" i="112"/>
  <c r="S30" i="112"/>
  <c r="Q30" i="112"/>
  <c r="P30" i="112"/>
  <c r="O30" i="112"/>
  <c r="N30" i="112"/>
  <c r="M30" i="112"/>
  <c r="L30" i="112"/>
  <c r="I30" i="112"/>
  <c r="H30" i="112"/>
  <c r="G30" i="112"/>
  <c r="F30" i="112"/>
  <c r="E30" i="112"/>
  <c r="D30" i="112"/>
  <c r="C30" i="112"/>
  <c r="C70" i="112" l="1"/>
  <c r="E70" i="112"/>
  <c r="D70" i="112"/>
  <c r="H65" i="112" l="1"/>
  <c r="H66" i="112" s="1"/>
  <c r="B70" i="112"/>
  <c r="B51" i="112"/>
  <c r="H46" i="112"/>
  <c r="H68" i="112" l="1"/>
  <c r="H49" i="112"/>
  <c r="H47" i="112"/>
  <c r="C61" i="109" l="1"/>
  <c r="C62" i="109"/>
  <c r="C63" i="109"/>
  <c r="C64" i="109"/>
  <c r="B61" i="109"/>
  <c r="B62" i="109"/>
  <c r="B63" i="109"/>
  <c r="B64" i="109"/>
  <c r="B60" i="109"/>
  <c r="B41" i="109"/>
  <c r="C41" i="109"/>
  <c r="J21" i="109"/>
  <c r="J22" i="109"/>
  <c r="J23" i="109"/>
  <c r="J24" i="109"/>
  <c r="J20" i="109"/>
  <c r="G61" i="109"/>
  <c r="G62" i="109"/>
  <c r="G63" i="109"/>
  <c r="G64" i="109"/>
  <c r="G60" i="109"/>
  <c r="F61" i="109"/>
  <c r="F62" i="109"/>
  <c r="F63" i="109"/>
  <c r="F64" i="109"/>
  <c r="F60" i="109"/>
  <c r="E61" i="109"/>
  <c r="E62" i="109"/>
  <c r="E63" i="109"/>
  <c r="E64" i="109"/>
  <c r="E60" i="109"/>
  <c r="D61" i="109"/>
  <c r="D62" i="109"/>
  <c r="D63" i="109"/>
  <c r="D64" i="109"/>
  <c r="D60" i="109"/>
  <c r="C60" i="109"/>
  <c r="G69" i="109"/>
  <c r="G68" i="109"/>
  <c r="W48" i="109"/>
  <c r="T42" i="109"/>
  <c r="T43" i="109"/>
  <c r="T44" i="109"/>
  <c r="T45" i="109"/>
  <c r="T41" i="109"/>
  <c r="S42" i="109"/>
  <c r="S43" i="109"/>
  <c r="S44" i="109"/>
  <c r="S45" i="109"/>
  <c r="S41" i="109"/>
  <c r="R42" i="109"/>
  <c r="R43" i="109"/>
  <c r="R44" i="109"/>
  <c r="R45" i="109"/>
  <c r="R41" i="109"/>
  <c r="Q42" i="109"/>
  <c r="Q43" i="109"/>
  <c r="Q44" i="109"/>
  <c r="Q45" i="109"/>
  <c r="Q41" i="109"/>
  <c r="G42" i="109"/>
  <c r="G43" i="109"/>
  <c r="G44" i="109"/>
  <c r="G45" i="109"/>
  <c r="G41" i="109"/>
  <c r="F42" i="109"/>
  <c r="F43" i="109"/>
  <c r="F44" i="109"/>
  <c r="F45" i="109"/>
  <c r="F41" i="109"/>
  <c r="E42" i="109"/>
  <c r="E43" i="109"/>
  <c r="E44" i="109"/>
  <c r="E45" i="109"/>
  <c r="E41" i="109"/>
  <c r="D42" i="109"/>
  <c r="D43" i="109"/>
  <c r="D44" i="109"/>
  <c r="D45" i="109"/>
  <c r="D41" i="109"/>
  <c r="C42" i="109"/>
  <c r="C43" i="109"/>
  <c r="C44" i="109"/>
  <c r="C45" i="109"/>
  <c r="B42" i="109"/>
  <c r="B43" i="109"/>
  <c r="B44" i="109"/>
  <c r="B45" i="109"/>
  <c r="W21" i="109"/>
  <c r="W22" i="109"/>
  <c r="W23" i="109"/>
  <c r="W24" i="109"/>
  <c r="W20" i="109"/>
  <c r="V21" i="109"/>
  <c r="V22" i="109"/>
  <c r="V23" i="109"/>
  <c r="V24" i="109"/>
  <c r="V20" i="109"/>
  <c r="U21" i="109"/>
  <c r="U22" i="109"/>
  <c r="U23" i="109"/>
  <c r="U24" i="109"/>
  <c r="U20" i="109"/>
  <c r="T21" i="109"/>
  <c r="T22" i="109"/>
  <c r="T23" i="109"/>
  <c r="T24" i="109"/>
  <c r="T20" i="109"/>
  <c r="S21" i="109"/>
  <c r="S22" i="109"/>
  <c r="S23" i="109"/>
  <c r="S24" i="109"/>
  <c r="S20" i="109"/>
  <c r="R21" i="109"/>
  <c r="R22" i="109"/>
  <c r="R23" i="109"/>
  <c r="R24" i="109"/>
  <c r="R20" i="109"/>
  <c r="Q21" i="109"/>
  <c r="Q22" i="109"/>
  <c r="Q23" i="109"/>
  <c r="Q24" i="109"/>
  <c r="Q20" i="109"/>
  <c r="P21" i="109"/>
  <c r="P22" i="109"/>
  <c r="P23" i="109"/>
  <c r="P24" i="109"/>
  <c r="P20" i="109"/>
  <c r="O21" i="109"/>
  <c r="O22" i="109"/>
  <c r="O23" i="109"/>
  <c r="O24" i="109"/>
  <c r="O20" i="109"/>
  <c r="N21" i="109"/>
  <c r="N22" i="109"/>
  <c r="N23" i="109"/>
  <c r="N24" i="109"/>
  <c r="N20" i="109"/>
  <c r="M21" i="109"/>
  <c r="M22" i="109"/>
  <c r="M23" i="109"/>
  <c r="M24" i="109"/>
  <c r="M20" i="109"/>
  <c r="L21" i="109"/>
  <c r="L22" i="109"/>
  <c r="L23" i="109"/>
  <c r="L24" i="109"/>
  <c r="L20" i="109"/>
  <c r="K21" i="109"/>
  <c r="K22" i="109"/>
  <c r="K23" i="109"/>
  <c r="K24" i="109"/>
  <c r="K20" i="109"/>
  <c r="I21" i="109"/>
  <c r="I22" i="109"/>
  <c r="I23" i="109"/>
  <c r="I24" i="109"/>
  <c r="I20" i="109"/>
  <c r="H21" i="109"/>
  <c r="H22" i="109"/>
  <c r="H23" i="109"/>
  <c r="H24" i="109"/>
  <c r="H20" i="109"/>
  <c r="G21" i="109"/>
  <c r="G22" i="109"/>
  <c r="G23" i="109"/>
  <c r="G24" i="109"/>
  <c r="G20" i="109"/>
  <c r="F21" i="109"/>
  <c r="F22" i="109"/>
  <c r="F23" i="109"/>
  <c r="F24" i="109"/>
  <c r="F20" i="109"/>
  <c r="E21" i="109"/>
  <c r="E22" i="109"/>
  <c r="E23" i="109"/>
  <c r="E24" i="109"/>
  <c r="E20" i="109"/>
  <c r="D21" i="109"/>
  <c r="D22" i="109"/>
  <c r="D23" i="109"/>
  <c r="D24" i="109"/>
  <c r="D20" i="109"/>
  <c r="C21" i="109"/>
  <c r="C22" i="109"/>
  <c r="C23" i="109"/>
  <c r="C24" i="109"/>
  <c r="C20" i="109"/>
  <c r="B21" i="109"/>
  <c r="B22" i="109"/>
  <c r="B23" i="109"/>
  <c r="B24" i="109"/>
  <c r="B20" i="109"/>
  <c r="X19" i="109"/>
  <c r="G65" i="109" l="1"/>
  <c r="G70" i="109" s="1"/>
  <c r="H43" i="109" l="1"/>
  <c r="F69" i="109"/>
  <c r="E69" i="109"/>
  <c r="D69" i="109"/>
  <c r="C69" i="109"/>
  <c r="B69" i="109"/>
  <c r="F68" i="109"/>
  <c r="E68" i="109"/>
  <c r="D68" i="109"/>
  <c r="C68" i="109"/>
  <c r="H67" i="109"/>
  <c r="H62" i="109"/>
  <c r="H59" i="109"/>
  <c r="H58" i="109"/>
  <c r="T50" i="109"/>
  <c r="S50" i="109"/>
  <c r="R50" i="109"/>
  <c r="Q50" i="109"/>
  <c r="G50" i="109"/>
  <c r="F50" i="109"/>
  <c r="E50" i="109"/>
  <c r="D50" i="109"/>
  <c r="C50" i="109"/>
  <c r="B50" i="109"/>
  <c r="G49" i="109"/>
  <c r="F49" i="109"/>
  <c r="E49" i="109"/>
  <c r="D49" i="109"/>
  <c r="C49" i="109"/>
  <c r="B49" i="109"/>
  <c r="H48" i="109"/>
  <c r="W39" i="109"/>
  <c r="H39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W28" i="109"/>
  <c r="V28" i="109"/>
  <c r="U28" i="109"/>
  <c r="T28" i="109"/>
  <c r="S28" i="109"/>
  <c r="R28" i="109"/>
  <c r="Q28" i="109"/>
  <c r="P28" i="109"/>
  <c r="O28" i="109"/>
  <c r="N28" i="109"/>
  <c r="M28" i="109"/>
  <c r="L28" i="109"/>
  <c r="K28" i="109"/>
  <c r="J28" i="109"/>
  <c r="I28" i="109"/>
  <c r="H28" i="109"/>
  <c r="G28" i="109"/>
  <c r="F28" i="109"/>
  <c r="E28" i="109"/>
  <c r="D28" i="109"/>
  <c r="C28" i="109"/>
  <c r="B28" i="109"/>
  <c r="X27" i="109"/>
  <c r="F65" i="109" l="1"/>
  <c r="F70" i="109" s="1"/>
  <c r="H61" i="109"/>
  <c r="W25" i="109"/>
  <c r="W30" i="109" s="1"/>
  <c r="E65" i="109"/>
  <c r="E70" i="109" s="1"/>
  <c r="C65" i="109"/>
  <c r="C70" i="109" s="1"/>
  <c r="H60" i="109"/>
  <c r="D65" i="109"/>
  <c r="D70" i="109" s="1"/>
  <c r="H64" i="109"/>
  <c r="H63" i="109"/>
  <c r="T46" i="109"/>
  <c r="T51" i="109" s="1"/>
  <c r="W40" i="109"/>
  <c r="R46" i="109"/>
  <c r="R51" i="109" s="1"/>
  <c r="W41" i="109"/>
  <c r="W42" i="109"/>
  <c r="F46" i="109"/>
  <c r="F51" i="109" s="1"/>
  <c r="H44" i="109"/>
  <c r="H40" i="109"/>
  <c r="H41" i="109"/>
  <c r="E46" i="109"/>
  <c r="E51" i="109" s="1"/>
  <c r="H45" i="109"/>
  <c r="G46" i="109"/>
  <c r="G51" i="109" s="1"/>
  <c r="B46" i="109"/>
  <c r="X22" i="109"/>
  <c r="G25" i="109"/>
  <c r="G30" i="109" s="1"/>
  <c r="V25" i="109"/>
  <c r="V30" i="109" s="1"/>
  <c r="U25" i="109"/>
  <c r="U30" i="109" s="1"/>
  <c r="S25" i="109"/>
  <c r="S30" i="109" s="1"/>
  <c r="P25" i="109"/>
  <c r="P30" i="109" s="1"/>
  <c r="J25" i="109"/>
  <c r="J30" i="109" s="1"/>
  <c r="F25" i="109"/>
  <c r="F30" i="109" s="1"/>
  <c r="C25" i="109"/>
  <c r="C30" i="109" s="1"/>
  <c r="M25" i="109"/>
  <c r="M30" i="109" s="1"/>
  <c r="D25" i="109"/>
  <c r="D30" i="109" s="1"/>
  <c r="H25" i="109"/>
  <c r="H30" i="109" s="1"/>
  <c r="R25" i="109"/>
  <c r="R30" i="109" s="1"/>
  <c r="E25" i="109"/>
  <c r="E30" i="109" s="1"/>
  <c r="Q25" i="109"/>
  <c r="Q30" i="109" s="1"/>
  <c r="K25" i="109"/>
  <c r="K30" i="109" s="1"/>
  <c r="T25" i="109"/>
  <c r="T30" i="109" s="1"/>
  <c r="I25" i="109"/>
  <c r="I30" i="109" s="1"/>
  <c r="N25" i="109"/>
  <c r="N30" i="109" s="1"/>
  <c r="B65" i="109"/>
  <c r="X20" i="109"/>
  <c r="S46" i="109" l="1"/>
  <c r="S51" i="109" s="1"/>
  <c r="H42" i="109"/>
  <c r="C46" i="109"/>
  <c r="C51" i="109" s="1"/>
  <c r="D46" i="109"/>
  <c r="D51" i="109" s="1"/>
  <c r="B51" i="109"/>
  <c r="X21" i="109"/>
  <c r="O25" i="109"/>
  <c r="O30" i="109" s="1"/>
  <c r="X23" i="109"/>
  <c r="X24" i="109"/>
  <c r="L25" i="109"/>
  <c r="L30" i="109" s="1"/>
  <c r="B25" i="109"/>
  <c r="B30" i="109" s="1"/>
  <c r="B70" i="109"/>
  <c r="H65" i="109"/>
  <c r="X25" i="109" l="1"/>
  <c r="X26" i="109" s="1"/>
  <c r="H46" i="109"/>
  <c r="H66" i="109"/>
  <c r="H68" i="109"/>
  <c r="H47" i="109" l="1"/>
  <c r="H49" i="109"/>
  <c r="I23" i="106" l="1"/>
  <c r="I24" i="106"/>
  <c r="I21" i="106"/>
  <c r="H23" i="106"/>
  <c r="H24" i="106"/>
  <c r="H21" i="106"/>
  <c r="G23" i="106"/>
  <c r="G24" i="106"/>
  <c r="G21" i="106"/>
  <c r="F23" i="106"/>
  <c r="F24" i="106"/>
  <c r="F21" i="106"/>
  <c r="E23" i="106"/>
  <c r="E24" i="106"/>
  <c r="E21" i="106"/>
  <c r="D23" i="106"/>
  <c r="D24" i="106"/>
  <c r="D21" i="106"/>
  <c r="C23" i="106"/>
  <c r="C24" i="106"/>
  <c r="C21" i="106"/>
  <c r="B21" i="106"/>
  <c r="B23" i="106"/>
  <c r="B24" i="106"/>
  <c r="B20" i="104"/>
  <c r="C20" i="104"/>
  <c r="D20" i="104"/>
  <c r="E20" i="104"/>
  <c r="F20" i="104"/>
  <c r="G20" i="104"/>
  <c r="H20" i="104"/>
  <c r="I20" i="104"/>
  <c r="T41" i="106" l="1"/>
  <c r="T42" i="106"/>
  <c r="W43" i="106"/>
  <c r="T44" i="106"/>
  <c r="T45" i="106"/>
  <c r="T50" i="106"/>
  <c r="B49" i="106"/>
  <c r="C49" i="106"/>
  <c r="D49" i="106"/>
  <c r="E49" i="106"/>
  <c r="F49" i="106"/>
  <c r="G49" i="106"/>
  <c r="B50" i="106"/>
  <c r="C50" i="106"/>
  <c r="D50" i="106"/>
  <c r="E50" i="106"/>
  <c r="F50" i="106"/>
  <c r="G50" i="106"/>
  <c r="F69" i="106"/>
  <c r="E69" i="106"/>
  <c r="D69" i="106"/>
  <c r="C69" i="106"/>
  <c r="B69" i="106"/>
  <c r="F68" i="106"/>
  <c r="E68" i="106"/>
  <c r="D68" i="106"/>
  <c r="C68" i="106"/>
  <c r="H67" i="106"/>
  <c r="F64" i="106"/>
  <c r="E64" i="106"/>
  <c r="D64" i="106"/>
  <c r="C64" i="106"/>
  <c r="B64" i="106"/>
  <c r="F63" i="106"/>
  <c r="E63" i="106"/>
  <c r="D63" i="106"/>
  <c r="C63" i="106"/>
  <c r="B63" i="106"/>
  <c r="H62" i="106"/>
  <c r="F61" i="106"/>
  <c r="E61" i="106"/>
  <c r="D61" i="106"/>
  <c r="C61" i="106"/>
  <c r="B61" i="106"/>
  <c r="F60" i="106"/>
  <c r="E60" i="106"/>
  <c r="D60" i="106"/>
  <c r="C60" i="106"/>
  <c r="B60" i="106"/>
  <c r="H59" i="106"/>
  <c r="H58" i="106"/>
  <c r="S50" i="106"/>
  <c r="R50" i="106"/>
  <c r="Q50" i="106"/>
  <c r="W48" i="106"/>
  <c r="H48" i="106"/>
  <c r="S45" i="106"/>
  <c r="R45" i="106"/>
  <c r="Q45" i="106"/>
  <c r="G45" i="106"/>
  <c r="F45" i="106"/>
  <c r="E45" i="106"/>
  <c r="D45" i="106"/>
  <c r="C45" i="106"/>
  <c r="B45" i="106"/>
  <c r="S44" i="106"/>
  <c r="R44" i="106"/>
  <c r="Q44" i="106"/>
  <c r="G44" i="106"/>
  <c r="F44" i="106"/>
  <c r="E44" i="106"/>
  <c r="D44" i="106"/>
  <c r="C44" i="106"/>
  <c r="B44" i="106"/>
  <c r="H43" i="106"/>
  <c r="S42" i="106"/>
  <c r="R42" i="106"/>
  <c r="Q42" i="106"/>
  <c r="G42" i="106"/>
  <c r="F42" i="106"/>
  <c r="E42" i="106"/>
  <c r="D42" i="106"/>
  <c r="C42" i="106"/>
  <c r="B42" i="106"/>
  <c r="S41" i="106"/>
  <c r="R41" i="106"/>
  <c r="Q41" i="106"/>
  <c r="G41" i="106"/>
  <c r="F41" i="106"/>
  <c r="E41" i="106"/>
  <c r="D41" i="106"/>
  <c r="C41" i="106"/>
  <c r="B41" i="106"/>
  <c r="W40" i="106"/>
  <c r="H40" i="106"/>
  <c r="W39" i="106"/>
  <c r="H39" i="106"/>
  <c r="W2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W28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X27" i="106"/>
  <c r="W24" i="106"/>
  <c r="V24" i="106"/>
  <c r="U24" i="106"/>
  <c r="T24" i="106"/>
  <c r="S24" i="106"/>
  <c r="R24" i="106"/>
  <c r="Q24" i="106"/>
  <c r="P24" i="106"/>
  <c r="O24" i="106"/>
  <c r="N24" i="106"/>
  <c r="M24" i="106"/>
  <c r="L24" i="106"/>
  <c r="W23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X22" i="106"/>
  <c r="W21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W20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E25" i="106"/>
  <c r="E30" i="106" s="1"/>
  <c r="D25" i="106"/>
  <c r="D30" i="106" s="1"/>
  <c r="X19" i="106"/>
  <c r="W44" i="106" l="1"/>
  <c r="H61" i="106"/>
  <c r="E65" i="106"/>
  <c r="E70" i="106" s="1"/>
  <c r="T25" i="106"/>
  <c r="T30" i="106" s="1"/>
  <c r="U25" i="106"/>
  <c r="U30" i="106" s="1"/>
  <c r="V25" i="106"/>
  <c r="V30" i="106" s="1"/>
  <c r="S25" i="106"/>
  <c r="S30" i="106" s="1"/>
  <c r="J24" i="106"/>
  <c r="J25" i="106" s="1"/>
  <c r="J30" i="106" s="1"/>
  <c r="F65" i="106"/>
  <c r="F70" i="106" s="1"/>
  <c r="D65" i="106"/>
  <c r="D70" i="106" s="1"/>
  <c r="L25" i="106"/>
  <c r="L30" i="106" s="1"/>
  <c r="H64" i="106"/>
  <c r="K24" i="106"/>
  <c r="K25" i="106" s="1"/>
  <c r="K30" i="106" s="1"/>
  <c r="W25" i="106"/>
  <c r="W30" i="106" s="1"/>
  <c r="H60" i="106"/>
  <c r="C65" i="106"/>
  <c r="C70" i="106" s="1"/>
  <c r="P25" i="106"/>
  <c r="P30" i="106" s="1"/>
  <c r="Q25" i="106"/>
  <c r="Q30" i="106" s="1"/>
  <c r="R25" i="106"/>
  <c r="R30" i="106" s="1"/>
  <c r="N25" i="106"/>
  <c r="N30" i="106" s="1"/>
  <c r="O25" i="106"/>
  <c r="O30" i="106" s="1"/>
  <c r="M25" i="106"/>
  <c r="M30" i="106" s="1"/>
  <c r="F25" i="106"/>
  <c r="F30" i="106" s="1"/>
  <c r="G25" i="106"/>
  <c r="G30" i="106" s="1"/>
  <c r="X23" i="106"/>
  <c r="X21" i="106"/>
  <c r="C25" i="106"/>
  <c r="C30" i="106" s="1"/>
  <c r="H25" i="106"/>
  <c r="H30" i="106" s="1"/>
  <c r="I25" i="106"/>
  <c r="I30" i="106" s="1"/>
  <c r="X20" i="106"/>
  <c r="T46" i="106"/>
  <c r="T51" i="106" s="1"/>
  <c r="S46" i="106"/>
  <c r="S51" i="106" s="1"/>
  <c r="W42" i="106"/>
  <c r="W45" i="106"/>
  <c r="Q46" i="106"/>
  <c r="Q51" i="106" s="1"/>
  <c r="R46" i="106"/>
  <c r="R51" i="106" s="1"/>
  <c r="F46" i="106"/>
  <c r="F51" i="106" s="1"/>
  <c r="E46" i="106"/>
  <c r="E51" i="106" s="1"/>
  <c r="G46" i="106"/>
  <c r="G51" i="106" s="1"/>
  <c r="D46" i="106"/>
  <c r="D51" i="106" s="1"/>
  <c r="C46" i="106"/>
  <c r="C51" i="106" s="1"/>
  <c r="H44" i="106"/>
  <c r="H45" i="106"/>
  <c r="B46" i="106"/>
  <c r="H42" i="106"/>
  <c r="B25" i="106"/>
  <c r="B30" i="106" s="1"/>
  <c r="W41" i="106"/>
  <c r="B65" i="106"/>
  <c r="H63" i="106"/>
  <c r="H41" i="106"/>
  <c r="X24" i="106" l="1"/>
  <c r="X25" i="106" s="1"/>
  <c r="X26" i="106" s="1"/>
  <c r="W46" i="106"/>
  <c r="W49" i="106" s="1"/>
  <c r="H46" i="106"/>
  <c r="H49" i="106" s="1"/>
  <c r="B51" i="106"/>
  <c r="H65" i="106"/>
  <c r="B70" i="106"/>
  <c r="W47" i="106" l="1"/>
  <c r="H47" i="106"/>
  <c r="H68" i="106"/>
  <c r="H66" i="106"/>
  <c r="F61" i="104" l="1"/>
  <c r="F63" i="104"/>
  <c r="F64" i="104"/>
  <c r="F60" i="104"/>
  <c r="E61" i="104"/>
  <c r="H62" i="104"/>
  <c r="E63" i="104"/>
  <c r="E64" i="104"/>
  <c r="E60" i="104"/>
  <c r="D61" i="104"/>
  <c r="D63" i="104"/>
  <c r="D64" i="104"/>
  <c r="D60" i="104"/>
  <c r="C61" i="104"/>
  <c r="C63" i="104"/>
  <c r="C64" i="104"/>
  <c r="C60" i="104"/>
  <c r="B61" i="104"/>
  <c r="B63" i="104"/>
  <c r="B64" i="104"/>
  <c r="B60" i="104"/>
  <c r="S42" i="104"/>
  <c r="W43" i="104"/>
  <c r="S44" i="104"/>
  <c r="S45" i="104"/>
  <c r="S41" i="104"/>
  <c r="R42" i="104"/>
  <c r="R44" i="104"/>
  <c r="R45" i="104"/>
  <c r="R41" i="104"/>
  <c r="Q42" i="104"/>
  <c r="Q44" i="104"/>
  <c r="Q45" i="104"/>
  <c r="Q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21" i="104"/>
  <c r="W23" i="104"/>
  <c r="W24" i="104"/>
  <c r="W20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P21" i="104"/>
  <c r="P23" i="104"/>
  <c r="P24" i="104"/>
  <c r="Q21" i="104"/>
  <c r="Q23" i="104"/>
  <c r="Q24" i="104"/>
  <c r="Q20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H21" i="104"/>
  <c r="H23" i="104"/>
  <c r="H24" i="104"/>
  <c r="G21" i="104"/>
  <c r="G23" i="104"/>
  <c r="G24" i="104"/>
  <c r="F21" i="104"/>
  <c r="F23" i="104"/>
  <c r="F24" i="104"/>
  <c r="E21" i="104"/>
  <c r="E23" i="104"/>
  <c r="E24" i="104"/>
  <c r="D21" i="104"/>
  <c r="D23" i="104"/>
  <c r="D24" i="104"/>
  <c r="C21" i="104"/>
  <c r="C23" i="104"/>
  <c r="C24" i="104"/>
  <c r="B21" i="104"/>
  <c r="B23" i="104"/>
  <c r="B24" i="104"/>
  <c r="F69" i="104"/>
  <c r="E69" i="104"/>
  <c r="D69" i="104"/>
  <c r="C69" i="104"/>
  <c r="B69" i="104"/>
  <c r="F68" i="104"/>
  <c r="E68" i="104"/>
  <c r="D68" i="104"/>
  <c r="C68" i="104"/>
  <c r="H67" i="104"/>
  <c r="H59" i="104"/>
  <c r="H58" i="104"/>
  <c r="S50" i="104"/>
  <c r="R50" i="104"/>
  <c r="Q50" i="104"/>
  <c r="G50" i="104"/>
  <c r="F50" i="104"/>
  <c r="E50" i="104"/>
  <c r="D50" i="104"/>
  <c r="C50" i="104"/>
  <c r="B50" i="104"/>
  <c r="G49" i="104"/>
  <c r="F49" i="104"/>
  <c r="E49" i="104"/>
  <c r="D49" i="104"/>
  <c r="C49" i="104"/>
  <c r="B49" i="104"/>
  <c r="W48" i="104"/>
  <c r="H48" i="104"/>
  <c r="W40" i="104"/>
  <c r="H40" i="104"/>
  <c r="W39" i="104"/>
  <c r="H39" i="104"/>
  <c r="W2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W28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X27" i="104"/>
  <c r="X19" i="104"/>
  <c r="S46" i="104" l="1"/>
  <c r="S51" i="104" s="1"/>
  <c r="F46" i="104"/>
  <c r="F51" i="104" s="1"/>
  <c r="P25" i="104"/>
  <c r="P30" i="104" s="1"/>
  <c r="K25" i="104"/>
  <c r="K30" i="104" s="1"/>
  <c r="D65" i="104"/>
  <c r="D70" i="104" s="1"/>
  <c r="H60" i="104"/>
  <c r="B65" i="104"/>
  <c r="W45" i="104"/>
  <c r="W44" i="104"/>
  <c r="W41" i="104"/>
  <c r="H43" i="104"/>
  <c r="E46" i="104"/>
  <c r="E51" i="104" s="1"/>
  <c r="D46" i="104"/>
  <c r="D51" i="104" s="1"/>
  <c r="H41" i="104"/>
  <c r="H42" i="104"/>
  <c r="W25" i="104"/>
  <c r="W30" i="104" s="1"/>
  <c r="U25" i="104"/>
  <c r="U30" i="104" s="1"/>
  <c r="T25" i="104"/>
  <c r="T30" i="104" s="1"/>
  <c r="R25" i="104"/>
  <c r="R30" i="104" s="1"/>
  <c r="O25" i="104"/>
  <c r="O30" i="104" s="1"/>
  <c r="M25" i="104"/>
  <c r="M30" i="104" s="1"/>
  <c r="J25" i="104"/>
  <c r="J30" i="104" s="1"/>
  <c r="I25" i="104"/>
  <c r="I30" i="104" s="1"/>
  <c r="H25" i="104"/>
  <c r="H30" i="104" s="1"/>
  <c r="F25" i="104"/>
  <c r="F30" i="104" s="1"/>
  <c r="E25" i="104"/>
  <c r="E30" i="104" s="1"/>
  <c r="C25" i="104"/>
  <c r="C30" i="104" s="1"/>
  <c r="W42" i="104"/>
  <c r="F65" i="104" l="1"/>
  <c r="F70" i="104" s="1"/>
  <c r="B70" i="104"/>
  <c r="H61" i="104"/>
  <c r="W46" i="104"/>
  <c r="W49" i="104" s="1"/>
  <c r="R46" i="104"/>
  <c r="R51" i="104" s="1"/>
  <c r="Q46" i="104"/>
  <c r="Q51" i="104" s="1"/>
  <c r="B46" i="104"/>
  <c r="B51" i="104" s="1"/>
  <c r="N25" i="104"/>
  <c r="N30" i="104" s="1"/>
  <c r="B25" i="104"/>
  <c r="B30" i="104" s="1"/>
  <c r="B61" i="103"/>
  <c r="F63" i="103"/>
  <c r="F64" i="103"/>
  <c r="F61" i="103"/>
  <c r="E63" i="103"/>
  <c r="E64" i="103"/>
  <c r="E61" i="103"/>
  <c r="D63" i="103"/>
  <c r="D64" i="103"/>
  <c r="D61" i="103"/>
  <c r="C63" i="103"/>
  <c r="C64" i="103"/>
  <c r="C61" i="103"/>
  <c r="B63" i="103"/>
  <c r="B64" i="103"/>
  <c r="S44" i="103"/>
  <c r="S45" i="103"/>
  <c r="S42" i="103"/>
  <c r="R44" i="103"/>
  <c r="R45" i="103"/>
  <c r="R42" i="103"/>
  <c r="Q42" i="103"/>
  <c r="Q44" i="103"/>
  <c r="Q45" i="103"/>
  <c r="W47" i="104" l="1"/>
  <c r="W23" i="103"/>
  <c r="W24" i="103"/>
  <c r="W21" i="103"/>
  <c r="V23" i="103"/>
  <c r="V24" i="103"/>
  <c r="V21" i="103"/>
  <c r="U23" i="103"/>
  <c r="U24" i="103"/>
  <c r="U21" i="103"/>
  <c r="T23" i="103"/>
  <c r="T24" i="103"/>
  <c r="T21" i="103"/>
  <c r="S23" i="103"/>
  <c r="S24" i="103"/>
  <c r="S21" i="103"/>
  <c r="R23" i="103"/>
  <c r="R24" i="103"/>
  <c r="R21" i="103"/>
  <c r="Q23" i="103"/>
  <c r="Q24" i="103"/>
  <c r="Q21" i="103"/>
  <c r="P23" i="103"/>
  <c r="P24" i="103"/>
  <c r="P21" i="103"/>
  <c r="O23" i="103"/>
  <c r="O24" i="103"/>
  <c r="O21" i="103"/>
  <c r="N23" i="103"/>
  <c r="N24" i="103"/>
  <c r="N21" i="103"/>
  <c r="M23" i="103"/>
  <c r="M24" i="103"/>
  <c r="M21" i="103"/>
  <c r="L23" i="103"/>
  <c r="L24" i="103"/>
  <c r="L21" i="103"/>
  <c r="K23" i="103"/>
  <c r="K24" i="103"/>
  <c r="K21" i="103"/>
  <c r="J23" i="103"/>
  <c r="J24" i="103"/>
  <c r="J21" i="103"/>
  <c r="I23" i="103"/>
  <c r="I24" i="103"/>
  <c r="I21" i="103"/>
  <c r="H23" i="103"/>
  <c r="H24" i="103"/>
  <c r="H21" i="103"/>
  <c r="G23" i="103"/>
  <c r="G24" i="103"/>
  <c r="G21" i="103"/>
  <c r="F23" i="103"/>
  <c r="F24" i="103"/>
  <c r="F21" i="103"/>
  <c r="E23" i="103"/>
  <c r="E24" i="103"/>
  <c r="E21" i="103"/>
  <c r="D23" i="103"/>
  <c r="D24" i="103"/>
  <c r="D21" i="103"/>
  <c r="C23" i="103"/>
  <c r="C24" i="103"/>
  <c r="C21" i="103"/>
  <c r="B23" i="103"/>
  <c r="B24" i="103"/>
  <c r="B21" i="103"/>
  <c r="F69" i="103" l="1"/>
  <c r="E69" i="103"/>
  <c r="D69" i="103"/>
  <c r="C69" i="103"/>
  <c r="B69" i="103"/>
  <c r="F68" i="103"/>
  <c r="E68" i="103"/>
  <c r="D68" i="103"/>
  <c r="C68" i="103"/>
  <c r="H67" i="103"/>
  <c r="H64" i="103"/>
  <c r="F65" i="103"/>
  <c r="F70" i="103" s="1"/>
  <c r="H62" i="103"/>
  <c r="E65" i="103"/>
  <c r="E70" i="103" s="1"/>
  <c r="D65" i="103"/>
  <c r="D70" i="103" s="1"/>
  <c r="H60" i="103"/>
  <c r="H59" i="103"/>
  <c r="H58" i="103"/>
  <c r="S50" i="103"/>
  <c r="R50" i="103"/>
  <c r="Q50" i="103"/>
  <c r="G50" i="103"/>
  <c r="F50" i="103"/>
  <c r="E50" i="103"/>
  <c r="D50" i="103"/>
  <c r="C50" i="103"/>
  <c r="B50" i="103"/>
  <c r="G49" i="103"/>
  <c r="F49" i="103"/>
  <c r="E49" i="103"/>
  <c r="D49" i="103"/>
  <c r="C49" i="103"/>
  <c r="B49" i="103"/>
  <c r="W48" i="103"/>
  <c r="H48" i="103"/>
  <c r="W43" i="103"/>
  <c r="H43" i="103"/>
  <c r="S46" i="103"/>
  <c r="S51" i="103" s="1"/>
  <c r="W40" i="103"/>
  <c r="H40" i="103"/>
  <c r="W39" i="103"/>
  <c r="H39" i="103"/>
  <c r="W29" i="103"/>
  <c r="V29" i="103"/>
  <c r="U29" i="103"/>
  <c r="T29" i="103"/>
  <c r="S29" i="103"/>
  <c r="R29" i="103"/>
  <c r="Q29" i="103"/>
  <c r="P29" i="103"/>
  <c r="O29" i="103"/>
  <c r="N29" i="103"/>
  <c r="M29" i="103"/>
  <c r="L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O28" i="103"/>
  <c r="N28" i="103"/>
  <c r="M28" i="103"/>
  <c r="L28" i="103"/>
  <c r="K28" i="103"/>
  <c r="J28" i="103"/>
  <c r="I28" i="103"/>
  <c r="H28" i="103"/>
  <c r="G28" i="103"/>
  <c r="F28" i="103"/>
  <c r="E28" i="103"/>
  <c r="D28" i="103"/>
  <c r="C28" i="103"/>
  <c r="B28" i="103"/>
  <c r="X27" i="103"/>
  <c r="P25" i="103"/>
  <c r="P30" i="103" s="1"/>
  <c r="O25" i="103"/>
  <c r="O30" i="103" s="1"/>
  <c r="K25" i="103"/>
  <c r="K30" i="103" s="1"/>
  <c r="G25" i="103"/>
  <c r="G30" i="103" s="1"/>
  <c r="C25" i="103"/>
  <c r="C30" i="103" s="1"/>
  <c r="X22" i="103"/>
  <c r="W25" i="103"/>
  <c r="W30" i="103" s="1"/>
  <c r="V25" i="103"/>
  <c r="V30" i="103" s="1"/>
  <c r="T25" i="103"/>
  <c r="T30" i="103" s="1"/>
  <c r="R25" i="103"/>
  <c r="R30" i="103" s="1"/>
  <c r="M25" i="103"/>
  <c r="M30" i="103" s="1"/>
  <c r="L25" i="103"/>
  <c r="L30" i="103" s="1"/>
  <c r="E25" i="103"/>
  <c r="E30" i="103" s="1"/>
  <c r="D25" i="103"/>
  <c r="D30" i="103" s="1"/>
  <c r="B25" i="103"/>
  <c r="B30" i="103" s="1"/>
  <c r="S25" i="103"/>
  <c r="S30" i="103" s="1"/>
  <c r="Q25" i="103"/>
  <c r="Q30" i="103" s="1"/>
  <c r="J25" i="103"/>
  <c r="J30" i="103" s="1"/>
  <c r="I25" i="103"/>
  <c r="I30" i="103" s="1"/>
  <c r="H25" i="103"/>
  <c r="H30" i="103" s="1"/>
  <c r="X20" i="103"/>
  <c r="X19" i="103"/>
  <c r="H63" i="103" l="1"/>
  <c r="H61" i="103"/>
  <c r="Q46" i="103"/>
  <c r="Q51" i="103" s="1"/>
  <c r="W45" i="103"/>
  <c r="F44" i="103"/>
  <c r="F45" i="103"/>
  <c r="F42" i="103"/>
  <c r="G42" i="103"/>
  <c r="G44" i="103"/>
  <c r="G45" i="103"/>
  <c r="B44" i="103"/>
  <c r="B45" i="103"/>
  <c r="B42" i="103"/>
  <c r="C44" i="103"/>
  <c r="C42" i="103"/>
  <c r="C45" i="103"/>
  <c r="D45" i="103"/>
  <c r="D42" i="103"/>
  <c r="D44" i="103"/>
  <c r="E45" i="103"/>
  <c r="E44" i="103"/>
  <c r="E42" i="103"/>
  <c r="H41" i="103"/>
  <c r="X23" i="103"/>
  <c r="F25" i="103"/>
  <c r="F30" i="103" s="1"/>
  <c r="X21" i="103"/>
  <c r="X24" i="103"/>
  <c r="W44" i="103"/>
  <c r="B65" i="103"/>
  <c r="W41" i="103"/>
  <c r="C65" i="103"/>
  <c r="C70" i="103" s="1"/>
  <c r="W42" i="103"/>
  <c r="U25" i="103"/>
  <c r="U30" i="103" s="1"/>
  <c r="N25" i="103"/>
  <c r="N30" i="103" s="1"/>
  <c r="F46" i="103" l="1"/>
  <c r="F51" i="103" s="1"/>
  <c r="H44" i="103"/>
  <c r="W46" i="103"/>
  <c r="W49" i="103" s="1"/>
  <c r="R46" i="103"/>
  <c r="R51" i="103" s="1"/>
  <c r="C46" i="103"/>
  <c r="C51" i="103" s="1"/>
  <c r="H42" i="103"/>
  <c r="G46" i="103"/>
  <c r="G51" i="103" s="1"/>
  <c r="E46" i="103"/>
  <c r="E51" i="103" s="1"/>
  <c r="D46" i="103"/>
  <c r="D51" i="103" s="1"/>
  <c r="B46" i="103"/>
  <c r="H45" i="103"/>
  <c r="X25" i="103"/>
  <c r="X26" i="103" s="1"/>
  <c r="H65" i="103"/>
  <c r="B70" i="103"/>
  <c r="F61" i="102"/>
  <c r="F63" i="102"/>
  <c r="F64" i="102"/>
  <c r="F60" i="102"/>
  <c r="E61" i="102"/>
  <c r="E63" i="102"/>
  <c r="E64" i="102"/>
  <c r="E60" i="102"/>
  <c r="D61" i="102"/>
  <c r="D63" i="102"/>
  <c r="D64" i="102"/>
  <c r="D60" i="102"/>
  <c r="C61" i="102"/>
  <c r="C63" i="102"/>
  <c r="C64" i="102"/>
  <c r="C60" i="102"/>
  <c r="B61" i="102"/>
  <c r="B63" i="102"/>
  <c r="B64" i="102"/>
  <c r="B60" i="102"/>
  <c r="S42" i="102"/>
  <c r="S44" i="102"/>
  <c r="S45" i="102"/>
  <c r="S41" i="102"/>
  <c r="Q42" i="102"/>
  <c r="Q44" i="102"/>
  <c r="Q45" i="102"/>
  <c r="Q41" i="102"/>
  <c r="G42" i="102"/>
  <c r="G44" i="102"/>
  <c r="G45" i="102"/>
  <c r="G41" i="102"/>
  <c r="F42" i="102"/>
  <c r="F44" i="102"/>
  <c r="F45" i="102"/>
  <c r="F41" i="102"/>
  <c r="E42" i="102"/>
  <c r="E44" i="102"/>
  <c r="E45" i="102"/>
  <c r="E41" i="102"/>
  <c r="D42" i="102"/>
  <c r="D44" i="102"/>
  <c r="D45" i="102"/>
  <c r="D41" i="102"/>
  <c r="C42" i="102"/>
  <c r="C44" i="102"/>
  <c r="C45" i="102"/>
  <c r="C41" i="102"/>
  <c r="B42" i="102"/>
  <c r="B44" i="102"/>
  <c r="B45" i="102"/>
  <c r="B41" i="102"/>
  <c r="W21" i="102"/>
  <c r="W23" i="102"/>
  <c r="W24" i="102"/>
  <c r="W20" i="102"/>
  <c r="V21" i="102"/>
  <c r="V23" i="102"/>
  <c r="V24" i="102"/>
  <c r="V20" i="102"/>
  <c r="U21" i="102"/>
  <c r="U23" i="102"/>
  <c r="U20" i="102"/>
  <c r="U24" i="102" s="1"/>
  <c r="T21" i="102"/>
  <c r="T23" i="102"/>
  <c r="T24" i="102"/>
  <c r="T20" i="102"/>
  <c r="S21" i="102"/>
  <c r="S23" i="102"/>
  <c r="S24" i="102"/>
  <c r="S20" i="102"/>
  <c r="R21" i="102"/>
  <c r="R23" i="102"/>
  <c r="R24" i="102"/>
  <c r="R20" i="102"/>
  <c r="Q21" i="102"/>
  <c r="Q23" i="102"/>
  <c r="Q24" i="102"/>
  <c r="Q20" i="102"/>
  <c r="P21" i="102"/>
  <c r="P23" i="102"/>
  <c r="P24" i="102"/>
  <c r="P20" i="102"/>
  <c r="O21" i="102"/>
  <c r="O23" i="102"/>
  <c r="O20" i="102"/>
  <c r="O24" i="102" s="1"/>
  <c r="N21" i="102"/>
  <c r="N23" i="102"/>
  <c r="N20" i="102"/>
  <c r="N24" i="102" s="1"/>
  <c r="M21" i="102"/>
  <c r="M23" i="102"/>
  <c r="M24" i="102"/>
  <c r="M20" i="102"/>
  <c r="L21" i="102"/>
  <c r="L23" i="102"/>
  <c r="L24" i="102"/>
  <c r="L20" i="102"/>
  <c r="K21" i="102"/>
  <c r="K23" i="102"/>
  <c r="K24" i="102"/>
  <c r="K20" i="102"/>
  <c r="J21" i="102"/>
  <c r="J23" i="102"/>
  <c r="J20" i="102"/>
  <c r="I21" i="102"/>
  <c r="I23" i="102"/>
  <c r="I24" i="102"/>
  <c r="I20" i="102"/>
  <c r="H21" i="102"/>
  <c r="H23" i="102"/>
  <c r="H20" i="102"/>
  <c r="G21" i="102"/>
  <c r="G23" i="102"/>
  <c r="G24" i="102"/>
  <c r="G20" i="102"/>
  <c r="F21" i="102"/>
  <c r="F23" i="102"/>
  <c r="F24" i="102"/>
  <c r="F20" i="102"/>
  <c r="E21" i="102"/>
  <c r="E23" i="102"/>
  <c r="E24" i="102"/>
  <c r="E20" i="102"/>
  <c r="D21" i="102"/>
  <c r="D23" i="102"/>
  <c r="D24" i="102"/>
  <c r="D20" i="102"/>
  <c r="C21" i="102"/>
  <c r="C23" i="102"/>
  <c r="C24" i="102"/>
  <c r="C20" i="102"/>
  <c r="B21" i="102"/>
  <c r="B23" i="102"/>
  <c r="B24" i="102"/>
  <c r="B20" i="102"/>
  <c r="F69" i="102"/>
  <c r="E69" i="102"/>
  <c r="D69" i="102"/>
  <c r="C69" i="102"/>
  <c r="B69" i="102"/>
  <c r="F68" i="102"/>
  <c r="E68" i="102"/>
  <c r="D68" i="102"/>
  <c r="C68" i="102"/>
  <c r="H67" i="102"/>
  <c r="H59" i="102"/>
  <c r="H58" i="102"/>
  <c r="S50" i="102"/>
  <c r="R50" i="102"/>
  <c r="Q50" i="102"/>
  <c r="G50" i="102"/>
  <c r="F50" i="102"/>
  <c r="E50" i="102"/>
  <c r="D50" i="102"/>
  <c r="C50" i="102"/>
  <c r="B50" i="102"/>
  <c r="G49" i="102"/>
  <c r="F49" i="102"/>
  <c r="E49" i="102"/>
  <c r="D49" i="102"/>
  <c r="C49" i="102"/>
  <c r="B49" i="102"/>
  <c r="W48" i="102"/>
  <c r="H48" i="102"/>
  <c r="W40" i="102"/>
  <c r="H40" i="102"/>
  <c r="W39" i="102"/>
  <c r="H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X27" i="102"/>
  <c r="X19" i="102"/>
  <c r="H46" i="103" l="1"/>
  <c r="H49" i="103" s="1"/>
  <c r="S46" i="102"/>
  <c r="S51" i="102" s="1"/>
  <c r="R41" i="102"/>
  <c r="W41" i="102" s="1"/>
  <c r="R42" i="102"/>
  <c r="W47" i="103"/>
  <c r="B51" i="103"/>
  <c r="H66" i="103"/>
  <c r="H68" i="103"/>
  <c r="U25" i="102"/>
  <c r="U30" i="102" s="1"/>
  <c r="E65" i="102"/>
  <c r="E70" i="102" s="1"/>
  <c r="H63" i="102"/>
  <c r="H62" i="102"/>
  <c r="H64" i="102"/>
  <c r="C65" i="102"/>
  <c r="C70" i="102" s="1"/>
  <c r="H60" i="102"/>
  <c r="D65" i="102"/>
  <c r="D70" i="102" s="1"/>
  <c r="R44" i="102"/>
  <c r="W43" i="102"/>
  <c r="H45" i="102"/>
  <c r="G46" i="102"/>
  <c r="G51" i="102" s="1"/>
  <c r="H43" i="102"/>
  <c r="D46" i="102"/>
  <c r="D51" i="102" s="1"/>
  <c r="E46" i="102"/>
  <c r="E51" i="102" s="1"/>
  <c r="F46" i="102"/>
  <c r="F51" i="102" s="1"/>
  <c r="H41" i="102"/>
  <c r="H42" i="102"/>
  <c r="W25" i="102"/>
  <c r="W30" i="102" s="1"/>
  <c r="S25" i="102"/>
  <c r="S30" i="102" s="1"/>
  <c r="X22" i="102"/>
  <c r="R25" i="102"/>
  <c r="R30" i="102" s="1"/>
  <c r="O25" i="102"/>
  <c r="O30" i="102" s="1"/>
  <c r="M25" i="102"/>
  <c r="M30" i="102" s="1"/>
  <c r="X21" i="102"/>
  <c r="I25" i="102"/>
  <c r="I30" i="102" s="1"/>
  <c r="H24" i="102"/>
  <c r="H25" i="102" s="1"/>
  <c r="H30" i="102" s="1"/>
  <c r="G25" i="102"/>
  <c r="G30" i="102" s="1"/>
  <c r="E25" i="102"/>
  <c r="E30" i="102" s="1"/>
  <c r="C25" i="102"/>
  <c r="C30" i="102" s="1"/>
  <c r="B25" i="102"/>
  <c r="B30" i="102" s="1"/>
  <c r="L25" i="102"/>
  <c r="L30" i="102" s="1"/>
  <c r="T25" i="102"/>
  <c r="T30" i="102" s="1"/>
  <c r="V25" i="102"/>
  <c r="V30" i="102" s="1"/>
  <c r="P25" i="102"/>
  <c r="P30" i="102" s="1"/>
  <c r="J24" i="102"/>
  <c r="J25" i="102" s="1"/>
  <c r="J30" i="102" s="1"/>
  <c r="F25" i="102"/>
  <c r="F30" i="102" s="1"/>
  <c r="N25" i="102"/>
  <c r="N30" i="102" s="1"/>
  <c r="X20" i="102"/>
  <c r="Q25" i="102"/>
  <c r="Q30" i="102" s="1"/>
  <c r="D25" i="102"/>
  <c r="D30" i="102" s="1"/>
  <c r="K25" i="102"/>
  <c r="K30" i="102" s="1"/>
  <c r="B65" i="102"/>
  <c r="C46" i="102"/>
  <c r="C51" i="102" s="1"/>
  <c r="H47" i="103" l="1"/>
  <c r="R46" i="102"/>
  <c r="F65" i="102"/>
  <c r="F70" i="102" s="1"/>
  <c r="H61" i="102"/>
  <c r="H44" i="102"/>
  <c r="B46" i="102"/>
  <c r="X24" i="102"/>
  <c r="X23" i="102"/>
  <c r="W42" i="102"/>
  <c r="B70" i="102"/>
  <c r="R51" i="102" l="1"/>
  <c r="H65" i="102"/>
  <c r="H66" i="102" s="1"/>
  <c r="B51" i="102"/>
  <c r="H46" i="102"/>
  <c r="X25" i="102"/>
  <c r="X26" i="102" s="1"/>
  <c r="H68" i="102" l="1"/>
  <c r="H49" i="102"/>
  <c r="H47" i="102"/>
  <c r="F63" i="101" l="1"/>
  <c r="F64" i="101"/>
  <c r="F61" i="101"/>
  <c r="E63" i="101"/>
  <c r="E64" i="101"/>
  <c r="E61" i="101"/>
  <c r="D63" i="101"/>
  <c r="D64" i="101"/>
  <c r="D61" i="101"/>
  <c r="C63" i="101"/>
  <c r="C64" i="101"/>
  <c r="C61" i="101"/>
  <c r="B63" i="101"/>
  <c r="B64" i="101"/>
  <c r="B61" i="101"/>
  <c r="G44" i="101"/>
  <c r="G45" i="101"/>
  <c r="G42" i="101"/>
  <c r="F44" i="101"/>
  <c r="F45" i="101"/>
  <c r="F42" i="101"/>
  <c r="E44" i="101"/>
  <c r="E45" i="101"/>
  <c r="E42" i="101"/>
  <c r="D44" i="101"/>
  <c r="D45" i="101"/>
  <c r="D42" i="101"/>
  <c r="C44" i="101"/>
  <c r="C45" i="101"/>
  <c r="C42" i="101"/>
  <c r="B44" i="101"/>
  <c r="B45" i="101"/>
  <c r="B42" i="101"/>
  <c r="X22" i="101" l="1"/>
  <c r="W23" i="101"/>
  <c r="W24" i="101"/>
  <c r="W21" i="101"/>
  <c r="V23" i="101"/>
  <c r="V24" i="101"/>
  <c r="V21" i="101"/>
  <c r="U23" i="101"/>
  <c r="U24" i="101"/>
  <c r="U21" i="101"/>
  <c r="T23" i="101"/>
  <c r="T24" i="101"/>
  <c r="T21" i="101"/>
  <c r="S23" i="101"/>
  <c r="S24" i="101"/>
  <c r="S21" i="101"/>
  <c r="R23" i="101"/>
  <c r="R24" i="101"/>
  <c r="R21" i="101"/>
  <c r="Q23" i="101"/>
  <c r="Q24" i="101"/>
  <c r="Q21" i="101"/>
  <c r="P23" i="101"/>
  <c r="P24" i="101"/>
  <c r="P21" i="101"/>
  <c r="O23" i="101"/>
  <c r="O24" i="101"/>
  <c r="O21" i="101"/>
  <c r="N23" i="101"/>
  <c r="N24" i="101"/>
  <c r="N21" i="101"/>
  <c r="M23" i="101"/>
  <c r="M24" i="101"/>
  <c r="M21" i="101"/>
  <c r="L23" i="101"/>
  <c r="L24" i="101"/>
  <c r="L21" i="101"/>
  <c r="K23" i="101"/>
  <c r="K24" i="101"/>
  <c r="K21" i="101"/>
  <c r="J23" i="101"/>
  <c r="J24" i="101"/>
  <c r="J21" i="101"/>
  <c r="I23" i="101"/>
  <c r="I24" i="101"/>
  <c r="I21" i="101"/>
  <c r="H23" i="101"/>
  <c r="H24" i="101"/>
  <c r="H21" i="101"/>
  <c r="G23" i="101"/>
  <c r="G24" i="101"/>
  <c r="G21" i="101"/>
  <c r="F23" i="101"/>
  <c r="F24" i="101"/>
  <c r="F21" i="101"/>
  <c r="E23" i="101"/>
  <c r="E24" i="101"/>
  <c r="E21" i="101"/>
  <c r="D23" i="101"/>
  <c r="D24" i="101"/>
  <c r="D21" i="101"/>
  <c r="C23" i="101"/>
  <c r="C24" i="101"/>
  <c r="C21" i="101"/>
  <c r="B21" i="101"/>
  <c r="B23" i="101"/>
  <c r="B24" i="101"/>
  <c r="X20" i="101"/>
  <c r="X19" i="101"/>
  <c r="O25" i="101" l="1"/>
  <c r="N25" i="101"/>
  <c r="P25" i="101"/>
  <c r="X23" i="101"/>
  <c r="X24" i="101"/>
  <c r="X21" i="101"/>
  <c r="X25" i="101" l="1"/>
  <c r="F69" i="101"/>
  <c r="E69" i="101"/>
  <c r="D69" i="101"/>
  <c r="C69" i="101"/>
  <c r="B69" i="101"/>
  <c r="F68" i="101"/>
  <c r="E68" i="101"/>
  <c r="D68" i="101"/>
  <c r="C68" i="101"/>
  <c r="H67" i="101"/>
  <c r="H64" i="101"/>
  <c r="D65" i="101"/>
  <c r="D70" i="101" s="1"/>
  <c r="H62" i="101"/>
  <c r="F65" i="101"/>
  <c r="F70" i="101" s="1"/>
  <c r="E65" i="101"/>
  <c r="E70" i="101" s="1"/>
  <c r="C65" i="101"/>
  <c r="C70" i="101" s="1"/>
  <c r="B65" i="101"/>
  <c r="H59" i="101"/>
  <c r="H58" i="101"/>
  <c r="S50" i="101"/>
  <c r="R50" i="101"/>
  <c r="Q50" i="101"/>
  <c r="G50" i="101"/>
  <c r="F50" i="101"/>
  <c r="E50" i="101"/>
  <c r="D50" i="101"/>
  <c r="C50" i="101"/>
  <c r="B50" i="101"/>
  <c r="G49" i="101"/>
  <c r="F49" i="101"/>
  <c r="E49" i="101"/>
  <c r="D49" i="101"/>
  <c r="C49" i="101"/>
  <c r="B49" i="101"/>
  <c r="W48" i="101"/>
  <c r="H48" i="101"/>
  <c r="W43" i="101"/>
  <c r="H43" i="101"/>
  <c r="E46" i="101"/>
  <c r="E51" i="101" s="1"/>
  <c r="S41" i="101"/>
  <c r="R41" i="101"/>
  <c r="Q41" i="101"/>
  <c r="H41" i="101"/>
  <c r="W40" i="101"/>
  <c r="H40" i="101"/>
  <c r="W39" i="101"/>
  <c r="H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X27" i="101"/>
  <c r="U25" i="101"/>
  <c r="U30" i="101" s="1"/>
  <c r="T25" i="101"/>
  <c r="T30" i="101" s="1"/>
  <c r="D25" i="101"/>
  <c r="D30" i="101" s="1"/>
  <c r="M25" i="101"/>
  <c r="M30" i="101" s="1"/>
  <c r="L25" i="101"/>
  <c r="L30" i="101" s="1"/>
  <c r="E25" i="101"/>
  <c r="E30" i="101" s="1"/>
  <c r="Q45" i="101" l="1"/>
  <c r="Q42" i="101"/>
  <c r="Q44" i="101"/>
  <c r="S45" i="101"/>
  <c r="S46" i="101"/>
  <c r="S51" i="101" s="1"/>
  <c r="S44" i="101"/>
  <c r="S42" i="101"/>
  <c r="R45" i="101"/>
  <c r="R44" i="101"/>
  <c r="R42" i="101"/>
  <c r="H63" i="101"/>
  <c r="H61" i="101"/>
  <c r="H60" i="101"/>
  <c r="H45" i="101"/>
  <c r="D46" i="101"/>
  <c r="D51" i="101" s="1"/>
  <c r="C46" i="101"/>
  <c r="C51" i="101" s="1"/>
  <c r="G46" i="101"/>
  <c r="G51" i="101" s="1"/>
  <c r="H42" i="101"/>
  <c r="H44" i="101"/>
  <c r="B46" i="101"/>
  <c r="B51" i="101" s="1"/>
  <c r="F46" i="101"/>
  <c r="F51" i="101" s="1"/>
  <c r="I25" i="101"/>
  <c r="I30" i="101" s="1"/>
  <c r="C25" i="101"/>
  <c r="C30" i="101" s="1"/>
  <c r="V25" i="101"/>
  <c r="V30" i="101" s="1"/>
  <c r="N30" i="101"/>
  <c r="G25" i="101"/>
  <c r="G30" i="101" s="1"/>
  <c r="O30" i="101"/>
  <c r="H25" i="101"/>
  <c r="H30" i="101" s="1"/>
  <c r="Q25" i="101"/>
  <c r="Q30" i="101" s="1"/>
  <c r="P30" i="101"/>
  <c r="B25" i="101"/>
  <c r="B30" i="101" s="1"/>
  <c r="J25" i="101"/>
  <c r="J30" i="101" s="1"/>
  <c r="R25" i="101"/>
  <c r="R30" i="101" s="1"/>
  <c r="F25" i="101"/>
  <c r="F30" i="101" s="1"/>
  <c r="K25" i="101"/>
  <c r="K30" i="101" s="1"/>
  <c r="S25" i="101"/>
  <c r="S30" i="101" s="1"/>
  <c r="W25" i="101"/>
  <c r="W30" i="101" s="1"/>
  <c r="H65" i="101"/>
  <c r="W41" i="101"/>
  <c r="B70" i="101"/>
  <c r="W42" i="101" l="1"/>
  <c r="R46" i="101"/>
  <c r="R51" i="101" s="1"/>
  <c r="W44" i="101"/>
  <c r="W45" i="101"/>
  <c r="Q46" i="101"/>
  <c r="Q51" i="101" s="1"/>
  <c r="H46" i="101"/>
  <c r="H49" i="101" s="1"/>
  <c r="H66" i="101"/>
  <c r="H68" i="101"/>
  <c r="W46" i="101" l="1"/>
  <c r="H47" i="101"/>
  <c r="W47" i="101" l="1"/>
  <c r="W49" i="101"/>
  <c r="Z19" i="99"/>
  <c r="B20" i="99"/>
  <c r="C20" i="99"/>
  <c r="D20" i="99"/>
  <c r="E20" i="99"/>
  <c r="F20" i="99"/>
  <c r="G20" i="99"/>
  <c r="H20" i="99"/>
  <c r="I20" i="99"/>
  <c r="J20" i="99"/>
  <c r="K20" i="99"/>
  <c r="L20" i="99"/>
  <c r="M20" i="99"/>
  <c r="N20" i="99"/>
  <c r="O20" i="99"/>
  <c r="P20" i="99"/>
  <c r="Q20" i="99"/>
  <c r="R20" i="99"/>
  <c r="T20" i="99"/>
  <c r="U20" i="99"/>
  <c r="V20" i="99"/>
  <c r="W20" i="99"/>
  <c r="X20" i="99"/>
  <c r="B21" i="99"/>
  <c r="C21" i="99"/>
  <c r="D21" i="99"/>
  <c r="E21" i="99"/>
  <c r="F21" i="99"/>
  <c r="G21" i="99"/>
  <c r="H21" i="99"/>
  <c r="I21" i="99"/>
  <c r="J21" i="99"/>
  <c r="K21" i="99"/>
  <c r="L21" i="99"/>
  <c r="M21" i="99"/>
  <c r="N21" i="99"/>
  <c r="O21" i="99"/>
  <c r="P21" i="99"/>
  <c r="Q21" i="99"/>
  <c r="R21" i="99"/>
  <c r="T21" i="99"/>
  <c r="U21" i="99"/>
  <c r="V21" i="99"/>
  <c r="W21" i="99"/>
  <c r="X21" i="99"/>
  <c r="Z22" i="99"/>
  <c r="B23" i="99"/>
  <c r="C23" i="99"/>
  <c r="D23" i="99"/>
  <c r="E23" i="99"/>
  <c r="F23" i="99"/>
  <c r="G23" i="99"/>
  <c r="H23" i="99"/>
  <c r="I23" i="99"/>
  <c r="J23" i="99"/>
  <c r="K23" i="99"/>
  <c r="L23" i="99"/>
  <c r="M23" i="99"/>
  <c r="N23" i="99"/>
  <c r="O23" i="99"/>
  <c r="P23" i="99"/>
  <c r="Q23" i="99"/>
  <c r="R23" i="99"/>
  <c r="T23" i="99"/>
  <c r="U23" i="99"/>
  <c r="V23" i="99"/>
  <c r="W23" i="99"/>
  <c r="X23" i="99"/>
  <c r="B24" i="99"/>
  <c r="C24" i="99"/>
  <c r="D24" i="99"/>
  <c r="E24" i="99"/>
  <c r="F24" i="99"/>
  <c r="I24" i="99"/>
  <c r="J24" i="99"/>
  <c r="K24" i="99"/>
  <c r="L24" i="99"/>
  <c r="M24" i="99"/>
  <c r="O24" i="99"/>
  <c r="P24" i="99"/>
  <c r="Q24" i="99"/>
  <c r="R24" i="99"/>
  <c r="T24" i="99"/>
  <c r="U24" i="99"/>
  <c r="V24" i="99"/>
  <c r="Z27" i="99"/>
  <c r="B28" i="99"/>
  <c r="C28" i="99"/>
  <c r="D28" i="99"/>
  <c r="E28" i="99"/>
  <c r="F28" i="99"/>
  <c r="G28" i="99"/>
  <c r="H28" i="99"/>
  <c r="I28" i="99"/>
  <c r="J28" i="99"/>
  <c r="K28" i="99"/>
  <c r="L28" i="99"/>
  <c r="M28" i="99"/>
  <c r="N28" i="99"/>
  <c r="O28" i="99"/>
  <c r="P28" i="99"/>
  <c r="Q28" i="99"/>
  <c r="R28" i="99"/>
  <c r="T28" i="99"/>
  <c r="U28" i="99"/>
  <c r="V28" i="99"/>
  <c r="W28" i="99"/>
  <c r="X28" i="99"/>
  <c r="B29" i="99"/>
  <c r="C29" i="99"/>
  <c r="D29" i="99"/>
  <c r="E29" i="99"/>
  <c r="F29" i="99"/>
  <c r="G29" i="99"/>
  <c r="H29" i="99"/>
  <c r="I29" i="99"/>
  <c r="J29" i="99"/>
  <c r="K29" i="99"/>
  <c r="L29" i="99"/>
  <c r="M29" i="99"/>
  <c r="N29" i="99"/>
  <c r="O29" i="99"/>
  <c r="P29" i="99"/>
  <c r="Q29" i="99"/>
  <c r="R29" i="99"/>
  <c r="T29" i="99"/>
  <c r="U29" i="99"/>
  <c r="V29" i="99"/>
  <c r="W29" i="99"/>
  <c r="X29" i="99"/>
  <c r="H39" i="99"/>
  <c r="W39" i="99"/>
  <c r="H40" i="99"/>
  <c r="W40" i="99"/>
  <c r="B41" i="99"/>
  <c r="C41" i="99"/>
  <c r="D41" i="99"/>
  <c r="E41" i="99"/>
  <c r="F41" i="99"/>
  <c r="G41" i="99"/>
  <c r="Q41" i="99"/>
  <c r="R41" i="99"/>
  <c r="S41" i="99"/>
  <c r="T41" i="99"/>
  <c r="B42" i="99"/>
  <c r="C42" i="99"/>
  <c r="D42" i="99"/>
  <c r="E42" i="99"/>
  <c r="F42" i="99"/>
  <c r="G42" i="99"/>
  <c r="Q42" i="99"/>
  <c r="R42" i="99"/>
  <c r="S42" i="99"/>
  <c r="T42" i="99"/>
  <c r="H43" i="99"/>
  <c r="W43" i="99"/>
  <c r="B44" i="99"/>
  <c r="C44" i="99"/>
  <c r="D44" i="99"/>
  <c r="E44" i="99"/>
  <c r="F44" i="99"/>
  <c r="G44" i="99"/>
  <c r="Q44" i="99"/>
  <c r="R44" i="99"/>
  <c r="S44" i="99"/>
  <c r="T44" i="99"/>
  <c r="B45" i="99"/>
  <c r="C45" i="99"/>
  <c r="D45" i="99"/>
  <c r="S45" i="99"/>
  <c r="T45" i="99"/>
  <c r="H48" i="99"/>
  <c r="W48" i="99"/>
  <c r="B49" i="99"/>
  <c r="C49" i="99"/>
  <c r="D49" i="99"/>
  <c r="E49" i="99"/>
  <c r="F49" i="99"/>
  <c r="G49" i="99"/>
  <c r="B50" i="99"/>
  <c r="C50" i="99"/>
  <c r="D50" i="99"/>
  <c r="E50" i="99"/>
  <c r="F50" i="99"/>
  <c r="G50" i="99"/>
  <c r="Q50" i="99"/>
  <c r="R50" i="99"/>
  <c r="S50" i="99"/>
  <c r="T50" i="99"/>
  <c r="H58" i="99"/>
  <c r="H59" i="99"/>
  <c r="B60" i="99"/>
  <c r="C60" i="99"/>
  <c r="D60" i="99"/>
  <c r="E60" i="99"/>
  <c r="F60" i="99"/>
  <c r="G60" i="99"/>
  <c r="B61" i="99"/>
  <c r="C61" i="99"/>
  <c r="D61" i="99"/>
  <c r="E61" i="99"/>
  <c r="F61" i="99"/>
  <c r="G61" i="99"/>
  <c r="H62" i="99"/>
  <c r="B63" i="99"/>
  <c r="C63" i="99"/>
  <c r="D63" i="99"/>
  <c r="E63" i="99"/>
  <c r="F63" i="99"/>
  <c r="G63" i="99"/>
  <c r="C64" i="99"/>
  <c r="D64" i="99"/>
  <c r="F64" i="99"/>
  <c r="G64" i="99"/>
  <c r="H67" i="99"/>
  <c r="C68" i="99"/>
  <c r="D68" i="99"/>
  <c r="E68" i="99"/>
  <c r="F68" i="99"/>
  <c r="G68" i="99"/>
  <c r="B69" i="99"/>
  <c r="C69" i="99"/>
  <c r="D69" i="99"/>
  <c r="E69" i="99"/>
  <c r="F69" i="99"/>
  <c r="G69" i="99"/>
  <c r="E46" i="99" l="1"/>
  <c r="E51" i="99" s="1"/>
  <c r="F46" i="99"/>
  <c r="F51" i="99" s="1"/>
  <c r="W45" i="99"/>
  <c r="H60" i="99"/>
  <c r="S46" i="99"/>
  <c r="S51" i="99" s="1"/>
  <c r="J25" i="99"/>
  <c r="J30" i="99" s="1"/>
  <c r="B65" i="99"/>
  <c r="B70" i="99" s="1"/>
  <c r="B25" i="99"/>
  <c r="B30" i="99" s="1"/>
  <c r="H45" i="99"/>
  <c r="G25" i="99"/>
  <c r="G30" i="99" s="1"/>
  <c r="E65" i="99"/>
  <c r="E70" i="99" s="1"/>
  <c r="V25" i="99"/>
  <c r="V30" i="99" s="1"/>
  <c r="E25" i="99"/>
  <c r="E30" i="99" s="1"/>
  <c r="N25" i="99"/>
  <c r="N30" i="99" s="1"/>
  <c r="M25" i="99"/>
  <c r="M30" i="99" s="1"/>
  <c r="R25" i="99"/>
  <c r="R30" i="99" s="1"/>
  <c r="L25" i="99"/>
  <c r="L30" i="99" s="1"/>
  <c r="H42" i="99"/>
  <c r="Q25" i="99"/>
  <c r="Q30" i="99" s="1"/>
  <c r="K25" i="99"/>
  <c r="K30" i="99" s="1"/>
  <c r="D65" i="99"/>
  <c r="D70" i="99" s="1"/>
  <c r="Z23" i="99"/>
  <c r="H64" i="99"/>
  <c r="T46" i="99"/>
  <c r="T51" i="99" s="1"/>
  <c r="Z24" i="99"/>
  <c r="X25" i="99"/>
  <c r="X30" i="99" s="1"/>
  <c r="W25" i="99"/>
  <c r="W30" i="99" s="1"/>
  <c r="C65" i="99"/>
  <c r="C70" i="99" s="1"/>
  <c r="D46" i="99"/>
  <c r="D51" i="99" s="1"/>
  <c r="F25" i="99"/>
  <c r="F30" i="99" s="1"/>
  <c r="G65" i="99"/>
  <c r="G70" i="99" s="1"/>
  <c r="H63" i="99"/>
  <c r="O25" i="99"/>
  <c r="O30" i="99" s="1"/>
  <c r="Q46" i="99"/>
  <c r="Q51" i="99" s="1"/>
  <c r="H41" i="99"/>
  <c r="W41" i="99"/>
  <c r="W42" i="99"/>
  <c r="H25" i="99"/>
  <c r="H30" i="99" s="1"/>
  <c r="G46" i="99"/>
  <c r="G51" i="99" s="1"/>
  <c r="F65" i="99"/>
  <c r="F70" i="99" s="1"/>
  <c r="H44" i="99"/>
  <c r="B46" i="99"/>
  <c r="B51" i="99" s="1"/>
  <c r="I25" i="99"/>
  <c r="I30" i="99" s="1"/>
  <c r="P25" i="99"/>
  <c r="P30" i="99" s="1"/>
  <c r="D25" i="99"/>
  <c r="D30" i="99" s="1"/>
  <c r="Z20" i="99"/>
  <c r="U25" i="99"/>
  <c r="U30" i="99" s="1"/>
  <c r="T25" i="99"/>
  <c r="T30" i="99" s="1"/>
  <c r="C25" i="99"/>
  <c r="C30" i="99" s="1"/>
  <c r="H61" i="99"/>
  <c r="C46" i="99"/>
  <c r="C51" i="99" s="1"/>
  <c r="Z21" i="99"/>
  <c r="R46" i="99"/>
  <c r="R51" i="99" s="1"/>
  <c r="W44" i="99"/>
  <c r="W46" i="99" l="1"/>
  <c r="W47" i="99" s="1"/>
  <c r="Z25" i="99"/>
  <c r="Z26" i="99" s="1"/>
  <c r="H65" i="99"/>
  <c r="H68" i="99" s="1"/>
  <c r="H46" i="99"/>
  <c r="W49" i="99" l="1"/>
  <c r="H66" i="99"/>
  <c r="H47" i="99"/>
  <c r="H49" i="99"/>
  <c r="Z19" i="97" l="1"/>
  <c r="B20" i="97"/>
  <c r="C20" i="97"/>
  <c r="D20" i="97"/>
  <c r="E20" i="97"/>
  <c r="F20" i="97"/>
  <c r="G20" i="97"/>
  <c r="H20" i="97"/>
  <c r="I20" i="97"/>
  <c r="J20" i="97"/>
  <c r="K20" i="97"/>
  <c r="L20" i="97"/>
  <c r="M20" i="97"/>
  <c r="N20" i="97"/>
  <c r="O20" i="97"/>
  <c r="P20" i="97"/>
  <c r="Q20" i="97"/>
  <c r="R20" i="97"/>
  <c r="T20" i="97"/>
  <c r="U20" i="97"/>
  <c r="V20" i="97"/>
  <c r="W20" i="97"/>
  <c r="X20" i="97"/>
  <c r="B21" i="97"/>
  <c r="C21" i="97"/>
  <c r="D21" i="97"/>
  <c r="E21" i="97"/>
  <c r="F21" i="97"/>
  <c r="G21" i="97"/>
  <c r="H21" i="97"/>
  <c r="I21" i="97"/>
  <c r="J21" i="97"/>
  <c r="K21" i="97"/>
  <c r="L21" i="97"/>
  <c r="M21" i="97"/>
  <c r="N21" i="97"/>
  <c r="O21" i="97"/>
  <c r="P21" i="97"/>
  <c r="Q21" i="97"/>
  <c r="R21" i="97"/>
  <c r="T21" i="97"/>
  <c r="U21" i="97"/>
  <c r="V21" i="97"/>
  <c r="W21" i="97"/>
  <c r="X21" i="97"/>
  <c r="Z22" i="97"/>
  <c r="B23" i="97"/>
  <c r="C23" i="97"/>
  <c r="D23" i="97"/>
  <c r="E23" i="97"/>
  <c r="F23" i="97"/>
  <c r="G23" i="97"/>
  <c r="H23" i="97"/>
  <c r="I23" i="97"/>
  <c r="J23" i="97"/>
  <c r="K23" i="97"/>
  <c r="L23" i="97"/>
  <c r="M23" i="97"/>
  <c r="N23" i="97"/>
  <c r="O23" i="97"/>
  <c r="P23" i="97"/>
  <c r="Q23" i="97"/>
  <c r="R23" i="97"/>
  <c r="T23" i="97"/>
  <c r="U23" i="97"/>
  <c r="V23" i="97"/>
  <c r="W23" i="97"/>
  <c r="X23" i="97"/>
  <c r="B24" i="97"/>
  <c r="C24" i="97"/>
  <c r="D24" i="97"/>
  <c r="E24" i="97"/>
  <c r="F24" i="97"/>
  <c r="G24" i="97"/>
  <c r="H24" i="97"/>
  <c r="I24" i="97"/>
  <c r="J24" i="97"/>
  <c r="K24" i="97"/>
  <c r="L24" i="97"/>
  <c r="M24" i="97"/>
  <c r="N24" i="97"/>
  <c r="O24" i="97"/>
  <c r="P24" i="97"/>
  <c r="Q24" i="97"/>
  <c r="R24" i="97"/>
  <c r="T24" i="97"/>
  <c r="U24" i="97"/>
  <c r="V24" i="97"/>
  <c r="W24" i="97"/>
  <c r="X24" i="97"/>
  <c r="Z27" i="97"/>
  <c r="B28" i="97"/>
  <c r="C28" i="97"/>
  <c r="D28" i="97"/>
  <c r="E28" i="97"/>
  <c r="F28" i="97"/>
  <c r="G28" i="97"/>
  <c r="H28" i="97"/>
  <c r="I28" i="97"/>
  <c r="J28" i="97"/>
  <c r="K28" i="97"/>
  <c r="L28" i="97"/>
  <c r="M28" i="97"/>
  <c r="N28" i="97"/>
  <c r="O28" i="97"/>
  <c r="P28" i="97"/>
  <c r="Q28" i="97"/>
  <c r="R28" i="97"/>
  <c r="T28" i="97"/>
  <c r="U28" i="97"/>
  <c r="V28" i="97"/>
  <c r="W28" i="97"/>
  <c r="X28" i="97"/>
  <c r="B29" i="97"/>
  <c r="C29" i="97"/>
  <c r="D29" i="97"/>
  <c r="E29" i="97"/>
  <c r="F29" i="97"/>
  <c r="G29" i="97"/>
  <c r="H29" i="97"/>
  <c r="I29" i="97"/>
  <c r="J29" i="97"/>
  <c r="K29" i="97"/>
  <c r="L29" i="97"/>
  <c r="M29" i="97"/>
  <c r="N29" i="97"/>
  <c r="O29" i="97"/>
  <c r="P29" i="97"/>
  <c r="Q29" i="97"/>
  <c r="R29" i="97"/>
  <c r="T29" i="97"/>
  <c r="U29" i="97"/>
  <c r="V29" i="97"/>
  <c r="W29" i="97"/>
  <c r="X29" i="97"/>
  <c r="H39" i="97"/>
  <c r="W39" i="97"/>
  <c r="H40" i="97"/>
  <c r="W40" i="97"/>
  <c r="B41" i="97"/>
  <c r="C41" i="97"/>
  <c r="D41" i="97"/>
  <c r="E41" i="97"/>
  <c r="F41" i="97"/>
  <c r="G41" i="97"/>
  <c r="Q41" i="97"/>
  <c r="R41" i="97"/>
  <c r="S41" i="97"/>
  <c r="T41" i="97"/>
  <c r="B42" i="97"/>
  <c r="C42" i="97"/>
  <c r="D42" i="97"/>
  <c r="E42" i="97"/>
  <c r="F42" i="97"/>
  <c r="G42" i="97"/>
  <c r="Q42" i="97"/>
  <c r="R42" i="97"/>
  <c r="S42" i="97"/>
  <c r="T42" i="97"/>
  <c r="H43" i="97"/>
  <c r="W43" i="97"/>
  <c r="B44" i="97"/>
  <c r="C44" i="97"/>
  <c r="D44" i="97"/>
  <c r="E44" i="97"/>
  <c r="F44" i="97"/>
  <c r="G44" i="97"/>
  <c r="Q44" i="97"/>
  <c r="R44" i="97"/>
  <c r="S44" i="97"/>
  <c r="T44" i="97"/>
  <c r="B45" i="97"/>
  <c r="C45" i="97"/>
  <c r="D45" i="97"/>
  <c r="E45" i="97"/>
  <c r="F45" i="97"/>
  <c r="G45" i="97"/>
  <c r="Q45" i="97"/>
  <c r="R45" i="97"/>
  <c r="S45" i="97"/>
  <c r="T45" i="97"/>
  <c r="H48" i="97"/>
  <c r="W48" i="97"/>
  <c r="B49" i="97"/>
  <c r="C49" i="97"/>
  <c r="D49" i="97"/>
  <c r="E49" i="97"/>
  <c r="F49" i="97"/>
  <c r="G49" i="97"/>
  <c r="B50" i="97"/>
  <c r="C50" i="97"/>
  <c r="D50" i="97"/>
  <c r="E50" i="97"/>
  <c r="F50" i="97"/>
  <c r="G50" i="97"/>
  <c r="Q50" i="97"/>
  <c r="R50" i="97"/>
  <c r="S50" i="97"/>
  <c r="T50" i="97"/>
  <c r="H58" i="97"/>
  <c r="H59" i="97"/>
  <c r="B60" i="97"/>
  <c r="C60" i="97"/>
  <c r="D60" i="97"/>
  <c r="E60" i="97"/>
  <c r="F60" i="97"/>
  <c r="G60" i="97"/>
  <c r="B61" i="97"/>
  <c r="C61" i="97"/>
  <c r="D61" i="97"/>
  <c r="E61" i="97"/>
  <c r="F61" i="97"/>
  <c r="G61" i="97"/>
  <c r="H62" i="97"/>
  <c r="B63" i="97"/>
  <c r="C63" i="97"/>
  <c r="D63" i="97"/>
  <c r="E63" i="97"/>
  <c r="F63" i="97"/>
  <c r="G63" i="97"/>
  <c r="B64" i="97"/>
  <c r="C64" i="97"/>
  <c r="D64" i="97"/>
  <c r="E64" i="97"/>
  <c r="F64" i="97"/>
  <c r="G64" i="97"/>
  <c r="H67" i="97"/>
  <c r="C68" i="97"/>
  <c r="D68" i="97"/>
  <c r="E68" i="97"/>
  <c r="F68" i="97"/>
  <c r="G68" i="97"/>
  <c r="B69" i="97"/>
  <c r="C69" i="97"/>
  <c r="D69" i="97"/>
  <c r="E69" i="97"/>
  <c r="F69" i="97"/>
  <c r="G69" i="97"/>
  <c r="F69" i="96"/>
  <c r="E69" i="96"/>
  <c r="D69" i="96"/>
  <c r="C69" i="96"/>
  <c r="B69" i="96"/>
  <c r="F68" i="96"/>
  <c r="E68" i="96"/>
  <c r="D68" i="96"/>
  <c r="C68" i="96"/>
  <c r="H67" i="96"/>
  <c r="F64" i="96"/>
  <c r="E64" i="96"/>
  <c r="D64" i="96"/>
  <c r="C64" i="96"/>
  <c r="B64" i="96"/>
  <c r="F63" i="96"/>
  <c r="E63" i="96"/>
  <c r="D63" i="96"/>
  <c r="C63" i="96"/>
  <c r="B63" i="96"/>
  <c r="H62" i="96"/>
  <c r="F61" i="96"/>
  <c r="E61" i="96"/>
  <c r="D61" i="96"/>
  <c r="C61" i="96"/>
  <c r="B61" i="96"/>
  <c r="F60" i="96"/>
  <c r="E60" i="96"/>
  <c r="D60" i="96"/>
  <c r="C60" i="96"/>
  <c r="B60" i="96"/>
  <c r="H59" i="96"/>
  <c r="H58" i="96"/>
  <c r="T50" i="96"/>
  <c r="S50" i="96"/>
  <c r="R50" i="96"/>
  <c r="Q50" i="96"/>
  <c r="G50" i="96"/>
  <c r="F50" i="96"/>
  <c r="E50" i="96"/>
  <c r="D50" i="96"/>
  <c r="C50" i="96"/>
  <c r="B50" i="96"/>
  <c r="G49" i="96"/>
  <c r="F49" i="96"/>
  <c r="E49" i="96"/>
  <c r="D49" i="96"/>
  <c r="C49" i="96"/>
  <c r="B49" i="96"/>
  <c r="W48" i="96"/>
  <c r="H48" i="96"/>
  <c r="T45" i="96"/>
  <c r="S45" i="96"/>
  <c r="R45" i="96"/>
  <c r="Q45" i="96"/>
  <c r="G45" i="96"/>
  <c r="F45" i="96"/>
  <c r="E45" i="96"/>
  <c r="D45" i="96"/>
  <c r="C45" i="96"/>
  <c r="B45" i="96"/>
  <c r="T44" i="96"/>
  <c r="S44" i="96"/>
  <c r="R44" i="96"/>
  <c r="Q44" i="96"/>
  <c r="G44" i="96"/>
  <c r="F44" i="96"/>
  <c r="E44" i="96"/>
  <c r="D44" i="96"/>
  <c r="C44" i="96"/>
  <c r="B44" i="96"/>
  <c r="W43" i="96"/>
  <c r="H43" i="96"/>
  <c r="T42" i="96"/>
  <c r="S42" i="96"/>
  <c r="R42" i="96"/>
  <c r="Q42" i="96"/>
  <c r="G42" i="96"/>
  <c r="F42" i="96"/>
  <c r="E42" i="96"/>
  <c r="D42" i="96"/>
  <c r="C42" i="96"/>
  <c r="B42" i="96"/>
  <c r="T41" i="96"/>
  <c r="S41" i="96"/>
  <c r="R41" i="96"/>
  <c r="Q41" i="96"/>
  <c r="G41" i="96"/>
  <c r="F41" i="96"/>
  <c r="E41" i="96"/>
  <c r="D41" i="96"/>
  <c r="C41" i="96"/>
  <c r="B41" i="96"/>
  <c r="W40" i="96"/>
  <c r="H40" i="96"/>
  <c r="W39" i="96"/>
  <c r="H39" i="96"/>
  <c r="X29" i="96"/>
  <c r="W29" i="96"/>
  <c r="V29" i="96"/>
  <c r="U29" i="96"/>
  <c r="T29" i="96"/>
  <c r="R29" i="96"/>
  <c r="Q29" i="96"/>
  <c r="P29" i="96"/>
  <c r="O29" i="96"/>
  <c r="N29" i="96"/>
  <c r="M29" i="96"/>
  <c r="L29" i="96"/>
  <c r="K29" i="96"/>
  <c r="J29" i="96"/>
  <c r="I29" i="96"/>
  <c r="H29" i="96"/>
  <c r="G29" i="96"/>
  <c r="F29" i="96"/>
  <c r="E29" i="96"/>
  <c r="D29" i="96"/>
  <c r="C29" i="96"/>
  <c r="B29" i="96"/>
  <c r="X28" i="96"/>
  <c r="W28" i="96"/>
  <c r="V28" i="96"/>
  <c r="U28" i="96"/>
  <c r="T28" i="96"/>
  <c r="R28" i="96"/>
  <c r="Q28" i="96"/>
  <c r="P28" i="96"/>
  <c r="O28" i="96"/>
  <c r="N28" i="96"/>
  <c r="M28" i="96"/>
  <c r="L28" i="96"/>
  <c r="K28" i="96"/>
  <c r="J28" i="96"/>
  <c r="I28" i="96"/>
  <c r="H28" i="96"/>
  <c r="G28" i="96"/>
  <c r="F28" i="96"/>
  <c r="E28" i="96"/>
  <c r="D28" i="96"/>
  <c r="C28" i="96"/>
  <c r="B28" i="96"/>
  <c r="Z27" i="96"/>
  <c r="X24" i="96"/>
  <c r="W24" i="96"/>
  <c r="V24" i="96"/>
  <c r="U24" i="96"/>
  <c r="T24" i="96"/>
  <c r="R24" i="96"/>
  <c r="Q24" i="96"/>
  <c r="P24" i="96"/>
  <c r="O24" i="96"/>
  <c r="N24" i="96"/>
  <c r="M24" i="96"/>
  <c r="L24" i="96"/>
  <c r="K24" i="96"/>
  <c r="J24" i="96"/>
  <c r="I24" i="96"/>
  <c r="H24" i="96"/>
  <c r="G24" i="96"/>
  <c r="F24" i="96"/>
  <c r="E24" i="96"/>
  <c r="D24" i="96"/>
  <c r="C24" i="96"/>
  <c r="B24" i="96"/>
  <c r="X23" i="96"/>
  <c r="W23" i="96"/>
  <c r="V23" i="96"/>
  <c r="U23" i="96"/>
  <c r="T23" i="96"/>
  <c r="R23" i="96"/>
  <c r="Q23" i="96"/>
  <c r="P23" i="96"/>
  <c r="O23" i="96"/>
  <c r="N23" i="96"/>
  <c r="M23" i="96"/>
  <c r="L23" i="96"/>
  <c r="K23" i="96"/>
  <c r="J23" i="96"/>
  <c r="I23" i="96"/>
  <c r="H23" i="96"/>
  <c r="G23" i="96"/>
  <c r="F23" i="96"/>
  <c r="E23" i="96"/>
  <c r="D23" i="96"/>
  <c r="C23" i="96"/>
  <c r="B23" i="96"/>
  <c r="Z22" i="96"/>
  <c r="X21" i="96"/>
  <c r="W21" i="96"/>
  <c r="V21" i="96"/>
  <c r="U21" i="96"/>
  <c r="T21" i="96"/>
  <c r="R21" i="96"/>
  <c r="Q21" i="96"/>
  <c r="P21" i="96"/>
  <c r="O21" i="96"/>
  <c r="N21" i="96"/>
  <c r="M21" i="96"/>
  <c r="L21" i="96"/>
  <c r="K21" i="96"/>
  <c r="J21" i="96"/>
  <c r="I21" i="96"/>
  <c r="H21" i="96"/>
  <c r="G21" i="96"/>
  <c r="F21" i="96"/>
  <c r="E21" i="96"/>
  <c r="D21" i="96"/>
  <c r="C21" i="96"/>
  <c r="B21" i="96"/>
  <c r="X20" i="96"/>
  <c r="W20" i="96"/>
  <c r="V20" i="96"/>
  <c r="U20" i="96"/>
  <c r="T20" i="96"/>
  <c r="R20" i="96"/>
  <c r="Q20" i="96"/>
  <c r="P20" i="96"/>
  <c r="O20" i="96"/>
  <c r="N20" i="96"/>
  <c r="M20" i="96"/>
  <c r="L20" i="96"/>
  <c r="K20" i="96"/>
  <c r="J20" i="96"/>
  <c r="I20" i="96"/>
  <c r="H20" i="96"/>
  <c r="G20" i="96"/>
  <c r="F20" i="96"/>
  <c r="E20" i="96"/>
  <c r="D20" i="96"/>
  <c r="C20" i="96"/>
  <c r="B20" i="96"/>
  <c r="Z19" i="96"/>
  <c r="G25" i="97" l="1"/>
  <c r="G30" i="97" s="1"/>
  <c r="E25" i="97"/>
  <c r="E30" i="97" s="1"/>
  <c r="O25" i="97"/>
  <c r="O30" i="97" s="1"/>
  <c r="F25" i="97"/>
  <c r="F30" i="97" s="1"/>
  <c r="H25" i="97"/>
  <c r="H30" i="97" s="1"/>
  <c r="D25" i="97"/>
  <c r="D30" i="97" s="1"/>
  <c r="F46" i="96"/>
  <c r="F51" i="96" s="1"/>
  <c r="T46" i="97"/>
  <c r="T51" i="97" s="1"/>
  <c r="G46" i="96"/>
  <c r="G51" i="96" s="1"/>
  <c r="W41" i="97"/>
  <c r="F65" i="96"/>
  <c r="F70" i="96" s="1"/>
  <c r="H61" i="96"/>
  <c r="N25" i="96"/>
  <c r="N30" i="96" s="1"/>
  <c r="D25" i="96"/>
  <c r="D30" i="96" s="1"/>
  <c r="P25" i="96"/>
  <c r="P30" i="96" s="1"/>
  <c r="W45" i="97"/>
  <c r="P25" i="97"/>
  <c r="P30" i="97" s="1"/>
  <c r="M25" i="96"/>
  <c r="M30" i="96" s="1"/>
  <c r="B65" i="97"/>
  <c r="B70" i="97" s="1"/>
  <c r="Q25" i="96"/>
  <c r="Q30" i="96" s="1"/>
  <c r="O25" i="96"/>
  <c r="O30" i="96" s="1"/>
  <c r="B25" i="96"/>
  <c r="B30" i="96" s="1"/>
  <c r="W41" i="96"/>
  <c r="M25" i="97"/>
  <c r="M30" i="97" s="1"/>
  <c r="J25" i="97"/>
  <c r="J30" i="97" s="1"/>
  <c r="C25" i="96"/>
  <c r="C30" i="96" s="1"/>
  <c r="H61" i="97"/>
  <c r="I25" i="97"/>
  <c r="I30" i="97" s="1"/>
  <c r="W25" i="97"/>
  <c r="W30" i="97" s="1"/>
  <c r="I25" i="96"/>
  <c r="I30" i="96" s="1"/>
  <c r="H44" i="96"/>
  <c r="Q46" i="96"/>
  <c r="Q51" i="96" s="1"/>
  <c r="H64" i="96"/>
  <c r="H64" i="97"/>
  <c r="H45" i="97"/>
  <c r="R25" i="97"/>
  <c r="R30" i="97" s="1"/>
  <c r="Z24" i="96"/>
  <c r="C65" i="96"/>
  <c r="C70" i="96" s="1"/>
  <c r="N25" i="97"/>
  <c r="N30" i="97" s="1"/>
  <c r="E25" i="96"/>
  <c r="E30" i="96" s="1"/>
  <c r="Z23" i="96"/>
  <c r="H63" i="96"/>
  <c r="F46" i="97"/>
  <c r="F51" i="97" s="1"/>
  <c r="Z21" i="97"/>
  <c r="D46" i="97"/>
  <c r="D51" i="97" s="1"/>
  <c r="Z21" i="96"/>
  <c r="W42" i="96"/>
  <c r="W45" i="96"/>
  <c r="H60" i="96"/>
  <c r="E46" i="97"/>
  <c r="E51" i="97" s="1"/>
  <c r="X25" i="97"/>
  <c r="X30" i="97" s="1"/>
  <c r="K25" i="97"/>
  <c r="K30" i="97" s="1"/>
  <c r="H41" i="97"/>
  <c r="R46" i="96"/>
  <c r="R51" i="96" s="1"/>
  <c r="E65" i="96"/>
  <c r="E70" i="96" s="1"/>
  <c r="D65" i="97"/>
  <c r="D70" i="97" s="1"/>
  <c r="F25" i="96"/>
  <c r="F30" i="96" s="1"/>
  <c r="S46" i="96"/>
  <c r="S51" i="96" s="1"/>
  <c r="H42" i="97"/>
  <c r="L25" i="97"/>
  <c r="L30" i="97" s="1"/>
  <c r="G25" i="96"/>
  <c r="G30" i="96" s="1"/>
  <c r="T25" i="96"/>
  <c r="T30" i="96" s="1"/>
  <c r="T46" i="96"/>
  <c r="T51" i="96" s="1"/>
  <c r="W44" i="96"/>
  <c r="H25" i="96"/>
  <c r="H30" i="96" s="1"/>
  <c r="U25" i="96"/>
  <c r="U30" i="96" s="1"/>
  <c r="H45" i="96"/>
  <c r="H63" i="97"/>
  <c r="G65" i="97"/>
  <c r="G70" i="97" s="1"/>
  <c r="Q25" i="97"/>
  <c r="Q30" i="97" s="1"/>
  <c r="H44" i="97"/>
  <c r="H42" i="96"/>
  <c r="F65" i="97"/>
  <c r="F70" i="97" s="1"/>
  <c r="J25" i="96"/>
  <c r="J30" i="96" s="1"/>
  <c r="W25" i="96"/>
  <c r="W30" i="96" s="1"/>
  <c r="H41" i="96"/>
  <c r="E65" i="97"/>
  <c r="E70" i="97" s="1"/>
  <c r="W44" i="97"/>
  <c r="U25" i="97"/>
  <c r="U30" i="97" s="1"/>
  <c r="C25" i="97"/>
  <c r="C30" i="97" s="1"/>
  <c r="D65" i="96"/>
  <c r="D70" i="96" s="1"/>
  <c r="R25" i="96"/>
  <c r="R30" i="96" s="1"/>
  <c r="K25" i="96"/>
  <c r="K30" i="96" s="1"/>
  <c r="X25" i="96"/>
  <c r="X30" i="96" s="1"/>
  <c r="C46" i="96"/>
  <c r="C51" i="96" s="1"/>
  <c r="E46" i="96"/>
  <c r="E51" i="96" s="1"/>
  <c r="R46" i="97"/>
  <c r="R51" i="97" s="1"/>
  <c r="B25" i="97"/>
  <c r="B30" i="97" s="1"/>
  <c r="V25" i="96"/>
  <c r="V30" i="96" s="1"/>
  <c r="L25" i="96"/>
  <c r="L30" i="96" s="1"/>
  <c r="D46" i="96"/>
  <c r="D51" i="96" s="1"/>
  <c r="H60" i="97"/>
  <c r="W42" i="97"/>
  <c r="G46" i="97"/>
  <c r="G51" i="97" s="1"/>
  <c r="V25" i="97"/>
  <c r="V30" i="97" s="1"/>
  <c r="Z23" i="97"/>
  <c r="Z24" i="97"/>
  <c r="T25" i="97"/>
  <c r="T30" i="97" s="1"/>
  <c r="B46" i="97"/>
  <c r="Z20" i="97"/>
  <c r="C46" i="97"/>
  <c r="C51" i="97" s="1"/>
  <c r="Q46" i="97"/>
  <c r="S46" i="97"/>
  <c r="S51" i="97" s="1"/>
  <c r="C65" i="97"/>
  <c r="B65" i="96"/>
  <c r="Z20" i="96"/>
  <c r="B46" i="96"/>
  <c r="W46" i="96" l="1"/>
  <c r="W47" i="96" s="1"/>
  <c r="Z25" i="96"/>
  <c r="Z26" i="96" s="1"/>
  <c r="Z25" i="97"/>
  <c r="Z26" i="97" s="1"/>
  <c r="C70" i="97"/>
  <c r="H65" i="97"/>
  <c r="W46" i="97"/>
  <c r="Q51" i="97"/>
  <c r="H46" i="97"/>
  <c r="B51" i="97"/>
  <c r="H65" i="96"/>
  <c r="B70" i="96"/>
  <c r="B51" i="96"/>
  <c r="H46" i="96"/>
  <c r="W49" i="96" l="1"/>
  <c r="H47" i="97"/>
  <c r="H49" i="97"/>
  <c r="W47" i="97"/>
  <c r="W49" i="97"/>
  <c r="H66" i="97"/>
  <c r="H68" i="97"/>
  <c r="H47" i="96"/>
  <c r="H49" i="96"/>
  <c r="H66" i="96"/>
  <c r="H68" i="96"/>
  <c r="H67" i="87" l="1"/>
  <c r="F69" i="87" l="1"/>
  <c r="E69" i="87"/>
  <c r="D69" i="87"/>
  <c r="C69" i="87"/>
  <c r="B69" i="87"/>
  <c r="F68" i="87"/>
  <c r="E68" i="87"/>
  <c r="D68" i="87"/>
  <c r="C68" i="87"/>
  <c r="F64" i="87"/>
  <c r="E64" i="87"/>
  <c r="D64" i="87"/>
  <c r="C64" i="87"/>
  <c r="B64" i="87"/>
  <c r="F63" i="87"/>
  <c r="E63" i="87"/>
  <c r="D63" i="87"/>
  <c r="C63" i="87"/>
  <c r="B63" i="87"/>
  <c r="H62" i="87"/>
  <c r="F61" i="87"/>
  <c r="E61" i="87"/>
  <c r="D61" i="87"/>
  <c r="C61" i="87"/>
  <c r="B61" i="87"/>
  <c r="F60" i="87"/>
  <c r="E60" i="87"/>
  <c r="D60" i="87"/>
  <c r="C60" i="87"/>
  <c r="B60" i="87"/>
  <c r="H59" i="87"/>
  <c r="H58" i="87"/>
  <c r="R51" i="87"/>
  <c r="Q50" i="87"/>
  <c r="P50" i="87"/>
  <c r="O50" i="87"/>
  <c r="G50" i="87"/>
  <c r="F50" i="87"/>
  <c r="E50" i="87"/>
  <c r="D50" i="87"/>
  <c r="C50" i="87"/>
  <c r="B50" i="87"/>
  <c r="G49" i="87"/>
  <c r="F49" i="87"/>
  <c r="E49" i="87"/>
  <c r="D49" i="87"/>
  <c r="C49" i="87"/>
  <c r="B49" i="87"/>
  <c r="U48" i="87"/>
  <c r="H48" i="87"/>
  <c r="Q45" i="87"/>
  <c r="P45" i="87"/>
  <c r="O45" i="87"/>
  <c r="G45" i="87"/>
  <c r="F45" i="87"/>
  <c r="E45" i="87"/>
  <c r="D45" i="87"/>
  <c r="C45" i="87"/>
  <c r="B45" i="87"/>
  <c r="Q44" i="87"/>
  <c r="P44" i="87"/>
  <c r="O44" i="87"/>
  <c r="G44" i="87"/>
  <c r="F44" i="87"/>
  <c r="E44" i="87"/>
  <c r="D44" i="87"/>
  <c r="C44" i="87"/>
  <c r="B44" i="87"/>
  <c r="U43" i="87"/>
  <c r="H43" i="87"/>
  <c r="Q42" i="87"/>
  <c r="P42" i="87"/>
  <c r="O42" i="87"/>
  <c r="G42" i="87"/>
  <c r="F42" i="87"/>
  <c r="E42" i="87"/>
  <c r="D42" i="87"/>
  <c r="C42" i="87"/>
  <c r="B42" i="87"/>
  <c r="Q41" i="87"/>
  <c r="P41" i="87"/>
  <c r="O41" i="87"/>
  <c r="G41" i="87"/>
  <c r="F41" i="87"/>
  <c r="E41" i="87"/>
  <c r="D41" i="87"/>
  <c r="C41" i="87"/>
  <c r="B41" i="87"/>
  <c r="U40" i="87"/>
  <c r="H40" i="87"/>
  <c r="U39" i="87"/>
  <c r="H39" i="87"/>
  <c r="W29" i="87"/>
  <c r="V29" i="87"/>
  <c r="U29" i="87"/>
  <c r="T2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W28" i="87"/>
  <c r="V28" i="87"/>
  <c r="U28" i="87"/>
  <c r="T28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X27" i="87"/>
  <c r="W24" i="87"/>
  <c r="V24" i="87"/>
  <c r="U24" i="87"/>
  <c r="T24" i="87"/>
  <c r="S24" i="87"/>
  <c r="R24" i="87"/>
  <c r="Q24" i="87"/>
  <c r="P24" i="87"/>
  <c r="O24" i="87"/>
  <c r="N24" i="87"/>
  <c r="M24" i="87"/>
  <c r="L24" i="87"/>
  <c r="K24" i="87"/>
  <c r="J24" i="87"/>
  <c r="I24" i="87"/>
  <c r="H24" i="87"/>
  <c r="G24" i="87"/>
  <c r="F24" i="87"/>
  <c r="E24" i="87"/>
  <c r="D24" i="87"/>
  <c r="C24" i="87"/>
  <c r="B24" i="87"/>
  <c r="W23" i="87"/>
  <c r="V23" i="87"/>
  <c r="U23" i="87"/>
  <c r="T23" i="87"/>
  <c r="S23" i="87"/>
  <c r="R23" i="87"/>
  <c r="Q23" i="87"/>
  <c r="P23" i="87"/>
  <c r="O23" i="87"/>
  <c r="N23" i="87"/>
  <c r="M23" i="87"/>
  <c r="L23" i="87"/>
  <c r="K23" i="87"/>
  <c r="J23" i="87"/>
  <c r="I23" i="87"/>
  <c r="H23" i="87"/>
  <c r="G23" i="87"/>
  <c r="F23" i="87"/>
  <c r="E23" i="87"/>
  <c r="D23" i="87"/>
  <c r="C23" i="87"/>
  <c r="B23" i="87"/>
  <c r="X22" i="87"/>
  <c r="W21" i="87"/>
  <c r="V21" i="87"/>
  <c r="U21" i="87"/>
  <c r="T21" i="87"/>
  <c r="S21" i="87"/>
  <c r="R21" i="87"/>
  <c r="Q21" i="87"/>
  <c r="P21" i="87"/>
  <c r="O21" i="87"/>
  <c r="N21" i="87"/>
  <c r="M21" i="87"/>
  <c r="L21" i="87"/>
  <c r="K21" i="87"/>
  <c r="J21" i="87"/>
  <c r="I21" i="87"/>
  <c r="H21" i="87"/>
  <c r="G21" i="87"/>
  <c r="F21" i="87"/>
  <c r="E21" i="87"/>
  <c r="D21" i="87"/>
  <c r="C21" i="87"/>
  <c r="B21" i="87"/>
  <c r="W20" i="87"/>
  <c r="V20" i="87"/>
  <c r="U20" i="87"/>
  <c r="T20" i="87"/>
  <c r="S20" i="87"/>
  <c r="R20" i="87"/>
  <c r="Q20" i="87"/>
  <c r="P20" i="87"/>
  <c r="O20" i="87"/>
  <c r="N20" i="87"/>
  <c r="M20" i="87"/>
  <c r="L20" i="87"/>
  <c r="K20" i="87"/>
  <c r="J20" i="87"/>
  <c r="I20" i="87"/>
  <c r="H20" i="87"/>
  <c r="G20" i="87"/>
  <c r="F20" i="87"/>
  <c r="E20" i="87"/>
  <c r="D20" i="87"/>
  <c r="C20" i="87"/>
  <c r="B20" i="87"/>
  <c r="X19" i="87"/>
  <c r="H63" i="87" l="1"/>
  <c r="C65" i="87"/>
  <c r="C70" i="87" s="1"/>
  <c r="S25" i="87"/>
  <c r="S30" i="87" s="1"/>
  <c r="K25" i="87"/>
  <c r="K30" i="87" s="1"/>
  <c r="U42" i="87"/>
  <c r="E65" i="87"/>
  <c r="E70" i="87" s="1"/>
  <c r="H64" i="87"/>
  <c r="D65" i="87"/>
  <c r="D70" i="87" s="1"/>
  <c r="F65" i="87"/>
  <c r="F70" i="87" s="1"/>
  <c r="H60" i="87"/>
  <c r="H61" i="87"/>
  <c r="B65" i="87"/>
  <c r="B70" i="87" s="1"/>
  <c r="U45" i="87"/>
  <c r="O46" i="87"/>
  <c r="O51" i="87" s="1"/>
  <c r="P46" i="87"/>
  <c r="P51" i="87" s="1"/>
  <c r="Q46" i="87"/>
  <c r="Q51" i="87" s="1"/>
  <c r="U44" i="87"/>
  <c r="H42" i="87"/>
  <c r="D46" i="87"/>
  <c r="D51" i="87" s="1"/>
  <c r="H45" i="87"/>
  <c r="B46" i="87"/>
  <c r="B51" i="87" s="1"/>
  <c r="E46" i="87"/>
  <c r="E51" i="87" s="1"/>
  <c r="C46" i="87"/>
  <c r="C51" i="87" s="1"/>
  <c r="F46" i="87"/>
  <c r="F51" i="87" s="1"/>
  <c r="H44" i="87"/>
  <c r="G46" i="87"/>
  <c r="G51" i="87" s="1"/>
  <c r="O25" i="87"/>
  <c r="O30" i="87" s="1"/>
  <c r="E25" i="87"/>
  <c r="E30" i="87" s="1"/>
  <c r="W25" i="87"/>
  <c r="W30" i="87" s="1"/>
  <c r="U25" i="87"/>
  <c r="U30" i="87" s="1"/>
  <c r="R25" i="87"/>
  <c r="R30" i="87" s="1"/>
  <c r="T25" i="87"/>
  <c r="T30" i="87" s="1"/>
  <c r="M25" i="87"/>
  <c r="M30" i="87" s="1"/>
  <c r="P25" i="87"/>
  <c r="P30" i="87" s="1"/>
  <c r="L25" i="87"/>
  <c r="L30" i="87" s="1"/>
  <c r="G25" i="87"/>
  <c r="G30" i="87" s="1"/>
  <c r="H25" i="87"/>
  <c r="H30" i="87" s="1"/>
  <c r="B25" i="87"/>
  <c r="B30" i="87" s="1"/>
  <c r="J25" i="87"/>
  <c r="J30" i="87" s="1"/>
  <c r="D25" i="87"/>
  <c r="D30" i="87" s="1"/>
  <c r="C25" i="87"/>
  <c r="C30" i="87" s="1"/>
  <c r="X21" i="87"/>
  <c r="X20" i="87"/>
  <c r="N25" i="87"/>
  <c r="N30" i="87" s="1"/>
  <c r="V25" i="87"/>
  <c r="V30" i="87" s="1"/>
  <c r="X24" i="87"/>
  <c r="X23" i="87"/>
  <c r="I25" i="87"/>
  <c r="I30" i="87" s="1"/>
  <c r="Q25" i="87"/>
  <c r="Q30" i="87" s="1"/>
  <c r="U41" i="87"/>
  <c r="F25" i="87"/>
  <c r="F30" i="87" s="1"/>
  <c r="H41" i="87"/>
  <c r="W21" i="86"/>
  <c r="W23" i="86"/>
  <c r="W24" i="86"/>
  <c r="W20" i="86"/>
  <c r="V21" i="86"/>
  <c r="V23" i="86"/>
  <c r="V24" i="86"/>
  <c r="V20" i="86"/>
  <c r="U21" i="86"/>
  <c r="U23" i="86"/>
  <c r="U24" i="86"/>
  <c r="U20" i="86"/>
  <c r="T21" i="86"/>
  <c r="T23" i="86"/>
  <c r="T24" i="86"/>
  <c r="T20" i="86"/>
  <c r="S21" i="86"/>
  <c r="S23" i="86"/>
  <c r="S24" i="86"/>
  <c r="S20" i="86"/>
  <c r="R21" i="86"/>
  <c r="R23" i="86"/>
  <c r="R24" i="86"/>
  <c r="R20" i="86"/>
  <c r="Q21" i="86"/>
  <c r="Q23" i="86"/>
  <c r="Q24" i="86"/>
  <c r="Q20" i="86"/>
  <c r="P21" i="86"/>
  <c r="P23" i="86"/>
  <c r="P24" i="86"/>
  <c r="P20" i="86"/>
  <c r="O21" i="86"/>
  <c r="O23" i="86"/>
  <c r="O24" i="86"/>
  <c r="O20" i="86"/>
  <c r="N21" i="86"/>
  <c r="N23" i="86"/>
  <c r="N24" i="86"/>
  <c r="N20" i="86"/>
  <c r="M21" i="86"/>
  <c r="M23" i="86"/>
  <c r="M24" i="86"/>
  <c r="M20" i="86"/>
  <c r="L21" i="86"/>
  <c r="L23" i="86"/>
  <c r="L24" i="86"/>
  <c r="L20" i="86"/>
  <c r="K21" i="86"/>
  <c r="K23" i="86"/>
  <c r="K24" i="86"/>
  <c r="K20" i="86"/>
  <c r="J21" i="86"/>
  <c r="J23" i="86"/>
  <c r="J24" i="86"/>
  <c r="J20" i="86"/>
  <c r="I21" i="86"/>
  <c r="I23" i="86"/>
  <c r="I24" i="86"/>
  <c r="I20" i="86"/>
  <c r="H21" i="86"/>
  <c r="H23" i="86"/>
  <c r="H24" i="86"/>
  <c r="H20" i="86"/>
  <c r="G21" i="86"/>
  <c r="G23" i="86"/>
  <c r="G24" i="86"/>
  <c r="G20" i="86"/>
  <c r="F21" i="86"/>
  <c r="F23" i="86"/>
  <c r="F24" i="86"/>
  <c r="F20" i="86"/>
  <c r="E21" i="86"/>
  <c r="E23" i="86"/>
  <c r="E24" i="86"/>
  <c r="E20" i="86"/>
  <c r="D21" i="86"/>
  <c r="D23" i="86"/>
  <c r="D24" i="86"/>
  <c r="D20" i="86"/>
  <c r="C21" i="86"/>
  <c r="C23" i="86"/>
  <c r="C24" i="86"/>
  <c r="C20" i="86"/>
  <c r="B21" i="86"/>
  <c r="B23" i="86"/>
  <c r="B24" i="86"/>
  <c r="B20" i="86"/>
  <c r="G42" i="86"/>
  <c r="G44" i="86"/>
  <c r="G45" i="86"/>
  <c r="G41" i="86"/>
  <c r="F42" i="86"/>
  <c r="F44" i="86"/>
  <c r="F45" i="86"/>
  <c r="F41" i="86"/>
  <c r="E42" i="86"/>
  <c r="E44" i="86"/>
  <c r="E45" i="86"/>
  <c r="E41" i="86"/>
  <c r="D42" i="86"/>
  <c r="D44" i="86"/>
  <c r="D45" i="86"/>
  <c r="D41" i="86"/>
  <c r="C42" i="86"/>
  <c r="C44" i="86"/>
  <c r="C45" i="86"/>
  <c r="C41" i="86"/>
  <c r="B42" i="86"/>
  <c r="B44" i="86"/>
  <c r="B45" i="86"/>
  <c r="B41" i="86"/>
  <c r="Q42" i="86"/>
  <c r="Q44" i="86"/>
  <c r="Q45" i="86"/>
  <c r="Q41" i="86"/>
  <c r="P42" i="86"/>
  <c r="P44" i="86"/>
  <c r="P45" i="86"/>
  <c r="P41" i="86"/>
  <c r="O42" i="86"/>
  <c r="O44" i="86"/>
  <c r="O45" i="86"/>
  <c r="O41" i="86"/>
  <c r="F61" i="86"/>
  <c r="F63" i="86"/>
  <c r="F64" i="86"/>
  <c r="F60" i="86"/>
  <c r="E61" i="86"/>
  <c r="E63" i="86"/>
  <c r="E64" i="86"/>
  <c r="E60" i="86"/>
  <c r="D61" i="86"/>
  <c r="D63" i="86"/>
  <c r="D64" i="86"/>
  <c r="D60" i="86"/>
  <c r="C61" i="86"/>
  <c r="C63" i="86"/>
  <c r="C64" i="86"/>
  <c r="C60" i="86"/>
  <c r="B60" i="86"/>
  <c r="B61" i="86"/>
  <c r="B63" i="86"/>
  <c r="B64" i="86"/>
  <c r="F65" i="86" l="1"/>
  <c r="U46" i="87"/>
  <c r="U49" i="87" s="1"/>
  <c r="Q46" i="86"/>
  <c r="H65" i="87"/>
  <c r="H46" i="87"/>
  <c r="H47" i="87" s="1"/>
  <c r="X25" i="87"/>
  <c r="X26" i="87" s="1"/>
  <c r="F69" i="86"/>
  <c r="E69" i="86"/>
  <c r="D69" i="86"/>
  <c r="C69" i="86"/>
  <c r="B69" i="86"/>
  <c r="F68" i="86"/>
  <c r="E68" i="86"/>
  <c r="D68" i="86"/>
  <c r="C68" i="86"/>
  <c r="C65" i="86"/>
  <c r="C70" i="86" s="1"/>
  <c r="Q50" i="86"/>
  <c r="P50" i="86"/>
  <c r="O50" i="86"/>
  <c r="G50" i="86"/>
  <c r="F50" i="86"/>
  <c r="E50" i="86"/>
  <c r="D50" i="86"/>
  <c r="C50" i="86"/>
  <c r="B50" i="86"/>
  <c r="G49" i="86"/>
  <c r="F49" i="86"/>
  <c r="E49" i="86"/>
  <c r="D49" i="86"/>
  <c r="C49" i="86"/>
  <c r="B49" i="86"/>
  <c r="U48" i="86"/>
  <c r="H48" i="86"/>
  <c r="U44" i="86"/>
  <c r="H44" i="86"/>
  <c r="H43" i="86"/>
  <c r="H42" i="86"/>
  <c r="U40" i="86"/>
  <c r="H40" i="86"/>
  <c r="R51" i="86"/>
  <c r="F46" i="86"/>
  <c r="F51" i="86" s="1"/>
  <c r="W29" i="86"/>
  <c r="V29" i="86"/>
  <c r="U29" i="86"/>
  <c r="T29" i="86"/>
  <c r="S29" i="86"/>
  <c r="R29" i="86"/>
  <c r="Q29" i="86"/>
  <c r="P29" i="86"/>
  <c r="O29" i="86"/>
  <c r="N29" i="86"/>
  <c r="M29" i="86"/>
  <c r="L29" i="86"/>
  <c r="K29" i="86"/>
  <c r="J29" i="86"/>
  <c r="I29" i="86"/>
  <c r="H29" i="86"/>
  <c r="G29" i="86"/>
  <c r="F29" i="86"/>
  <c r="E29" i="86"/>
  <c r="D29" i="86"/>
  <c r="C29" i="86"/>
  <c r="B29" i="86"/>
  <c r="W28" i="86"/>
  <c r="V28" i="86"/>
  <c r="U28" i="86"/>
  <c r="T28" i="86"/>
  <c r="S28" i="86"/>
  <c r="R28" i="86"/>
  <c r="Q28" i="86"/>
  <c r="P28" i="86"/>
  <c r="O28" i="86"/>
  <c r="N28" i="86"/>
  <c r="M28" i="86"/>
  <c r="L28" i="86"/>
  <c r="K28" i="86"/>
  <c r="J28" i="86"/>
  <c r="I28" i="86"/>
  <c r="H28" i="86"/>
  <c r="G28" i="86"/>
  <c r="F28" i="86"/>
  <c r="E28" i="86"/>
  <c r="D28" i="86"/>
  <c r="C28" i="86"/>
  <c r="B28" i="86"/>
  <c r="X27" i="86"/>
  <c r="H49" i="87" l="1"/>
  <c r="U47" i="87"/>
  <c r="H68" i="87"/>
  <c r="H66" i="87"/>
  <c r="S25" i="86"/>
  <c r="S30" i="86" s="1"/>
  <c r="P25" i="86"/>
  <c r="P30" i="86" s="1"/>
  <c r="H25" i="86"/>
  <c r="H30" i="86" s="1"/>
  <c r="H62" i="86"/>
  <c r="H63" i="86"/>
  <c r="H59" i="86"/>
  <c r="B65" i="86"/>
  <c r="B70" i="86" s="1"/>
  <c r="H61" i="86"/>
  <c r="H58" i="86"/>
  <c r="F70" i="86"/>
  <c r="H60" i="86"/>
  <c r="H64" i="86"/>
  <c r="P46" i="86"/>
  <c r="P51" i="86" s="1"/>
  <c r="U43" i="86"/>
  <c r="Q51" i="86"/>
  <c r="U42" i="86"/>
  <c r="U41" i="86"/>
  <c r="U45" i="86"/>
  <c r="E46" i="86"/>
  <c r="E51" i="86" s="1"/>
  <c r="C46" i="86"/>
  <c r="C51" i="86" s="1"/>
  <c r="G46" i="86"/>
  <c r="G51" i="86" s="1"/>
  <c r="H41" i="86"/>
  <c r="H45" i="86"/>
  <c r="D46" i="86"/>
  <c r="D51" i="86" s="1"/>
  <c r="B46" i="86"/>
  <c r="B51" i="86" s="1"/>
  <c r="X23" i="86"/>
  <c r="C25" i="86"/>
  <c r="C30" i="86" s="1"/>
  <c r="K25" i="86"/>
  <c r="K30" i="86" s="1"/>
  <c r="U25" i="86"/>
  <c r="U30" i="86" s="1"/>
  <c r="F25" i="86"/>
  <c r="F30" i="86" s="1"/>
  <c r="V25" i="86"/>
  <c r="V30" i="86" s="1"/>
  <c r="X21" i="86"/>
  <c r="G25" i="86"/>
  <c r="G30" i="86" s="1"/>
  <c r="O25" i="86"/>
  <c r="O30" i="86" s="1"/>
  <c r="W25" i="86"/>
  <c r="W30" i="86" s="1"/>
  <c r="X20" i="86"/>
  <c r="X24" i="86"/>
  <c r="E25" i="86"/>
  <c r="E30" i="86" s="1"/>
  <c r="N25" i="86"/>
  <c r="N30" i="86" s="1"/>
  <c r="J25" i="86"/>
  <c r="J30" i="86" s="1"/>
  <c r="I25" i="86"/>
  <c r="I30" i="86" s="1"/>
  <c r="Q25" i="86"/>
  <c r="Q30" i="86" s="1"/>
  <c r="M25" i="86"/>
  <c r="M30" i="86" s="1"/>
  <c r="X19" i="86"/>
  <c r="R25" i="86"/>
  <c r="R30" i="86" s="1"/>
  <c r="X18" i="86"/>
  <c r="D25" i="86"/>
  <c r="D30" i="86" s="1"/>
  <c r="L25" i="86"/>
  <c r="L30" i="86" s="1"/>
  <c r="T25" i="86"/>
  <c r="T30" i="86" s="1"/>
  <c r="X22" i="86"/>
  <c r="U39" i="86"/>
  <c r="O46" i="86"/>
  <c r="D65" i="86"/>
  <c r="D70" i="86" s="1"/>
  <c r="E65" i="86"/>
  <c r="E70" i="86" s="1"/>
  <c r="H39" i="86"/>
  <c r="B25" i="86"/>
  <c r="P50" i="85"/>
  <c r="Q50" i="85"/>
  <c r="R50" i="85"/>
  <c r="R40" i="85"/>
  <c r="R41" i="85"/>
  <c r="R42" i="85"/>
  <c r="R43" i="85"/>
  <c r="R44" i="85"/>
  <c r="R45" i="85"/>
  <c r="R39" i="85"/>
  <c r="Q40" i="85"/>
  <c r="Q41" i="85"/>
  <c r="Q42" i="85"/>
  <c r="Q43" i="85"/>
  <c r="Q44" i="85"/>
  <c r="Q45" i="85"/>
  <c r="Q39" i="85"/>
  <c r="P40" i="85"/>
  <c r="P41" i="85"/>
  <c r="P42" i="85"/>
  <c r="P43" i="85"/>
  <c r="P44" i="85"/>
  <c r="P45" i="85"/>
  <c r="P39" i="85"/>
  <c r="O40" i="85"/>
  <c r="O41" i="85"/>
  <c r="O42" i="85"/>
  <c r="O43" i="85"/>
  <c r="O44" i="85"/>
  <c r="O45" i="85"/>
  <c r="O39" i="85"/>
  <c r="G59" i="85"/>
  <c r="G60" i="85"/>
  <c r="G61" i="85"/>
  <c r="G62" i="85"/>
  <c r="G63" i="85"/>
  <c r="G64" i="85"/>
  <c r="G58" i="85"/>
  <c r="G69" i="85"/>
  <c r="C58" i="85"/>
  <c r="D58" i="85"/>
  <c r="E58" i="85"/>
  <c r="F58" i="85"/>
  <c r="C59" i="85"/>
  <c r="D59" i="85"/>
  <c r="E59" i="85"/>
  <c r="F59" i="85"/>
  <c r="C60" i="85"/>
  <c r="D60" i="85"/>
  <c r="E60" i="85"/>
  <c r="F60" i="85"/>
  <c r="C61" i="85"/>
  <c r="D61" i="85"/>
  <c r="E61" i="85"/>
  <c r="F61" i="85"/>
  <c r="C62" i="85"/>
  <c r="D62" i="85"/>
  <c r="E62" i="85"/>
  <c r="F62" i="85"/>
  <c r="C63" i="85"/>
  <c r="D63" i="85"/>
  <c r="E63" i="85"/>
  <c r="F63" i="85"/>
  <c r="C64" i="85"/>
  <c r="D64" i="85"/>
  <c r="E64" i="85"/>
  <c r="F64" i="85"/>
  <c r="F69" i="85"/>
  <c r="F68" i="85"/>
  <c r="E68" i="85"/>
  <c r="E69" i="85"/>
  <c r="B58" i="85"/>
  <c r="Q46" i="85" l="1"/>
  <c r="Q51" i="85" s="1"/>
  <c r="P46" i="85"/>
  <c r="P51" i="85" s="1"/>
  <c r="F65" i="85"/>
  <c r="F70" i="85" s="1"/>
  <c r="O46" i="85"/>
  <c r="E65" i="85"/>
  <c r="E70" i="85" s="1"/>
  <c r="G65" i="85"/>
  <c r="G70" i="85" s="1"/>
  <c r="R46" i="85"/>
  <c r="R51" i="85" s="1"/>
  <c r="D65" i="85"/>
  <c r="D70" i="85" s="1"/>
  <c r="C65" i="85"/>
  <c r="C70" i="85" s="1"/>
  <c r="H46" i="86"/>
  <c r="H47" i="86" s="1"/>
  <c r="B30" i="86"/>
  <c r="X25" i="86"/>
  <c r="U46" i="86"/>
  <c r="O51" i="86"/>
  <c r="H65" i="86"/>
  <c r="H66" i="86" s="1"/>
  <c r="M18" i="85"/>
  <c r="L18" i="85"/>
  <c r="H49" i="86" l="1"/>
  <c r="H68" i="86"/>
  <c r="U47" i="86"/>
  <c r="U49" i="86"/>
  <c r="Y27" i="86"/>
  <c r="X26" i="86"/>
  <c r="D69" i="85"/>
  <c r="C69" i="85"/>
  <c r="B69" i="85"/>
  <c r="D68" i="85"/>
  <c r="C68" i="85"/>
  <c r="B64" i="85"/>
  <c r="H64" i="85" s="1"/>
  <c r="B63" i="85"/>
  <c r="H63" i="85" s="1"/>
  <c r="B62" i="85"/>
  <c r="B61" i="85"/>
  <c r="B60" i="85"/>
  <c r="B59" i="85"/>
  <c r="H58" i="85"/>
  <c r="O50" i="85"/>
  <c r="G50" i="85"/>
  <c r="F50" i="85"/>
  <c r="E50" i="85"/>
  <c r="D50" i="85"/>
  <c r="C50" i="85"/>
  <c r="B50" i="85"/>
  <c r="G49" i="85"/>
  <c r="F49" i="85"/>
  <c r="E49" i="85"/>
  <c r="D49" i="85"/>
  <c r="C49" i="85"/>
  <c r="B49" i="85"/>
  <c r="U48" i="85"/>
  <c r="H48" i="85"/>
  <c r="U45" i="85"/>
  <c r="G45" i="85"/>
  <c r="F45" i="85"/>
  <c r="E45" i="85"/>
  <c r="D45" i="85"/>
  <c r="C45" i="85"/>
  <c r="B45" i="85"/>
  <c r="U44" i="85"/>
  <c r="G44" i="85"/>
  <c r="F44" i="85"/>
  <c r="E44" i="85"/>
  <c r="D44" i="85"/>
  <c r="C44" i="85"/>
  <c r="B44" i="85"/>
  <c r="U43" i="85"/>
  <c r="G43" i="85"/>
  <c r="F43" i="85"/>
  <c r="E43" i="85"/>
  <c r="D43" i="85"/>
  <c r="C43" i="85"/>
  <c r="B43" i="85"/>
  <c r="U42" i="85"/>
  <c r="G42" i="85"/>
  <c r="F42" i="85"/>
  <c r="E42" i="85"/>
  <c r="D42" i="85"/>
  <c r="C42" i="85"/>
  <c r="B42" i="85"/>
  <c r="U41" i="85"/>
  <c r="G41" i="85"/>
  <c r="F41" i="85"/>
  <c r="E41" i="85"/>
  <c r="D41" i="85"/>
  <c r="C41" i="85"/>
  <c r="B41" i="85"/>
  <c r="U40" i="85"/>
  <c r="G40" i="85"/>
  <c r="F40" i="85"/>
  <c r="E40" i="85"/>
  <c r="D40" i="85"/>
  <c r="C40" i="85"/>
  <c r="B40" i="85"/>
  <c r="U39" i="85"/>
  <c r="O51" i="85"/>
  <c r="G39" i="85"/>
  <c r="F39" i="85"/>
  <c r="E39" i="85"/>
  <c r="D39" i="85"/>
  <c r="C39" i="85"/>
  <c r="B39" i="85"/>
  <c r="W29" i="85"/>
  <c r="V29" i="85"/>
  <c r="U29" i="85"/>
  <c r="T29" i="85"/>
  <c r="S29" i="85"/>
  <c r="R29" i="85"/>
  <c r="Q29" i="85"/>
  <c r="P29" i="85"/>
  <c r="O29" i="85"/>
  <c r="N29" i="85"/>
  <c r="M29" i="85"/>
  <c r="L29" i="85"/>
  <c r="K29" i="85"/>
  <c r="J29" i="85"/>
  <c r="I29" i="85"/>
  <c r="H29" i="85"/>
  <c r="G29" i="85"/>
  <c r="F29" i="85"/>
  <c r="E29" i="85"/>
  <c r="D29" i="85"/>
  <c r="C29" i="85"/>
  <c r="B29" i="85"/>
  <c r="W28" i="85"/>
  <c r="V28" i="85"/>
  <c r="U28" i="85"/>
  <c r="T28" i="85"/>
  <c r="S28" i="85"/>
  <c r="R28" i="85"/>
  <c r="Q28" i="85"/>
  <c r="P28" i="85"/>
  <c r="O28" i="85"/>
  <c r="N28" i="85"/>
  <c r="M28" i="85"/>
  <c r="L28" i="85"/>
  <c r="K28" i="85"/>
  <c r="J28" i="85"/>
  <c r="I28" i="85"/>
  <c r="H28" i="85"/>
  <c r="G28" i="85"/>
  <c r="F28" i="85"/>
  <c r="E28" i="85"/>
  <c r="D28" i="85"/>
  <c r="C28" i="85"/>
  <c r="B28" i="85"/>
  <c r="X27" i="85"/>
  <c r="W24" i="85"/>
  <c r="V24" i="85"/>
  <c r="U24" i="85"/>
  <c r="T24" i="85"/>
  <c r="S24" i="85"/>
  <c r="R24" i="85"/>
  <c r="Q24" i="85"/>
  <c r="P24" i="85"/>
  <c r="O24" i="85"/>
  <c r="N24" i="85"/>
  <c r="M24" i="85"/>
  <c r="L24" i="85"/>
  <c r="K24" i="85"/>
  <c r="J24" i="85"/>
  <c r="I24" i="85"/>
  <c r="H24" i="85"/>
  <c r="G24" i="85"/>
  <c r="F24" i="85"/>
  <c r="E24" i="85"/>
  <c r="D24" i="85"/>
  <c r="C24" i="85"/>
  <c r="B24" i="85"/>
  <c r="W23" i="85"/>
  <c r="V23" i="85"/>
  <c r="U23" i="85"/>
  <c r="T23" i="85"/>
  <c r="S23" i="85"/>
  <c r="R23" i="85"/>
  <c r="Q23" i="85"/>
  <c r="P23" i="85"/>
  <c r="O23" i="85"/>
  <c r="N23" i="85"/>
  <c r="M23" i="85"/>
  <c r="L23" i="85"/>
  <c r="K23" i="85"/>
  <c r="J23" i="85"/>
  <c r="I23" i="85"/>
  <c r="H23" i="85"/>
  <c r="G23" i="85"/>
  <c r="F23" i="85"/>
  <c r="E23" i="85"/>
  <c r="D23" i="85"/>
  <c r="C23" i="85"/>
  <c r="B23" i="85"/>
  <c r="W22" i="85"/>
  <c r="V22" i="85"/>
  <c r="U22" i="85"/>
  <c r="T22" i="85"/>
  <c r="S22" i="85"/>
  <c r="R22" i="85"/>
  <c r="Q22" i="85"/>
  <c r="P22" i="85"/>
  <c r="O22" i="85"/>
  <c r="N22" i="85"/>
  <c r="M22" i="85"/>
  <c r="L22" i="85"/>
  <c r="K22" i="85"/>
  <c r="J22" i="85"/>
  <c r="I22" i="85"/>
  <c r="H22" i="85"/>
  <c r="G22" i="85"/>
  <c r="F22" i="85"/>
  <c r="E22" i="85"/>
  <c r="D22" i="85"/>
  <c r="C22" i="85"/>
  <c r="B22" i="85"/>
  <c r="W21" i="85"/>
  <c r="V21" i="85"/>
  <c r="U21" i="85"/>
  <c r="T21" i="85"/>
  <c r="S21" i="85"/>
  <c r="R21" i="85"/>
  <c r="Q21" i="85"/>
  <c r="P21" i="85"/>
  <c r="O21" i="85"/>
  <c r="N21" i="85"/>
  <c r="M21" i="85"/>
  <c r="L21" i="85"/>
  <c r="K21" i="85"/>
  <c r="J21" i="85"/>
  <c r="I21" i="85"/>
  <c r="H21" i="85"/>
  <c r="G21" i="85"/>
  <c r="F21" i="85"/>
  <c r="E21" i="85"/>
  <c r="D21" i="85"/>
  <c r="C21" i="85"/>
  <c r="B21" i="85"/>
  <c r="W20" i="85"/>
  <c r="V20" i="85"/>
  <c r="U20" i="85"/>
  <c r="T20" i="85"/>
  <c r="S20" i="85"/>
  <c r="R20" i="85"/>
  <c r="Q20" i="85"/>
  <c r="P20" i="85"/>
  <c r="O20" i="85"/>
  <c r="N20" i="85"/>
  <c r="M20" i="85"/>
  <c r="L20" i="85"/>
  <c r="K20" i="85"/>
  <c r="J20" i="85"/>
  <c r="I20" i="85"/>
  <c r="H20" i="85"/>
  <c r="G20" i="85"/>
  <c r="F20" i="85"/>
  <c r="E20" i="85"/>
  <c r="D20" i="85"/>
  <c r="C20" i="85"/>
  <c r="B20" i="85"/>
  <c r="W19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W18" i="85"/>
  <c r="V18" i="85"/>
  <c r="U18" i="85"/>
  <c r="T18" i="85"/>
  <c r="S18" i="85"/>
  <c r="R18" i="85"/>
  <c r="Q18" i="85"/>
  <c r="P18" i="85"/>
  <c r="O18" i="85"/>
  <c r="N18" i="85"/>
  <c r="K18" i="85"/>
  <c r="J18" i="85"/>
  <c r="I18" i="85"/>
  <c r="H18" i="85"/>
  <c r="G18" i="85"/>
  <c r="F18" i="85"/>
  <c r="E18" i="85"/>
  <c r="D18" i="85"/>
  <c r="C18" i="85"/>
  <c r="B18" i="85"/>
  <c r="H39" i="85" l="1"/>
  <c r="F46" i="85"/>
  <c r="F51" i="85" s="1"/>
  <c r="H59" i="85"/>
  <c r="B65" i="85"/>
  <c r="B70" i="85" s="1"/>
  <c r="D46" i="85"/>
  <c r="D51" i="85" s="1"/>
  <c r="P25" i="85"/>
  <c r="P30" i="85" s="1"/>
  <c r="H25" i="85"/>
  <c r="H30" i="85" s="1"/>
  <c r="H45" i="85"/>
  <c r="S25" i="85"/>
  <c r="S30" i="85" s="1"/>
  <c r="K25" i="85"/>
  <c r="K30" i="85" s="1"/>
  <c r="C25" i="85"/>
  <c r="C30" i="85" s="1"/>
  <c r="H61" i="85"/>
  <c r="H62" i="85"/>
  <c r="B46" i="85"/>
  <c r="B51" i="85" s="1"/>
  <c r="H44" i="85"/>
  <c r="H43" i="85"/>
  <c r="E46" i="85"/>
  <c r="E51" i="85" s="1"/>
  <c r="H41" i="85"/>
  <c r="G46" i="85"/>
  <c r="G51" i="85" s="1"/>
  <c r="I25" i="85"/>
  <c r="I30" i="85" s="1"/>
  <c r="Q25" i="85"/>
  <c r="Q30" i="85" s="1"/>
  <c r="W25" i="85"/>
  <c r="W30" i="85" s="1"/>
  <c r="J25" i="85"/>
  <c r="J30" i="85" s="1"/>
  <c r="R25" i="85"/>
  <c r="R30" i="85" s="1"/>
  <c r="V25" i="85"/>
  <c r="V30" i="85" s="1"/>
  <c r="D25" i="85"/>
  <c r="D30" i="85" s="1"/>
  <c r="M25" i="85"/>
  <c r="M30" i="85" s="1"/>
  <c r="T25" i="85"/>
  <c r="T30" i="85" s="1"/>
  <c r="N25" i="85"/>
  <c r="N30" i="85" s="1"/>
  <c r="E25" i="85"/>
  <c r="E30" i="85" s="1"/>
  <c r="U25" i="85"/>
  <c r="U30" i="85" s="1"/>
  <c r="F25" i="85"/>
  <c r="F30" i="85" s="1"/>
  <c r="L25" i="85"/>
  <c r="L30" i="85" s="1"/>
  <c r="G25" i="85"/>
  <c r="G30" i="85" s="1"/>
  <c r="O25" i="85"/>
  <c r="O30" i="85" s="1"/>
  <c r="H60" i="85"/>
  <c r="U46" i="85"/>
  <c r="U49" i="85" s="1"/>
  <c r="H40" i="85"/>
  <c r="C46" i="85"/>
  <c r="C51" i="85" s="1"/>
  <c r="H42" i="85"/>
  <c r="X23" i="85"/>
  <c r="X24" i="85"/>
  <c r="X21" i="85"/>
  <c r="X19" i="85"/>
  <c r="X20" i="85"/>
  <c r="X18" i="85"/>
  <c r="X22" i="85"/>
  <c r="B25" i="85"/>
  <c r="B30" i="85" s="1"/>
  <c r="H65" i="85" l="1"/>
  <c r="H66" i="85" s="1"/>
  <c r="U47" i="85"/>
  <c r="X25" i="85"/>
  <c r="Y27" i="85" s="1"/>
  <c r="H46" i="85"/>
  <c r="H68" i="85" l="1"/>
  <c r="X26" i="85"/>
  <c r="H47" i="85"/>
  <c r="H49" i="85"/>
  <c r="H18" i="83"/>
  <c r="C39" i="83"/>
  <c r="D39" i="83"/>
  <c r="E39" i="83"/>
  <c r="F39" i="83"/>
  <c r="G40" i="83"/>
  <c r="G41" i="83"/>
  <c r="G42" i="83"/>
  <c r="G43" i="83"/>
  <c r="G44" i="83"/>
  <c r="G45" i="83"/>
  <c r="G39" i="83"/>
  <c r="C18" i="83"/>
  <c r="D18" i="83"/>
  <c r="E18" i="83"/>
  <c r="F18" i="83"/>
  <c r="G18" i="83"/>
  <c r="I18" i="83"/>
  <c r="K19" i="83"/>
  <c r="K20" i="83"/>
  <c r="K21" i="83"/>
  <c r="K22" i="83"/>
  <c r="K23" i="83"/>
  <c r="K24" i="83"/>
  <c r="K18" i="83"/>
  <c r="W19" i="83"/>
  <c r="W20" i="83"/>
  <c r="W21" i="83"/>
  <c r="W22" i="83"/>
  <c r="W23" i="83"/>
  <c r="W24" i="83"/>
  <c r="W18" i="83"/>
  <c r="V19" i="83"/>
  <c r="V20" i="83"/>
  <c r="V21" i="83"/>
  <c r="V22" i="83"/>
  <c r="V23" i="83"/>
  <c r="V24" i="83"/>
  <c r="V18" i="83"/>
  <c r="U18" i="83"/>
  <c r="T18" i="83"/>
  <c r="S18" i="83"/>
  <c r="R18" i="83"/>
  <c r="Q19" i="83"/>
  <c r="Q20" i="83"/>
  <c r="Q21" i="83"/>
  <c r="Q22" i="83"/>
  <c r="Q23" i="83"/>
  <c r="Q24" i="83"/>
  <c r="Q18" i="83"/>
  <c r="P19" i="83"/>
  <c r="P20" i="83"/>
  <c r="P21" i="83"/>
  <c r="P22" i="83"/>
  <c r="P23" i="83"/>
  <c r="P24" i="83"/>
  <c r="P18" i="83"/>
  <c r="O18" i="83"/>
  <c r="N18" i="83"/>
  <c r="M18" i="83"/>
  <c r="L18" i="83"/>
  <c r="B58" i="83"/>
  <c r="G58" i="83" s="1"/>
  <c r="X27" i="83"/>
  <c r="R28" i="83"/>
  <c r="R29" i="83"/>
  <c r="G49" i="83"/>
  <c r="G50" i="83"/>
  <c r="V28" i="83"/>
  <c r="W28" i="83"/>
  <c r="V29" i="83"/>
  <c r="W29" i="83"/>
  <c r="Q28" i="83"/>
  <c r="Q29" i="83"/>
  <c r="P28" i="83"/>
  <c r="P29" i="83"/>
  <c r="K28" i="83"/>
  <c r="K29" i="83"/>
  <c r="E70" i="83"/>
  <c r="D70" i="83"/>
  <c r="C70" i="83"/>
  <c r="E69" i="83"/>
  <c r="D69" i="83"/>
  <c r="C69" i="83"/>
  <c r="B69" i="83"/>
  <c r="E68" i="83"/>
  <c r="D68" i="83"/>
  <c r="C68" i="83"/>
  <c r="G67" i="83"/>
  <c r="B64" i="83"/>
  <c r="G64" i="83" s="1"/>
  <c r="B63" i="83"/>
  <c r="G63" i="83" s="1"/>
  <c r="B62" i="83"/>
  <c r="G62" i="83" s="1"/>
  <c r="B61" i="83"/>
  <c r="G61" i="83" s="1"/>
  <c r="B60" i="83"/>
  <c r="B59" i="83"/>
  <c r="G59" i="83" s="1"/>
  <c r="O50" i="83"/>
  <c r="F50" i="83"/>
  <c r="E50" i="83"/>
  <c r="D50" i="83"/>
  <c r="C50" i="83"/>
  <c r="B50" i="83"/>
  <c r="F49" i="83"/>
  <c r="E49" i="83"/>
  <c r="D49" i="83"/>
  <c r="C49" i="83"/>
  <c r="B49" i="83"/>
  <c r="U48" i="83"/>
  <c r="H48" i="83"/>
  <c r="O45" i="83"/>
  <c r="U45" i="83" s="1"/>
  <c r="F45" i="83"/>
  <c r="E45" i="83"/>
  <c r="D45" i="83"/>
  <c r="C45" i="83"/>
  <c r="B45" i="83"/>
  <c r="O44" i="83"/>
  <c r="U44" i="83" s="1"/>
  <c r="F44" i="83"/>
  <c r="E44" i="83"/>
  <c r="D44" i="83"/>
  <c r="C44" i="83"/>
  <c r="B44" i="83"/>
  <c r="O43" i="83"/>
  <c r="U43" i="83" s="1"/>
  <c r="F43" i="83"/>
  <c r="E43" i="83"/>
  <c r="D43" i="83"/>
  <c r="C43" i="83"/>
  <c r="B43" i="83"/>
  <c r="O42" i="83"/>
  <c r="U42" i="83" s="1"/>
  <c r="F42" i="83"/>
  <c r="E42" i="83"/>
  <c r="D42" i="83"/>
  <c r="C42" i="83"/>
  <c r="B42" i="83"/>
  <c r="O41" i="83"/>
  <c r="U41" i="83" s="1"/>
  <c r="F41" i="83"/>
  <c r="E41" i="83"/>
  <c r="D41" i="83"/>
  <c r="C41" i="83"/>
  <c r="B41" i="83"/>
  <c r="O40" i="83"/>
  <c r="U40" i="83" s="1"/>
  <c r="F40" i="83"/>
  <c r="E40" i="83"/>
  <c r="D40" i="83"/>
  <c r="C40" i="83"/>
  <c r="B40" i="83"/>
  <c r="O39" i="83"/>
  <c r="B39" i="83"/>
  <c r="U29" i="83"/>
  <c r="T29" i="83"/>
  <c r="S29" i="83"/>
  <c r="O29" i="83"/>
  <c r="N29" i="83"/>
  <c r="M29" i="83"/>
  <c r="L29" i="83"/>
  <c r="J29" i="83"/>
  <c r="I29" i="83"/>
  <c r="H29" i="83"/>
  <c r="G29" i="83"/>
  <c r="F29" i="83"/>
  <c r="E29" i="83"/>
  <c r="D29" i="83"/>
  <c r="C29" i="83"/>
  <c r="B29" i="83"/>
  <c r="U28" i="83"/>
  <c r="T28" i="83"/>
  <c r="S28" i="83"/>
  <c r="O28" i="83"/>
  <c r="N28" i="83"/>
  <c r="M28" i="83"/>
  <c r="L28" i="83"/>
  <c r="J28" i="83"/>
  <c r="I28" i="83"/>
  <c r="H28" i="83"/>
  <c r="G28" i="83"/>
  <c r="F28" i="83"/>
  <c r="E28" i="83"/>
  <c r="D28" i="83"/>
  <c r="C28" i="83"/>
  <c r="B28" i="83"/>
  <c r="U24" i="83"/>
  <c r="T24" i="83"/>
  <c r="S24" i="83"/>
  <c r="R24" i="83"/>
  <c r="O24" i="83"/>
  <c r="N24" i="83"/>
  <c r="M24" i="83"/>
  <c r="L24" i="83"/>
  <c r="J24" i="83"/>
  <c r="I24" i="83"/>
  <c r="H24" i="83"/>
  <c r="G24" i="83"/>
  <c r="F24" i="83"/>
  <c r="E24" i="83"/>
  <c r="D24" i="83"/>
  <c r="C24" i="83"/>
  <c r="B24" i="83"/>
  <c r="U23" i="83"/>
  <c r="T23" i="83"/>
  <c r="S23" i="83"/>
  <c r="R23" i="83"/>
  <c r="O23" i="83"/>
  <c r="N23" i="83"/>
  <c r="M23" i="83"/>
  <c r="L23" i="83"/>
  <c r="J23" i="83"/>
  <c r="I23" i="83"/>
  <c r="H23" i="83"/>
  <c r="G23" i="83"/>
  <c r="F23" i="83"/>
  <c r="E23" i="83"/>
  <c r="D23" i="83"/>
  <c r="C23" i="83"/>
  <c r="B23" i="83"/>
  <c r="U22" i="83"/>
  <c r="T22" i="83"/>
  <c r="S22" i="83"/>
  <c r="R22" i="83"/>
  <c r="O22" i="83"/>
  <c r="N22" i="83"/>
  <c r="M22" i="83"/>
  <c r="L22" i="83"/>
  <c r="J22" i="83"/>
  <c r="I22" i="83"/>
  <c r="H22" i="83"/>
  <c r="G22" i="83"/>
  <c r="F22" i="83"/>
  <c r="E22" i="83"/>
  <c r="D22" i="83"/>
  <c r="C22" i="83"/>
  <c r="B22" i="83"/>
  <c r="U21" i="83"/>
  <c r="T21" i="83"/>
  <c r="S21" i="83"/>
  <c r="R21" i="83"/>
  <c r="O21" i="83"/>
  <c r="N21" i="83"/>
  <c r="M21" i="83"/>
  <c r="L21" i="83"/>
  <c r="J21" i="83"/>
  <c r="I21" i="83"/>
  <c r="H21" i="83"/>
  <c r="G21" i="83"/>
  <c r="F21" i="83"/>
  <c r="E21" i="83"/>
  <c r="D21" i="83"/>
  <c r="C21" i="83"/>
  <c r="B21" i="83"/>
  <c r="U20" i="83"/>
  <c r="T20" i="83"/>
  <c r="S20" i="83"/>
  <c r="R20" i="83"/>
  <c r="O20" i="83"/>
  <c r="N20" i="83"/>
  <c r="M20" i="83"/>
  <c r="L20" i="83"/>
  <c r="J20" i="83"/>
  <c r="I20" i="83"/>
  <c r="H20" i="83"/>
  <c r="G20" i="83"/>
  <c r="F20" i="83"/>
  <c r="E20" i="83"/>
  <c r="D20" i="83"/>
  <c r="C20" i="83"/>
  <c r="B20" i="83"/>
  <c r="U19" i="83"/>
  <c r="T19" i="83"/>
  <c r="S19" i="83"/>
  <c r="R19" i="83"/>
  <c r="O19" i="83"/>
  <c r="N19" i="83"/>
  <c r="M19" i="83"/>
  <c r="L19" i="83"/>
  <c r="J19" i="83"/>
  <c r="I19" i="83"/>
  <c r="H19" i="83"/>
  <c r="G19" i="83"/>
  <c r="F19" i="83"/>
  <c r="E19" i="83"/>
  <c r="D19" i="83"/>
  <c r="C19" i="83"/>
  <c r="B19" i="83"/>
  <c r="J18" i="83"/>
  <c r="B18" i="83"/>
  <c r="O46" i="83" l="1"/>
  <c r="O51" i="83" s="1"/>
  <c r="H45" i="83"/>
  <c r="D46" i="83"/>
  <c r="D51" i="83" s="1"/>
  <c r="H42" i="83"/>
  <c r="B65" i="83"/>
  <c r="B70" i="83" s="1"/>
  <c r="P25" i="83"/>
  <c r="P30" i="83" s="1"/>
  <c r="M25" i="83"/>
  <c r="M30" i="83" s="1"/>
  <c r="F25" i="83"/>
  <c r="F30" i="83" s="1"/>
  <c r="H44" i="83"/>
  <c r="H43" i="83"/>
  <c r="H40" i="83"/>
  <c r="F46" i="83"/>
  <c r="F51" i="83" s="1"/>
  <c r="E46" i="83"/>
  <c r="E51" i="83" s="1"/>
  <c r="H39" i="83"/>
  <c r="H41" i="83"/>
  <c r="B46" i="83"/>
  <c r="G46" i="83"/>
  <c r="G51" i="83" s="1"/>
  <c r="C46" i="83"/>
  <c r="C51" i="83" s="1"/>
  <c r="W25" i="83"/>
  <c r="W30" i="83" s="1"/>
  <c r="V25" i="83"/>
  <c r="V30" i="83" s="1"/>
  <c r="R25" i="83"/>
  <c r="R30" i="83" s="1"/>
  <c r="S25" i="83"/>
  <c r="S30" i="83" s="1"/>
  <c r="U25" i="83"/>
  <c r="U30" i="83" s="1"/>
  <c r="T25" i="83"/>
  <c r="T30" i="83" s="1"/>
  <c r="O25" i="83"/>
  <c r="O30" i="83" s="1"/>
  <c r="Q25" i="83"/>
  <c r="Q30" i="83" s="1"/>
  <c r="L25" i="83"/>
  <c r="L30" i="83" s="1"/>
  <c r="N25" i="83"/>
  <c r="N30" i="83" s="1"/>
  <c r="X22" i="83"/>
  <c r="G25" i="83"/>
  <c r="G30" i="83" s="1"/>
  <c r="C25" i="83"/>
  <c r="C30" i="83" s="1"/>
  <c r="B25" i="83"/>
  <c r="B30" i="83" s="1"/>
  <c r="I25" i="83"/>
  <c r="I30" i="83" s="1"/>
  <c r="H25" i="83"/>
  <c r="H30" i="83" s="1"/>
  <c r="D25" i="83"/>
  <c r="D30" i="83" s="1"/>
  <c r="E25" i="83"/>
  <c r="E30" i="83" s="1"/>
  <c r="X21" i="83"/>
  <c r="X24" i="83"/>
  <c r="X19" i="83"/>
  <c r="X20" i="83"/>
  <c r="J25" i="83"/>
  <c r="J30" i="83" s="1"/>
  <c r="X23" i="83"/>
  <c r="K25" i="83"/>
  <c r="K30" i="83" s="1"/>
  <c r="X18" i="83"/>
  <c r="G60" i="83"/>
  <c r="U39" i="83"/>
  <c r="U46" i="83" l="1"/>
  <c r="U49" i="83" s="1"/>
  <c r="G65" i="83"/>
  <c r="G68" i="83" s="1"/>
  <c r="H46" i="83"/>
  <c r="H47" i="83" s="1"/>
  <c r="B51" i="83"/>
  <c r="X25" i="83"/>
  <c r="Y27" i="83" s="1"/>
  <c r="U47" i="83" l="1"/>
  <c r="G66" i="83"/>
  <c r="H49" i="83"/>
  <c r="X26" i="83"/>
  <c r="Q18" i="81" l="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H40" i="81" l="1"/>
  <c r="N46" i="81"/>
  <c r="S46" i="81" s="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B39" i="78"/>
  <c r="B40" i="78"/>
  <c r="B41" i="78"/>
  <c r="B42" i="78"/>
  <c r="B43" i="78"/>
  <c r="B44" i="78"/>
  <c r="B45" i="78"/>
  <c r="B49" i="78"/>
  <c r="B50" i="78"/>
  <c r="B46" i="78" l="1"/>
  <c r="B51" i="78" s="1"/>
  <c r="E69" i="78"/>
  <c r="D69" i="78"/>
  <c r="C69" i="78"/>
  <c r="B69" i="78"/>
  <c r="E68" i="78"/>
  <c r="D68" i="78"/>
  <c r="C68" i="78"/>
  <c r="B68" i="78"/>
  <c r="G67" i="78"/>
  <c r="E64" i="78"/>
  <c r="D64" i="78"/>
  <c r="C64" i="78"/>
  <c r="B64" i="78"/>
  <c r="E63" i="78"/>
  <c r="D63" i="78"/>
  <c r="C63" i="78"/>
  <c r="B63" i="78"/>
  <c r="E62" i="78"/>
  <c r="D62" i="78"/>
  <c r="C62" i="78"/>
  <c r="B62" i="78"/>
  <c r="E61" i="78"/>
  <c r="D61" i="78"/>
  <c r="C61" i="78"/>
  <c r="B61" i="78"/>
  <c r="E60" i="78"/>
  <c r="D60" i="78"/>
  <c r="C60" i="78"/>
  <c r="B60" i="78"/>
  <c r="E59" i="78"/>
  <c r="D59" i="78"/>
  <c r="C59" i="78"/>
  <c r="B59" i="78"/>
  <c r="E58" i="78"/>
  <c r="D58" i="78"/>
  <c r="C58" i="78"/>
  <c r="B58" i="78"/>
  <c r="Q50" i="78"/>
  <c r="P50" i="78"/>
  <c r="O50" i="78"/>
  <c r="N50" i="78"/>
  <c r="F50" i="78"/>
  <c r="E50" i="78"/>
  <c r="D50" i="78"/>
  <c r="C50" i="78"/>
  <c r="Q49" i="78"/>
  <c r="P49" i="78"/>
  <c r="O49" i="78"/>
  <c r="N49" i="78"/>
  <c r="F49" i="78"/>
  <c r="E49" i="78"/>
  <c r="D49" i="78"/>
  <c r="C49" i="78"/>
  <c r="S48" i="78"/>
  <c r="H48" i="78"/>
  <c r="Q45" i="78"/>
  <c r="P45" i="78"/>
  <c r="O45" i="78"/>
  <c r="N45" i="78"/>
  <c r="F45" i="78"/>
  <c r="E45" i="78"/>
  <c r="D45" i="78"/>
  <c r="C45" i="78"/>
  <c r="Q44" i="78"/>
  <c r="P44" i="78"/>
  <c r="O44" i="78"/>
  <c r="N44" i="78"/>
  <c r="F44" i="78"/>
  <c r="E44" i="78"/>
  <c r="D44" i="78"/>
  <c r="C44" i="78"/>
  <c r="Q43" i="78"/>
  <c r="P43" i="78"/>
  <c r="O43" i="78"/>
  <c r="N43" i="78"/>
  <c r="F43" i="78"/>
  <c r="E43" i="78"/>
  <c r="D43" i="78"/>
  <c r="C43" i="78"/>
  <c r="Q42" i="78"/>
  <c r="P42" i="78"/>
  <c r="O42" i="78"/>
  <c r="N42" i="78"/>
  <c r="F42" i="78"/>
  <c r="E42" i="78"/>
  <c r="D42" i="78"/>
  <c r="C42" i="78"/>
  <c r="Q41" i="78"/>
  <c r="P41" i="78"/>
  <c r="O41" i="78"/>
  <c r="N41" i="78"/>
  <c r="F41" i="78"/>
  <c r="E41" i="78"/>
  <c r="D41" i="78"/>
  <c r="C41" i="78"/>
  <c r="Q40" i="78"/>
  <c r="P40" i="78"/>
  <c r="O40" i="78"/>
  <c r="N40" i="78"/>
  <c r="F40" i="78"/>
  <c r="E40" i="78"/>
  <c r="D40" i="78"/>
  <c r="C40" i="78"/>
  <c r="Q39" i="78"/>
  <c r="P39" i="78"/>
  <c r="O39" i="78"/>
  <c r="N39" i="78"/>
  <c r="F39" i="78"/>
  <c r="E39" i="78"/>
  <c r="D39" i="78"/>
  <c r="C39" i="78"/>
  <c r="S29" i="78"/>
  <c r="R29" i="78"/>
  <c r="Q29" i="78"/>
  <c r="P29" i="78"/>
  <c r="N29" i="78"/>
  <c r="M29" i="78"/>
  <c r="L29" i="78"/>
  <c r="K29" i="78"/>
  <c r="J29" i="78"/>
  <c r="I29" i="78"/>
  <c r="H29" i="78"/>
  <c r="G29" i="78"/>
  <c r="F29" i="78"/>
  <c r="E29" i="78"/>
  <c r="D29" i="78"/>
  <c r="C29" i="78"/>
  <c r="B29" i="78"/>
  <c r="S28" i="78"/>
  <c r="R28" i="78"/>
  <c r="Q28" i="78"/>
  <c r="P28" i="78"/>
  <c r="N28" i="78"/>
  <c r="M28" i="78"/>
  <c r="L28" i="78"/>
  <c r="K28" i="78"/>
  <c r="J28" i="78"/>
  <c r="I28" i="78"/>
  <c r="H28" i="78"/>
  <c r="G28" i="78"/>
  <c r="F28" i="78"/>
  <c r="E28" i="78"/>
  <c r="D28" i="78"/>
  <c r="C28" i="78"/>
  <c r="B28" i="78"/>
  <c r="V27" i="78"/>
  <c r="S24" i="78"/>
  <c r="R24" i="78"/>
  <c r="Q24" i="78"/>
  <c r="P24" i="78"/>
  <c r="N24" i="78"/>
  <c r="M24" i="78"/>
  <c r="L24" i="78"/>
  <c r="K24" i="78"/>
  <c r="J24" i="78"/>
  <c r="I24" i="78"/>
  <c r="H24" i="78"/>
  <c r="G24" i="78"/>
  <c r="F24" i="78"/>
  <c r="E24" i="78"/>
  <c r="D24" i="78"/>
  <c r="C24" i="78"/>
  <c r="B24" i="78"/>
  <c r="S23" i="78"/>
  <c r="R23" i="78"/>
  <c r="Q23" i="78"/>
  <c r="P23" i="78"/>
  <c r="N23" i="78"/>
  <c r="M23" i="78"/>
  <c r="L23" i="78"/>
  <c r="K23" i="78"/>
  <c r="J23" i="78"/>
  <c r="I23" i="78"/>
  <c r="H23" i="78"/>
  <c r="G23" i="78"/>
  <c r="F23" i="78"/>
  <c r="E23" i="78"/>
  <c r="D23" i="78"/>
  <c r="C23" i="78"/>
  <c r="B23" i="78"/>
  <c r="S22" i="78"/>
  <c r="R22" i="78"/>
  <c r="Q22" i="78"/>
  <c r="P22" i="78"/>
  <c r="N22" i="78"/>
  <c r="M22" i="78"/>
  <c r="L22" i="78"/>
  <c r="K22" i="78"/>
  <c r="J22" i="78"/>
  <c r="I22" i="78"/>
  <c r="H22" i="78"/>
  <c r="G22" i="78"/>
  <c r="F22" i="78"/>
  <c r="E22" i="78"/>
  <c r="D22" i="78"/>
  <c r="C22" i="78"/>
  <c r="B22" i="78"/>
  <c r="S21" i="78"/>
  <c r="R21" i="78"/>
  <c r="Q21" i="78"/>
  <c r="P21" i="78"/>
  <c r="N21" i="78"/>
  <c r="M21" i="78"/>
  <c r="L21" i="78"/>
  <c r="K21" i="78"/>
  <c r="J21" i="78"/>
  <c r="I21" i="78"/>
  <c r="H21" i="78"/>
  <c r="G21" i="78"/>
  <c r="F21" i="78"/>
  <c r="E21" i="78"/>
  <c r="D21" i="78"/>
  <c r="C21" i="78"/>
  <c r="B21" i="78"/>
  <c r="S20" i="78"/>
  <c r="R20" i="78"/>
  <c r="Q20" i="78"/>
  <c r="P20" i="78"/>
  <c r="N20" i="78"/>
  <c r="M20" i="78"/>
  <c r="L20" i="78"/>
  <c r="K20" i="78"/>
  <c r="J20" i="78"/>
  <c r="I20" i="78"/>
  <c r="H20" i="78"/>
  <c r="G20" i="78"/>
  <c r="F20" i="78"/>
  <c r="E20" i="78"/>
  <c r="D20" i="78"/>
  <c r="C20" i="78"/>
  <c r="B20" i="78"/>
  <c r="S19" i="78"/>
  <c r="R19" i="78"/>
  <c r="Q19" i="78"/>
  <c r="P19" i="78"/>
  <c r="N19" i="78"/>
  <c r="M19" i="78"/>
  <c r="L19" i="78"/>
  <c r="K19" i="78"/>
  <c r="J19" i="78"/>
  <c r="I19" i="78"/>
  <c r="H19" i="78"/>
  <c r="G19" i="78"/>
  <c r="F19" i="78"/>
  <c r="E19" i="78"/>
  <c r="D19" i="78"/>
  <c r="C19" i="78"/>
  <c r="B19" i="78"/>
  <c r="S18" i="78"/>
  <c r="R18" i="78"/>
  <c r="Q18" i="78"/>
  <c r="P18" i="78"/>
  <c r="N18" i="78"/>
  <c r="M18" i="78"/>
  <c r="L18" i="78"/>
  <c r="K18" i="78"/>
  <c r="J18" i="78"/>
  <c r="I18" i="78"/>
  <c r="H18" i="78"/>
  <c r="G18" i="78"/>
  <c r="F18" i="78"/>
  <c r="E18" i="78"/>
  <c r="D18" i="78"/>
  <c r="C18" i="78"/>
  <c r="B18" i="78"/>
  <c r="H39" i="78" l="1"/>
  <c r="H44" i="78"/>
  <c r="H43" i="78"/>
  <c r="S25" i="78"/>
  <c r="S30" i="78" s="1"/>
  <c r="C25" i="78"/>
  <c r="C30" i="78" s="1"/>
  <c r="B25" i="78"/>
  <c r="B30" i="78" s="1"/>
  <c r="J25" i="78"/>
  <c r="J30" i="78" s="1"/>
  <c r="Q46" i="78"/>
  <c r="Q51" i="78" s="1"/>
  <c r="O46" i="78"/>
  <c r="O51" i="78" s="1"/>
  <c r="P46" i="78"/>
  <c r="P51" i="78" s="1"/>
  <c r="B65" i="78"/>
  <c r="B70" i="78" s="1"/>
  <c r="S41" i="78"/>
  <c r="S43" i="78"/>
  <c r="S45" i="78"/>
  <c r="S40" i="78"/>
  <c r="S42" i="78"/>
  <c r="S44" i="78"/>
  <c r="G60" i="78"/>
  <c r="E65" i="78"/>
  <c r="E70" i="78" s="1"/>
  <c r="D46" i="78"/>
  <c r="D51" i="78" s="1"/>
  <c r="H45" i="78"/>
  <c r="H42" i="78"/>
  <c r="E46" i="78"/>
  <c r="E51" i="78" s="1"/>
  <c r="H41" i="78"/>
  <c r="F46" i="78"/>
  <c r="F51" i="78" s="1"/>
  <c r="C46" i="78"/>
  <c r="C51" i="78" s="1"/>
  <c r="D65" i="78"/>
  <c r="D70" i="78" s="1"/>
  <c r="G62" i="78"/>
  <c r="G64" i="78"/>
  <c r="G59" i="78"/>
  <c r="G58" i="78"/>
  <c r="C65" i="78"/>
  <c r="C70" i="78" s="1"/>
  <c r="G61" i="78"/>
  <c r="G63" i="78"/>
  <c r="Q25" i="78"/>
  <c r="Q30" i="78" s="1"/>
  <c r="R25" i="78"/>
  <c r="R30" i="78" s="1"/>
  <c r="K25" i="78"/>
  <c r="K30" i="78" s="1"/>
  <c r="N25" i="78"/>
  <c r="N30" i="78" s="1"/>
  <c r="M25" i="78"/>
  <c r="M30" i="78" s="1"/>
  <c r="L25" i="78"/>
  <c r="L30" i="78" s="1"/>
  <c r="P25" i="78"/>
  <c r="P30" i="78" s="1"/>
  <c r="D25" i="78"/>
  <c r="D30" i="78" s="1"/>
  <c r="V22" i="78"/>
  <c r="H25" i="78"/>
  <c r="H30" i="78" s="1"/>
  <c r="V24" i="78"/>
  <c r="I25" i="78"/>
  <c r="I30" i="78" s="1"/>
  <c r="V18" i="78"/>
  <c r="V21" i="78"/>
  <c r="F25" i="78"/>
  <c r="F30" i="78" s="1"/>
  <c r="E25" i="78"/>
  <c r="E30" i="78" s="1"/>
  <c r="V20" i="78"/>
  <c r="G25" i="78"/>
  <c r="G30" i="78" s="1"/>
  <c r="V23" i="78"/>
  <c r="V19" i="78"/>
  <c r="S39" i="78"/>
  <c r="H40" i="78"/>
  <c r="N46" i="78"/>
  <c r="G40" i="76"/>
  <c r="G41" i="76"/>
  <c r="G42" i="76"/>
  <c r="G43" i="76"/>
  <c r="G44" i="76"/>
  <c r="G45" i="76"/>
  <c r="G39" i="76"/>
  <c r="F45" i="76"/>
  <c r="F40" i="76"/>
  <c r="F41" i="76"/>
  <c r="F42" i="76"/>
  <c r="F43" i="76"/>
  <c r="F44" i="76"/>
  <c r="F39" i="76"/>
  <c r="E40" i="76"/>
  <c r="E41" i="76"/>
  <c r="E42" i="76"/>
  <c r="E43" i="76"/>
  <c r="E44" i="76"/>
  <c r="E45" i="76"/>
  <c r="E39" i="76"/>
  <c r="D40" i="76"/>
  <c r="D41" i="76"/>
  <c r="D42" i="76"/>
  <c r="D43" i="76"/>
  <c r="D44" i="76"/>
  <c r="D45" i="76"/>
  <c r="D39" i="76"/>
  <c r="C40" i="76"/>
  <c r="C41" i="76"/>
  <c r="C42" i="76"/>
  <c r="C43" i="76"/>
  <c r="C44" i="76"/>
  <c r="C45" i="76"/>
  <c r="C39" i="76"/>
  <c r="B40" i="76"/>
  <c r="B41" i="76"/>
  <c r="B42" i="76"/>
  <c r="B43" i="76"/>
  <c r="B44" i="76"/>
  <c r="B45" i="76"/>
  <c r="B39" i="76"/>
  <c r="B23" i="76"/>
  <c r="B24" i="76"/>
  <c r="G65" i="78" l="1"/>
  <c r="G68" i="78" s="1"/>
  <c r="V25" i="78"/>
  <c r="W27" i="78" s="1"/>
  <c r="H46" i="78"/>
  <c r="N51" i="78"/>
  <c r="S46" i="78"/>
  <c r="B22" i="76"/>
  <c r="G66" i="78" l="1"/>
  <c r="V26" i="78"/>
  <c r="H47" i="78"/>
  <c r="H49" i="78"/>
  <c r="S47" i="78"/>
  <c r="S49" i="78"/>
  <c r="T19" i="76"/>
  <c r="T20" i="76"/>
  <c r="T21" i="76"/>
  <c r="T22" i="76"/>
  <c r="T23" i="76"/>
  <c r="T24" i="76"/>
  <c r="T18" i="76"/>
  <c r="S19" i="76"/>
  <c r="S20" i="76"/>
  <c r="S21" i="76"/>
  <c r="S22" i="76"/>
  <c r="S23" i="76"/>
  <c r="S24" i="76"/>
  <c r="S18" i="76"/>
  <c r="R19" i="76"/>
  <c r="R20" i="76"/>
  <c r="R21" i="76"/>
  <c r="R22" i="76"/>
  <c r="R23" i="76"/>
  <c r="R24" i="76"/>
  <c r="R18" i="76"/>
  <c r="Q19" i="76"/>
  <c r="Q20" i="76"/>
  <c r="Q21" i="76"/>
  <c r="Q22" i="76"/>
  <c r="Q23" i="76"/>
  <c r="Q24" i="76"/>
  <c r="Q18" i="76"/>
  <c r="P19" i="76"/>
  <c r="P20" i="76"/>
  <c r="P21" i="76"/>
  <c r="P22" i="76"/>
  <c r="P23" i="76"/>
  <c r="P24" i="76"/>
  <c r="P18" i="76"/>
  <c r="O19" i="76"/>
  <c r="O20" i="76"/>
  <c r="O21" i="76"/>
  <c r="O22" i="76"/>
  <c r="O23" i="76"/>
  <c r="O24" i="76"/>
  <c r="O18" i="76"/>
  <c r="N19" i="76"/>
  <c r="N20" i="76"/>
  <c r="N21" i="76"/>
  <c r="N22" i="76"/>
  <c r="N23" i="76"/>
  <c r="N24" i="76"/>
  <c r="N18" i="76"/>
  <c r="M19" i="76"/>
  <c r="M20" i="76"/>
  <c r="M21" i="76"/>
  <c r="M22" i="76"/>
  <c r="M23" i="76"/>
  <c r="M24" i="76"/>
  <c r="M18" i="76"/>
  <c r="L19" i="76"/>
  <c r="L20" i="76"/>
  <c r="L21" i="76"/>
  <c r="L22" i="76"/>
  <c r="L23" i="76"/>
  <c r="L24" i="76"/>
  <c r="L18" i="76"/>
  <c r="K19" i="76"/>
  <c r="K20" i="76"/>
  <c r="K21" i="76"/>
  <c r="K22" i="76"/>
  <c r="K23" i="76"/>
  <c r="K24" i="76"/>
  <c r="K18" i="76"/>
  <c r="J19" i="76"/>
  <c r="J20" i="76"/>
  <c r="J21" i="76"/>
  <c r="J22" i="76"/>
  <c r="J23" i="76"/>
  <c r="J24" i="76"/>
  <c r="J18" i="76"/>
  <c r="I19" i="76"/>
  <c r="I20" i="76"/>
  <c r="I21" i="76"/>
  <c r="I22" i="76"/>
  <c r="I23" i="76"/>
  <c r="I24" i="76"/>
  <c r="H19" i="76"/>
  <c r="H20" i="76"/>
  <c r="H21" i="76"/>
  <c r="H22" i="76"/>
  <c r="H23" i="76"/>
  <c r="H24" i="76"/>
  <c r="I18" i="76"/>
  <c r="H18" i="76"/>
  <c r="G19" i="76"/>
  <c r="G20" i="76"/>
  <c r="G21" i="76"/>
  <c r="G22" i="76"/>
  <c r="G23" i="76"/>
  <c r="G24" i="76"/>
  <c r="G18" i="76"/>
  <c r="F19" i="76"/>
  <c r="F20" i="76"/>
  <c r="F21" i="76"/>
  <c r="F22" i="76"/>
  <c r="F23" i="76"/>
  <c r="F24" i="76"/>
  <c r="F18" i="76"/>
  <c r="E19" i="76"/>
  <c r="E20" i="76"/>
  <c r="E21" i="76"/>
  <c r="E22" i="76"/>
  <c r="E23" i="76"/>
  <c r="E24" i="76"/>
  <c r="E18" i="76"/>
  <c r="D19" i="76"/>
  <c r="D20" i="76"/>
  <c r="D21" i="76"/>
  <c r="D22" i="76"/>
  <c r="D23" i="76"/>
  <c r="D24" i="76"/>
  <c r="D18" i="76"/>
  <c r="C19" i="76"/>
  <c r="C20" i="76"/>
  <c r="C21" i="76"/>
  <c r="C22" i="76"/>
  <c r="C23" i="76"/>
  <c r="C24" i="76"/>
  <c r="C18" i="76"/>
  <c r="B19" i="76"/>
  <c r="B20" i="76"/>
  <c r="B21" i="76"/>
  <c r="B18" i="76"/>
  <c r="G25" i="76" l="1"/>
  <c r="V23" i="76"/>
  <c r="V22" i="76"/>
  <c r="N40" i="76"/>
  <c r="V27" i="76" l="1"/>
  <c r="E69" i="76"/>
  <c r="D69" i="76"/>
  <c r="C69" i="76"/>
  <c r="B69" i="76"/>
  <c r="E68" i="76"/>
  <c r="D68" i="76"/>
  <c r="C68" i="76"/>
  <c r="B68" i="76"/>
  <c r="G67" i="76"/>
  <c r="E64" i="76"/>
  <c r="D64" i="76"/>
  <c r="C64" i="76"/>
  <c r="B64" i="76"/>
  <c r="E63" i="76"/>
  <c r="D63" i="76"/>
  <c r="C63" i="76"/>
  <c r="B63" i="76"/>
  <c r="E62" i="76"/>
  <c r="D62" i="76"/>
  <c r="C62" i="76"/>
  <c r="B62" i="76"/>
  <c r="E61" i="76"/>
  <c r="D61" i="76"/>
  <c r="C61" i="76"/>
  <c r="B61" i="76"/>
  <c r="E60" i="76"/>
  <c r="D60" i="76"/>
  <c r="C60" i="76"/>
  <c r="B60" i="76"/>
  <c r="E59" i="76"/>
  <c r="D59" i="76"/>
  <c r="C59" i="76"/>
  <c r="B59" i="76"/>
  <c r="E58" i="76"/>
  <c r="D58" i="76"/>
  <c r="C58" i="76"/>
  <c r="B58" i="76"/>
  <c r="Q50" i="76"/>
  <c r="P50" i="76"/>
  <c r="O50" i="76"/>
  <c r="N50" i="76"/>
  <c r="G50" i="76"/>
  <c r="F50" i="76"/>
  <c r="E50" i="76"/>
  <c r="D50" i="76"/>
  <c r="C50" i="76"/>
  <c r="B50" i="76"/>
  <c r="Q49" i="76"/>
  <c r="P49" i="76"/>
  <c r="O49" i="76"/>
  <c r="N49" i="76"/>
  <c r="G49" i="76"/>
  <c r="F49" i="76"/>
  <c r="E49" i="76"/>
  <c r="D49" i="76"/>
  <c r="C49" i="76"/>
  <c r="B49" i="76"/>
  <c r="S48" i="76"/>
  <c r="H48" i="76"/>
  <c r="Q45" i="76"/>
  <c r="P45" i="76"/>
  <c r="O45" i="76"/>
  <c r="N45" i="76"/>
  <c r="Q44" i="76"/>
  <c r="P44" i="76"/>
  <c r="O44" i="76"/>
  <c r="N44" i="76"/>
  <c r="Q43" i="76"/>
  <c r="P43" i="76"/>
  <c r="O43" i="76"/>
  <c r="N43" i="76"/>
  <c r="Q42" i="76"/>
  <c r="P42" i="76"/>
  <c r="O42" i="76"/>
  <c r="N42" i="76"/>
  <c r="Q41" i="76"/>
  <c r="P41" i="76"/>
  <c r="O41" i="76"/>
  <c r="N41" i="76"/>
  <c r="Q40" i="76"/>
  <c r="P40" i="76"/>
  <c r="O40" i="76"/>
  <c r="Q39" i="76"/>
  <c r="P39" i="76"/>
  <c r="O39" i="76"/>
  <c r="N39" i="76"/>
  <c r="T29" i="76"/>
  <c r="S29" i="76"/>
  <c r="R29" i="76"/>
  <c r="Q29" i="76"/>
  <c r="P29" i="76"/>
  <c r="O29" i="76"/>
  <c r="N29" i="76"/>
  <c r="M29" i="76"/>
  <c r="L29" i="76"/>
  <c r="K29" i="76"/>
  <c r="J29" i="76"/>
  <c r="I29" i="76"/>
  <c r="H29" i="76"/>
  <c r="G29" i="76"/>
  <c r="F29" i="76"/>
  <c r="E29" i="76"/>
  <c r="D29" i="76"/>
  <c r="C29" i="76"/>
  <c r="B29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G50" i="1"/>
  <c r="G49" i="1"/>
  <c r="G45" i="1"/>
  <c r="G44" i="1"/>
  <c r="G43" i="1"/>
  <c r="G42" i="1"/>
  <c r="G41" i="1"/>
  <c r="G40" i="1"/>
  <c r="G39" i="1"/>
  <c r="T29" i="1"/>
  <c r="T28" i="1"/>
  <c r="Q24" i="1"/>
  <c r="R24" i="1"/>
  <c r="S24" i="1"/>
  <c r="T24" i="1"/>
  <c r="P24" i="1"/>
  <c r="Q23" i="1"/>
  <c r="R23" i="1"/>
  <c r="S23" i="1"/>
  <c r="T23" i="1"/>
  <c r="P23" i="1"/>
  <c r="Q22" i="1"/>
  <c r="R22" i="1"/>
  <c r="S22" i="1"/>
  <c r="T22" i="1"/>
  <c r="P22" i="1"/>
  <c r="Q21" i="1"/>
  <c r="R21" i="1"/>
  <c r="S21" i="1"/>
  <c r="T21" i="1"/>
  <c r="P21" i="1"/>
  <c r="Q20" i="1"/>
  <c r="R20" i="1"/>
  <c r="S20" i="1"/>
  <c r="T20" i="1"/>
  <c r="P20" i="1"/>
  <c r="T19" i="1"/>
  <c r="T18" i="1"/>
  <c r="Q19" i="1"/>
  <c r="R19" i="1"/>
  <c r="S19" i="1"/>
  <c r="P19" i="1"/>
  <c r="Q18" i="1"/>
  <c r="R18" i="1"/>
  <c r="S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B24" i="1"/>
  <c r="C23" i="1"/>
  <c r="D23" i="1"/>
  <c r="E23" i="1"/>
  <c r="F23" i="1"/>
  <c r="G23" i="1"/>
  <c r="H23" i="1"/>
  <c r="I23" i="1"/>
  <c r="J23" i="1"/>
  <c r="B23" i="1"/>
  <c r="J22" i="1"/>
  <c r="C22" i="1"/>
  <c r="D22" i="1"/>
  <c r="E22" i="1"/>
  <c r="F22" i="1"/>
  <c r="G22" i="1"/>
  <c r="H22" i="1"/>
  <c r="I22" i="1"/>
  <c r="B22" i="1"/>
  <c r="J21" i="1"/>
  <c r="C21" i="1"/>
  <c r="D21" i="1"/>
  <c r="E21" i="1"/>
  <c r="F21" i="1"/>
  <c r="G21" i="1"/>
  <c r="H21" i="1"/>
  <c r="I21" i="1"/>
  <c r="B21" i="1"/>
  <c r="C20" i="1"/>
  <c r="D20" i="1"/>
  <c r="E20" i="1"/>
  <c r="F20" i="1"/>
  <c r="G20" i="1"/>
  <c r="H20" i="1"/>
  <c r="I20" i="1"/>
  <c r="J20" i="1"/>
  <c r="B20" i="1"/>
  <c r="C19" i="1"/>
  <c r="D19" i="1"/>
  <c r="E19" i="1"/>
  <c r="F19" i="1"/>
  <c r="G19" i="1"/>
  <c r="H19" i="1"/>
  <c r="I19" i="1"/>
  <c r="J19" i="1"/>
  <c r="B19" i="1"/>
  <c r="J18" i="1"/>
  <c r="E18" i="1"/>
  <c r="F18" i="1"/>
  <c r="G18" i="1"/>
  <c r="H18" i="1"/>
  <c r="I18" i="1"/>
  <c r="D18" i="1"/>
  <c r="C18" i="1"/>
  <c r="B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G46" i="1" l="1"/>
  <c r="G51" i="1" s="1"/>
  <c r="Q25" i="1"/>
  <c r="J25" i="1"/>
  <c r="J30" i="1" s="1"/>
  <c r="R25" i="1"/>
  <c r="S25" i="1"/>
  <c r="O25" i="1"/>
  <c r="O30" i="1" s="1"/>
  <c r="T25" i="1"/>
  <c r="T30" i="1" s="1"/>
  <c r="S40" i="76"/>
  <c r="S42" i="76"/>
  <c r="S43" i="76"/>
  <c r="K25" i="1"/>
  <c r="G63" i="76"/>
  <c r="D65" i="76"/>
  <c r="D70" i="76" s="1"/>
  <c r="P46" i="76"/>
  <c r="P51" i="76" s="1"/>
  <c r="S44" i="76"/>
  <c r="Q46" i="76"/>
  <c r="Q51" i="76" s="1"/>
  <c r="S45" i="76"/>
  <c r="S41" i="76"/>
  <c r="O46" i="76"/>
  <c r="O51" i="76" s="1"/>
  <c r="N25" i="76"/>
  <c r="N30" i="76" s="1"/>
  <c r="G30" i="76"/>
  <c r="O25" i="76"/>
  <c r="O30" i="76" s="1"/>
  <c r="P25" i="76"/>
  <c r="P30" i="76" s="1"/>
  <c r="I25" i="76"/>
  <c r="I30" i="76" s="1"/>
  <c r="Q25" i="76"/>
  <c r="Q30" i="76" s="1"/>
  <c r="V20" i="76"/>
  <c r="V24" i="76"/>
  <c r="F25" i="76"/>
  <c r="F30" i="76" s="1"/>
  <c r="H25" i="76"/>
  <c r="H30" i="76" s="1"/>
  <c r="J25" i="76"/>
  <c r="J30" i="76" s="1"/>
  <c r="R25" i="76"/>
  <c r="R30" i="76" s="1"/>
  <c r="C25" i="76"/>
  <c r="C30" i="76" s="1"/>
  <c r="D25" i="76"/>
  <c r="D30" i="76" s="1"/>
  <c r="L25" i="76"/>
  <c r="L30" i="76" s="1"/>
  <c r="T25" i="76"/>
  <c r="T30" i="76" s="1"/>
  <c r="E25" i="76"/>
  <c r="E30" i="76" s="1"/>
  <c r="M25" i="76"/>
  <c r="M30" i="76" s="1"/>
  <c r="D46" i="76"/>
  <c r="D51" i="76" s="1"/>
  <c r="E46" i="76"/>
  <c r="E51" i="76" s="1"/>
  <c r="H40" i="76"/>
  <c r="H44" i="76"/>
  <c r="H41" i="76"/>
  <c r="H45" i="76"/>
  <c r="F46" i="76"/>
  <c r="F51" i="76" s="1"/>
  <c r="G46" i="76"/>
  <c r="G51" i="76" s="1"/>
  <c r="H39" i="76"/>
  <c r="B65" i="76"/>
  <c r="B70" i="76" s="1"/>
  <c r="G62" i="76"/>
  <c r="C65" i="76"/>
  <c r="C70" i="76" s="1"/>
  <c r="G64" i="76"/>
  <c r="E65" i="76"/>
  <c r="E70" i="76" s="1"/>
  <c r="G59" i="76"/>
  <c r="G61" i="76"/>
  <c r="V19" i="76"/>
  <c r="S39" i="76"/>
  <c r="N46" i="76"/>
  <c r="C46" i="76"/>
  <c r="C51" i="76" s="1"/>
  <c r="G58" i="76"/>
  <c r="G60" i="76"/>
  <c r="I25" i="1"/>
  <c r="I30" i="1" s="1"/>
  <c r="G25" i="1"/>
  <c r="G30" i="1" s="1"/>
  <c r="F25" i="1"/>
  <c r="F30" i="1" s="1"/>
  <c r="C25" i="1"/>
  <c r="C30" i="1" s="1"/>
  <c r="D25" i="1"/>
  <c r="D30" i="1" s="1"/>
  <c r="H25" i="1"/>
  <c r="H30" i="1" s="1"/>
  <c r="E25" i="1"/>
  <c r="E30" i="1" s="1"/>
  <c r="G65" i="76" l="1"/>
  <c r="G68" i="76" s="1"/>
  <c r="N51" i="76"/>
  <c r="S46" i="76"/>
  <c r="G66" i="76" l="1"/>
  <c r="S49" i="76"/>
  <c r="S47" i="76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Q39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V27" i="1"/>
  <c r="E46" i="1" l="1"/>
  <c r="B29" i="1"/>
  <c r="R30" i="1" l="1"/>
  <c r="S30" i="1"/>
  <c r="Q30" i="1"/>
  <c r="P25" i="1"/>
  <c r="P30" i="1" s="1"/>
  <c r="L25" i="1"/>
  <c r="L30" i="1" s="1"/>
  <c r="K30" i="1"/>
  <c r="M25" i="1"/>
  <c r="M30" i="1" s="1"/>
  <c r="N25" i="1"/>
  <c r="N30" i="1" s="1"/>
  <c r="V24" i="1" l="1"/>
  <c r="V21" i="1"/>
  <c r="V20" i="1"/>
  <c r="V19" i="1"/>
  <c r="V23" i="1"/>
  <c r="B25" i="1"/>
  <c r="V18" i="1"/>
  <c r="V22" i="1"/>
  <c r="Q46" i="1"/>
  <c r="Q51" i="1" s="1"/>
  <c r="P46" i="1"/>
  <c r="P51" i="1" s="1"/>
  <c r="O46" i="1"/>
  <c r="O51" i="1" s="1"/>
  <c r="E51" i="1"/>
  <c r="D46" i="1"/>
  <c r="D51" i="1" s="1"/>
  <c r="C46" i="1"/>
  <c r="C51" i="1" s="1"/>
  <c r="E69" i="1"/>
  <c r="E68" i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H39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V25" i="1" l="1"/>
  <c r="V26" i="1" s="1"/>
  <c r="B30" i="1"/>
  <c r="S45" i="1"/>
  <c r="H45" i="1"/>
  <c r="S46" i="1"/>
  <c r="S47" i="1" s="1"/>
  <c r="G65" i="1"/>
  <c r="G66" i="1" s="1"/>
  <c r="S49" i="1" l="1"/>
  <c r="G68" i="1"/>
  <c r="W27" i="1"/>
  <c r="H42" i="1" l="1"/>
  <c r="B46" i="1"/>
  <c r="H46" i="1" s="1"/>
  <c r="H47" i="1" s="1"/>
  <c r="H49" i="1" l="1"/>
  <c r="B51" i="1"/>
  <c r="V18" i="76" l="1"/>
  <c r="B25" i="76"/>
  <c r="B30" i="76" s="1"/>
  <c r="V21" i="76"/>
  <c r="K25" i="76"/>
  <c r="K30" i="76" l="1"/>
  <c r="S25" i="76"/>
  <c r="V25" i="76" s="1"/>
  <c r="S30" i="76" l="1"/>
  <c r="V26" i="76"/>
  <c r="W27" i="76"/>
  <c r="H42" i="76"/>
  <c r="H43" i="76"/>
  <c r="B46" i="76"/>
  <c r="H46" i="76" s="1"/>
  <c r="H47" i="76" l="1"/>
  <c r="H49" i="76"/>
  <c r="B51" i="76"/>
  <c r="X26" i="101"/>
  <c r="W45" i="102"/>
  <c r="W44" i="102"/>
  <c r="Q46" i="102"/>
  <c r="Q51" i="102" s="1"/>
  <c r="W46" i="102" l="1"/>
  <c r="W49" i="102" s="1"/>
  <c r="X22" i="104"/>
  <c r="X20" i="104"/>
  <c r="D25" i="104"/>
  <c r="D30" i="104" s="1"/>
  <c r="X21" i="104"/>
  <c r="G25" i="104"/>
  <c r="G30" i="104" s="1"/>
  <c r="L25" i="104"/>
  <c r="L30" i="104" s="1"/>
  <c r="Q25" i="104"/>
  <c r="Q30" i="104" s="1"/>
  <c r="S25" i="104"/>
  <c r="S30" i="104" s="1"/>
  <c r="X24" i="104"/>
  <c r="V25" i="104"/>
  <c r="V30" i="104" s="1"/>
  <c r="X23" i="104"/>
  <c r="C46" i="104"/>
  <c r="C51" i="104" s="1"/>
  <c r="H44" i="104"/>
  <c r="G46" i="104"/>
  <c r="G51" i="104" s="1"/>
  <c r="H45" i="104"/>
  <c r="W47" i="102" l="1"/>
  <c r="X25" i="104"/>
  <c r="X26" i="104" s="1"/>
  <c r="H46" i="104"/>
  <c r="H47" i="104" s="1"/>
  <c r="C65" i="104"/>
  <c r="C70" i="104" s="1"/>
  <c r="H63" i="104"/>
  <c r="H64" i="104"/>
  <c r="E65" i="104"/>
  <c r="E70" i="104" s="1"/>
  <c r="H49" i="104" l="1"/>
  <c r="H65" i="104"/>
  <c r="H68" i="104" l="1"/>
  <c r="H66" i="104"/>
  <c r="W45" i="109"/>
  <c r="W43" i="109"/>
  <c r="W44" i="109"/>
  <c r="Q46" i="109"/>
  <c r="Q51" i="109" s="1"/>
  <c r="W46" i="109" l="1"/>
  <c r="W49" i="109" s="1"/>
  <c r="K30" i="112"/>
  <c r="X26" i="112"/>
  <c r="U46" i="112"/>
  <c r="U47" i="112" s="1"/>
  <c r="W47" i="109" l="1"/>
  <c r="U49" i="112"/>
  <c r="X18" i="115"/>
  <c r="X19" i="115"/>
  <c r="X23" i="115"/>
  <c r="X24" i="115"/>
  <c r="X22" i="115" l="1"/>
  <c r="X20" i="115"/>
  <c r="X21" i="115"/>
  <c r="X25" i="115" l="1"/>
  <c r="X26" i="115" s="1"/>
  <c r="R50" i="127" l="1"/>
  <c r="R53" i="127" s="1"/>
  <c r="R51" i="127" l="1"/>
  <c r="R51" i="170" l="1"/>
  <c r="R49" i="170"/>
  <c r="R52" i="170" s="1"/>
  <c r="R54" i="170" s="1"/>
  <c r="R53" i="170"/>
  <c r="R55" i="170" s="1"/>
  <c r="R51" i="171" l="1"/>
  <c r="R49" i="171"/>
  <c r="R52" i="171" s="1"/>
  <c r="R54" i="171" s="1"/>
  <c r="R53" i="171"/>
  <c r="R55" i="171" l="1"/>
  <c r="R49" i="165"/>
  <c r="R51" i="165"/>
  <c r="Q35" i="167"/>
  <c r="R54" i="166"/>
  <c r="R51" i="169"/>
  <c r="R49" i="169"/>
  <c r="R55" i="166"/>
  <c r="R52" i="165"/>
  <c r="R54" i="165"/>
  <c r="R50" i="165"/>
  <c r="R53" i="165"/>
  <c r="R55" i="165"/>
  <c r="R51" i="166"/>
  <c r="R49" i="166"/>
  <c r="R53" i="166"/>
  <c r="R50" i="166"/>
  <c r="R52" i="166"/>
  <c r="R53" i="169"/>
  <c r="R55" i="169"/>
  <c r="R50" i="169"/>
  <c r="R52" i="169"/>
  <c r="R54" i="169"/>
</calcChain>
</file>

<file path=xl/sharedStrings.xml><?xml version="1.0" encoding="utf-8"?>
<sst xmlns="http://schemas.openxmlformats.org/spreadsheetml/2006/main" count="6739" uniqueCount="135">
  <si>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</si>
  <si>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</si>
  <si>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</si>
  <si>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</si>
  <si>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</si>
  <si>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</si>
  <si>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</si>
  <si>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</si>
  <si>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</si>
  <si>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</si>
  <si>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</si>
  <si>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</si>
  <si>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</si>
  <si>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</si>
  <si>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</si>
  <si>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</si>
  <si>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</si>
  <si>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</si>
  <si>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</si>
  <si>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</si>
  <si>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</si>
  <si>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</si>
  <si>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</si>
  <si>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</si>
  <si>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</si>
  <si>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</si>
  <si>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</si>
  <si>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</si>
  <si>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</si>
  <si>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</si>
  <si>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</si>
  <si>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</si>
  <si>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</si>
  <si>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</si>
  <si>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</si>
  <si>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</si>
  <si>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</si>
  <si>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</si>
  <si>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</si>
  <si>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</si>
  <si>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</si>
  <si>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</si>
  <si>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</si>
  <si>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</si>
  <si>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</si>
  <si>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</si>
  <si>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</si>
  <si>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</si>
  <si>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</si>
  <si>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</si>
  <si>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CEPA 7</t>
  </si>
  <si>
    <t>F611 - M612</t>
  </si>
  <si>
    <t>SALDO AVES</t>
  </si>
  <si>
    <t>MIERCOLES</t>
  </si>
  <si>
    <t>SEMANA 2</t>
  </si>
  <si>
    <t>SEMANA 3</t>
  </si>
  <si>
    <t xml:space="preserve">DESCARTES </t>
  </si>
  <si>
    <t>descartes</t>
  </si>
  <si>
    <t>Descr</t>
  </si>
  <si>
    <t>Descart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</si>
  <si>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</si>
  <si>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</si>
  <si>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</si>
  <si>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</si>
  <si>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</si>
  <si>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</si>
  <si>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</si>
  <si>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</si>
  <si>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</si>
  <si>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</si>
  <si>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</si>
  <si>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</si>
  <si>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Descartes</t>
  </si>
  <si>
    <t>SEMANA 16</t>
  </si>
  <si>
    <t>DESCARTES</t>
  </si>
  <si>
    <t>SEMANA 17</t>
  </si>
  <si>
    <t>SEMANA 18</t>
  </si>
  <si>
    <t>SEMANA 19</t>
  </si>
  <si>
    <t>SEMANA 20</t>
  </si>
  <si>
    <t>SEMANA 21</t>
  </si>
  <si>
    <t>SEMANA 22</t>
  </si>
  <si>
    <t>Es como si se hubiera quitado comida pero es por las 101 aves que no estan.</t>
  </si>
  <si>
    <t>Recupe</t>
  </si>
  <si>
    <t>Error Sex</t>
  </si>
  <si>
    <t>se distribuye proporcionalmente el alimento según las aves que se retiran por corral</t>
  </si>
  <si>
    <t>de esta manera se retiraron las aves</t>
  </si>
  <si>
    <t>de esta manera se retiraron las aves el viernes de la semana 21 hacia los corrales creados</t>
  </si>
  <si>
    <t>se reprogramaron con lo programado del corral 1</t>
  </si>
  <si>
    <t>error Sex</t>
  </si>
  <si>
    <t>en este orden se retiraron los errores de sexajes y se en trasladan como un 5to corral en la caseta C</t>
  </si>
  <si>
    <t>en este orden se descartaron el numero de aves</t>
  </si>
  <si>
    <t>SEMANA 23</t>
  </si>
  <si>
    <t>DT</t>
  </si>
  <si>
    <t>PRIMERO SE ALIMENTO CON LOS SALDOS QUE TENIAN Y LUEGO SE MOVIERON LOS RECUPERABLES</t>
  </si>
  <si>
    <t>???</t>
  </si>
  <si>
    <t>este corral se crea con aves de la caseta D y E</t>
  </si>
  <si>
    <t>se realiza apareo en caseta D y E</t>
  </si>
  <si>
    <t>SEMANA 24</t>
  </si>
  <si>
    <t>23,/07</t>
  </si>
  <si>
    <t>Recuper</t>
  </si>
  <si>
    <t>TOLVA</t>
  </si>
  <si>
    <t>El alimento programado por corrales se debe repartir en las 4 canales de comederos manualmente.</t>
  </si>
  <si>
    <t>Saldo de aves</t>
  </si>
  <si>
    <t>Gramos programados</t>
  </si>
  <si>
    <t>Kilos</t>
  </si>
  <si>
    <t>SEMANA 25</t>
  </si>
  <si>
    <t>Gramos</t>
  </si>
  <si>
    <t>Tolva</t>
  </si>
  <si>
    <t>Aves</t>
  </si>
  <si>
    <t>Total + Tolva</t>
  </si>
  <si>
    <t>SEMANA 26</t>
  </si>
  <si>
    <t>Ojo este estaba mal programado. Por favor mucha concentración. Vamos a quitarle comida por mala programación.</t>
  </si>
  <si>
    <t>Ojo estos estaban mal programados. Por favor mucha concentración. Vamos a quitarle comida por mala programación.</t>
  </si>
  <si>
    <t>El éxito es la suma de muchas cosas bien hechas los malos resultados son la suma de errores.</t>
  </si>
  <si>
    <t>Subir a 110</t>
  </si>
  <si>
    <r>
      <rPr>
        <b/>
        <sz val="36"/>
        <color theme="1"/>
        <rFont val="Calibri"/>
        <family val="2"/>
        <scheme val="minor"/>
      </rPr>
      <t>CASETA B</t>
    </r>
    <r>
      <rPr>
        <sz val="36"/>
        <color theme="1"/>
        <rFont val="Calibri"/>
        <family val="2"/>
        <scheme val="minor"/>
      </rPr>
      <t xml:space="preserve">
PRINCIPAL: 54,6
AUXILIAR:  27,2</t>
    </r>
  </si>
  <si>
    <r>
      <rPr>
        <b/>
        <sz val="36"/>
        <color theme="1"/>
        <rFont val="Calibri"/>
        <family val="2"/>
        <scheme val="minor"/>
      </rPr>
      <t>CASETA C</t>
    </r>
    <r>
      <rPr>
        <sz val="36"/>
        <color theme="1"/>
        <rFont val="Calibri"/>
        <family val="2"/>
        <scheme val="minor"/>
      </rPr>
      <t xml:space="preserve">
PRINCIPAL: 54,9
AUXILIAR:  27,4</t>
    </r>
  </si>
  <si>
    <t>Desc</t>
  </si>
  <si>
    <t>Corra</t>
  </si>
  <si>
    <t>19.4</t>
  </si>
  <si>
    <t>DESCAR</t>
  </si>
  <si>
    <t>F2 LH-F3LM-MACHOS</t>
  </si>
  <si>
    <t>Favor contar Machos una vez por semana</t>
  </si>
  <si>
    <t>DESCA</t>
  </si>
  <si>
    <t>JUE</t>
  </si>
  <si>
    <t>VIE</t>
  </si>
  <si>
    <t>SÁB</t>
  </si>
  <si>
    <t>DOM</t>
  </si>
  <si>
    <t>LUN</t>
  </si>
  <si>
    <t>MAR</t>
  </si>
  <si>
    <t>MIER</t>
  </si>
  <si>
    <t>relacion7,6</t>
  </si>
  <si>
    <t>relacion 8,0</t>
  </si>
  <si>
    <t>Bloqueado</t>
  </si>
  <si>
    <t>Leyenda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</si>
</sst>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#,##0.0"/>
    <numFmt numFmtId="166" formatCode="0.000"/>
    <numFmt numFmtId="167" formatCode="0.0000"/>
  </numFmts>
  <fonts count="51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2"/>
      <color theme="1"/>
      <name val="Calibri"/>
      <family val="2"/>
      <scheme val="minor"/>
    </font>
    <font>
      <sz val="14"/>
      <color theme="1"/>
      <name val="Arial"/>
      <family val="2"/>
    </font>
    <font>
      <b/>
      <sz val="18"/>
      <name val="Arial"/>
      <family val="2"/>
    </font>
    <font>
      <b/>
      <sz val="36"/>
      <color rgb="FFFF0000"/>
      <name val="Arial"/>
      <family val="2"/>
    </font>
    <font>
      <sz val="24"/>
      <color theme="1" tint="4.9989318521683403E-2"/>
      <name val="Arial"/>
      <family val="2"/>
    </font>
    <font>
      <sz val="24"/>
      <color theme="1"/>
      <name val="Calibri"/>
      <family val="2"/>
      <scheme val="minor"/>
    </font>
    <font>
      <sz val="26"/>
      <color theme="1"/>
      <name val="Arial"/>
      <family val="2"/>
    </font>
    <font>
      <u/>
      <sz val="24"/>
      <name val="Arial"/>
      <family val="2"/>
    </font>
    <font>
      <u/>
      <sz val="26"/>
      <name val="Arial"/>
      <family val="2"/>
    </font>
    <font>
      <b/>
      <sz val="26"/>
      <color theme="1"/>
      <name val="Arial"/>
      <family val="2"/>
    </font>
    <font>
      <b/>
      <sz val="26"/>
      <color rgb="FF00B050"/>
      <name val="Arial"/>
      <family val="2"/>
    </font>
    <font>
      <sz val="36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20"/>
      <color theme="1"/>
      <name val="Arial"/>
      <family val="2"/>
    </font>
    <font>
      <b/>
      <sz val="18"/>
      <color theme="1"/>
      <name val="Arial"/>
      <family val="2"/>
    </font>
    <font>
      <sz val="26"/>
      <color rgb="FFFF0000"/>
      <name val="Arial"/>
      <family val="2"/>
    </font>
    <font>
      <b/>
      <sz val="20"/>
      <color theme="1"/>
      <name val="Arial"/>
      <family val="2"/>
    </font>
    <font>
      <sz val="11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0"/>
      <color theme="1"/>
      <name val="Arial"/>
      <family val="2"/>
    </font>
    <font>
      <sz val="48"/>
      <color rgb="FFFF0000"/>
      <name val="Calibri"/>
      <family val="2"/>
      <scheme val="minor"/>
    </font>
    <font>
      <sz val="36"/>
      <color rgb="FFFF0000"/>
      <name val="Arial"/>
      <family val="2"/>
    </font>
    <font>
      <sz val="24"/>
      <color rgb="FFFF0000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</fills>
  <borders count="8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medium">
        <color indexed="64"/>
      </bottom>
      <diagonal/>
    </border>
  </borders>
  <cellStyleXfs count="2">
    <xf numFmtId="0" fontId="0" fillId="0" borderId="0"/>
    <xf numFmtId="0" fontId="44" fillId="0" borderId="0"/>
  </cellStyleXfs>
  <cellXfs count="106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6" xfId="0" applyFont="1" applyFill="1" applyBorder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3" fillId="0" borderId="0" xfId="0" applyFont="1" applyAlignment="1">
      <alignment vertical="center" wrapText="1"/>
    </xf>
    <xf numFmtId="2" fontId="10" fillId="2" borderId="16" xfId="0" applyNumberFormat="1" applyFont="1" applyFill="1" applyBorder="1" applyAlignment="1">
      <alignment horizontal="center" vertical="center"/>
    </xf>
    <xf numFmtId="1" fontId="24" fillId="0" borderId="0" xfId="0" applyNumberFormat="1" applyFont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/>
    </xf>
    <xf numFmtId="0" fontId="16" fillId="2" borderId="30" xfId="0" applyFont="1" applyFill="1" applyBorder="1" applyAlignment="1">
      <alignment horizontal="center" vertical="center"/>
    </xf>
    <xf numFmtId="164" fontId="10" fillId="2" borderId="27" xfId="0" applyNumberFormat="1" applyFont="1" applyFill="1" applyBorder="1" applyAlignment="1">
      <alignment horizontal="center" vertical="center"/>
    </xf>
    <xf numFmtId="164" fontId="10" fillId="2" borderId="48" xfId="0" applyNumberFormat="1" applyFont="1" applyFill="1" applyBorder="1" applyAlignment="1">
      <alignment horizontal="center" vertical="center"/>
    </xf>
    <xf numFmtId="164" fontId="10" fillId="2" borderId="55" xfId="0" applyNumberFormat="1" applyFont="1" applyFill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4" fontId="10" fillId="2" borderId="56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164" fontId="10" fillId="2" borderId="49" xfId="0" applyNumberFormat="1" applyFont="1" applyFill="1" applyBorder="1" applyAlignment="1">
      <alignment horizontal="center" vertical="center"/>
    </xf>
    <xf numFmtId="164" fontId="10" fillId="2" borderId="46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0" fontId="24" fillId="3" borderId="60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0" fontId="2" fillId="4" borderId="59" xfId="0" applyFont="1" applyFill="1" applyBorder="1" applyAlignment="1">
      <alignment horizontal="center" vertical="center"/>
    </xf>
    <xf numFmtId="0" fontId="2" fillId="5" borderId="59" xfId="0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0" fontId="24" fillId="3" borderId="65" xfId="0" applyFont="1" applyFill="1" applyBorder="1" applyAlignment="1">
      <alignment horizontal="center" vertical="center"/>
    </xf>
    <xf numFmtId="0" fontId="24" fillId="3" borderId="67" xfId="0" applyFont="1" applyFill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2" fillId="0" borderId="62" xfId="0" applyFont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165" fontId="11" fillId="0" borderId="41" xfId="0" applyNumberFormat="1" applyFont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164" fontId="10" fillId="2" borderId="41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66" xfId="0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9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8" fillId="0" borderId="57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165" fontId="11" fillId="0" borderId="53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69" xfId="0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11" fillId="2" borderId="46" xfId="0" applyNumberFormat="1" applyFont="1" applyFill="1" applyBorder="1" applyAlignment="1">
      <alignment horizontal="center" vertical="center"/>
    </xf>
    <xf numFmtId="164" fontId="11" fillId="2" borderId="18" xfId="0" applyNumberFormat="1" applyFont="1" applyFill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0" fontId="8" fillId="0" borderId="49" xfId="0" applyFont="1" applyBorder="1" applyAlignment="1">
      <alignment horizontal="center" vertical="center"/>
    </xf>
    <xf numFmtId="0" fontId="8" fillId="0" borderId="27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2" borderId="23" xfId="0" applyNumberFormat="1" applyFont="1" applyFill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15" fillId="0" borderId="62" xfId="0" applyFont="1" applyBorder="1" applyAlignment="1">
      <alignment horizontal="center" vertical="center"/>
    </xf>
    <xf numFmtId="164" fontId="10" fillId="0" borderId="63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3" fillId="0" borderId="70" xfId="0" applyFont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164" fontId="11" fillId="0" borderId="47" xfId="0" applyNumberFormat="1" applyFont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7" borderId="0" xfId="0" applyFont="1" applyFill="1" applyAlignment="1">
      <alignment vertical="center"/>
    </xf>
    <xf numFmtId="0" fontId="24" fillId="3" borderId="57" xfId="0" applyFont="1" applyFill="1" applyBorder="1" applyAlignment="1">
      <alignment horizontal="center" vertical="center"/>
    </xf>
    <xf numFmtId="0" fontId="24" fillId="3" borderId="71" xfId="0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0" fontId="6" fillId="2" borderId="52" xfId="0" applyFont="1" applyFill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164" fontId="11" fillId="2" borderId="41" xfId="0" applyNumberFormat="1" applyFont="1" applyFill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165" fontId="11" fillId="0" borderId="4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64" fontId="24" fillId="7" borderId="0" xfId="0" applyNumberFormat="1" applyFont="1" applyFill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1" fillId="0" borderId="4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5" fontId="11" fillId="0" borderId="47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2" borderId="0" xfId="0" applyFont="1" applyFill="1" applyAlignment="1">
      <alignment vertical="center"/>
    </xf>
    <xf numFmtId="0" fontId="8" fillId="0" borderId="0" xfId="0" applyFont="1" applyAlignment="1">
      <alignment horizontal="center" vertical="center"/>
    </xf>
    <xf numFmtId="164" fontId="10" fillId="2" borderId="0" xfId="0" applyNumberFormat="1" applyFont="1" applyFill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9" fillId="0" borderId="6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9" fillId="0" borderId="0" xfId="0" applyNumberFormat="1" applyFont="1" applyAlignment="1">
      <alignment horizontal="center" vertical="center"/>
    </xf>
    <xf numFmtId="164" fontId="31" fillId="0" borderId="0" xfId="0" applyNumberFormat="1" applyFont="1" applyAlignment="1">
      <alignment horizontal="center" vertical="center"/>
    </xf>
    <xf numFmtId="0" fontId="16" fillId="2" borderId="25" xfId="0" applyFont="1" applyFill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66" fontId="10" fillId="0" borderId="0" xfId="0" applyNumberFormat="1" applyFont="1" applyAlignment="1">
      <alignment horizontal="center" vertical="center"/>
    </xf>
    <xf numFmtId="167" fontId="10" fillId="0" borderId="0" xfId="0" applyNumberFormat="1" applyFont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1" fillId="12" borderId="10" xfId="0" applyNumberFormat="1" applyFont="1" applyFill="1" applyBorder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0" fontId="2" fillId="4" borderId="41" xfId="0" applyFont="1" applyFill="1" applyBorder="1" applyAlignment="1">
      <alignment horizontal="center" vertical="center"/>
    </xf>
    <xf numFmtId="2" fontId="12" fillId="4" borderId="47" xfId="0" applyNumberFormat="1" applyFont="1" applyFill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2" fontId="32" fillId="0" borderId="0" xfId="0" applyNumberFormat="1" applyFont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6" fillId="2" borderId="0" xfId="0" applyFont="1" applyFill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1" fontId="23" fillId="0" borderId="0" xfId="0" applyNumberFormat="1" applyFont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" fontId="2" fillId="13" borderId="0" xfId="0" applyNumberFormat="1" applyFont="1" applyFill="1" applyAlignment="1">
      <alignment horizontal="center" vertical="center"/>
    </xf>
    <xf numFmtId="164" fontId="2" fillId="13" borderId="0" xfId="0" applyNumberFormat="1" applyFont="1" applyFill="1" applyAlignment="1">
      <alignment horizontal="center" vertical="center"/>
    </xf>
    <xf numFmtId="164" fontId="2" fillId="13" borderId="0" xfId="0" applyNumberFormat="1" applyFont="1" applyFill="1" applyAlignment="1">
      <alignment horizontal="right" vertical="center"/>
    </xf>
    <xf numFmtId="164" fontId="2" fillId="0" borderId="0" xfId="0" applyNumberFormat="1" applyFont="1" applyAlignment="1">
      <alignment horizontal="left" vertical="center"/>
    </xf>
    <xf numFmtId="0" fontId="2" fillId="14" borderId="7" xfId="0" applyFont="1" applyFill="1" applyBorder="1" applyAlignment="1">
      <alignment horizontal="center" vertical="center"/>
    </xf>
    <xf numFmtId="0" fontId="2" fillId="14" borderId="9" xfId="0" applyFont="1" applyFill="1" applyBorder="1" applyAlignment="1">
      <alignment horizontal="center" vertical="center"/>
    </xf>
    <xf numFmtId="0" fontId="2" fillId="14" borderId="6" xfId="0" applyFont="1" applyFill="1" applyBorder="1" applyAlignment="1">
      <alignment horizontal="center" vertical="center"/>
    </xf>
    <xf numFmtId="2" fontId="2" fillId="14" borderId="0" xfId="0" applyNumberFormat="1" applyFont="1" applyFill="1" applyAlignment="1">
      <alignment horizontal="left" vertical="center"/>
    </xf>
    <xf numFmtId="0" fontId="2" fillId="0" borderId="61" xfId="0" applyFont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33" fillId="2" borderId="6" xfId="0" applyNumberFormat="1" applyFont="1" applyFill="1" applyBorder="1" applyAlignment="1">
      <alignment horizontal="center" vertical="center"/>
    </xf>
    <xf numFmtId="164" fontId="33" fillId="2" borderId="7" xfId="0" applyNumberFormat="1" applyFont="1" applyFill="1" applyBorder="1" applyAlignment="1">
      <alignment horizontal="center" vertical="center"/>
    </xf>
    <xf numFmtId="164" fontId="33" fillId="2" borderId="8" xfId="0" applyNumberFormat="1" applyFont="1" applyFill="1" applyBorder="1" applyAlignment="1">
      <alignment horizontal="center" vertical="center"/>
    </xf>
    <xf numFmtId="164" fontId="33" fillId="2" borderId="9" xfId="0" applyNumberFormat="1" applyFont="1" applyFill="1" applyBorder="1" applyAlignment="1">
      <alignment horizontal="center" vertical="center"/>
    </xf>
    <xf numFmtId="164" fontId="33" fillId="2" borderId="16" xfId="0" applyNumberFormat="1" applyFont="1" applyFill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1" fontId="6" fillId="2" borderId="0" xfId="0" applyNumberFormat="1" applyFont="1" applyFill="1" applyAlignment="1">
      <alignment horizontal="center" vertical="center"/>
    </xf>
    <xf numFmtId="1" fontId="10" fillId="2" borderId="0" xfId="0" applyNumberFormat="1" applyFont="1" applyFill="1" applyAlignment="1">
      <alignment horizontal="center" vertical="center"/>
    </xf>
    <xf numFmtId="1" fontId="35" fillId="2" borderId="0" xfId="0" applyNumberFormat="1" applyFont="1" applyFill="1" applyAlignment="1">
      <alignment horizontal="center" vertical="center"/>
    </xf>
    <xf numFmtId="1" fontId="10" fillId="15" borderId="0" xfId="0" applyNumberFormat="1" applyFont="1" applyFill="1" applyAlignment="1">
      <alignment horizontal="center" vertical="center"/>
    </xf>
    <xf numFmtId="1" fontId="35" fillId="15" borderId="0" xfId="0" applyNumberFormat="1" applyFont="1" applyFill="1" applyAlignment="1">
      <alignment horizontal="center" vertical="center"/>
    </xf>
    <xf numFmtId="1" fontId="6" fillId="15" borderId="0" xfId="0" applyNumberFormat="1" applyFont="1" applyFill="1" applyAlignment="1">
      <alignment horizontal="center" vertical="center"/>
    </xf>
    <xf numFmtId="1" fontId="35" fillId="15" borderId="0" xfId="0" applyNumberFormat="1" applyFont="1" applyFill="1" applyAlignment="1">
      <alignment horizontal="left" vertical="center"/>
    </xf>
    <xf numFmtId="0" fontId="34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16" borderId="0" xfId="0" applyFont="1" applyFill="1" applyAlignment="1">
      <alignment horizontal="center" vertical="center"/>
    </xf>
    <xf numFmtId="0" fontId="34" fillId="16" borderId="0" xfId="0" applyFont="1" applyFill="1" applyAlignment="1">
      <alignment horizontal="center" vertical="center"/>
    </xf>
    <xf numFmtId="0" fontId="34" fillId="16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4" fillId="0" borderId="0" xfId="0" applyFont="1" applyAlignment="1">
      <alignment horizontal="left" vertical="center"/>
    </xf>
    <xf numFmtId="1" fontId="6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0" fontId="8" fillId="13" borderId="41" xfId="0" applyFont="1" applyFill="1" applyBorder="1" applyAlignment="1">
      <alignment horizontal="center" vertical="center"/>
    </xf>
    <xf numFmtId="0" fontId="8" fillId="13" borderId="8" xfId="0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165" fontId="11" fillId="0" borderId="67" xfId="0" applyNumberFormat="1" applyFont="1" applyBorder="1" applyAlignment="1">
      <alignment horizontal="center" vertical="center"/>
    </xf>
    <xf numFmtId="165" fontId="11" fillId="0" borderId="68" xfId="0" applyNumberFormat="1" applyFont="1" applyBorder="1" applyAlignment="1">
      <alignment horizontal="center" vertical="center"/>
    </xf>
    <xf numFmtId="165" fontId="11" fillId="0" borderId="76" xfId="0" applyNumberFormat="1" applyFont="1" applyBorder="1" applyAlignment="1">
      <alignment horizontal="center" vertical="center"/>
    </xf>
    <xf numFmtId="0" fontId="2" fillId="4" borderId="46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8" fillId="13" borderId="18" xfId="0" applyFont="1" applyFill="1" applyBorder="1" applyAlignment="1">
      <alignment horizontal="center" vertical="center"/>
    </xf>
    <xf numFmtId="0" fontId="2" fillId="13" borderId="9" xfId="0" applyFont="1" applyFill="1" applyBorder="1" applyAlignment="1">
      <alignment horizontal="center" vertical="center"/>
    </xf>
    <xf numFmtId="164" fontId="11" fillId="0" borderId="0" xfId="0" applyNumberFormat="1" applyFont="1" applyAlignment="1">
      <alignment vertical="center" wrapText="1"/>
    </xf>
    <xf numFmtId="1" fontId="10" fillId="12" borderId="6" xfId="0" applyNumberFormat="1" applyFont="1" applyFill="1" applyBorder="1" applyAlignment="1">
      <alignment horizontal="center" vertical="center"/>
    </xf>
    <xf numFmtId="1" fontId="10" fillId="12" borderId="9" xfId="0" applyNumberFormat="1" applyFont="1" applyFill="1" applyBorder="1" applyAlignment="1">
      <alignment horizontal="center" vertical="center"/>
    </xf>
    <xf numFmtId="1" fontId="10" fillId="12" borderId="0" xfId="0" applyNumberFormat="1" applyFont="1" applyFill="1" applyAlignment="1">
      <alignment horizontal="center" vertical="center"/>
    </xf>
    <xf numFmtId="1" fontId="10" fillId="12" borderId="8" xfId="0" applyNumberFormat="1" applyFont="1" applyFill="1" applyBorder="1" applyAlignment="1">
      <alignment horizontal="center" vertical="center"/>
    </xf>
    <xf numFmtId="1" fontId="10" fillId="12" borderId="7" xfId="0" applyNumberFormat="1" applyFont="1" applyFill="1" applyBorder="1" applyAlignment="1">
      <alignment horizontal="center" vertical="center"/>
    </xf>
    <xf numFmtId="0" fontId="10" fillId="12" borderId="0" xfId="0" applyFont="1" applyFill="1" applyAlignment="1">
      <alignment horizontal="center" vertical="center"/>
    </xf>
    <xf numFmtId="1" fontId="13" fillId="12" borderId="10" xfId="0" applyNumberFormat="1" applyFont="1" applyFill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0" borderId="47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164" fontId="33" fillId="17" borderId="8" xfId="0" applyNumberFormat="1" applyFont="1" applyFill="1" applyBorder="1" applyAlignment="1">
      <alignment horizontal="center" vertical="center"/>
    </xf>
    <xf numFmtId="1" fontId="10" fillId="17" borderId="0" xfId="0" applyNumberFormat="1" applyFont="1" applyFill="1" applyAlignment="1">
      <alignment horizontal="center" vertical="center"/>
    </xf>
    <xf numFmtId="1" fontId="10" fillId="18" borderId="16" xfId="0" applyNumberFormat="1" applyFont="1" applyFill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8" xfId="0" applyNumberFormat="1" applyFont="1" applyFill="1" applyBorder="1" applyAlignment="1">
      <alignment horizontal="center" vertical="center"/>
    </xf>
    <xf numFmtId="1" fontId="10" fillId="18" borderId="6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0" fontId="2" fillId="18" borderId="0" xfId="0" applyFont="1" applyFill="1" applyAlignment="1">
      <alignment horizontal="left" vertical="center"/>
    </xf>
    <xf numFmtId="0" fontId="8" fillId="0" borderId="72" xfId="0" applyFont="1" applyBorder="1" applyAlignment="1">
      <alignment horizontal="center" vertical="center"/>
    </xf>
    <xf numFmtId="0" fontId="2" fillId="0" borderId="73" xfId="0" applyFont="1" applyBorder="1" applyAlignment="1">
      <alignment horizontal="center" vertical="center"/>
    </xf>
    <xf numFmtId="1" fontId="10" fillId="17" borderId="8" xfId="0" applyNumberFormat="1" applyFont="1" applyFill="1" applyBorder="1" applyAlignment="1">
      <alignment horizontal="center" vertical="center"/>
    </xf>
    <xf numFmtId="0" fontId="8" fillId="7" borderId="18" xfId="0" applyFont="1" applyFill="1" applyBorder="1" applyAlignment="1">
      <alignment horizontal="center" vertical="center"/>
    </xf>
    <xf numFmtId="0" fontId="30" fillId="7" borderId="0" xfId="0" applyFont="1" applyFill="1" applyAlignment="1">
      <alignment vertical="center" wrapText="1"/>
    </xf>
    <xf numFmtId="0" fontId="0" fillId="7" borderId="0" xfId="0" applyFill="1"/>
    <xf numFmtId="1" fontId="10" fillId="19" borderId="9" xfId="0" applyNumberFormat="1" applyFont="1" applyFill="1" applyBorder="1" applyAlignment="1">
      <alignment horizontal="center" vertical="center"/>
    </xf>
    <xf numFmtId="1" fontId="10" fillId="19" borderId="6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3" fillId="19" borderId="10" xfId="0" applyNumberFormat="1" applyFont="1" applyFill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164" fontId="33" fillId="2" borderId="12" xfId="0" applyNumberFormat="1" applyFont="1" applyFill="1" applyBorder="1" applyAlignment="1">
      <alignment horizontal="center" vertical="center"/>
    </xf>
    <xf numFmtId="164" fontId="33" fillId="2" borderId="13" xfId="0" applyNumberFormat="1" applyFont="1" applyFill="1" applyBorder="1" applyAlignment="1">
      <alignment horizontal="center" vertical="center"/>
    </xf>
    <xf numFmtId="1" fontId="10" fillId="7" borderId="0" xfId="0" applyNumberFormat="1" applyFont="1" applyFill="1" applyAlignment="1">
      <alignment horizontal="center" vertical="center"/>
    </xf>
    <xf numFmtId="164" fontId="33" fillId="2" borderId="14" xfId="0" applyNumberFormat="1" applyFont="1" applyFill="1" applyBorder="1" applyAlignment="1">
      <alignment horizontal="center" vertical="center"/>
    </xf>
    <xf numFmtId="0" fontId="2" fillId="7" borderId="0" xfId="0" applyFont="1" applyFill="1" applyAlignment="1">
      <alignment horizontal="left" vertical="center"/>
    </xf>
    <xf numFmtId="164" fontId="24" fillId="7" borderId="0" xfId="0" applyNumberFormat="1" applyFont="1" applyFill="1" applyAlignment="1">
      <alignment vertical="center"/>
    </xf>
    <xf numFmtId="164" fontId="23" fillId="7" borderId="0" xfId="0" applyNumberFormat="1" applyFont="1" applyFill="1" applyAlignment="1">
      <alignment horizontal="center" vertical="center"/>
    </xf>
    <xf numFmtId="164" fontId="33" fillId="2" borderId="69" xfId="0" applyNumberFormat="1" applyFont="1" applyFill="1" applyBorder="1" applyAlignment="1">
      <alignment horizontal="center" vertical="center"/>
    </xf>
    <xf numFmtId="0" fontId="24" fillId="3" borderId="77" xfId="0" applyFont="1" applyFill="1" applyBorder="1" applyAlignment="1">
      <alignment horizontal="center" vertical="center"/>
    </xf>
    <xf numFmtId="0" fontId="24" fillId="3" borderId="73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24" fillId="11" borderId="32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vertical="center"/>
    </xf>
    <xf numFmtId="165" fontId="11" fillId="0" borderId="71" xfId="0" applyNumberFormat="1" applyFont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0" fontId="8" fillId="7" borderId="37" xfId="0" applyFont="1" applyFill="1" applyBorder="1" applyAlignment="1">
      <alignment horizontal="center" vertical="center"/>
    </xf>
    <xf numFmtId="0" fontId="8" fillId="7" borderId="38" xfId="0" applyFont="1" applyFill="1" applyBorder="1" applyAlignment="1">
      <alignment horizontal="center" vertical="center"/>
    </xf>
    <xf numFmtId="164" fontId="33" fillId="2" borderId="48" xfId="0" applyNumberFormat="1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2" borderId="0" xfId="0" applyFont="1" applyFill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/>
    </xf>
    <xf numFmtId="0" fontId="16" fillId="2" borderId="6" xfId="0" applyFont="1" applyFill="1" applyBorder="1" applyAlignment="1">
      <alignment horizontal="center" vertical="center"/>
    </xf>
    <xf numFmtId="0" fontId="16" fillId="2" borderId="12" xfId="0" applyFont="1" applyFill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6" fillId="0" borderId="39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20" fillId="2" borderId="24" xfId="0" applyFont="1" applyFill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22" fillId="0" borderId="35" xfId="0" applyFont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0" fontId="16" fillId="2" borderId="39" xfId="0" applyFont="1" applyFill="1" applyBorder="1" applyAlignment="1">
      <alignment horizontal="center" vertical="center"/>
    </xf>
    <xf numFmtId="164" fontId="10" fillId="2" borderId="21" xfId="0" applyNumberFormat="1" applyFont="1" applyFill="1" applyBorder="1" applyAlignment="1">
      <alignment horizontal="center" vertical="center"/>
    </xf>
    <xf numFmtId="164" fontId="33" fillId="2" borderId="21" xfId="0" applyNumberFormat="1" applyFont="1" applyFill="1" applyBorder="1" applyAlignment="1">
      <alignment horizontal="center" vertical="center"/>
    </xf>
    <xf numFmtId="165" fontId="11" fillId="0" borderId="42" xfId="0" applyNumberFormat="1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25" xfId="0" applyNumberFormat="1" applyFont="1" applyFill="1" applyBorder="1" applyAlignment="1">
      <alignment horizontal="center" vertical="center"/>
    </xf>
    <xf numFmtId="165" fontId="11" fillId="0" borderId="65" xfId="0" applyNumberFormat="1" applyFont="1" applyBorder="1" applyAlignment="1">
      <alignment horizontal="center" vertical="center"/>
    </xf>
    <xf numFmtId="2" fontId="11" fillId="0" borderId="42" xfId="0" applyNumberFormat="1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0" fontId="24" fillId="11" borderId="0" xfId="0" applyFont="1" applyFill="1" applyAlignment="1">
      <alignment horizontal="center" vertical="center"/>
    </xf>
    <xf numFmtId="0" fontId="40" fillId="0" borderId="0" xfId="0" applyFont="1" applyAlignment="1">
      <alignment vertical="center" wrapText="1"/>
    </xf>
    <xf numFmtId="0" fontId="10" fillId="2" borderId="39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164" fontId="33" fillId="3" borderId="7" xfId="0" applyNumberFormat="1" applyFont="1" applyFill="1" applyBorder="1" applyAlignment="1">
      <alignment horizontal="center" vertical="center"/>
    </xf>
    <xf numFmtId="164" fontId="33" fillId="3" borderId="8" xfId="0" applyNumberFormat="1" applyFont="1" applyFill="1" applyBorder="1" applyAlignment="1">
      <alignment horizontal="center" vertical="center"/>
    </xf>
    <xf numFmtId="164" fontId="33" fillId="3" borderId="9" xfId="0" applyNumberFormat="1" applyFont="1" applyFill="1" applyBorder="1" applyAlignment="1">
      <alignment horizontal="center" vertical="center"/>
    </xf>
    <xf numFmtId="164" fontId="33" fillId="0" borderId="8" xfId="0" applyNumberFormat="1" applyFont="1" applyBorder="1" applyAlignment="1">
      <alignment horizontal="center" vertical="center"/>
    </xf>
    <xf numFmtId="164" fontId="33" fillId="0" borderId="7" xfId="0" applyNumberFormat="1" applyFont="1" applyBorder="1" applyAlignment="1">
      <alignment horizontal="center" vertical="center"/>
    </xf>
    <xf numFmtId="164" fontId="33" fillId="0" borderId="9" xfId="0" applyNumberFormat="1" applyFont="1" applyBorder="1" applyAlignment="1">
      <alignment horizontal="center" vertical="center"/>
    </xf>
    <xf numFmtId="164" fontId="33" fillId="0" borderId="69" xfId="0" applyNumberFormat="1" applyFont="1" applyBorder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42" fillId="0" borderId="0" xfId="0" applyNumberFormat="1" applyFont="1" applyAlignment="1">
      <alignment vertical="center"/>
    </xf>
    <xf numFmtId="164" fontId="33" fillId="0" borderId="6" xfId="0" applyNumberFormat="1" applyFont="1" applyBorder="1" applyAlignment="1">
      <alignment horizontal="center" vertical="center"/>
    </xf>
    <xf numFmtId="164" fontId="33" fillId="0" borderId="16" xfId="0" applyNumberFormat="1" applyFont="1" applyBorder="1" applyAlignment="1">
      <alignment horizontal="center" vertical="center"/>
    </xf>
    <xf numFmtId="164" fontId="10" fillId="5" borderId="40" xfId="0" applyNumberFormat="1" applyFont="1" applyFill="1" applyBorder="1" applyAlignment="1">
      <alignment horizontal="center" vertical="center"/>
    </xf>
    <xf numFmtId="164" fontId="10" fillId="5" borderId="54" xfId="0" applyNumberFormat="1" applyFont="1" applyFill="1" applyBorder="1" applyAlignment="1">
      <alignment horizontal="center" vertical="center"/>
    </xf>
    <xf numFmtId="164" fontId="10" fillId="5" borderId="7" xfId="0" applyNumberFormat="1" applyFont="1" applyFill="1" applyBorder="1" applyAlignment="1">
      <alignment horizontal="center" vertical="center"/>
    </xf>
    <xf numFmtId="164" fontId="10" fillId="5" borderId="9" xfId="0" applyNumberFormat="1" applyFont="1" applyFill="1" applyBorder="1" applyAlignment="1">
      <alignment horizontal="center" vertical="center"/>
    </xf>
    <xf numFmtId="164" fontId="10" fillId="0" borderId="41" xfId="0" applyNumberFormat="1" applyFont="1" applyBorder="1" applyAlignment="1">
      <alignment horizontal="center" vertical="center"/>
    </xf>
    <xf numFmtId="164" fontId="33" fillId="8" borderId="16" xfId="0" applyNumberFormat="1" applyFont="1" applyFill="1" applyBorder="1" applyAlignment="1">
      <alignment horizontal="center" vertical="center"/>
    </xf>
    <xf numFmtId="0" fontId="32" fillId="8" borderId="0" xfId="0" applyFont="1" applyFill="1" applyAlignment="1">
      <alignment horizontal="left" vertical="center"/>
    </xf>
    <xf numFmtId="164" fontId="33" fillId="8" borderId="6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left" vertical="center"/>
    </xf>
    <xf numFmtId="2" fontId="2" fillId="4" borderId="7" xfId="0" applyNumberFormat="1" applyFont="1" applyFill="1" applyBorder="1" applyAlignment="1">
      <alignment horizontal="center" vertical="center"/>
    </xf>
    <xf numFmtId="2" fontId="2" fillId="4" borderId="47" xfId="0" applyNumberFormat="1" applyFont="1" applyFill="1" applyBorder="1" applyAlignment="1">
      <alignment horizontal="center" vertical="center"/>
    </xf>
    <xf numFmtId="2" fontId="2" fillId="4" borderId="6" xfId="0" applyNumberFormat="1" applyFont="1" applyFill="1" applyBorder="1" applyAlignment="1">
      <alignment horizontal="center" vertical="center"/>
    </xf>
    <xf numFmtId="2" fontId="2" fillId="4" borderId="16" xfId="0" applyNumberFormat="1" applyFont="1" applyFill="1" applyBorder="1" applyAlignment="1">
      <alignment horizontal="center" vertical="center"/>
    </xf>
    <xf numFmtId="2" fontId="2" fillId="4" borderId="8" xfId="0" applyNumberFormat="1" applyFont="1" applyFill="1" applyBorder="1" applyAlignment="1">
      <alignment horizontal="center" vertical="center"/>
    </xf>
    <xf numFmtId="2" fontId="2" fillId="4" borderId="9" xfId="0" applyNumberFormat="1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164" fontId="10" fillId="12" borderId="7" xfId="0" applyNumberFormat="1" applyFont="1" applyFill="1" applyBorder="1" applyAlignment="1">
      <alignment horizontal="center" vertical="center"/>
    </xf>
    <xf numFmtId="164" fontId="10" fillId="12" borderId="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5" borderId="16" xfId="0" applyNumberFormat="1" applyFont="1" applyFill="1" applyBorder="1" applyAlignment="1">
      <alignment horizontal="center" vertical="center"/>
    </xf>
    <xf numFmtId="164" fontId="10" fillId="12" borderId="9" xfId="0" applyNumberFormat="1" applyFont="1" applyFill="1" applyBorder="1" applyAlignment="1">
      <alignment horizontal="center" vertical="center"/>
    </xf>
    <xf numFmtId="164" fontId="10" fillId="5" borderId="6" xfId="0" applyNumberFormat="1" applyFont="1" applyFill="1" applyBorder="1" applyAlignment="1">
      <alignment horizontal="center" vertical="center"/>
    </xf>
    <xf numFmtId="0" fontId="22" fillId="11" borderId="42" xfId="0" applyFont="1" applyFill="1" applyBorder="1" applyAlignment="1">
      <alignment horizontal="center" vertical="center"/>
    </xf>
    <xf numFmtId="164" fontId="43" fillId="0" borderId="36" xfId="0" applyNumberFormat="1" applyFont="1" applyBorder="1" applyAlignment="1">
      <alignment horizontal="center" vertical="center"/>
    </xf>
    <xf numFmtId="164" fontId="22" fillId="0" borderId="36" xfId="0" applyNumberFormat="1" applyFont="1" applyBorder="1" applyAlignment="1">
      <alignment horizontal="center" vertical="center"/>
    </xf>
    <xf numFmtId="164" fontId="22" fillId="0" borderId="37" xfId="0" applyNumberFormat="1" applyFont="1" applyBorder="1" applyAlignment="1">
      <alignment horizontal="center" vertical="center"/>
    </xf>
    <xf numFmtId="164" fontId="22" fillId="2" borderId="42" xfId="0" applyNumberFormat="1" applyFont="1" applyFill="1" applyBorder="1" applyAlignment="1">
      <alignment horizontal="center" vertical="center"/>
    </xf>
    <xf numFmtId="164" fontId="43" fillId="20" borderId="42" xfId="0" applyNumberFormat="1" applyFont="1" applyFill="1" applyBorder="1" applyAlignment="1">
      <alignment horizontal="center" vertical="center"/>
    </xf>
    <xf numFmtId="164" fontId="33" fillId="21" borderId="7" xfId="0" applyNumberFormat="1" applyFont="1" applyFill="1" applyBorder="1" applyAlignment="1">
      <alignment horizontal="center" vertical="center"/>
    </xf>
    <xf numFmtId="164" fontId="33" fillId="21" borderId="9" xfId="0" applyNumberFormat="1" applyFont="1" applyFill="1" applyBorder="1" applyAlignment="1">
      <alignment horizontal="center" vertical="center"/>
    </xf>
    <xf numFmtId="164" fontId="33" fillId="5" borderId="7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0" fontId="10" fillId="22" borderId="20" xfId="0" applyFont="1" applyFill="1" applyBorder="1" applyAlignment="1">
      <alignment horizontal="center" vertical="center"/>
    </xf>
    <xf numFmtId="164" fontId="10" fillId="22" borderId="75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33" fillId="7" borderId="7" xfId="0" applyNumberFormat="1" applyFont="1" applyFill="1" applyBorder="1" applyAlignment="1">
      <alignment horizontal="center" vertical="center"/>
    </xf>
    <xf numFmtId="164" fontId="33" fillId="7" borderId="8" xfId="0" applyNumberFormat="1" applyFont="1" applyFill="1" applyBorder="1" applyAlignment="1">
      <alignment horizontal="center" vertical="center"/>
    </xf>
    <xf numFmtId="164" fontId="10" fillId="7" borderId="70" xfId="0" applyNumberFormat="1" applyFont="1" applyFill="1" applyBorder="1" applyAlignment="1">
      <alignment horizontal="center" vertical="center"/>
    </xf>
    <xf numFmtId="164" fontId="33" fillId="7" borderId="9" xfId="0" applyNumberFormat="1" applyFont="1" applyFill="1" applyBorder="1" applyAlignment="1">
      <alignment horizontal="center" vertical="center"/>
    </xf>
    <xf numFmtId="164" fontId="33" fillId="7" borderId="6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33" fillId="9" borderId="7" xfId="0" applyNumberFormat="1" applyFont="1" applyFill="1" applyBorder="1" applyAlignment="1">
      <alignment horizontal="center" vertical="center"/>
    </xf>
    <xf numFmtId="164" fontId="33" fillId="12" borderId="7" xfId="0" applyNumberFormat="1" applyFont="1" applyFill="1" applyBorder="1" applyAlignment="1">
      <alignment horizontal="center" vertical="center"/>
    </xf>
    <xf numFmtId="164" fontId="33" fillId="12" borderId="9" xfId="0" applyNumberFormat="1" applyFont="1" applyFill="1" applyBorder="1" applyAlignment="1">
      <alignment horizontal="center" vertical="center"/>
    </xf>
    <xf numFmtId="164" fontId="33" fillId="12" borderId="16" xfId="0" applyNumberFormat="1" applyFont="1" applyFill="1" applyBorder="1" applyAlignment="1">
      <alignment horizontal="center" vertical="center"/>
    </xf>
    <xf numFmtId="0" fontId="10" fillId="22" borderId="7" xfId="0" applyFont="1" applyFill="1" applyBorder="1" applyAlignment="1">
      <alignment horizontal="center" vertical="center"/>
    </xf>
    <xf numFmtId="164" fontId="33" fillId="7" borderId="16" xfId="0" applyNumberFormat="1" applyFont="1" applyFill="1" applyBorder="1" applyAlignment="1">
      <alignment horizontal="center" vertical="center"/>
    </xf>
    <xf numFmtId="164" fontId="33" fillId="9" borderId="9" xfId="0" applyNumberFormat="1" applyFont="1" applyFill="1" applyBorder="1" applyAlignment="1">
      <alignment horizontal="center" vertical="center"/>
    </xf>
    <xf numFmtId="164" fontId="33" fillId="23" borderId="7" xfId="0" applyNumberFormat="1" applyFont="1" applyFill="1" applyBorder="1" applyAlignment="1">
      <alignment horizontal="center" vertical="center"/>
    </xf>
    <xf numFmtId="164" fontId="33" fillId="9" borderId="8" xfId="0" applyNumberFormat="1" applyFont="1" applyFill="1" applyBorder="1" applyAlignment="1">
      <alignment horizontal="center" vertical="center"/>
    </xf>
    <xf numFmtId="164" fontId="33" fillId="12" borderId="6" xfId="0" applyNumberFormat="1" applyFont="1" applyFill="1" applyBorder="1" applyAlignment="1">
      <alignment horizontal="center" vertical="center"/>
    </xf>
    <xf numFmtId="0" fontId="32" fillId="7" borderId="0" xfId="0" applyFont="1" applyFill="1" applyAlignment="1">
      <alignment horizontal="left" vertical="center"/>
    </xf>
    <xf numFmtId="2" fontId="32" fillId="7" borderId="0" xfId="0" applyNumberFormat="1" applyFon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164" fontId="33" fillId="9" borderId="16" xfId="0" applyNumberFormat="1" applyFont="1" applyFill="1" applyBorder="1" applyAlignment="1">
      <alignment horizontal="center" vertical="center"/>
    </xf>
    <xf numFmtId="164" fontId="33" fillId="23" borderId="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33" fillId="9" borderId="6" xfId="0" applyNumberFormat="1" applyFont="1" applyFill="1" applyBorder="1" applyAlignment="1">
      <alignment horizontal="center" vertical="center"/>
    </xf>
    <xf numFmtId="164" fontId="33" fillId="23" borderId="8" xfId="0" applyNumberFormat="1" applyFont="1" applyFill="1" applyBorder="1" applyAlignment="1">
      <alignment horizontal="center" vertical="center"/>
    </xf>
    <xf numFmtId="164" fontId="33" fillId="23" borderId="16" xfId="0" applyNumberFormat="1" applyFont="1" applyFill="1" applyBorder="1" applyAlignment="1">
      <alignment horizontal="center" vertical="center"/>
    </xf>
    <xf numFmtId="164" fontId="33" fillId="24" borderId="9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33" fillId="7" borderId="0" xfId="0" applyNumberFormat="1" applyFont="1" applyFill="1" applyAlignment="1">
      <alignment horizontal="center" vertical="center"/>
    </xf>
    <xf numFmtId="0" fontId="43" fillId="3" borderId="36" xfId="0" applyFont="1" applyFill="1" applyBorder="1" applyAlignment="1">
      <alignment horizontal="center" vertical="center"/>
    </xf>
    <xf numFmtId="164" fontId="33" fillId="11" borderId="7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33" fillId="11" borderId="9" xfId="0" applyNumberFormat="1" applyFont="1" applyFill="1" applyBorder="1" applyAlignment="1">
      <alignment horizontal="center" vertical="center"/>
    </xf>
    <xf numFmtId="164" fontId="33" fillId="23" borderId="6" xfId="0" applyNumberFormat="1" applyFont="1" applyFill="1" applyBorder="1" applyAlignment="1">
      <alignment horizontal="center" vertical="center"/>
    </xf>
    <xf numFmtId="164" fontId="33" fillId="25" borderId="7" xfId="0" applyNumberFormat="1" applyFont="1" applyFill="1" applyBorder="1" applyAlignment="1">
      <alignment horizontal="center" vertical="center"/>
    </xf>
    <xf numFmtId="164" fontId="33" fillId="26" borderId="8" xfId="0" applyNumberFormat="1" applyFont="1" applyFill="1" applyBorder="1" applyAlignment="1">
      <alignment horizontal="center" vertical="center"/>
    </xf>
    <xf numFmtId="164" fontId="33" fillId="26" borderId="7" xfId="0" applyNumberFormat="1" applyFont="1" applyFill="1" applyBorder="1" applyAlignment="1">
      <alignment horizontal="center" vertical="center"/>
    </xf>
    <xf numFmtId="164" fontId="10" fillId="5" borderId="8" xfId="0" applyNumberFormat="1" applyFont="1" applyFill="1" applyBorder="1" applyAlignment="1">
      <alignment horizontal="center" vertical="center"/>
    </xf>
    <xf numFmtId="164" fontId="33" fillId="25" borderId="9" xfId="0" applyNumberFormat="1" applyFont="1" applyFill="1" applyBorder="1" applyAlignment="1">
      <alignment horizontal="center" vertical="center"/>
    </xf>
    <xf numFmtId="164" fontId="33" fillId="27" borderId="7" xfId="0" applyNumberFormat="1" applyFont="1" applyFill="1" applyBorder="1" applyAlignment="1">
      <alignment horizontal="center" vertical="center"/>
    </xf>
    <xf numFmtId="164" fontId="33" fillId="25" borderId="8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33" fillId="29" borderId="7" xfId="0" applyNumberFormat="1" applyFont="1" applyFill="1" applyBorder="1" applyAlignment="1">
      <alignment horizontal="center" vertical="center"/>
    </xf>
    <xf numFmtId="164" fontId="33" fillId="27" borderId="8" xfId="0" applyNumberFormat="1" applyFont="1" applyFill="1" applyBorder="1" applyAlignment="1">
      <alignment horizontal="center" vertical="center"/>
    </xf>
    <xf numFmtId="164" fontId="33" fillId="27" borderId="9" xfId="0" applyNumberFormat="1" applyFont="1" applyFill="1" applyBorder="1" applyAlignment="1">
      <alignment horizontal="center" vertical="center"/>
    </xf>
    <xf numFmtId="164" fontId="33" fillId="11" borderId="6" xfId="0" applyNumberFormat="1" applyFont="1" applyFill="1" applyBorder="1" applyAlignment="1">
      <alignment horizontal="center" vertical="center"/>
    </xf>
    <xf numFmtId="164" fontId="33" fillId="11" borderId="16" xfId="0" applyNumberFormat="1" applyFont="1" applyFill="1" applyBorder="1" applyAlignment="1">
      <alignment horizontal="center" vertical="center"/>
    </xf>
    <xf numFmtId="164" fontId="10" fillId="28" borderId="8" xfId="0" applyNumberFormat="1" applyFont="1" applyFill="1" applyBorder="1" applyAlignment="1">
      <alignment horizontal="center" vertical="center"/>
    </xf>
    <xf numFmtId="164" fontId="33" fillId="29" borderId="8" xfId="0" applyNumberFormat="1" applyFont="1" applyFill="1" applyBorder="1" applyAlignment="1">
      <alignment horizontal="center" vertical="center"/>
    </xf>
    <xf numFmtId="164" fontId="33" fillId="29" borderId="9" xfId="0" applyNumberFormat="1" applyFont="1" applyFill="1" applyBorder="1" applyAlignment="1">
      <alignment horizontal="center" vertical="center"/>
    </xf>
    <xf numFmtId="164" fontId="33" fillId="25" borderId="1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3" fillId="25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33" fillId="8" borderId="7" xfId="0" applyNumberFormat="1" applyFont="1" applyFill="1" applyBorder="1" applyAlignment="1">
      <alignment horizontal="center" vertical="center"/>
    </xf>
    <xf numFmtId="164" fontId="33" fillId="27" borderId="1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33" fillId="29" borderId="16" xfId="0" applyNumberFormat="1" applyFont="1" applyFill="1" applyBorder="1" applyAlignment="1">
      <alignment horizontal="center" vertical="center"/>
    </xf>
    <xf numFmtId="164" fontId="33" fillId="2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27" borderId="8" xfId="0" applyNumberFormat="1" applyFont="1" applyFill="1" applyBorder="1" applyAlignment="1">
      <alignment horizontal="center" vertical="center"/>
    </xf>
    <xf numFmtId="164" fontId="10" fillId="11" borderId="7" xfId="0" applyNumberFormat="1" applyFont="1" applyFill="1" applyBorder="1" applyAlignment="1">
      <alignment horizontal="center" vertical="center"/>
    </xf>
    <xf numFmtId="164" fontId="10" fillId="27" borderId="6" xfId="0" applyNumberFormat="1" applyFont="1" applyFill="1" applyBorder="1" applyAlignment="1">
      <alignment horizontal="center" vertical="center"/>
    </xf>
    <xf numFmtId="164" fontId="33" fillId="29" borderId="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11" borderId="6" xfId="0" applyNumberFormat="1" applyFont="1" applyFill="1" applyBorder="1" applyAlignment="1">
      <alignment horizontal="center" vertical="center"/>
    </xf>
    <xf numFmtId="164" fontId="10" fillId="11" borderId="8" xfId="0" applyNumberFormat="1" applyFont="1" applyFill="1" applyBorder="1" applyAlignment="1">
      <alignment horizontal="center" vertical="center"/>
    </xf>
    <xf numFmtId="164" fontId="10" fillId="8" borderId="8" xfId="0" applyNumberFormat="1" applyFont="1" applyFill="1" applyBorder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3" fillId="7" borderId="20" xfId="0" applyNumberFormat="1" applyFont="1" applyFill="1" applyBorder="1" applyAlignment="1">
      <alignment horizontal="center" vertical="center"/>
    </xf>
    <xf numFmtId="164" fontId="22" fillId="7" borderId="70" xfId="0" applyNumberFormat="1" applyFont="1" applyFill="1" applyBorder="1" applyAlignment="1">
      <alignment horizontal="center" vertical="center"/>
    </xf>
    <xf numFmtId="164" fontId="3" fillId="7" borderId="21" xfId="0" applyNumberFormat="1" applyFont="1" applyFill="1" applyBorder="1" applyAlignment="1">
      <alignment horizontal="center" vertical="center"/>
    </xf>
    <xf numFmtId="164" fontId="3" fillId="7" borderId="22" xfId="0" applyNumberFormat="1" applyFont="1" applyFill="1" applyBorder="1" applyAlignment="1">
      <alignment horizontal="center" vertical="center"/>
    </xf>
    <xf numFmtId="0" fontId="3" fillId="0" borderId="34" xfId="0" applyFont="1" applyBorder="1" applyAlignment="1">
      <alignment vertical="center"/>
    </xf>
    <xf numFmtId="0" fontId="2" fillId="0" borderId="63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 wrapText="1"/>
    </xf>
    <xf numFmtId="0" fontId="3" fillId="0" borderId="75" xfId="0" applyFont="1" applyBorder="1" applyAlignment="1">
      <alignment horizontal="center" vertical="center" wrapText="1"/>
    </xf>
    <xf numFmtId="0" fontId="22" fillId="11" borderId="24" xfId="0" applyFont="1" applyFill="1" applyBorder="1" applyAlignment="1">
      <alignment horizontal="center" vertical="center"/>
    </xf>
    <xf numFmtId="0" fontId="22" fillId="11" borderId="75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3" borderId="46" xfId="0" applyFont="1" applyFill="1" applyBorder="1" applyAlignment="1">
      <alignment horizontal="center" vertical="center"/>
    </xf>
    <xf numFmtId="0" fontId="24" fillId="3" borderId="18" xfId="0" applyFont="1" applyFill="1" applyBorder="1" applyAlignment="1">
      <alignment horizontal="center" vertical="center"/>
    </xf>
    <xf numFmtId="0" fontId="24" fillId="3" borderId="19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 wrapText="1"/>
    </xf>
    <xf numFmtId="0" fontId="10" fillId="7" borderId="56" xfId="0" applyFont="1" applyFill="1" applyBorder="1" applyAlignment="1">
      <alignment horizontal="center" vertical="center"/>
    </xf>
    <xf numFmtId="164" fontId="33" fillId="7" borderId="48" xfId="0" applyNumberFormat="1" applyFont="1" applyFill="1" applyBorder="1" applyAlignment="1">
      <alignment horizontal="center" vertical="center"/>
    </xf>
    <xf numFmtId="164" fontId="33" fillId="7" borderId="55" xfId="0" applyNumberFormat="1" applyFont="1" applyFill="1" applyBorder="1" applyAlignment="1">
      <alignment horizontal="center" vertical="center"/>
    </xf>
    <xf numFmtId="164" fontId="10" fillId="7" borderId="74" xfId="0" applyNumberFormat="1" applyFont="1" applyFill="1" applyBorder="1" applyAlignment="1">
      <alignment horizontal="center" vertical="center"/>
    </xf>
    <xf numFmtId="164" fontId="10" fillId="7" borderId="56" xfId="0" applyNumberFormat="1" applyFont="1" applyFill="1" applyBorder="1" applyAlignment="1">
      <alignment horizontal="center" vertical="center"/>
    </xf>
    <xf numFmtId="164" fontId="33" fillId="7" borderId="49" xfId="0" applyNumberFormat="1" applyFont="1" applyFill="1" applyBorder="1" applyAlignment="1">
      <alignment horizontal="center" vertical="center"/>
    </xf>
    <xf numFmtId="164" fontId="33" fillId="7" borderId="27" xfId="0" applyNumberFormat="1" applyFont="1" applyFill="1" applyBorder="1" applyAlignment="1">
      <alignment horizontal="center" vertical="center"/>
    </xf>
    <xf numFmtId="164" fontId="33" fillId="7" borderId="56" xfId="0" applyNumberFormat="1" applyFont="1" applyFill="1" applyBorder="1" applyAlignment="1">
      <alignment horizontal="center" vertical="center"/>
    </xf>
    <xf numFmtId="2" fontId="2" fillId="4" borderId="40" xfId="0" applyNumberFormat="1" applyFont="1" applyFill="1" applyBorder="1" applyAlignment="1">
      <alignment horizontal="center" vertical="center"/>
    </xf>
    <xf numFmtId="2" fontId="2" fillId="4" borderId="39" xfId="0" applyNumberFormat="1" applyFont="1" applyFill="1" applyBorder="1" applyAlignment="1">
      <alignment horizontal="center" vertical="center"/>
    </xf>
    <xf numFmtId="2" fontId="12" fillId="0" borderId="47" xfId="0" applyNumberFormat="1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2" fontId="11" fillId="0" borderId="44" xfId="0" applyNumberFormat="1" applyFont="1" applyBorder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164" fontId="11" fillId="0" borderId="45" xfId="0" applyNumberFormat="1" applyFont="1" applyBorder="1" applyAlignment="1">
      <alignment vertical="center" wrapText="1"/>
    </xf>
    <xf numFmtId="2" fontId="2" fillId="4" borderId="1" xfId="0" applyNumberFormat="1" applyFont="1" applyFill="1" applyBorder="1" applyAlignment="1">
      <alignment horizontal="center" vertical="center"/>
    </xf>
    <xf numFmtId="1" fontId="10" fillId="5" borderId="59" xfId="0" applyNumberFormat="1" applyFont="1" applyFill="1" applyBorder="1" applyAlignment="1">
      <alignment horizontal="center" vertical="center"/>
    </xf>
    <xf numFmtId="164" fontId="2" fillId="0" borderId="59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79" xfId="0" applyNumberFormat="1" applyFont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2" fontId="2" fillId="4" borderId="46" xfId="0" applyNumberFormat="1" applyFont="1" applyFill="1" applyBorder="1" applyAlignment="1">
      <alignment horizontal="center" vertical="center"/>
    </xf>
    <xf numFmtId="2" fontId="2" fillId="4" borderId="18" xfId="0" applyNumberFormat="1" applyFont="1" applyFill="1" applyBorder="1" applyAlignment="1">
      <alignment horizontal="center" vertical="center"/>
    </xf>
    <xf numFmtId="2" fontId="2" fillId="4" borderId="19" xfId="0" applyNumberFormat="1" applyFont="1" applyFill="1" applyBorder="1" applyAlignment="1">
      <alignment horizontal="center" vertical="center"/>
    </xf>
    <xf numFmtId="0" fontId="10" fillId="5" borderId="9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4" fontId="33" fillId="3" borderId="48" xfId="0" applyNumberFormat="1" applyFont="1" applyFill="1" applyBorder="1" applyAlignment="1">
      <alignment horizontal="center" vertical="center"/>
    </xf>
    <xf numFmtId="164" fontId="33" fillId="3" borderId="55" xfId="0" applyNumberFormat="1" applyFont="1" applyFill="1" applyBorder="1" applyAlignment="1">
      <alignment horizontal="center" vertical="center"/>
    </xf>
    <xf numFmtId="164" fontId="10" fillId="3" borderId="56" xfId="0" applyNumberFormat="1" applyFont="1" applyFill="1" applyBorder="1" applyAlignment="1">
      <alignment horizontal="center" vertical="center"/>
    </xf>
    <xf numFmtId="164" fontId="33" fillId="3" borderId="49" xfId="0" applyNumberFormat="1" applyFont="1" applyFill="1" applyBorder="1" applyAlignment="1">
      <alignment horizontal="center" vertical="center"/>
    </xf>
    <xf numFmtId="164" fontId="33" fillId="3" borderId="27" xfId="0" applyNumberFormat="1" applyFont="1" applyFill="1" applyBorder="1" applyAlignment="1">
      <alignment horizontal="center" vertical="center"/>
    </xf>
    <xf numFmtId="164" fontId="33" fillId="3" borderId="56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45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2" fontId="11" fillId="3" borderId="21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2" borderId="35" xfId="0" applyFont="1" applyFill="1" applyBorder="1" applyAlignment="1">
      <alignment vertical="center"/>
    </xf>
    <xf numFmtId="0" fontId="6" fillId="2" borderId="43" xfId="0" applyFont="1" applyFill="1" applyBorder="1" applyAlignment="1">
      <alignment vertical="center"/>
    </xf>
    <xf numFmtId="0" fontId="6" fillId="2" borderId="44" xfId="0" applyFont="1" applyFill="1" applyBorder="1" applyAlignment="1">
      <alignment vertical="center"/>
    </xf>
    <xf numFmtId="2" fontId="11" fillId="7" borderId="30" xfId="0" applyNumberFormat="1" applyFont="1" applyFill="1" applyBorder="1" applyAlignment="1">
      <alignment horizontal="center" vertical="center"/>
    </xf>
    <xf numFmtId="164" fontId="11" fillId="7" borderId="4" xfId="0" applyNumberFormat="1" applyFont="1" applyFill="1" applyBorder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2" fontId="11" fillId="7" borderId="0" xfId="0" applyNumberFormat="1" applyFont="1" applyFill="1" applyAlignment="1">
      <alignment horizontal="center" vertical="center"/>
    </xf>
    <xf numFmtId="164" fontId="11" fillId="7" borderId="0" xfId="0" applyNumberFormat="1" applyFont="1" applyFill="1" applyAlignment="1">
      <alignment horizontal="center" vertical="center"/>
    </xf>
    <xf numFmtId="2" fontId="12" fillId="7" borderId="0" xfId="0" applyNumberFormat="1" applyFont="1" applyFill="1" applyAlignment="1">
      <alignment horizontal="center" vertical="center"/>
    </xf>
    <xf numFmtId="0" fontId="13" fillId="7" borderId="0" xfId="0" applyFont="1" applyFill="1" applyAlignment="1">
      <alignment horizontal="center" vertical="center"/>
    </xf>
    <xf numFmtId="2" fontId="13" fillId="7" borderId="0" xfId="0" applyNumberFormat="1" applyFont="1" applyFill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6" fillId="2" borderId="46" xfId="0" applyFont="1" applyFill="1" applyBorder="1" applyAlignment="1">
      <alignment vertical="center"/>
    </xf>
    <xf numFmtId="0" fontId="6" fillId="2" borderId="18" xfId="0" applyFont="1" applyFill="1" applyBorder="1" applyAlignment="1">
      <alignment vertical="center"/>
    </xf>
    <xf numFmtId="0" fontId="3" fillId="0" borderId="19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15" fillId="7" borderId="0" xfId="0" applyFont="1" applyFill="1" applyAlignment="1">
      <alignment horizontal="center" vertical="center"/>
    </xf>
    <xf numFmtId="2" fontId="2" fillId="7" borderId="0" xfId="0" applyNumberFormat="1" applyFont="1" applyFill="1" applyAlignment="1">
      <alignment horizontal="center" vertical="center"/>
    </xf>
    <xf numFmtId="0" fontId="22" fillId="7" borderId="0" xfId="0" applyFont="1" applyFill="1" applyAlignment="1">
      <alignment horizontal="center" vertical="center"/>
    </xf>
    <xf numFmtId="1" fontId="24" fillId="7" borderId="0" xfId="0" applyNumberFormat="1" applyFont="1" applyFill="1" applyAlignment="1">
      <alignment horizontal="center" vertical="center"/>
    </xf>
    <xf numFmtId="0" fontId="6" fillId="7" borderId="0" xfId="0" applyFont="1" applyFill="1" applyAlignment="1">
      <alignment vertical="center"/>
    </xf>
    <xf numFmtId="0" fontId="3" fillId="7" borderId="0" xfId="0" applyFont="1" applyFill="1" applyAlignment="1">
      <alignment horizontal="center" vertical="center" wrapText="1"/>
    </xf>
    <xf numFmtId="0" fontId="8" fillId="7" borderId="0" xfId="0" applyFont="1" applyFill="1" applyAlignment="1">
      <alignment horizontal="center" vertical="center"/>
    </xf>
    <xf numFmtId="165" fontId="11" fillId="7" borderId="0" xfId="0" applyNumberFormat="1" applyFont="1" applyFill="1" applyAlignment="1">
      <alignment horizontal="center" vertical="center"/>
    </xf>
    <xf numFmtId="0" fontId="45" fillId="7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164" fontId="22" fillId="7" borderId="0" xfId="0" applyNumberFormat="1" applyFont="1" applyFill="1" applyAlignment="1">
      <alignment horizontal="center" vertical="center"/>
    </xf>
    <xf numFmtId="164" fontId="33" fillId="7" borderId="36" xfId="0" applyNumberFormat="1" applyFont="1" applyFill="1" applyBorder="1" applyAlignment="1">
      <alignment horizontal="center" vertical="center"/>
    </xf>
    <xf numFmtId="164" fontId="33" fillId="7" borderId="37" xfId="0" applyNumberFormat="1" applyFont="1" applyFill="1" applyBorder="1" applyAlignment="1">
      <alignment horizontal="center" vertical="center"/>
    </xf>
    <xf numFmtId="164" fontId="33" fillId="7" borderId="38" xfId="0" applyNumberFormat="1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2" fontId="15" fillId="7" borderId="0" xfId="0" applyNumberFormat="1" applyFont="1" applyFill="1" applyAlignment="1">
      <alignment horizontal="center" vertical="center"/>
    </xf>
    <xf numFmtId="2" fontId="2" fillId="4" borderId="54" xfId="0" applyNumberFormat="1" applyFont="1" applyFill="1" applyBorder="1" applyAlignment="1">
      <alignment horizontal="center" vertical="center"/>
    </xf>
    <xf numFmtId="2" fontId="2" fillId="4" borderId="29" xfId="0" applyNumberFormat="1" applyFont="1" applyFill="1" applyBorder="1" applyAlignment="1">
      <alignment horizontal="center" vertical="center"/>
    </xf>
    <xf numFmtId="2" fontId="2" fillId="4" borderId="20" xfId="0" applyNumberFormat="1" applyFont="1" applyFill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164" fontId="10" fillId="2" borderId="72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2" fontId="11" fillId="0" borderId="34" xfId="0" applyNumberFormat="1" applyFont="1" applyBorder="1" applyAlignment="1">
      <alignment horizontal="center" vertical="center"/>
    </xf>
    <xf numFmtId="0" fontId="20" fillId="2" borderId="42" xfId="0" applyFont="1" applyFill="1" applyBorder="1" applyAlignment="1">
      <alignment horizontal="center" vertical="center"/>
    </xf>
    <xf numFmtId="0" fontId="5" fillId="2" borderId="42" xfId="0" applyFont="1" applyFill="1" applyBorder="1" applyAlignment="1">
      <alignment horizontal="center" vertical="center"/>
    </xf>
    <xf numFmtId="164" fontId="10" fillId="2" borderId="36" xfId="0" applyNumberFormat="1" applyFont="1" applyFill="1" applyBorder="1" applyAlignment="1">
      <alignment horizontal="center" vertical="center"/>
    </xf>
    <xf numFmtId="164" fontId="10" fillId="2" borderId="37" xfId="0" applyNumberFormat="1" applyFont="1" applyFill="1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164" fontId="10" fillId="2" borderId="76" xfId="0" applyNumberFormat="1" applyFont="1" applyFill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24" fillId="0" borderId="37" xfId="0" applyFont="1" applyBorder="1" applyAlignment="1">
      <alignment horizontal="center" vertical="center"/>
    </xf>
    <xf numFmtId="164" fontId="33" fillId="2" borderId="25" xfId="0" applyNumberFormat="1" applyFont="1" applyFill="1" applyBorder="1" applyAlignment="1">
      <alignment horizontal="center" vertical="center"/>
    </xf>
    <xf numFmtId="165" fontId="46" fillId="0" borderId="57" xfId="0" applyNumberFormat="1" applyFont="1" applyBorder="1" applyAlignment="1">
      <alignment horizontal="center" vertical="center"/>
    </xf>
    <xf numFmtId="165" fontId="46" fillId="0" borderId="58" xfId="0" applyNumberFormat="1" applyFont="1" applyBorder="1" applyAlignment="1">
      <alignment horizontal="center" vertical="center"/>
    </xf>
    <xf numFmtId="0" fontId="23" fillId="4" borderId="17" xfId="0" applyFont="1" applyFill="1" applyBorder="1" applyAlignment="1">
      <alignment horizontal="center" vertical="center"/>
    </xf>
    <xf numFmtId="0" fontId="23" fillId="4" borderId="18" xfId="0" applyFont="1" applyFill="1" applyBorder="1" applyAlignment="1">
      <alignment horizontal="center" vertical="center"/>
    </xf>
    <xf numFmtId="0" fontId="23" fillId="5" borderId="16" xfId="0" applyFont="1" applyFill="1" applyBorder="1" applyAlignment="1">
      <alignment horizontal="center" vertical="center"/>
    </xf>
    <xf numFmtId="0" fontId="23" fillId="5" borderId="7" xfId="0" applyFont="1" applyFill="1" applyBorder="1" applyAlignment="1">
      <alignment horizontal="center" vertical="center"/>
    </xf>
    <xf numFmtId="164" fontId="23" fillId="0" borderId="16" xfId="0" applyNumberFormat="1" applyFont="1" applyBorder="1" applyAlignment="1">
      <alignment horizontal="center" vertical="center"/>
    </xf>
    <xf numFmtId="164" fontId="23" fillId="0" borderId="7" xfId="0" applyNumberFormat="1" applyFont="1" applyBorder="1" applyAlignment="1">
      <alignment horizontal="center" vertical="center"/>
    </xf>
    <xf numFmtId="164" fontId="33" fillId="0" borderId="23" xfId="0" applyNumberFormat="1" applyFont="1" applyBorder="1" applyAlignment="1">
      <alignment horizontal="center" vertical="center"/>
    </xf>
    <xf numFmtId="164" fontId="33" fillId="0" borderId="13" xfId="0" applyNumberFormat="1" applyFont="1" applyBorder="1" applyAlignment="1">
      <alignment horizontal="center" vertical="center"/>
    </xf>
    <xf numFmtId="164" fontId="33" fillId="0" borderId="0" xfId="0" applyNumberFormat="1" applyFont="1" applyAlignment="1">
      <alignment horizontal="center" vertical="center"/>
    </xf>
    <xf numFmtId="164" fontId="10" fillId="3" borderId="25" xfId="0" applyNumberFormat="1" applyFont="1" applyFill="1" applyBorder="1" applyAlignment="1">
      <alignment horizontal="center" vertical="center"/>
    </xf>
    <xf numFmtId="164" fontId="10" fillId="3" borderId="48" xfId="0" applyNumberFormat="1" applyFont="1" applyFill="1" applyBorder="1" applyAlignment="1">
      <alignment horizontal="center" vertical="center"/>
    </xf>
    <xf numFmtId="164" fontId="10" fillId="3" borderId="27" xfId="0" applyNumberFormat="1" applyFont="1" applyFill="1" applyBorder="1" applyAlignment="1">
      <alignment horizontal="center" vertical="center"/>
    </xf>
    <xf numFmtId="164" fontId="33" fillId="3" borderId="25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10" fillId="3" borderId="41" xfId="0" applyNumberFormat="1" applyFont="1" applyFill="1" applyBorder="1" applyAlignment="1">
      <alignment horizontal="center" vertical="center"/>
    </xf>
    <xf numFmtId="164" fontId="10" fillId="3" borderId="49" xfId="0" applyNumberFormat="1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164" fontId="3" fillId="7" borderId="70" xfId="0" applyNumberFormat="1" applyFont="1" applyFill="1" applyBorder="1" applyAlignment="1">
      <alignment horizontal="center" vertical="center"/>
    </xf>
    <xf numFmtId="164" fontId="43" fillId="2" borderId="42" xfId="0" applyNumberFormat="1" applyFont="1" applyFill="1" applyBorder="1" applyAlignment="1">
      <alignment horizontal="center" vertical="center"/>
    </xf>
    <xf numFmtId="164" fontId="10" fillId="3" borderId="70" xfId="0" applyNumberFormat="1" applyFont="1" applyFill="1" applyBorder="1" applyAlignment="1">
      <alignment horizontal="center" vertical="center"/>
    </xf>
    <xf numFmtId="0" fontId="2" fillId="4" borderId="53" xfId="0" applyFont="1" applyFill="1" applyBorder="1" applyAlignment="1">
      <alignment horizontal="center" vertical="center"/>
    </xf>
    <xf numFmtId="165" fontId="46" fillId="0" borderId="60" xfId="0" applyNumberFormat="1" applyFont="1" applyBorder="1" applyAlignment="1">
      <alignment horizontal="center" vertical="center"/>
    </xf>
    <xf numFmtId="165" fontId="46" fillId="0" borderId="62" xfId="0" applyNumberFormat="1" applyFont="1" applyBorder="1" applyAlignment="1">
      <alignment horizontal="center" vertical="center"/>
    </xf>
    <xf numFmtId="0" fontId="23" fillId="4" borderId="46" xfId="0" applyFont="1" applyFill="1" applyBorder="1" applyAlignment="1">
      <alignment horizontal="center" vertical="center"/>
    </xf>
    <xf numFmtId="0" fontId="23" fillId="4" borderId="19" xfId="0" applyFont="1" applyFill="1" applyBorder="1" applyAlignment="1">
      <alignment horizontal="center" vertical="center"/>
    </xf>
    <xf numFmtId="0" fontId="23" fillId="5" borderId="6" xfId="0" applyFont="1" applyFill="1" applyBorder="1" applyAlignment="1">
      <alignment horizontal="center" vertical="center"/>
    </xf>
    <xf numFmtId="0" fontId="23" fillId="5" borderId="9" xfId="0" applyFont="1" applyFill="1" applyBorder="1" applyAlignment="1">
      <alignment horizontal="center" vertical="center"/>
    </xf>
    <xf numFmtId="164" fontId="23" fillId="0" borderId="6" xfId="0" applyNumberFormat="1" applyFont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33" fillId="0" borderId="12" xfId="0" applyNumberFormat="1" applyFont="1" applyBorder="1" applyAlignment="1">
      <alignment horizontal="center" vertical="center"/>
    </xf>
    <xf numFmtId="164" fontId="33" fillId="0" borderId="14" xfId="0" applyNumberFormat="1" applyFont="1" applyBorder="1" applyAlignment="1">
      <alignment horizontal="center" vertical="center"/>
    </xf>
    <xf numFmtId="164" fontId="11" fillId="7" borderId="42" xfId="0" applyNumberFormat="1" applyFont="1" applyFill="1" applyBorder="1" applyAlignment="1">
      <alignment horizontal="center" vertical="center"/>
    </xf>
    <xf numFmtId="2" fontId="12" fillId="4" borderId="70" xfId="0" applyNumberFormat="1" applyFont="1" applyFill="1" applyBorder="1" applyAlignment="1">
      <alignment horizontal="center" vertical="center"/>
    </xf>
    <xf numFmtId="1" fontId="13" fillId="19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2" fillId="4" borderId="29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64" fontId="10" fillId="0" borderId="25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27" xfId="0" applyNumberFormat="1" applyFont="1" applyBorder="1" applyAlignment="1">
      <alignment horizontal="center" vertical="center"/>
    </xf>
    <xf numFmtId="164" fontId="33" fillId="0" borderId="25" xfId="0" applyNumberFormat="1" applyFont="1" applyBorder="1" applyAlignment="1">
      <alignment horizontal="center" vertical="center"/>
    </xf>
    <xf numFmtId="164" fontId="33" fillId="0" borderId="4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horizontal="center" vertical="center"/>
    </xf>
    <xf numFmtId="164" fontId="33" fillId="0" borderId="55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33" fillId="0" borderId="49" xfId="0" applyNumberFormat="1" applyFont="1" applyBorder="1" applyAlignment="1">
      <alignment horizontal="center" vertical="center"/>
    </xf>
    <xf numFmtId="164" fontId="33" fillId="0" borderId="27" xfId="0" applyNumberFormat="1" applyFont="1" applyBorder="1" applyAlignment="1">
      <alignment horizontal="center" vertical="center"/>
    </xf>
    <xf numFmtId="164" fontId="33" fillId="0" borderId="56" xfId="0" applyNumberFormat="1" applyFont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2" fontId="11" fillId="3" borderId="47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2" fontId="11" fillId="3" borderId="10" xfId="0" applyNumberFormat="1" applyFont="1" applyFill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0" fontId="10" fillId="3" borderId="56" xfId="0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10" fillId="5" borderId="8" xfId="0" applyFont="1" applyFill="1" applyBorder="1" applyAlignment="1">
      <alignment horizontal="center" vertical="center"/>
    </xf>
    <xf numFmtId="164" fontId="43" fillId="0" borderId="58" xfId="0" applyNumberFormat="1" applyFont="1" applyBorder="1" applyAlignment="1">
      <alignment horizontal="center" vertical="center"/>
    </xf>
    <xf numFmtId="164" fontId="43" fillId="0" borderId="61" xfId="0" applyNumberFormat="1" applyFont="1" applyBorder="1" applyAlignment="1">
      <alignment horizontal="center" vertical="center"/>
    </xf>
    <xf numFmtId="164" fontId="43" fillId="0" borderId="57" xfId="0" applyNumberFormat="1" applyFont="1" applyBorder="1" applyAlignment="1">
      <alignment horizontal="center" vertical="center"/>
    </xf>
    <xf numFmtId="164" fontId="43" fillId="0" borderId="60" xfId="0" applyNumberFormat="1" applyFont="1" applyBorder="1" applyAlignment="1">
      <alignment horizontal="center" vertical="center"/>
    </xf>
    <xf numFmtId="164" fontId="43" fillId="0" borderId="51" xfId="0" applyNumberFormat="1" applyFont="1" applyBorder="1" applyAlignment="1">
      <alignment horizontal="center" vertical="center"/>
    </xf>
    <xf numFmtId="164" fontId="43" fillId="0" borderId="74" xfId="0" applyNumberFormat="1" applyFont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22" fillId="0" borderId="58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22" fillId="0" borderId="38" xfId="0" applyNumberFormat="1" applyFont="1" applyBorder="1" applyAlignment="1">
      <alignment horizontal="center" vertical="center"/>
    </xf>
    <xf numFmtId="1" fontId="24" fillId="15" borderId="36" xfId="0" applyNumberFormat="1" applyFont="1" applyFill="1" applyBorder="1" applyAlignment="1">
      <alignment horizontal="center" vertical="center"/>
    </xf>
    <xf numFmtId="1" fontId="24" fillId="15" borderId="37" xfId="0" applyNumberFormat="1" applyFont="1" applyFill="1" applyBorder="1" applyAlignment="1">
      <alignment horizontal="center" vertical="center"/>
    </xf>
    <xf numFmtId="1" fontId="24" fillId="15" borderId="38" xfId="0" applyNumberFormat="1" applyFont="1" applyFill="1" applyBorder="1" applyAlignment="1">
      <alignment horizontal="center" vertical="center"/>
    </xf>
    <xf numFmtId="0" fontId="24" fillId="15" borderId="36" xfId="0" applyFont="1" applyFill="1" applyBorder="1" applyAlignment="1">
      <alignment horizontal="center" vertical="center"/>
    </xf>
    <xf numFmtId="0" fontId="24" fillId="15" borderId="37" xfId="0" applyFont="1" applyFill="1" applyBorder="1" applyAlignment="1">
      <alignment horizontal="center" vertical="center"/>
    </xf>
    <xf numFmtId="0" fontId="24" fillId="15" borderId="38" xfId="0" applyFont="1" applyFill="1" applyBorder="1" applyAlignment="1">
      <alignment horizontal="center" vertical="center"/>
    </xf>
    <xf numFmtId="1" fontId="24" fillId="19" borderId="34" xfId="0" applyNumberFormat="1" applyFont="1" applyFill="1" applyBorder="1" applyAlignment="1">
      <alignment horizontal="center" vertical="center"/>
    </xf>
    <xf numFmtId="0" fontId="24" fillId="3" borderId="1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2" fontId="11" fillId="3" borderId="22" xfId="0" applyNumberFormat="1" applyFont="1" applyFill="1" applyBorder="1" applyAlignment="1">
      <alignment horizontal="center" vertical="center"/>
    </xf>
    <xf numFmtId="2" fontId="11" fillId="3" borderId="31" xfId="0" applyNumberFormat="1" applyFont="1" applyFill="1" applyBorder="1" applyAlignment="1">
      <alignment horizontal="center" vertical="center"/>
    </xf>
    <xf numFmtId="14" fontId="37" fillId="7" borderId="0" xfId="0" applyNumberFormat="1" applyFont="1" applyFill="1" applyAlignment="1">
      <alignment horizontal="center" vertical="center"/>
    </xf>
    <xf numFmtId="14" fontId="24" fillId="0" borderId="9" xfId="0" applyNumberFormat="1" applyFont="1" applyBorder="1" applyAlignment="1">
      <alignment horizontal="center" vertical="center"/>
    </xf>
    <xf numFmtId="0" fontId="0" fillId="0" borderId="51" xfId="0" applyBorder="1"/>
    <xf numFmtId="0" fontId="0" fillId="0" borderId="45" xfId="0" applyBorder="1"/>
    <xf numFmtId="0" fontId="23" fillId="2" borderId="32" xfId="0" applyFont="1" applyFill="1" applyBorder="1" applyAlignment="1">
      <alignment horizontal="center" vertical="center"/>
    </xf>
    <xf numFmtId="0" fontId="24" fillId="2" borderId="32" xfId="0" applyFont="1" applyFill="1" applyBorder="1" applyAlignment="1">
      <alignment horizontal="center" vertical="center"/>
    </xf>
    <xf numFmtId="0" fontId="24" fillId="2" borderId="32" xfId="0" applyFont="1" applyFill="1" applyBorder="1" applyAlignment="1">
      <alignment horizontal="center" vertical="center" wrapText="1"/>
    </xf>
    <xf numFmtId="0" fontId="0" fillId="0" borderId="64" xfId="0" applyBorder="1"/>
    <xf numFmtId="0" fontId="24" fillId="2" borderId="34" xfId="0" applyFont="1" applyFill="1" applyBorder="1" applyAlignment="1">
      <alignment vertical="center" wrapText="1"/>
    </xf>
    <xf numFmtId="0" fontId="23" fillId="7" borderId="0" xfId="0" applyFont="1" applyFill="1" applyAlignment="1">
      <alignment vertical="center"/>
    </xf>
    <xf numFmtId="164" fontId="10" fillId="2" borderId="65" xfId="0" applyNumberFormat="1" applyFont="1" applyFill="1" applyBorder="1" applyAlignment="1">
      <alignment horizontal="center" vertical="center"/>
    </xf>
    <xf numFmtId="0" fontId="2" fillId="4" borderId="54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2" fontId="12" fillId="0" borderId="20" xfId="0" applyNumberFormat="1" applyFont="1" applyBorder="1" applyAlignment="1">
      <alignment horizontal="center" vertical="center"/>
    </xf>
    <xf numFmtId="0" fontId="23" fillId="4" borderId="53" xfId="0" applyFont="1" applyFill="1" applyBorder="1" applyAlignment="1">
      <alignment horizontal="center" vertical="center"/>
    </xf>
    <xf numFmtId="0" fontId="23" fillId="5" borderId="8" xfId="0" applyFont="1" applyFill="1" applyBorder="1" applyAlignment="1">
      <alignment horizontal="center" vertical="center"/>
    </xf>
    <xf numFmtId="2" fontId="2" fillId="4" borderId="28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33" fillId="0" borderId="48" xfId="0" applyNumberFormat="1" applyFont="1" applyBorder="1" applyAlignment="1">
      <alignment horizont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1" fontId="24" fillId="19" borderId="44" xfId="0" applyNumberFormat="1" applyFont="1" applyFill="1" applyBorder="1" applyAlignment="1">
      <alignment horizontal="center" vertical="center"/>
    </xf>
    <xf numFmtId="1" fontId="10" fillId="15" borderId="36" xfId="0" applyNumberFormat="1" applyFont="1" applyFill="1" applyBorder="1" applyAlignment="1">
      <alignment horizontal="center" vertical="center"/>
    </xf>
    <xf numFmtId="1" fontId="10" fillId="15" borderId="37" xfId="0" applyNumberFormat="1" applyFont="1" applyFill="1" applyBorder="1" applyAlignment="1">
      <alignment horizontal="center" vertical="center"/>
    </xf>
    <xf numFmtId="1" fontId="10" fillId="15" borderId="38" xfId="0" applyNumberFormat="1" applyFont="1" applyFill="1" applyBorder="1" applyAlignment="1">
      <alignment horizontal="center" vertical="center"/>
    </xf>
    <xf numFmtId="0" fontId="8" fillId="7" borderId="65" xfId="0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2" fontId="2" fillId="4" borderId="3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2" fontId="43" fillId="7" borderId="44" xfId="0" applyNumberFormat="1" applyFont="1" applyFill="1" applyBorder="1" applyAlignment="1">
      <alignment horizontal="center" vertical="center"/>
    </xf>
    <xf numFmtId="0" fontId="22" fillId="11" borderId="10" xfId="0" applyFont="1" applyFill="1" applyBorder="1" applyAlignment="1">
      <alignment horizontal="center" vertical="center"/>
    </xf>
    <xf numFmtId="1" fontId="10" fillId="15" borderId="72" xfId="0" applyNumberFormat="1" applyFont="1" applyFill="1" applyBorder="1" applyAlignment="1">
      <alignment horizontal="center" vertical="center"/>
    </xf>
    <xf numFmtId="1" fontId="10" fillId="15" borderId="73" xfId="0" applyNumberFormat="1" applyFont="1" applyFill="1" applyBorder="1" applyAlignment="1">
      <alignment horizontal="center" vertical="center"/>
    </xf>
    <xf numFmtId="2" fontId="11" fillId="0" borderId="75" xfId="0" applyNumberFormat="1" applyFont="1" applyBorder="1" applyAlignment="1">
      <alignment horizontal="center" vertical="center"/>
    </xf>
    <xf numFmtId="165" fontId="11" fillId="0" borderId="24" xfId="0" applyNumberFormat="1" applyFont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6" fillId="3" borderId="42" xfId="0" applyFont="1" applyFill="1" applyBorder="1" applyAlignment="1">
      <alignment horizontal="center" vertical="center"/>
    </xf>
    <xf numFmtId="2" fontId="11" fillId="0" borderId="74" xfId="0" applyNumberFormat="1" applyFont="1" applyBorder="1" applyAlignment="1">
      <alignment horizontal="center" vertical="center"/>
    </xf>
    <xf numFmtId="0" fontId="10" fillId="0" borderId="67" xfId="0" applyFont="1" applyBorder="1" applyAlignment="1">
      <alignment horizontal="center" vertical="center"/>
    </xf>
    <xf numFmtId="164" fontId="33" fillId="0" borderId="68" xfId="0" applyNumberFormat="1" applyFont="1" applyBorder="1" applyAlignment="1">
      <alignment horizontal="center" vertical="center"/>
    </xf>
    <xf numFmtId="164" fontId="33" fillId="0" borderId="71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33" fillId="0" borderId="76" xfId="0" applyNumberFormat="1" applyFont="1" applyBorder="1" applyAlignment="1">
      <alignment horizontal="center" vertical="center"/>
    </xf>
    <xf numFmtId="164" fontId="33" fillId="0" borderId="78" xfId="0" applyNumberFormat="1" applyFont="1" applyBorder="1" applyAlignment="1">
      <alignment horizontal="center" vertical="center"/>
    </xf>
    <xf numFmtId="164" fontId="33" fillId="0" borderId="40" xfId="0" applyNumberFormat="1" applyFont="1" applyBorder="1" applyAlignment="1">
      <alignment horizontal="center" vertical="center"/>
    </xf>
    <xf numFmtId="164" fontId="33" fillId="0" borderId="67" xfId="0" applyNumberFormat="1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0" borderId="66" xfId="0" applyFont="1" applyBorder="1" applyAlignment="1">
      <alignment vertical="center"/>
    </xf>
    <xf numFmtId="14" fontId="24" fillId="0" borderId="8" xfId="0" applyNumberFormat="1" applyFont="1" applyBorder="1" applyAlignment="1">
      <alignment horizontal="center" vertical="center"/>
    </xf>
    <xf numFmtId="164" fontId="43" fillId="2" borderId="60" xfId="0" applyNumberFormat="1" applyFont="1" applyFill="1" applyBorder="1" applyAlignment="1">
      <alignment horizontal="center" vertical="center"/>
    </xf>
    <xf numFmtId="164" fontId="43" fillId="2" borderId="58" xfId="0" applyNumberFormat="1" applyFont="1" applyFill="1" applyBorder="1" applyAlignment="1">
      <alignment horizontal="center" vertical="center"/>
    </xf>
    <xf numFmtId="164" fontId="43" fillId="2" borderId="62" xfId="0" applyNumberFormat="1" applyFont="1" applyFill="1" applyBorder="1" applyAlignment="1">
      <alignment horizontal="center" vertical="center"/>
    </xf>
    <xf numFmtId="1" fontId="10" fillId="15" borderId="63" xfId="0" applyNumberFormat="1" applyFont="1" applyFill="1" applyBorder="1" applyAlignment="1">
      <alignment horizontal="center" vertical="center"/>
    </xf>
    <xf numFmtId="2" fontId="11" fillId="3" borderId="70" xfId="0" applyNumberFormat="1" applyFont="1" applyFill="1" applyBorder="1" applyAlignment="1">
      <alignment horizontal="center" vertical="center"/>
    </xf>
    <xf numFmtId="164" fontId="33" fillId="3" borderId="48" xfId="0" applyNumberFormat="1" applyFont="1" applyFill="1" applyBorder="1" applyAlignment="1">
      <alignment horizontal="center"/>
    </xf>
    <xf numFmtId="2" fontId="43" fillId="7" borderId="9" xfId="0" applyNumberFormat="1" applyFont="1" applyFill="1" applyBorder="1" applyAlignment="1">
      <alignment horizontal="center" vertical="center"/>
    </xf>
    <xf numFmtId="2" fontId="43" fillId="7" borderId="14" xfId="0" applyNumberFormat="1" applyFont="1" applyFill="1" applyBorder="1" applyAlignment="1">
      <alignment horizontal="center" vertical="center"/>
    </xf>
    <xf numFmtId="0" fontId="24" fillId="3" borderId="53" xfId="0" applyFont="1" applyFill="1" applyBorder="1" applyAlignment="1">
      <alignment horizontal="center" vertical="center"/>
    </xf>
    <xf numFmtId="164" fontId="22" fillId="0" borderId="65" xfId="0" applyNumberFormat="1" applyFont="1" applyBorder="1" applyAlignment="1">
      <alignment horizontal="center" vertical="center"/>
    </xf>
    <xf numFmtId="0" fontId="24" fillId="15" borderId="65" xfId="0" applyFont="1" applyFill="1" applyBorder="1" applyAlignment="1">
      <alignment horizontal="center" vertical="center"/>
    </xf>
    <xf numFmtId="0" fontId="24" fillId="3" borderId="76" xfId="0" applyFont="1" applyFill="1" applyBorder="1" applyAlignment="1">
      <alignment horizontal="center" vertical="center"/>
    </xf>
    <xf numFmtId="164" fontId="22" fillId="0" borderId="60" xfId="0" applyNumberFormat="1" applyFont="1" applyBorder="1" applyAlignment="1">
      <alignment horizontal="center" vertical="center"/>
    </xf>
    <xf numFmtId="164" fontId="22" fillId="0" borderId="62" xfId="0" applyNumberFormat="1" applyFont="1" applyBorder="1" applyAlignment="1">
      <alignment horizontal="center" vertical="center"/>
    </xf>
    <xf numFmtId="2" fontId="11" fillId="0" borderId="70" xfId="0" applyNumberFormat="1" applyFont="1" applyBorder="1" applyAlignment="1">
      <alignment horizontal="center" vertical="center"/>
    </xf>
    <xf numFmtId="2" fontId="11" fillId="3" borderId="74" xfId="0" applyNumberFormat="1" applyFont="1" applyFill="1" applyBorder="1" applyAlignment="1">
      <alignment horizontal="center" vertical="center"/>
    </xf>
    <xf numFmtId="0" fontId="10" fillId="15" borderId="56" xfId="0" applyFont="1" applyFill="1" applyBorder="1" applyAlignment="1">
      <alignment horizontal="center" vertical="center"/>
    </xf>
    <xf numFmtId="164" fontId="33" fillId="15" borderId="48" xfId="0" applyNumberFormat="1" applyFont="1" applyFill="1" applyBorder="1" applyAlignment="1">
      <alignment horizontal="center" vertical="center"/>
    </xf>
    <xf numFmtId="164" fontId="33" fillId="15" borderId="55" xfId="0" applyNumberFormat="1" applyFont="1" applyFill="1" applyBorder="1" applyAlignment="1">
      <alignment horizontal="center" vertical="center"/>
    </xf>
    <xf numFmtId="164" fontId="10" fillId="15" borderId="70" xfId="0" applyNumberFormat="1" applyFont="1" applyFill="1" applyBorder="1" applyAlignment="1">
      <alignment horizontal="center" vertical="center"/>
    </xf>
    <xf numFmtId="164" fontId="10" fillId="15" borderId="56" xfId="0" applyNumberFormat="1" applyFont="1" applyFill="1" applyBorder="1" applyAlignment="1">
      <alignment horizontal="center" vertical="center"/>
    </xf>
    <xf numFmtId="164" fontId="33" fillId="15" borderId="49" xfId="0" applyNumberFormat="1" applyFont="1" applyFill="1" applyBorder="1" applyAlignment="1">
      <alignment horizontal="center" vertical="center"/>
    </xf>
    <xf numFmtId="164" fontId="33" fillId="15" borderId="27" xfId="0" applyNumberFormat="1" applyFont="1" applyFill="1" applyBorder="1" applyAlignment="1">
      <alignment horizontal="center" vertical="center"/>
    </xf>
    <xf numFmtId="164" fontId="33" fillId="15" borderId="7" xfId="0" applyNumberFormat="1" applyFont="1" applyFill="1" applyBorder="1" applyAlignment="1">
      <alignment horizontal="center" vertical="center"/>
    </xf>
    <xf numFmtId="164" fontId="33" fillId="15" borderId="56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15" borderId="7" xfId="0" applyNumberFormat="1" applyFont="1" applyFill="1" applyBorder="1" applyAlignment="1">
      <alignment horizontal="center" vertical="center"/>
    </xf>
    <xf numFmtId="164" fontId="10" fillId="15" borderId="8" xfId="0" applyNumberFormat="1" applyFont="1" applyFill="1" applyBorder="1" applyAlignment="1">
      <alignment horizontal="center" vertical="center"/>
    </xf>
    <xf numFmtId="164" fontId="10" fillId="15" borderId="25" xfId="0" applyNumberFormat="1" applyFont="1" applyFill="1" applyBorder="1" applyAlignment="1">
      <alignment horizontal="center" vertical="center"/>
    </xf>
    <xf numFmtId="164" fontId="10" fillId="15" borderId="48" xfId="0" applyNumberFormat="1" applyFont="1" applyFill="1" applyBorder="1" applyAlignment="1">
      <alignment horizontal="center" vertical="center"/>
    </xf>
    <xf numFmtId="164" fontId="10" fillId="15" borderId="27" xfId="0" applyNumberFormat="1" applyFont="1" applyFill="1" applyBorder="1" applyAlignment="1">
      <alignment horizontal="center" vertical="center"/>
    </xf>
    <xf numFmtId="164" fontId="33" fillId="15" borderId="25" xfId="0" applyNumberFormat="1" applyFont="1" applyFill="1" applyBorder="1" applyAlignment="1">
      <alignment horizontal="center" vertical="center"/>
    </xf>
    <xf numFmtId="164" fontId="33" fillId="15" borderId="48" xfId="0" applyNumberFormat="1" applyFont="1" applyFill="1" applyBorder="1" applyAlignment="1">
      <alignment horizontal="center"/>
    </xf>
    <xf numFmtId="164" fontId="10" fillId="15" borderId="9" xfId="0" applyNumberFormat="1" applyFont="1" applyFill="1" applyBorder="1" applyAlignment="1">
      <alignment horizontal="center" vertical="center"/>
    </xf>
    <xf numFmtId="164" fontId="10" fillId="15" borderId="49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0" fontId="43" fillId="3" borderId="60" xfId="0" applyFont="1" applyFill="1" applyBorder="1" applyAlignment="1">
      <alignment horizontal="center" vertical="center"/>
    </xf>
    <xf numFmtId="164" fontId="43" fillId="0" borderId="72" xfId="0" applyNumberFormat="1" applyFont="1" applyBorder="1" applyAlignment="1">
      <alignment horizontal="center" vertical="center"/>
    </xf>
    <xf numFmtId="164" fontId="43" fillId="0" borderId="68" xfId="0" applyNumberFormat="1" applyFont="1" applyBorder="1" applyAlignment="1">
      <alignment horizontal="center" vertical="center"/>
    </xf>
    <xf numFmtId="164" fontId="43" fillId="0" borderId="71" xfId="0" applyNumberFormat="1" applyFont="1" applyBorder="1" applyAlignment="1">
      <alignment horizontal="center" vertical="center"/>
    </xf>
    <xf numFmtId="164" fontId="33" fillId="0" borderId="18" xfId="0" applyNumberFormat="1" applyFont="1" applyBorder="1" applyAlignment="1">
      <alignment horizontal="center" vertical="center"/>
    </xf>
    <xf numFmtId="164" fontId="33" fillId="0" borderId="19" xfId="0" applyNumberFormat="1" applyFont="1" applyBorder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164" fontId="15" fillId="7" borderId="0" xfId="0" applyNumberFormat="1" applyFont="1" applyFill="1" applyAlignment="1">
      <alignment horizontal="center" vertical="center"/>
    </xf>
    <xf numFmtId="164" fontId="33" fillId="15" borderId="6" xfId="0" applyNumberFormat="1" applyFont="1" applyFill="1" applyBorder="1" applyAlignment="1">
      <alignment horizontal="center" vertical="center"/>
    </xf>
    <xf numFmtId="164" fontId="33" fillId="15" borderId="9" xfId="0" applyNumberFormat="1" applyFont="1" applyFill="1" applyBorder="1" applyAlignment="1">
      <alignment horizontal="center" vertical="center"/>
    </xf>
    <xf numFmtId="164" fontId="10" fillId="13" borderId="0" xfId="0" applyNumberFormat="1" applyFont="1" applyFill="1" applyAlignment="1">
      <alignment horizontal="center" vertical="center"/>
    </xf>
    <xf numFmtId="164" fontId="23" fillId="13" borderId="0" xfId="0" applyNumberFormat="1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33" fillId="7" borderId="25" xfId="0" applyNumberFormat="1" applyFont="1" applyFill="1" applyBorder="1" applyAlignment="1">
      <alignment horizontal="center" vertical="center"/>
    </xf>
    <xf numFmtId="164" fontId="33" fillId="7" borderId="48" xfId="0" applyNumberFormat="1" applyFont="1" applyFill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42" fillId="7" borderId="27" xfId="0" applyNumberFormat="1" applyFont="1" applyFill="1" applyBorder="1" applyAlignment="1">
      <alignment horizontal="center" vertical="center"/>
    </xf>
    <xf numFmtId="164" fontId="42" fillId="7" borderId="7" xfId="0" applyNumberFormat="1" applyFont="1" applyFill="1" applyBorder="1" applyAlignment="1">
      <alignment horizontal="center" vertical="center"/>
    </xf>
    <xf numFmtId="0" fontId="42" fillId="7" borderId="56" xfId="0" applyFont="1" applyFill="1" applyBorder="1" applyAlignment="1">
      <alignment horizontal="center" vertical="center"/>
    </xf>
    <xf numFmtId="164" fontId="42" fillId="7" borderId="48" xfId="0" applyNumberFormat="1" applyFont="1" applyFill="1" applyBorder="1" applyAlignment="1">
      <alignment horizontal="center" vertical="center"/>
    </xf>
    <xf numFmtId="164" fontId="42" fillId="3" borderId="48" xfId="0" applyNumberFormat="1" applyFont="1" applyFill="1" applyBorder="1" applyAlignment="1">
      <alignment horizontal="center" vertical="center"/>
    </xf>
    <xf numFmtId="164" fontId="42" fillId="7" borderId="55" xfId="0" applyNumberFormat="1" applyFont="1" applyFill="1" applyBorder="1" applyAlignment="1">
      <alignment horizontal="center" vertical="center"/>
    </xf>
    <xf numFmtId="164" fontId="42" fillId="7" borderId="70" xfId="0" applyNumberFormat="1" applyFont="1" applyFill="1" applyBorder="1" applyAlignment="1">
      <alignment horizontal="center" vertical="center"/>
    </xf>
    <xf numFmtId="164" fontId="42" fillId="7" borderId="56" xfId="0" applyNumberFormat="1" applyFont="1" applyFill="1" applyBorder="1" applyAlignment="1">
      <alignment horizontal="center" vertical="center"/>
    </xf>
    <xf numFmtId="164" fontId="42" fillId="19" borderId="49" xfId="0" applyNumberFormat="1" applyFont="1" applyFill="1" applyBorder="1" applyAlignment="1">
      <alignment horizontal="center" vertical="center"/>
    </xf>
    <xf numFmtId="164" fontId="42" fillId="3" borderId="27" xfId="0" applyNumberFormat="1" applyFont="1" applyFill="1" applyBorder="1" applyAlignment="1">
      <alignment horizontal="center" vertical="center"/>
    </xf>
    <xf numFmtId="164" fontId="42" fillId="3" borderId="7" xfId="0" applyNumberFormat="1" applyFont="1" applyFill="1" applyBorder="1" applyAlignment="1">
      <alignment horizontal="center" vertical="center"/>
    </xf>
    <xf numFmtId="164" fontId="42" fillId="7" borderId="49" xfId="0" applyNumberFormat="1" applyFont="1" applyFill="1" applyBorder="1" applyAlignment="1">
      <alignment horizontal="center" vertical="center"/>
    </xf>
    <xf numFmtId="164" fontId="42" fillId="19" borderId="56" xfId="0" applyNumberFormat="1" applyFont="1" applyFill="1" applyBorder="1" applyAlignment="1">
      <alignment horizontal="center" vertical="center"/>
    </xf>
    <xf numFmtId="164" fontId="42" fillId="14" borderId="48" xfId="0" applyNumberFormat="1" applyFont="1" applyFill="1" applyBorder="1" applyAlignment="1">
      <alignment horizontal="center" vertical="center"/>
    </xf>
    <xf numFmtId="164" fontId="42" fillId="3" borderId="49" xfId="0" applyNumberFormat="1" applyFont="1" applyFill="1" applyBorder="1" applyAlignment="1">
      <alignment horizontal="center" vertical="center"/>
    </xf>
    <xf numFmtId="164" fontId="42" fillId="3" borderId="56" xfId="0" applyNumberFormat="1" applyFont="1" applyFill="1" applyBorder="1" applyAlignment="1">
      <alignment horizontal="center" vertical="center"/>
    </xf>
    <xf numFmtId="164" fontId="42" fillId="3" borderId="6" xfId="0" applyNumberFormat="1" applyFont="1" applyFill="1" applyBorder="1" applyAlignment="1">
      <alignment horizontal="center" vertical="center"/>
    </xf>
    <xf numFmtId="164" fontId="42" fillId="7" borderId="8" xfId="0" applyNumberFormat="1" applyFont="1" applyFill="1" applyBorder="1" applyAlignment="1">
      <alignment horizontal="center" vertical="center"/>
    </xf>
    <xf numFmtId="164" fontId="42" fillId="7" borderId="6" xfId="0" applyNumberFormat="1" applyFont="1" applyFill="1" applyBorder="1" applyAlignment="1">
      <alignment horizontal="center" vertical="center"/>
    </xf>
    <xf numFmtId="2" fontId="49" fillId="0" borderId="0" xfId="0" applyNumberFormat="1" applyFont="1" applyAlignment="1">
      <alignment horizontal="center" vertical="center"/>
    </xf>
    <xf numFmtId="1" fontId="27" fillId="3" borderId="0" xfId="0" applyNumberFormat="1" applyFont="1" applyFill="1" applyAlignment="1">
      <alignment horizontal="center" vertical="center"/>
    </xf>
    <xf numFmtId="1" fontId="27" fillId="19" borderId="0" xfId="0" applyNumberFormat="1" applyFont="1" applyFill="1" applyAlignment="1">
      <alignment horizontal="center" vertical="center"/>
    </xf>
    <xf numFmtId="1" fontId="27" fillId="14" borderId="0" xfId="0" applyNumberFormat="1" applyFont="1" applyFill="1" applyAlignment="1">
      <alignment horizontal="center" vertical="center"/>
    </xf>
    <xf numFmtId="1" fontId="27" fillId="31" borderId="0" xfId="0" applyNumberFormat="1" applyFont="1" applyFill="1" applyAlignment="1">
      <alignment horizontal="center" vertical="center"/>
    </xf>
    <xf numFmtId="1" fontId="27" fillId="28" borderId="0" xfId="0" applyNumberFormat="1" applyFont="1" applyFill="1" applyAlignment="1">
      <alignment horizontal="center" vertical="center"/>
    </xf>
    <xf numFmtId="1" fontId="27" fillId="9" borderId="0" xfId="0" applyNumberFormat="1" applyFont="1" applyFill="1" applyAlignment="1">
      <alignment horizontal="center" vertical="center"/>
    </xf>
    <xf numFmtId="1" fontId="27" fillId="32" borderId="0" xfId="0" applyNumberFormat="1" applyFont="1" applyFill="1" applyAlignment="1">
      <alignment horizontal="center" vertical="center"/>
    </xf>
    <xf numFmtId="0" fontId="50" fillId="0" borderId="0" xfId="0" applyFont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33" fillId="19" borderId="48" xfId="0" applyNumberFormat="1" applyFont="1" applyFill="1" applyBorder="1" applyAlignment="1">
      <alignment horizontal="center" vertical="center"/>
    </xf>
    <xf numFmtId="0" fontId="10" fillId="0" borderId="56" xfId="0" applyFont="1" applyFill="1" applyBorder="1" applyAlignment="1">
      <alignment horizontal="center" vertical="center"/>
    </xf>
    <xf numFmtId="164" fontId="33" fillId="0" borderId="48" xfId="0" applyNumberFormat="1" applyFont="1" applyFill="1" applyBorder="1" applyAlignment="1">
      <alignment horizontal="center" vertical="center"/>
    </xf>
    <xf numFmtId="164" fontId="33" fillId="0" borderId="55" xfId="0" applyNumberFormat="1" applyFont="1" applyFill="1" applyBorder="1" applyAlignment="1">
      <alignment horizontal="center" vertical="center"/>
    </xf>
    <xf numFmtId="164" fontId="10" fillId="0" borderId="70" xfId="0" applyNumberFormat="1" applyFont="1" applyFill="1" applyBorder="1" applyAlignment="1">
      <alignment horizontal="center" vertical="center"/>
    </xf>
    <xf numFmtId="164" fontId="10" fillId="0" borderId="56" xfId="0" applyNumberFormat="1" applyFont="1" applyFill="1" applyBorder="1" applyAlignment="1">
      <alignment horizontal="center" vertical="center"/>
    </xf>
    <xf numFmtId="164" fontId="33" fillId="0" borderId="49" xfId="0" applyNumberFormat="1" applyFont="1" applyFill="1" applyBorder="1" applyAlignment="1">
      <alignment horizontal="center" vertical="center"/>
    </xf>
    <xf numFmtId="164" fontId="33" fillId="0" borderId="27" xfId="0" applyNumberFormat="1" applyFont="1" applyFill="1" applyBorder="1" applyAlignment="1">
      <alignment horizontal="center" vertical="center"/>
    </xf>
    <xf numFmtId="164" fontId="33" fillId="0" borderId="7" xfId="0" applyNumberFormat="1" applyFont="1" applyFill="1" applyBorder="1" applyAlignment="1">
      <alignment horizontal="center" vertical="center"/>
    </xf>
    <xf numFmtId="164" fontId="33" fillId="0" borderId="56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2" fillId="0" borderId="56" xfId="0" applyFont="1" applyFill="1" applyBorder="1" applyAlignment="1">
      <alignment horizontal="center" vertical="center"/>
    </xf>
    <xf numFmtId="164" fontId="42" fillId="0" borderId="48" xfId="0" applyNumberFormat="1" applyFont="1" applyFill="1" applyBorder="1" applyAlignment="1">
      <alignment horizontal="center" vertical="center"/>
    </xf>
    <xf numFmtId="164" fontId="42" fillId="0" borderId="55" xfId="0" applyNumberFormat="1" applyFont="1" applyFill="1" applyBorder="1" applyAlignment="1">
      <alignment horizontal="center" vertical="center"/>
    </xf>
    <xf numFmtId="164" fontId="42" fillId="0" borderId="70" xfId="0" applyNumberFormat="1" applyFont="1" applyFill="1" applyBorder="1" applyAlignment="1">
      <alignment horizontal="center" vertical="center"/>
    </xf>
    <xf numFmtId="164" fontId="42" fillId="0" borderId="56" xfId="0" applyNumberFormat="1" applyFont="1" applyFill="1" applyBorder="1" applyAlignment="1">
      <alignment horizontal="center" vertical="center"/>
    </xf>
    <xf numFmtId="164" fontId="42" fillId="0" borderId="49" xfId="0" applyNumberFormat="1" applyFont="1" applyFill="1" applyBorder="1" applyAlignment="1">
      <alignment horizontal="center" vertical="center"/>
    </xf>
    <xf numFmtId="164" fontId="42" fillId="0" borderId="27" xfId="0" applyNumberFormat="1" applyFont="1" applyFill="1" applyBorder="1" applyAlignment="1">
      <alignment horizontal="center" vertical="center"/>
    </xf>
    <xf numFmtId="164" fontId="42" fillId="0" borderId="7" xfId="0" applyNumberFormat="1" applyFont="1" applyFill="1" applyBorder="1" applyAlignment="1">
      <alignment horizontal="center" vertical="center"/>
    </xf>
    <xf numFmtId="164" fontId="42" fillId="0" borderId="6" xfId="0" applyNumberFormat="1" applyFont="1" applyFill="1" applyBorder="1" applyAlignment="1">
      <alignment horizontal="center" vertical="center"/>
    </xf>
    <xf numFmtId="164" fontId="42" fillId="0" borderId="8" xfId="0" applyNumberFormat="1" applyFont="1" applyFill="1" applyBorder="1" applyAlignment="1">
      <alignment horizontal="center" vertical="center"/>
    </xf>
    <xf numFmtId="164" fontId="10" fillId="0" borderId="6" xfId="0" applyNumberFormat="1" applyFont="1" applyFill="1" applyBorder="1" applyAlignment="1">
      <alignment horizontal="center" vertical="center"/>
    </xf>
    <xf numFmtId="164" fontId="10" fillId="0" borderId="7" xfId="0" applyNumberFormat="1" applyFont="1" applyFill="1" applyBorder="1" applyAlignment="1">
      <alignment horizontal="center" vertical="center"/>
    </xf>
    <xf numFmtId="164" fontId="10" fillId="0" borderId="8" xfId="0" applyNumberFormat="1" applyFont="1" applyFill="1" applyBorder="1" applyAlignment="1">
      <alignment horizontal="center" vertical="center"/>
    </xf>
    <xf numFmtId="2" fontId="11" fillId="0" borderId="21" xfId="0" applyNumberFormat="1" applyFont="1" applyFill="1" applyBorder="1" applyAlignment="1">
      <alignment horizontal="center" vertical="center"/>
    </xf>
    <xf numFmtId="2" fontId="11" fillId="0" borderId="22" xfId="0" applyNumberFormat="1" applyFont="1" applyFill="1" applyBorder="1" applyAlignment="1">
      <alignment horizontal="center" vertical="center"/>
    </xf>
    <xf numFmtId="2" fontId="11" fillId="0" borderId="75" xfId="0" applyNumberFormat="1" applyFont="1" applyFill="1" applyBorder="1" applyAlignment="1">
      <alignment horizontal="center" vertical="center"/>
    </xf>
    <xf numFmtId="2" fontId="11" fillId="0" borderId="30" xfId="0" applyNumberFormat="1" applyFont="1" applyFill="1" applyBorder="1" applyAlignment="1">
      <alignment horizontal="center" vertical="center"/>
    </xf>
    <xf numFmtId="2" fontId="11" fillId="0" borderId="42" xfId="0" applyNumberFormat="1" applyFont="1" applyFill="1" applyBorder="1" applyAlignment="1">
      <alignment horizontal="center" vertical="center"/>
    </xf>
    <xf numFmtId="2" fontId="11" fillId="0" borderId="70" xfId="0" applyNumberFormat="1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6" fillId="7" borderId="51" xfId="0" applyFont="1" applyFill="1" applyBorder="1" applyAlignment="1">
      <alignment horizontal="center" vertical="center"/>
    </xf>
    <xf numFmtId="0" fontId="6" fillId="7" borderId="52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8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7" borderId="35" xfId="0" applyFont="1" applyFill="1" applyBorder="1" applyAlignment="1">
      <alignment horizontal="center" vertical="center"/>
    </xf>
    <xf numFmtId="0" fontId="6" fillId="2" borderId="52" xfId="0" applyFont="1" applyFill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66" xfId="0" applyFont="1" applyFill="1" applyBorder="1" applyAlignment="1">
      <alignment horizontal="center" vertical="center"/>
    </xf>
    <xf numFmtId="164" fontId="1" fillId="7" borderId="32" xfId="0" applyNumberFormat="1" applyFont="1" applyFill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6" fillId="2" borderId="51" xfId="0" applyFont="1" applyFill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164" fontId="11" fillId="13" borderId="45" xfId="0" applyNumberFormat="1" applyFont="1" applyFill="1" applyBorder="1" applyAlignment="1">
      <alignment horizontal="center" vertical="center" wrapText="1"/>
    </xf>
    <xf numFmtId="164" fontId="11" fillId="13" borderId="0" xfId="0" applyNumberFormat="1" applyFont="1" applyFill="1" applyAlignment="1">
      <alignment horizontal="center" vertical="center" wrapText="1"/>
    </xf>
    <xf numFmtId="0" fontId="3" fillId="0" borderId="75" xfId="0" applyFont="1" applyBorder="1" applyAlignment="1">
      <alignment horizontal="center" vertical="center"/>
    </xf>
    <xf numFmtId="0" fontId="3" fillId="0" borderId="74" xfId="0" applyFont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4" fontId="11" fillId="0" borderId="45" xfId="0" applyNumberFormat="1" applyFont="1" applyBorder="1" applyAlignment="1">
      <alignment horizontal="center" vertical="center" wrapText="1"/>
    </xf>
    <xf numFmtId="164" fontId="11" fillId="0" borderId="0" xfId="0" applyNumberFormat="1" applyFont="1" applyAlignment="1">
      <alignment horizontal="center" vertical="center" wrapText="1"/>
    </xf>
    <xf numFmtId="0" fontId="6" fillId="2" borderId="50" xfId="0" applyFont="1" applyFill="1" applyBorder="1" applyAlignment="1">
      <alignment horizontal="center" vertical="center"/>
    </xf>
    <xf numFmtId="0" fontId="6" fillId="2" borderId="44" xfId="0" applyFont="1" applyFill="1" applyBorder="1" applyAlignment="1">
      <alignment horizontal="center" vertical="center"/>
    </xf>
    <xf numFmtId="0" fontId="3" fillId="0" borderId="24" xfId="0" applyFont="1" applyBorder="1" applyAlignment="1">
      <alignment horizontal="center" vertical="center" wrapText="1"/>
    </xf>
    <xf numFmtId="0" fontId="3" fillId="0" borderId="75" xfId="0" applyFont="1" applyBorder="1" applyAlignment="1">
      <alignment horizontal="center" vertical="center" wrapText="1"/>
    </xf>
    <xf numFmtId="0" fontId="6" fillId="2" borderId="46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8" fillId="0" borderId="24" xfId="0" applyFont="1" applyBorder="1" applyAlignment="1">
      <alignment horizontal="center" vertical="center" wrapText="1"/>
    </xf>
    <xf numFmtId="0" fontId="8" fillId="0" borderId="75" xfId="0" applyFont="1" applyBorder="1" applyAlignment="1">
      <alignment horizontal="center" vertical="center" wrapText="1"/>
    </xf>
    <xf numFmtId="0" fontId="36" fillId="2" borderId="35" xfId="0" applyFont="1" applyFill="1" applyBorder="1" applyAlignment="1">
      <alignment horizontal="center" vertical="center"/>
    </xf>
    <xf numFmtId="0" fontId="36" fillId="2" borderId="43" xfId="0" applyFont="1" applyFill="1" applyBorder="1" applyAlignment="1">
      <alignment horizontal="center" vertical="center"/>
    </xf>
    <xf numFmtId="0" fontId="36" fillId="2" borderId="4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 vertical="center"/>
    </xf>
    <xf numFmtId="0" fontId="3" fillId="3" borderId="75" xfId="0" applyFont="1" applyFill="1" applyBorder="1" applyAlignment="1">
      <alignment horizontal="center" vertical="center"/>
    </xf>
    <xf numFmtId="0" fontId="23" fillId="2" borderId="50" xfId="0" applyFont="1" applyFill="1" applyBorder="1" applyAlignment="1">
      <alignment horizontal="center" vertical="center"/>
    </xf>
    <xf numFmtId="0" fontId="23" fillId="2" borderId="32" xfId="0" applyFont="1" applyFill="1" applyBorder="1" applyAlignment="1">
      <alignment horizontal="center" vertical="center"/>
    </xf>
    <xf numFmtId="0" fontId="23" fillId="2" borderId="46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3" fillId="2" borderId="19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horizontal="center" vertical="center"/>
    </xf>
    <xf numFmtId="0" fontId="23" fillId="2" borderId="9" xfId="0" applyFont="1" applyFill="1" applyBorder="1" applyAlignment="1">
      <alignment horizontal="center" vertical="center"/>
    </xf>
    <xf numFmtId="0" fontId="23" fillId="2" borderId="12" xfId="0" applyFont="1" applyFill="1" applyBorder="1" applyAlignment="1">
      <alignment horizontal="center" vertical="center"/>
    </xf>
    <xf numFmtId="0" fontId="23" fillId="2" borderId="13" xfId="0" applyFont="1" applyFill="1" applyBorder="1" applyAlignment="1">
      <alignment horizontal="center" vertical="center"/>
    </xf>
    <xf numFmtId="0" fontId="23" fillId="2" borderId="14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4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47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6" fontId="23" fillId="2" borderId="1" xfId="0" applyNumberFormat="1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44" xfId="0" applyFont="1" applyFill="1" applyBorder="1" applyAlignment="1">
      <alignment horizontal="center" vertical="center"/>
    </xf>
    <xf numFmtId="0" fontId="24" fillId="10" borderId="46" xfId="0" applyFont="1" applyFill="1" applyBorder="1" applyAlignment="1">
      <alignment horizontal="center" vertical="center"/>
    </xf>
    <xf numFmtId="0" fontId="24" fillId="10" borderId="53" xfId="0" applyFont="1" applyFill="1" applyBorder="1" applyAlignment="1">
      <alignment horizontal="center" vertical="center"/>
    </xf>
    <xf numFmtId="164" fontId="48" fillId="0" borderId="0" xfId="0" applyNumberFormat="1" applyFont="1" applyAlignment="1">
      <alignment horizontal="center" vertical="center"/>
    </xf>
    <xf numFmtId="0" fontId="24" fillId="7" borderId="35" xfId="0" applyFont="1" applyFill="1" applyBorder="1" applyAlignment="1">
      <alignment horizontal="center" vertical="center"/>
    </xf>
    <xf numFmtId="0" fontId="43" fillId="3" borderId="24" xfId="0" applyFont="1" applyFill="1" applyBorder="1" applyAlignment="1">
      <alignment horizontal="center" vertical="center" wrapText="1"/>
    </xf>
    <xf numFmtId="0" fontId="43" fillId="3" borderId="75" xfId="0" applyFont="1" applyFill="1" applyBorder="1" applyAlignment="1">
      <alignment horizontal="center" vertical="center" wrapText="1"/>
    </xf>
    <xf numFmtId="0" fontId="41" fillId="3" borderId="24" xfId="0" applyFont="1" applyFill="1" applyBorder="1" applyAlignment="1">
      <alignment horizontal="center" vertical="center" wrapText="1"/>
    </xf>
    <xf numFmtId="0" fontId="41" fillId="3" borderId="75" xfId="0" applyFont="1" applyFill="1" applyBorder="1" applyAlignment="1">
      <alignment horizontal="center" vertical="center" wrapText="1"/>
    </xf>
    <xf numFmtId="0" fontId="24" fillId="7" borderId="51" xfId="0" applyFont="1" applyFill="1" applyBorder="1" applyAlignment="1">
      <alignment horizontal="center" vertical="center"/>
    </xf>
    <xf numFmtId="0" fontId="24" fillId="7" borderId="52" xfId="0" applyFont="1" applyFill="1" applyBorder="1" applyAlignment="1">
      <alignment horizontal="center" vertical="center"/>
    </xf>
    <xf numFmtId="0" fontId="24" fillId="7" borderId="4" xfId="0" applyFont="1" applyFill="1" applyBorder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38" fillId="0" borderId="52" xfId="0" applyFont="1" applyBorder="1" applyAlignment="1">
      <alignment horizontal="center" vertical="center" wrapText="1"/>
    </xf>
    <xf numFmtId="0" fontId="38" fillId="0" borderId="50" xfId="0" applyFont="1" applyBorder="1" applyAlignment="1">
      <alignment horizontal="center" vertical="center" wrapText="1"/>
    </xf>
    <xf numFmtId="0" fontId="38" fillId="0" borderId="0" xfId="0" applyFont="1" applyAlignment="1">
      <alignment horizontal="center" vertical="center" wrapText="1"/>
    </xf>
    <xf numFmtId="0" fontId="38" fillId="0" borderId="32" xfId="0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 wrapText="1"/>
    </xf>
    <xf numFmtId="0" fontId="38" fillId="0" borderId="34" xfId="0" applyFont="1" applyBorder="1" applyAlignment="1">
      <alignment horizontal="center" vertical="center" wrapText="1"/>
    </xf>
    <xf numFmtId="0" fontId="38" fillId="0" borderId="51" xfId="0" applyFont="1" applyBorder="1" applyAlignment="1">
      <alignment horizontal="center" vertical="center" wrapText="1"/>
    </xf>
    <xf numFmtId="0" fontId="38" fillId="0" borderId="45" xfId="0" applyFont="1" applyBorder="1" applyAlignment="1">
      <alignment horizontal="center" vertical="center" wrapText="1"/>
    </xf>
    <xf numFmtId="0" fontId="38" fillId="0" borderId="64" xfId="0" applyFont="1" applyBorder="1" applyAlignment="1">
      <alignment horizontal="center" vertical="center" wrapText="1"/>
    </xf>
    <xf numFmtId="164" fontId="24" fillId="0" borderId="11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0" borderId="46" xfId="0" applyFont="1" applyBorder="1" applyAlignment="1">
      <alignment horizontal="center" vertical="center"/>
    </xf>
    <xf numFmtId="0" fontId="24" fillId="0" borderId="53" xfId="0" applyFont="1" applyBorder="1" applyAlignment="1">
      <alignment horizontal="center" vertical="center"/>
    </xf>
    <xf numFmtId="0" fontId="24" fillId="11" borderId="5" xfId="0" applyFont="1" applyFill="1" applyBorder="1" applyAlignment="1">
      <alignment horizontal="center" vertical="center"/>
    </xf>
    <xf numFmtId="0" fontId="24" fillId="11" borderId="10" xfId="0" applyFont="1" applyFill="1" applyBorder="1" applyAlignment="1">
      <alignment horizontal="center" vertical="center"/>
    </xf>
    <xf numFmtId="164" fontId="24" fillId="0" borderId="15" xfId="0" applyNumberFormat="1" applyFont="1" applyBorder="1" applyAlignment="1">
      <alignment horizontal="center" vertical="center"/>
    </xf>
    <xf numFmtId="0" fontId="24" fillId="10" borderId="35" xfId="0" applyFont="1" applyFill="1" applyBorder="1" applyAlignment="1">
      <alignment horizontal="center" vertical="center"/>
    </xf>
    <xf numFmtId="0" fontId="24" fillId="10" borderId="44" xfId="0" applyFont="1" applyFill="1" applyBorder="1" applyAlignment="1">
      <alignment horizontal="center" vertical="center"/>
    </xf>
    <xf numFmtId="0" fontId="24" fillId="0" borderId="19" xfId="0" applyFont="1" applyBorder="1" applyAlignment="1">
      <alignment horizontal="center" vertical="center"/>
    </xf>
    <xf numFmtId="0" fontId="24" fillId="10" borderId="33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0" fillId="0" borderId="52" xfId="0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Normal 6 2" xfId="1"/>
  </cellStyles>
  <dxfs count="1">
    <dxf>
      <font>
        <color theme="0"/>
      </font>
    </dxf>
  </dxfs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47624</xdr:colOff>
      <xdr:row>0</xdr:row>
      <xdr:rowOff>181756</xdr:rowOff>
    </xdr:from>
    <xdr:to>
      <xdr:col>1</xdr:col>
      <xdr:colOff>1840056</xdr:colOff>
      <xdr:row>2</xdr:row>
      <xdr:rowOff>176211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4" y="181756"/>
          <a:ext cx="2673494" cy="9945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47624</xdr:colOff>
      <xdr:row>0</xdr:row>
      <xdr:rowOff>181756</xdr:rowOff>
    </xdr:from>
    <xdr:to>
      <xdr:col>1</xdr:col>
      <xdr:colOff>1840056</xdr:colOff>
      <xdr:row>2</xdr:row>
      <xdr:rowOff>176211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4" y="181756"/>
          <a:ext cx="2706832" cy="10041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47624</xdr:colOff>
      <xdr:row>0</xdr:row>
      <xdr:rowOff>181756</xdr:rowOff>
    </xdr:from>
    <xdr:to>
      <xdr:col>1</xdr:col>
      <xdr:colOff>1840056</xdr:colOff>
      <xdr:row>2</xdr:row>
      <xdr:rowOff>176211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4" y="181756"/>
          <a:ext cx="2706832" cy="1004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workbookViewId="0"/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60" t="s">
        <v>35</v>
      </c>
      <c r="U9" s="96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965" t="s">
        <v>5</v>
      </c>
      <c r="N11" s="965"/>
      <c r="O11" s="6"/>
      <c r="P11" s="6"/>
      <c r="Q11" s="1"/>
      <c r="R11" s="1"/>
      <c r="S11" s="1" t="s">
        <v>6</v>
      </c>
      <c r="T11" s="95">
        <v>45336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68" t="s">
        <v>8</v>
      </c>
      <c r="C15" s="968"/>
      <c r="D15" s="968"/>
      <c r="E15" s="968"/>
      <c r="F15" s="968"/>
      <c r="G15" s="968"/>
      <c r="H15" s="968"/>
      <c r="I15" s="968"/>
      <c r="J15" s="969"/>
      <c r="K15" s="962" t="s">
        <v>29</v>
      </c>
      <c r="L15" s="963"/>
      <c r="M15" s="963"/>
      <c r="N15" s="963"/>
      <c r="O15" s="964"/>
      <c r="P15" s="962" t="s">
        <v>31</v>
      </c>
      <c r="Q15" s="963"/>
      <c r="R15" s="963"/>
      <c r="S15" s="963"/>
      <c r="T15" s="963"/>
      <c r="U15" s="964"/>
      <c r="V15" s="9"/>
    </row>
    <row r="16" spans="1:32" ht="39.950000000000003" customHeight="1" x14ac:dyDescent="0.25">
      <c r="A16" s="80" t="s">
        <v>34</v>
      </c>
      <c r="B16" s="115"/>
      <c r="C16" s="113"/>
      <c r="D16" s="114"/>
      <c r="E16" s="113"/>
      <c r="F16" s="113"/>
      <c r="G16" s="113"/>
      <c r="H16" s="114"/>
      <c r="I16" s="114"/>
      <c r="J16" s="116"/>
      <c r="K16" s="117"/>
      <c r="L16" s="118"/>
      <c r="M16" s="118"/>
      <c r="N16" s="118"/>
      <c r="O16" s="121"/>
      <c r="P16" s="117"/>
      <c r="Q16" s="118"/>
      <c r="R16" s="118"/>
      <c r="S16" s="118"/>
      <c r="T16" s="118"/>
      <c r="U16" s="119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7">
        <v>9</v>
      </c>
      <c r="K17" s="11">
        <v>1</v>
      </c>
      <c r="L17" s="16">
        <v>2</v>
      </c>
      <c r="M17" s="16">
        <v>3</v>
      </c>
      <c r="N17" s="16">
        <v>4</v>
      </c>
      <c r="O17" s="107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24</v>
      </c>
      <c r="B18" s="61">
        <f>(($B$27*X18)/1000)</f>
        <v>3.0030000000000001</v>
      </c>
      <c r="C18" s="19">
        <f>(($C$27*X18)/1000)</f>
        <v>4.4329999999999998</v>
      </c>
      <c r="D18" s="19">
        <f>((D27*$X$18)/1000)</f>
        <v>10.192</v>
      </c>
      <c r="E18" s="19">
        <f t="shared" ref="E18:O18" si="0">((E27*$X$18)/1000)</f>
        <v>10.295999999999999</v>
      </c>
      <c r="F18" s="19">
        <f t="shared" si="0"/>
        <v>9.0350000000000001</v>
      </c>
      <c r="G18" s="19">
        <f t="shared" si="0"/>
        <v>8.5410000000000004</v>
      </c>
      <c r="H18" s="19">
        <f t="shared" si="0"/>
        <v>5.681</v>
      </c>
      <c r="I18" s="19">
        <f t="shared" si="0"/>
        <v>5.33</v>
      </c>
      <c r="J18" s="108">
        <f t="shared" si="0"/>
        <v>3.2759999999999998</v>
      </c>
      <c r="K18" s="18">
        <f t="shared" si="0"/>
        <v>2.1320000000000001</v>
      </c>
      <c r="L18" s="19">
        <f t="shared" si="0"/>
        <v>5.4859999999999998</v>
      </c>
      <c r="M18" s="19">
        <f t="shared" si="0"/>
        <v>9.3339999999999996</v>
      </c>
      <c r="N18" s="19">
        <f t="shared" si="0"/>
        <v>11.271000000000001</v>
      </c>
      <c r="O18" s="108">
        <f t="shared" si="0"/>
        <v>7.2279999999999998</v>
      </c>
      <c r="P18" s="18">
        <f>((P27*$X$18)/1000)</f>
        <v>1.5209999999999999</v>
      </c>
      <c r="Q18" s="19">
        <f>((Q27*$X$18)/1000)</f>
        <v>4.5369999999999999</v>
      </c>
      <c r="R18" s="19">
        <f>((R27*$X$18)/1000)</f>
        <v>10.79</v>
      </c>
      <c r="S18" s="19">
        <f>((S27*$X$18)/1000)</f>
        <v>12.064</v>
      </c>
      <c r="T18" s="19">
        <f>((T27*$X$18)/1000)</f>
        <v>5.6550000000000002</v>
      </c>
      <c r="U18" s="20"/>
      <c r="V18" s="98">
        <f>SUM(B18:U18)</f>
        <v>129.80499999999998</v>
      </c>
      <c r="X18" s="2">
        <v>13</v>
      </c>
      <c r="Y18" s="15"/>
    </row>
    <row r="19" spans="1:32" ht="39.950000000000003" customHeight="1" x14ac:dyDescent="0.25">
      <c r="A19" s="96" t="s">
        <v>20</v>
      </c>
      <c r="B19" s="61">
        <f>((B27*$X$19)/1000)</f>
        <v>3.4649999999999999</v>
      </c>
      <c r="C19" s="19">
        <f t="shared" ref="C19:O19" si="1">((C27*$X$19)/1000)</f>
        <v>5.1150000000000002</v>
      </c>
      <c r="D19" s="19">
        <f t="shared" si="1"/>
        <v>11.76</v>
      </c>
      <c r="E19" s="19">
        <f t="shared" si="1"/>
        <v>11.88</v>
      </c>
      <c r="F19" s="19">
        <f t="shared" si="1"/>
        <v>10.425000000000001</v>
      </c>
      <c r="G19" s="19">
        <f t="shared" si="1"/>
        <v>9.8550000000000004</v>
      </c>
      <c r="H19" s="19">
        <f t="shared" si="1"/>
        <v>6.5549999999999997</v>
      </c>
      <c r="I19" s="19">
        <f t="shared" si="1"/>
        <v>6.15</v>
      </c>
      <c r="J19" s="108">
        <f t="shared" si="1"/>
        <v>3.78</v>
      </c>
      <c r="K19" s="18">
        <f t="shared" si="1"/>
        <v>2.46</v>
      </c>
      <c r="L19" s="19">
        <f t="shared" si="1"/>
        <v>6.33</v>
      </c>
      <c r="M19" s="19">
        <f t="shared" si="1"/>
        <v>10.77</v>
      </c>
      <c r="N19" s="19">
        <f t="shared" si="1"/>
        <v>13.005000000000001</v>
      </c>
      <c r="O19" s="108">
        <f t="shared" si="1"/>
        <v>8.34</v>
      </c>
      <c r="P19" s="18">
        <f>((P27*$X$19)/1000)</f>
        <v>1.7549999999999999</v>
      </c>
      <c r="Q19" s="19">
        <f>((Q27*$X$19)/1000)</f>
        <v>5.2350000000000003</v>
      </c>
      <c r="R19" s="19">
        <f>((R27*$X$19)/1000)</f>
        <v>12.45</v>
      </c>
      <c r="S19" s="19">
        <f>((S27*$X$19)/1000)</f>
        <v>13.92</v>
      </c>
      <c r="T19" s="19">
        <f>((T27*$X$19)/1000)</f>
        <v>6.5250000000000004</v>
      </c>
      <c r="U19" s="20"/>
      <c r="V19" s="98">
        <f>SUM(B19:U19)</f>
        <v>149.77499999999998</v>
      </c>
      <c r="X19" s="2">
        <v>15</v>
      </c>
      <c r="Y19" s="15"/>
    </row>
    <row r="20" spans="1:32" ht="39.75" customHeight="1" x14ac:dyDescent="0.25">
      <c r="A20" s="96" t="s">
        <v>28</v>
      </c>
      <c r="B20" s="61">
        <f>((B27*$X$20)/1000)</f>
        <v>4.0425000000000004</v>
      </c>
      <c r="C20" s="19">
        <f t="shared" ref="C20:J20" si="2">((C27*$X$20)/1000)</f>
        <v>5.9675000000000002</v>
      </c>
      <c r="D20" s="19">
        <f t="shared" si="2"/>
        <v>13.72</v>
      </c>
      <c r="E20" s="19">
        <f t="shared" si="2"/>
        <v>13.86</v>
      </c>
      <c r="F20" s="19">
        <f t="shared" si="2"/>
        <v>12.1625</v>
      </c>
      <c r="G20" s="19">
        <f t="shared" si="2"/>
        <v>11.4975</v>
      </c>
      <c r="H20" s="19">
        <f t="shared" si="2"/>
        <v>7.6475</v>
      </c>
      <c r="I20" s="19">
        <f t="shared" si="2"/>
        <v>7.1749999999999998</v>
      </c>
      <c r="J20" s="108">
        <f t="shared" si="2"/>
        <v>4.41</v>
      </c>
      <c r="K20" s="18">
        <f t="shared" ref="K20:T20" si="3">((K27*$X$20)/1000)</f>
        <v>2.87</v>
      </c>
      <c r="L20" s="19">
        <f t="shared" si="3"/>
        <v>7.3849999999999998</v>
      </c>
      <c r="M20" s="19">
        <f t="shared" si="3"/>
        <v>12.565</v>
      </c>
      <c r="N20" s="19">
        <f t="shared" si="3"/>
        <v>15.172499999999999</v>
      </c>
      <c r="O20" s="108">
        <f t="shared" si="3"/>
        <v>9.73</v>
      </c>
      <c r="P20" s="18">
        <f t="shared" si="3"/>
        <v>2.0474999999999999</v>
      </c>
      <c r="Q20" s="19">
        <f t="shared" si="3"/>
        <v>6.1074999999999999</v>
      </c>
      <c r="R20" s="19">
        <f t="shared" si="3"/>
        <v>14.525</v>
      </c>
      <c r="S20" s="19">
        <f t="shared" si="3"/>
        <v>16.239999999999998</v>
      </c>
      <c r="T20" s="19">
        <f t="shared" si="3"/>
        <v>7.6124999999999998</v>
      </c>
      <c r="U20" s="20"/>
      <c r="V20" s="98">
        <f>SUM(B20:U20)</f>
        <v>174.73750000000004</v>
      </c>
      <c r="X20" s="2">
        <v>17.5</v>
      </c>
      <c r="Y20" s="15"/>
    </row>
    <row r="21" spans="1:32" ht="39.950000000000003" customHeight="1" x14ac:dyDescent="0.25">
      <c r="A21" s="96" t="s">
        <v>21</v>
      </c>
      <c r="B21" s="61">
        <f>((B27*$X$21)/1000)</f>
        <v>4.9664999999999999</v>
      </c>
      <c r="C21" s="19">
        <f t="shared" ref="C21:I21" si="4">((C27*$X$21)/1000)</f>
        <v>7.3315000000000001</v>
      </c>
      <c r="D21" s="19">
        <f t="shared" si="4"/>
        <v>16.856000000000002</v>
      </c>
      <c r="E21" s="19">
        <f t="shared" si="4"/>
        <v>17.027999999999999</v>
      </c>
      <c r="F21" s="19">
        <f t="shared" si="4"/>
        <v>14.942500000000001</v>
      </c>
      <c r="G21" s="19">
        <f t="shared" si="4"/>
        <v>14.125500000000001</v>
      </c>
      <c r="H21" s="19">
        <f t="shared" si="4"/>
        <v>9.3955000000000002</v>
      </c>
      <c r="I21" s="19">
        <f t="shared" si="4"/>
        <v>8.8149999999999995</v>
      </c>
      <c r="J21" s="108">
        <f t="shared" ref="J21:T21" si="5">((J27*$X$21)/1000)</f>
        <v>5.4180000000000001</v>
      </c>
      <c r="K21" s="18">
        <f t="shared" si="5"/>
        <v>3.5259999999999998</v>
      </c>
      <c r="L21" s="19">
        <f t="shared" si="5"/>
        <v>9.0730000000000004</v>
      </c>
      <c r="M21" s="19">
        <f t="shared" si="5"/>
        <v>15.436999999999999</v>
      </c>
      <c r="N21" s="19">
        <f t="shared" si="5"/>
        <v>18.640499999999999</v>
      </c>
      <c r="O21" s="108">
        <f t="shared" si="5"/>
        <v>11.954000000000001</v>
      </c>
      <c r="P21" s="18">
        <f t="shared" si="5"/>
        <v>2.5154999999999998</v>
      </c>
      <c r="Q21" s="19">
        <f t="shared" si="5"/>
        <v>7.5034999999999998</v>
      </c>
      <c r="R21" s="19">
        <f t="shared" si="5"/>
        <v>17.844999999999999</v>
      </c>
      <c r="S21" s="19">
        <f t="shared" si="5"/>
        <v>19.952000000000002</v>
      </c>
      <c r="T21" s="19">
        <f t="shared" si="5"/>
        <v>9.3524999999999991</v>
      </c>
      <c r="U21" s="20"/>
      <c r="V21" s="98">
        <f>SUM(B21:U21)</f>
        <v>214.67749999999998</v>
      </c>
      <c r="X21" s="2">
        <v>21.5</v>
      </c>
      <c r="Y21" s="15"/>
    </row>
    <row r="22" spans="1:32" ht="39.950000000000003" customHeight="1" x14ac:dyDescent="0.25">
      <c r="A22" s="96" t="s">
        <v>22</v>
      </c>
      <c r="B22" s="61">
        <f>((B27*$X$22)/1000)</f>
        <v>6.0060000000000002</v>
      </c>
      <c r="C22" s="19">
        <f t="shared" ref="C22:I22" si="6">((C27*$X$22)/1000)</f>
        <v>8.8659999999999997</v>
      </c>
      <c r="D22" s="19">
        <f t="shared" si="6"/>
        <v>20.384</v>
      </c>
      <c r="E22" s="19">
        <f t="shared" si="6"/>
        <v>20.591999999999999</v>
      </c>
      <c r="F22" s="19">
        <f t="shared" si="6"/>
        <v>18.07</v>
      </c>
      <c r="G22" s="19">
        <f t="shared" si="6"/>
        <v>17.082000000000001</v>
      </c>
      <c r="H22" s="19">
        <f t="shared" si="6"/>
        <v>11.362</v>
      </c>
      <c r="I22" s="19">
        <f t="shared" si="6"/>
        <v>10.66</v>
      </c>
      <c r="J22" s="108">
        <f t="shared" ref="J22:T22" si="7">((J27*$X$22)/1000)</f>
        <v>6.5519999999999996</v>
      </c>
      <c r="K22" s="18">
        <f t="shared" si="7"/>
        <v>4.2640000000000002</v>
      </c>
      <c r="L22" s="19">
        <f t="shared" si="7"/>
        <v>10.972</v>
      </c>
      <c r="M22" s="19">
        <f t="shared" si="7"/>
        <v>18.667999999999999</v>
      </c>
      <c r="N22" s="19">
        <f t="shared" si="7"/>
        <v>22.542000000000002</v>
      </c>
      <c r="O22" s="108">
        <f t="shared" si="7"/>
        <v>14.456</v>
      </c>
      <c r="P22" s="18">
        <f t="shared" si="7"/>
        <v>3.0419999999999998</v>
      </c>
      <c r="Q22" s="19">
        <f t="shared" si="7"/>
        <v>9.0739999999999998</v>
      </c>
      <c r="R22" s="19">
        <f t="shared" si="7"/>
        <v>21.58</v>
      </c>
      <c r="S22" s="19">
        <f t="shared" si="7"/>
        <v>24.128</v>
      </c>
      <c r="T22" s="19">
        <f t="shared" si="7"/>
        <v>11.31</v>
      </c>
      <c r="U22" s="20"/>
      <c r="V22" s="98">
        <f>SUM(B22:S22)</f>
        <v>248.29999999999995</v>
      </c>
      <c r="X22" s="2">
        <v>26</v>
      </c>
      <c r="Y22" s="15"/>
    </row>
    <row r="23" spans="1:32" ht="39.950000000000003" customHeight="1" x14ac:dyDescent="0.25">
      <c r="A23" s="96" t="s">
        <v>23</v>
      </c>
      <c r="B23" s="61">
        <f>((B27*$X$23)/1000)</f>
        <v>6.468</v>
      </c>
      <c r="C23" s="19">
        <f t="shared" ref="C23:J23" si="8">((C27*$X$23)/1000)</f>
        <v>9.548</v>
      </c>
      <c r="D23" s="19">
        <f t="shared" si="8"/>
        <v>21.952000000000002</v>
      </c>
      <c r="E23" s="19">
        <f t="shared" si="8"/>
        <v>22.175999999999998</v>
      </c>
      <c r="F23" s="19">
        <f t="shared" si="8"/>
        <v>19.46</v>
      </c>
      <c r="G23" s="19">
        <f t="shared" si="8"/>
        <v>18.396000000000001</v>
      </c>
      <c r="H23" s="19">
        <f t="shared" si="8"/>
        <v>12.236000000000001</v>
      </c>
      <c r="I23" s="19">
        <f t="shared" si="8"/>
        <v>11.48</v>
      </c>
      <c r="J23" s="108">
        <f t="shared" si="8"/>
        <v>7.056</v>
      </c>
      <c r="K23" s="18">
        <f t="shared" ref="K23:T23" si="9">((K27*$X$23)/1000)</f>
        <v>4.5919999999999996</v>
      </c>
      <c r="L23" s="19">
        <f t="shared" si="9"/>
        <v>11.816000000000001</v>
      </c>
      <c r="M23" s="19">
        <f t="shared" si="9"/>
        <v>20.103999999999999</v>
      </c>
      <c r="N23" s="19">
        <f t="shared" si="9"/>
        <v>24.276</v>
      </c>
      <c r="O23" s="108">
        <f t="shared" si="9"/>
        <v>15.568</v>
      </c>
      <c r="P23" s="18">
        <f t="shared" si="9"/>
        <v>3.2759999999999998</v>
      </c>
      <c r="Q23" s="19">
        <f t="shared" si="9"/>
        <v>9.7720000000000002</v>
      </c>
      <c r="R23" s="19">
        <f t="shared" si="9"/>
        <v>23.24</v>
      </c>
      <c r="S23" s="19">
        <f t="shared" si="9"/>
        <v>25.984000000000002</v>
      </c>
      <c r="T23" s="19">
        <f t="shared" si="9"/>
        <v>12.18</v>
      </c>
      <c r="U23" s="20"/>
      <c r="V23" s="98">
        <f>SUM(B23:U23)</f>
        <v>279.5800000000001</v>
      </c>
      <c r="X23" s="2">
        <v>28</v>
      </c>
      <c r="Y23" s="15"/>
    </row>
    <row r="24" spans="1:32" ht="39.950000000000003" customHeight="1" thickBot="1" x14ac:dyDescent="0.3">
      <c r="A24" s="122" t="s">
        <v>32</v>
      </c>
      <c r="B24" s="123">
        <f>((B27*$X$24)/1000)</f>
        <v>6.8144999999999998</v>
      </c>
      <c r="C24" s="124">
        <f t="shared" ref="C24:J24" si="10">((C27*$X$24)/1000)</f>
        <v>10.0595</v>
      </c>
      <c r="D24" s="124">
        <f t="shared" si="10"/>
        <v>23.128</v>
      </c>
      <c r="E24" s="124">
        <f t="shared" si="10"/>
        <v>23.364000000000001</v>
      </c>
      <c r="F24" s="124">
        <f t="shared" si="10"/>
        <v>20.502500000000001</v>
      </c>
      <c r="G24" s="124">
        <f t="shared" si="10"/>
        <v>19.381499999999999</v>
      </c>
      <c r="H24" s="124">
        <f t="shared" si="10"/>
        <v>12.891500000000001</v>
      </c>
      <c r="I24" s="124">
        <f t="shared" si="10"/>
        <v>12.095000000000001</v>
      </c>
      <c r="J24" s="125">
        <f t="shared" si="10"/>
        <v>7.4340000000000002</v>
      </c>
      <c r="K24" s="130">
        <f t="shared" ref="K24:T24" si="11">((K27*$X$24)/1000)</f>
        <v>4.8380000000000001</v>
      </c>
      <c r="L24" s="124">
        <f t="shared" si="11"/>
        <v>12.449</v>
      </c>
      <c r="M24" s="124">
        <f t="shared" si="11"/>
        <v>21.181000000000001</v>
      </c>
      <c r="N24" s="124">
        <f t="shared" si="11"/>
        <v>25.576499999999999</v>
      </c>
      <c r="O24" s="125">
        <f t="shared" si="11"/>
        <v>16.402000000000001</v>
      </c>
      <c r="P24" s="130">
        <f t="shared" si="11"/>
        <v>3.4514999999999998</v>
      </c>
      <c r="Q24" s="124">
        <f t="shared" si="11"/>
        <v>10.295500000000001</v>
      </c>
      <c r="R24" s="124">
        <f t="shared" si="11"/>
        <v>24.484999999999999</v>
      </c>
      <c r="S24" s="124">
        <f t="shared" si="11"/>
        <v>27.376000000000001</v>
      </c>
      <c r="T24" s="124">
        <f t="shared" si="11"/>
        <v>12.8325</v>
      </c>
      <c r="U24" s="132"/>
      <c r="V24" s="98">
        <f>SUM(B24:U24)</f>
        <v>294.5575</v>
      </c>
      <c r="X24" s="2">
        <v>29.5</v>
      </c>
    </row>
    <row r="25" spans="1:32" ht="41.45" customHeight="1" x14ac:dyDescent="0.25">
      <c r="A25" s="126" t="s">
        <v>9</v>
      </c>
      <c r="B25" s="127">
        <f>SUM(B18:B24)</f>
        <v>34.765500000000003</v>
      </c>
      <c r="C25" s="128">
        <f t="shared" ref="C25:I25" si="12">SUM(C18:C24)</f>
        <v>51.320500000000003</v>
      </c>
      <c r="D25" s="128">
        <f t="shared" si="12"/>
        <v>117.992</v>
      </c>
      <c r="E25" s="128">
        <f t="shared" si="12"/>
        <v>119.19600000000001</v>
      </c>
      <c r="F25" s="128">
        <f t="shared" si="12"/>
        <v>104.5975</v>
      </c>
      <c r="G25" s="128">
        <f t="shared" si="12"/>
        <v>98.878500000000017</v>
      </c>
      <c r="H25" s="128">
        <f t="shared" si="12"/>
        <v>65.768500000000017</v>
      </c>
      <c r="I25" s="128">
        <f t="shared" si="12"/>
        <v>61.704999999999998</v>
      </c>
      <c r="J25" s="129">
        <f t="shared" ref="J25:T25" si="13">SUM(J18:J24)</f>
        <v>37.926000000000002</v>
      </c>
      <c r="K25" s="131">
        <f t="shared" si="13"/>
        <v>24.681999999999999</v>
      </c>
      <c r="L25" s="128">
        <f t="shared" si="13"/>
        <v>63.511000000000003</v>
      </c>
      <c r="M25" s="128">
        <f t="shared" si="13"/>
        <v>108.059</v>
      </c>
      <c r="N25" s="128">
        <f t="shared" si="13"/>
        <v>130.48349999999999</v>
      </c>
      <c r="O25" s="129">
        <f t="shared" si="13"/>
        <v>83.677999999999997</v>
      </c>
      <c r="P25" s="133">
        <f t="shared" si="13"/>
        <v>17.608499999999999</v>
      </c>
      <c r="Q25" s="134">
        <f t="shared" si="13"/>
        <v>52.524500000000003</v>
      </c>
      <c r="R25" s="134">
        <f t="shared" si="13"/>
        <v>124.91499999999999</v>
      </c>
      <c r="S25" s="134">
        <f t="shared" si="13"/>
        <v>139.66400000000002</v>
      </c>
      <c r="T25" s="134">
        <f t="shared" si="13"/>
        <v>65.467500000000001</v>
      </c>
      <c r="U25" s="129"/>
      <c r="V25" s="98">
        <f>SUM(B25:U25)</f>
        <v>1502.7425000000001</v>
      </c>
    </row>
    <row r="26" spans="1:32" s="2" customFormat="1" ht="36.75" customHeight="1" x14ac:dyDescent="0.25">
      <c r="A26" s="70" t="s">
        <v>11</v>
      </c>
      <c r="B26" s="6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5">
        <v>21.1</v>
      </c>
      <c r="K26" s="23">
        <v>21.1</v>
      </c>
      <c r="L26" s="24">
        <v>21.1</v>
      </c>
      <c r="M26" s="24">
        <v>21.1</v>
      </c>
      <c r="N26" s="24">
        <v>21.1</v>
      </c>
      <c r="O26" s="25">
        <v>21.1</v>
      </c>
      <c r="P26" s="23">
        <v>21.1</v>
      </c>
      <c r="Q26" s="24">
        <v>21.1</v>
      </c>
      <c r="R26" s="24">
        <v>21.1</v>
      </c>
      <c r="S26" s="24">
        <v>21.1</v>
      </c>
      <c r="T26" s="24">
        <v>21.1</v>
      </c>
      <c r="U26" s="25"/>
      <c r="V26" s="99">
        <f>((V25/V27)/7)*1000</f>
        <v>25.765422467594817</v>
      </c>
    </row>
    <row r="27" spans="1:32" s="2" customFormat="1" ht="33" customHeight="1" x14ac:dyDescent="0.25">
      <c r="A27" s="71" t="s">
        <v>12</v>
      </c>
      <c r="B27" s="64">
        <v>231</v>
      </c>
      <c r="C27" s="27">
        <v>341</v>
      </c>
      <c r="D27" s="27">
        <v>784</v>
      </c>
      <c r="E27" s="27">
        <v>792</v>
      </c>
      <c r="F27" s="27">
        <v>695</v>
      </c>
      <c r="G27" s="27">
        <v>657</v>
      </c>
      <c r="H27" s="27">
        <v>437</v>
      </c>
      <c r="I27" s="27">
        <v>410</v>
      </c>
      <c r="J27" s="28">
        <v>252</v>
      </c>
      <c r="K27" s="26">
        <v>164</v>
      </c>
      <c r="L27" s="27">
        <v>422</v>
      </c>
      <c r="M27" s="27">
        <v>718</v>
      </c>
      <c r="N27" s="27">
        <v>867</v>
      </c>
      <c r="O27" s="28">
        <v>556</v>
      </c>
      <c r="P27" s="26">
        <v>117</v>
      </c>
      <c r="Q27" s="27">
        <v>349</v>
      </c>
      <c r="R27" s="27">
        <v>830</v>
      </c>
      <c r="S27" s="27">
        <v>928</v>
      </c>
      <c r="T27" s="27">
        <v>435</v>
      </c>
      <c r="U27" s="28"/>
      <c r="V27" s="29">
        <f>SUM(B27,C27,D27,E27,F27,G27,H27,K27,L27,M27,N27,P27,Q27,R27,S27)</f>
        <v>8332</v>
      </c>
      <c r="W27" s="2">
        <f>((V25*1000)/V27)/7</f>
        <v>25.765422467594817</v>
      </c>
    </row>
    <row r="28" spans="1:32" s="2" customFormat="1" ht="33" customHeight="1" x14ac:dyDescent="0.25">
      <c r="A28" s="72" t="s">
        <v>13</v>
      </c>
      <c r="B28" s="65">
        <f t="shared" ref="B28:J28" si="14">(B27*B26)/1000</f>
        <v>4.8741000000000003</v>
      </c>
      <c r="C28" s="31">
        <f t="shared" si="14"/>
        <v>7.1951000000000001</v>
      </c>
      <c r="D28" s="31">
        <f t="shared" si="14"/>
        <v>16.542400000000001</v>
      </c>
      <c r="E28" s="31">
        <f t="shared" si="14"/>
        <v>16.711200000000002</v>
      </c>
      <c r="F28" s="31">
        <f t="shared" si="14"/>
        <v>14.664500000000002</v>
      </c>
      <c r="G28" s="31">
        <f t="shared" si="14"/>
        <v>13.8627</v>
      </c>
      <c r="H28" s="31">
        <f t="shared" si="14"/>
        <v>9.2207000000000008</v>
      </c>
      <c r="I28" s="31">
        <f t="shared" si="14"/>
        <v>8.6509999999999998</v>
      </c>
      <c r="J28" s="32">
        <f t="shared" si="14"/>
        <v>5.3172000000000006</v>
      </c>
      <c r="K28" s="30">
        <f t="shared" ref="K28:T28" si="15">(K27*K26)/1000</f>
        <v>3.4603999999999999</v>
      </c>
      <c r="L28" s="31">
        <f t="shared" si="15"/>
        <v>8.9042000000000012</v>
      </c>
      <c r="M28" s="31">
        <f t="shared" si="15"/>
        <v>15.149800000000001</v>
      </c>
      <c r="N28" s="31">
        <f t="shared" si="15"/>
        <v>18.293700000000001</v>
      </c>
      <c r="O28" s="32">
        <f t="shared" si="15"/>
        <v>11.7316</v>
      </c>
      <c r="P28" s="30">
        <f t="shared" si="15"/>
        <v>2.4687000000000001</v>
      </c>
      <c r="Q28" s="31">
        <f t="shared" si="15"/>
        <v>7.3639000000000001</v>
      </c>
      <c r="R28" s="31">
        <f t="shared" si="15"/>
        <v>17.513000000000002</v>
      </c>
      <c r="S28" s="31">
        <f t="shared" si="15"/>
        <v>19.580800000000004</v>
      </c>
      <c r="T28" s="31">
        <f t="shared" si="15"/>
        <v>9.1784999999999997</v>
      </c>
      <c r="U28" s="32"/>
      <c r="V28" s="33"/>
    </row>
    <row r="29" spans="1:32" ht="33.75" customHeight="1" x14ac:dyDescent="0.25">
      <c r="A29" s="73" t="s">
        <v>14</v>
      </c>
      <c r="B29" s="66">
        <f t="shared" ref="B29:J29" si="16">((B27*B26)*7)/1000</f>
        <v>34.118700000000004</v>
      </c>
      <c r="C29" s="35">
        <f t="shared" si="16"/>
        <v>50.365700000000004</v>
      </c>
      <c r="D29" s="35">
        <f t="shared" si="16"/>
        <v>115.79680000000002</v>
      </c>
      <c r="E29" s="35">
        <f t="shared" si="16"/>
        <v>116.97840000000001</v>
      </c>
      <c r="F29" s="35">
        <f t="shared" si="16"/>
        <v>102.65150000000001</v>
      </c>
      <c r="G29" s="35">
        <f t="shared" si="16"/>
        <v>97.038900000000012</v>
      </c>
      <c r="H29" s="35">
        <f t="shared" si="16"/>
        <v>64.544900000000013</v>
      </c>
      <c r="I29" s="35">
        <f t="shared" si="16"/>
        <v>60.557000000000002</v>
      </c>
      <c r="J29" s="68">
        <f t="shared" si="16"/>
        <v>37.220400000000012</v>
      </c>
      <c r="K29" s="34">
        <f t="shared" ref="K29:T29" si="17">((K27*K26)*7)/1000</f>
        <v>24.222799999999999</v>
      </c>
      <c r="L29" s="35">
        <f t="shared" si="17"/>
        <v>62.329400000000007</v>
      </c>
      <c r="M29" s="35">
        <f t="shared" si="17"/>
        <v>106.04860000000001</v>
      </c>
      <c r="N29" s="35">
        <f t="shared" si="17"/>
        <v>128.05590000000001</v>
      </c>
      <c r="O29" s="68">
        <f t="shared" si="17"/>
        <v>82.121200000000002</v>
      </c>
      <c r="P29" s="34">
        <f t="shared" si="17"/>
        <v>17.280900000000003</v>
      </c>
      <c r="Q29" s="35">
        <f t="shared" si="17"/>
        <v>51.5473</v>
      </c>
      <c r="R29" s="35">
        <f t="shared" si="17"/>
        <v>122.59099999999999</v>
      </c>
      <c r="S29" s="35">
        <f t="shared" si="17"/>
        <v>137.06560000000005</v>
      </c>
      <c r="T29" s="35">
        <f t="shared" si="17"/>
        <v>64.249499999999998</v>
      </c>
      <c r="U29" s="120"/>
      <c r="V29" s="36"/>
    </row>
    <row r="30" spans="1:32" ht="33.75" customHeight="1" thickBot="1" x14ac:dyDescent="0.3">
      <c r="A30" s="74" t="s">
        <v>15</v>
      </c>
      <c r="B30" s="67">
        <f t="shared" ref="B30:J30" si="18">+(B25/B27)/7*1000</f>
        <v>21.5</v>
      </c>
      <c r="C30" s="38">
        <f t="shared" si="18"/>
        <v>21.5</v>
      </c>
      <c r="D30" s="38">
        <f t="shared" si="18"/>
        <v>21.5</v>
      </c>
      <c r="E30" s="38">
        <f t="shared" si="18"/>
        <v>21.5</v>
      </c>
      <c r="F30" s="38">
        <f t="shared" si="18"/>
        <v>21.5</v>
      </c>
      <c r="G30" s="38">
        <f t="shared" si="18"/>
        <v>21.5</v>
      </c>
      <c r="H30" s="38">
        <f t="shared" si="18"/>
        <v>21.500000000000007</v>
      </c>
      <c r="I30" s="38">
        <f t="shared" si="18"/>
        <v>21.5</v>
      </c>
      <c r="J30" s="39">
        <f t="shared" si="18"/>
        <v>21.5</v>
      </c>
      <c r="K30" s="37">
        <f t="shared" ref="K30:T30" si="19">+(K25/K27)/7*1000</f>
        <v>21.5</v>
      </c>
      <c r="L30" s="38">
        <f t="shared" si="19"/>
        <v>21.5</v>
      </c>
      <c r="M30" s="38">
        <f t="shared" si="19"/>
        <v>21.5</v>
      </c>
      <c r="N30" s="38">
        <f t="shared" si="19"/>
        <v>21.5</v>
      </c>
      <c r="O30" s="39">
        <f t="shared" si="19"/>
        <v>21.5</v>
      </c>
      <c r="P30" s="37">
        <f t="shared" si="19"/>
        <v>21.5</v>
      </c>
      <c r="Q30" s="38">
        <f t="shared" si="19"/>
        <v>21.5</v>
      </c>
      <c r="R30" s="38">
        <f t="shared" si="19"/>
        <v>21.5</v>
      </c>
      <c r="S30" s="38">
        <f t="shared" si="19"/>
        <v>21.5</v>
      </c>
      <c r="T30" s="38">
        <f t="shared" si="19"/>
        <v>21.5</v>
      </c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66" t="s">
        <v>17</v>
      </c>
      <c r="C36" s="967"/>
      <c r="D36" s="967"/>
      <c r="E36" s="967"/>
      <c r="F36" s="967"/>
      <c r="G36" s="967"/>
      <c r="H36" s="75"/>
      <c r="L36" s="44"/>
      <c r="M36" s="88" t="s">
        <v>18</v>
      </c>
      <c r="N36" s="956" t="s">
        <v>17</v>
      </c>
      <c r="O36" s="956"/>
      <c r="P36" s="956"/>
      <c r="Q36" s="956"/>
      <c r="R36" s="957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41"/>
      <c r="C37" s="118"/>
      <c r="D37" s="118"/>
      <c r="E37" s="118"/>
      <c r="F37" s="118"/>
      <c r="G37" s="119"/>
      <c r="H37" s="13" t="s">
        <v>9</v>
      </c>
      <c r="I37" s="47"/>
      <c r="J37" s="47"/>
      <c r="K37" s="961" t="s">
        <v>27</v>
      </c>
      <c r="L37" s="961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24</v>
      </c>
      <c r="B39" s="18">
        <f>((B48*$K$39)/1000)</f>
        <v>1.4950000000000001</v>
      </c>
      <c r="C39" s="61">
        <f t="shared" ref="C39:C45" si="20">(($C$48*K39)/1000)</f>
        <v>3.1459999999999999</v>
      </c>
      <c r="D39" s="61">
        <f t="shared" ref="D39:D45" si="21">(($D$48*K39)/1000)</f>
        <v>7.3579999999999997</v>
      </c>
      <c r="E39" s="61">
        <f t="shared" ref="E39:E45" si="22">(($E$48*K39)/1000)</f>
        <v>11.686999999999999</v>
      </c>
      <c r="F39" s="61">
        <f t="shared" ref="F39:F45" si="23">(($F$48*K39)/1000)</f>
        <v>7.774</v>
      </c>
      <c r="G39" s="94">
        <f t="shared" ref="G39:G45" si="24">(($G$48*K39)/1000)</f>
        <v>7.67</v>
      </c>
      <c r="H39" s="136">
        <f t="shared" ref="H39:H46" si="25">SUM(B39:G39)</f>
        <v>39.130000000000003</v>
      </c>
      <c r="I39" s="49"/>
      <c r="J39" s="49"/>
      <c r="K39" s="89">
        <v>13</v>
      </c>
      <c r="L39" s="90"/>
      <c r="M39" s="96" t="s">
        <v>24</v>
      </c>
      <c r="N39" s="105">
        <f>(($N$48*T39)/1000)</f>
        <v>10.095000000000001</v>
      </c>
      <c r="O39" s="105">
        <f>(($O$48*T39)/1000)</f>
        <v>10.035</v>
      </c>
      <c r="P39" s="105">
        <f>(($P$48*T39)/1000)</f>
        <v>10.11</v>
      </c>
      <c r="Q39" s="105">
        <f>(($Q$48*T39)/1000)</f>
        <v>10.095000000000001</v>
      </c>
      <c r="R39" s="61"/>
      <c r="S39" s="77">
        <f t="shared" ref="S39:S46" si="26">SUM(N39:R39)</f>
        <v>40.335000000000001</v>
      </c>
      <c r="T39" s="2">
        <v>15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20</v>
      </c>
      <c r="B40" s="18">
        <f>((B48*$K$40)/1000)</f>
        <v>1.7250000000000001</v>
      </c>
      <c r="C40" s="61">
        <f t="shared" si="20"/>
        <v>3.63</v>
      </c>
      <c r="D40" s="61">
        <f t="shared" si="21"/>
        <v>8.49</v>
      </c>
      <c r="E40" s="61">
        <f t="shared" si="22"/>
        <v>13.484999999999999</v>
      </c>
      <c r="F40" s="61">
        <f t="shared" si="23"/>
        <v>8.9700000000000006</v>
      </c>
      <c r="G40" s="94">
        <f t="shared" si="24"/>
        <v>8.85</v>
      </c>
      <c r="H40" s="136">
        <f t="shared" si="25"/>
        <v>45.15</v>
      </c>
      <c r="I40" s="49"/>
      <c r="J40" s="49"/>
      <c r="K40" s="89">
        <v>15</v>
      </c>
      <c r="L40" s="90"/>
      <c r="M40" s="96" t="s">
        <v>20</v>
      </c>
      <c r="N40" s="105">
        <f t="shared" ref="N40:N45" si="27">(($N$48*T40)/1000)</f>
        <v>12.114000000000001</v>
      </c>
      <c r="O40" s="105">
        <f t="shared" ref="O40:O45" si="28">(($O$48*T40)/1000)</f>
        <v>12.042</v>
      </c>
      <c r="P40" s="105">
        <f t="shared" ref="P40:P45" si="29">(($P$48*T40)/1000)</f>
        <v>12.132</v>
      </c>
      <c r="Q40" s="105">
        <f t="shared" ref="Q40:Q45" si="30">(($Q$48*T40)/1000)</f>
        <v>12.114000000000001</v>
      </c>
      <c r="R40" s="61"/>
      <c r="S40" s="77">
        <f t="shared" si="26"/>
        <v>48.402000000000001</v>
      </c>
      <c r="T40" s="2">
        <v>18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28</v>
      </c>
      <c r="B41" s="18">
        <f>((B48*$K$41)/1000)</f>
        <v>2.0125000000000002</v>
      </c>
      <c r="C41" s="61">
        <f t="shared" si="20"/>
        <v>4.2350000000000003</v>
      </c>
      <c r="D41" s="61">
        <f t="shared" si="21"/>
        <v>9.9049999999999994</v>
      </c>
      <c r="E41" s="61">
        <f t="shared" si="22"/>
        <v>15.7325</v>
      </c>
      <c r="F41" s="61">
        <f t="shared" si="23"/>
        <v>10.465</v>
      </c>
      <c r="G41" s="94">
        <f t="shared" si="24"/>
        <v>10.324999999999999</v>
      </c>
      <c r="H41" s="136">
        <f t="shared" si="25"/>
        <v>52.674999999999997</v>
      </c>
      <c r="I41" s="49"/>
      <c r="J41" s="49"/>
      <c r="K41" s="89">
        <v>17.5</v>
      </c>
      <c r="L41" s="90"/>
      <c r="M41" s="96" t="s">
        <v>28</v>
      </c>
      <c r="N41" s="105">
        <f t="shared" si="27"/>
        <v>15.478999999999999</v>
      </c>
      <c r="O41" s="105">
        <f t="shared" si="28"/>
        <v>15.387</v>
      </c>
      <c r="P41" s="105">
        <f t="shared" si="29"/>
        <v>15.502000000000001</v>
      </c>
      <c r="Q41" s="105">
        <f t="shared" si="30"/>
        <v>15.478999999999999</v>
      </c>
      <c r="R41" s="19"/>
      <c r="S41" s="77">
        <f t="shared" si="26"/>
        <v>61.847000000000001</v>
      </c>
      <c r="T41" s="2">
        <v>23</v>
      </c>
      <c r="U41" s="49"/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21</v>
      </c>
      <c r="B42" s="18">
        <f>(($B$48*K42)/1000)</f>
        <v>2.4725000000000001</v>
      </c>
      <c r="C42" s="61">
        <f t="shared" si="20"/>
        <v>5.2030000000000003</v>
      </c>
      <c r="D42" s="61">
        <f t="shared" si="21"/>
        <v>12.169</v>
      </c>
      <c r="E42" s="61">
        <f t="shared" si="22"/>
        <v>19.328499999999998</v>
      </c>
      <c r="F42" s="61">
        <f t="shared" si="23"/>
        <v>12.856999999999999</v>
      </c>
      <c r="G42" s="94">
        <f t="shared" si="24"/>
        <v>12.685</v>
      </c>
      <c r="H42" s="136">
        <f t="shared" si="25"/>
        <v>64.715000000000003</v>
      </c>
      <c r="I42" s="49"/>
      <c r="J42" s="49"/>
      <c r="K42" s="89">
        <v>21.5</v>
      </c>
      <c r="L42" s="90"/>
      <c r="M42" s="96" t="s">
        <v>21</v>
      </c>
      <c r="N42" s="105">
        <f t="shared" si="27"/>
        <v>19.516999999999999</v>
      </c>
      <c r="O42" s="105">
        <f t="shared" si="28"/>
        <v>19.401</v>
      </c>
      <c r="P42" s="105">
        <f t="shared" si="29"/>
        <v>19.545999999999999</v>
      </c>
      <c r="Q42" s="105">
        <f t="shared" si="30"/>
        <v>19.516999999999999</v>
      </c>
      <c r="R42" s="61"/>
      <c r="S42" s="77">
        <f t="shared" si="26"/>
        <v>77.980999999999995</v>
      </c>
      <c r="T42" s="2">
        <v>29</v>
      </c>
      <c r="U42" s="49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22</v>
      </c>
      <c r="B43" s="142">
        <f>(($B$48*K43)/1000)</f>
        <v>2.99</v>
      </c>
      <c r="C43" s="135">
        <f t="shared" si="20"/>
        <v>6.2919999999999998</v>
      </c>
      <c r="D43" s="135">
        <f t="shared" si="21"/>
        <v>14.715999999999999</v>
      </c>
      <c r="E43" s="135">
        <f t="shared" si="22"/>
        <v>23.373999999999999</v>
      </c>
      <c r="F43" s="135">
        <f t="shared" si="23"/>
        <v>15.548</v>
      </c>
      <c r="G43" s="94">
        <f t="shared" si="24"/>
        <v>15.34</v>
      </c>
      <c r="H43" s="136">
        <f t="shared" si="25"/>
        <v>78.260000000000005</v>
      </c>
      <c r="I43" s="49"/>
      <c r="J43" s="49"/>
      <c r="K43" s="89">
        <v>26</v>
      </c>
      <c r="L43" s="90"/>
      <c r="M43" s="96" t="s">
        <v>22</v>
      </c>
      <c r="N43" s="105">
        <f t="shared" si="27"/>
        <v>24.228000000000002</v>
      </c>
      <c r="O43" s="105">
        <f t="shared" si="28"/>
        <v>24.084</v>
      </c>
      <c r="P43" s="105">
        <f t="shared" si="29"/>
        <v>24.263999999999999</v>
      </c>
      <c r="Q43" s="105">
        <f t="shared" si="30"/>
        <v>24.228000000000002</v>
      </c>
      <c r="R43" s="61"/>
      <c r="S43" s="77">
        <f t="shared" si="26"/>
        <v>96.804000000000002</v>
      </c>
      <c r="T43" s="2">
        <v>36</v>
      </c>
      <c r="U43" s="49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23</v>
      </c>
      <c r="B44" s="142">
        <f>(($B$48*K44)/1000)</f>
        <v>3.22</v>
      </c>
      <c r="C44" s="135">
        <f t="shared" si="20"/>
        <v>6.7759999999999998</v>
      </c>
      <c r="D44" s="135">
        <f t="shared" si="21"/>
        <v>15.848000000000001</v>
      </c>
      <c r="E44" s="135">
        <f t="shared" si="22"/>
        <v>25.172000000000001</v>
      </c>
      <c r="F44" s="135">
        <f t="shared" si="23"/>
        <v>16.744</v>
      </c>
      <c r="G44" s="94">
        <f t="shared" si="24"/>
        <v>16.52</v>
      </c>
      <c r="H44" s="136">
        <f t="shared" si="25"/>
        <v>84.28</v>
      </c>
      <c r="I44" s="49"/>
      <c r="J44" s="49"/>
      <c r="K44" s="89">
        <v>28</v>
      </c>
      <c r="L44" s="90"/>
      <c r="M44" s="96" t="s">
        <v>23</v>
      </c>
      <c r="N44" s="105">
        <f t="shared" si="27"/>
        <v>28.939</v>
      </c>
      <c r="O44" s="105">
        <f t="shared" si="28"/>
        <v>28.766999999999999</v>
      </c>
      <c r="P44" s="105">
        <f t="shared" si="29"/>
        <v>28.981999999999999</v>
      </c>
      <c r="Q44" s="105">
        <f t="shared" si="30"/>
        <v>28.939</v>
      </c>
      <c r="R44" s="61"/>
      <c r="S44" s="77">
        <f t="shared" si="26"/>
        <v>115.62700000000001</v>
      </c>
      <c r="T44" s="2">
        <v>43</v>
      </c>
      <c r="U44" s="49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42">
        <f>(($B$48*K45)/1000)</f>
        <v>3.3925000000000001</v>
      </c>
      <c r="C45" s="135">
        <f t="shared" si="20"/>
        <v>7.1390000000000002</v>
      </c>
      <c r="D45" s="135">
        <f t="shared" si="21"/>
        <v>16.696999999999999</v>
      </c>
      <c r="E45" s="135">
        <f t="shared" si="22"/>
        <v>26.520499999999998</v>
      </c>
      <c r="F45" s="135">
        <f t="shared" si="23"/>
        <v>17.640999999999998</v>
      </c>
      <c r="G45" s="94">
        <f t="shared" si="24"/>
        <v>17.405000000000001</v>
      </c>
      <c r="H45" s="136">
        <f t="shared" si="25"/>
        <v>88.794999999999987</v>
      </c>
      <c r="I45" s="49"/>
      <c r="J45" s="49"/>
      <c r="K45" s="89">
        <v>29.5</v>
      </c>
      <c r="L45" s="90"/>
      <c r="M45" s="96" t="s">
        <v>32</v>
      </c>
      <c r="N45" s="105">
        <f t="shared" si="27"/>
        <v>30.957999999999998</v>
      </c>
      <c r="O45" s="105">
        <f t="shared" si="28"/>
        <v>30.774000000000001</v>
      </c>
      <c r="P45" s="105">
        <f t="shared" si="29"/>
        <v>31.004000000000001</v>
      </c>
      <c r="Q45" s="105">
        <f t="shared" si="30"/>
        <v>30.957999999999998</v>
      </c>
      <c r="R45" s="61"/>
      <c r="S45" s="77">
        <f t="shared" si="26"/>
        <v>123.694</v>
      </c>
      <c r="T45" s="2">
        <v>46</v>
      </c>
      <c r="U45" s="49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1">SUM(B39:B45)</f>
        <v>17.307500000000001</v>
      </c>
      <c r="C46" s="22">
        <f t="shared" si="31"/>
        <v>36.420999999999999</v>
      </c>
      <c r="D46" s="22">
        <f t="shared" si="31"/>
        <v>85.183000000000007</v>
      </c>
      <c r="E46" s="22">
        <f t="shared" si="31"/>
        <v>135.29949999999999</v>
      </c>
      <c r="F46" s="22">
        <f t="shared" si="31"/>
        <v>89.998999999999995</v>
      </c>
      <c r="G46" s="22">
        <f t="shared" si="31"/>
        <v>88.795000000000002</v>
      </c>
      <c r="H46" s="136">
        <f t="shared" si="25"/>
        <v>453.00500000000005</v>
      </c>
      <c r="I46" s="49"/>
      <c r="J46" s="49"/>
      <c r="K46" s="49"/>
      <c r="M46" s="80" t="s">
        <v>9</v>
      </c>
      <c r="N46" s="62">
        <f>SUM(N39:N45)</f>
        <v>141.32999999999998</v>
      </c>
      <c r="O46" s="22">
        <f>SUM(O39:O45)</f>
        <v>140.49</v>
      </c>
      <c r="P46" s="22">
        <f>SUM(P39:P45)</f>
        <v>141.54</v>
      </c>
      <c r="Q46" s="22">
        <f>SUM(Q39:Q45)</f>
        <v>141.32999999999998</v>
      </c>
      <c r="R46" s="22"/>
      <c r="S46" s="77">
        <f t="shared" si="26"/>
        <v>564.69000000000005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37">
        <f>+((H46/H48)/7)*1000</f>
        <v>21.5</v>
      </c>
      <c r="I47" s="109"/>
      <c r="J47" s="109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/>
      <c r="S47" s="78">
        <f>+((S46/S48)/7)*1000</f>
        <v>30.000000000000004</v>
      </c>
      <c r="T47" s="50"/>
      <c r="U47" s="50"/>
    </row>
    <row r="48" spans="1:32" ht="33.75" customHeight="1" x14ac:dyDescent="0.25">
      <c r="A48" s="71" t="s">
        <v>12</v>
      </c>
      <c r="B48" s="26">
        <v>115</v>
      </c>
      <c r="C48" s="27">
        <v>242</v>
      </c>
      <c r="D48" s="27">
        <v>566</v>
      </c>
      <c r="E48" s="27">
        <v>899</v>
      </c>
      <c r="F48" s="27">
        <v>598</v>
      </c>
      <c r="G48" s="28">
        <v>590</v>
      </c>
      <c r="H48" s="138">
        <f>SUM(B48:G48)</f>
        <v>3010</v>
      </c>
      <c r="I48" s="110"/>
      <c r="J48" s="110"/>
      <c r="K48" s="49"/>
      <c r="L48" s="51"/>
      <c r="M48" s="71" t="s">
        <v>12</v>
      </c>
      <c r="N48" s="79">
        <v>673</v>
      </c>
      <c r="O48" s="79">
        <v>669</v>
      </c>
      <c r="P48" s="79">
        <v>674</v>
      </c>
      <c r="Q48" s="79">
        <v>673</v>
      </c>
      <c r="R48" s="79"/>
      <c r="S48" s="82">
        <f>SUM(N48:Q48)</f>
        <v>2689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2">(B48*B47)/1000</f>
        <v>2.4264999999999999</v>
      </c>
      <c r="C49" s="31">
        <f t="shared" si="32"/>
        <v>5.1062000000000003</v>
      </c>
      <c r="D49" s="31">
        <f t="shared" si="32"/>
        <v>11.942600000000001</v>
      </c>
      <c r="E49" s="31">
        <f t="shared" si="32"/>
        <v>18.968900000000001</v>
      </c>
      <c r="F49" s="31">
        <f t="shared" si="32"/>
        <v>12.617800000000001</v>
      </c>
      <c r="G49" s="31">
        <f t="shared" si="32"/>
        <v>12.449</v>
      </c>
      <c r="H49" s="139">
        <f>((H46*1000)/H48)/7</f>
        <v>21.500000000000004</v>
      </c>
      <c r="I49" s="111"/>
      <c r="J49" s="111"/>
      <c r="K49" s="49"/>
      <c r="M49" s="72" t="s">
        <v>13</v>
      </c>
      <c r="N49" s="65">
        <f>(N48*N47)/1000</f>
        <v>20.190000000000001</v>
      </c>
      <c r="O49" s="31">
        <f>(O48*O47)/1000</f>
        <v>20.07</v>
      </c>
      <c r="P49" s="31">
        <f>(P48*P47)/1000</f>
        <v>20.22</v>
      </c>
      <c r="Q49" s="31">
        <f>(Q48*Q47)/1000</f>
        <v>20.190000000000001</v>
      </c>
      <c r="R49" s="31"/>
      <c r="S49" s="83">
        <f>((S46*1000)/S48)/7</f>
        <v>30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3">((B48*B47)*7)/1000</f>
        <v>16.985499999999998</v>
      </c>
      <c r="C50" s="35">
        <f t="shared" si="33"/>
        <v>35.743400000000008</v>
      </c>
      <c r="D50" s="35">
        <f t="shared" si="33"/>
        <v>83.598199999999991</v>
      </c>
      <c r="E50" s="35">
        <f t="shared" si="33"/>
        <v>132.78230000000002</v>
      </c>
      <c r="F50" s="35">
        <f t="shared" si="33"/>
        <v>88.324600000000004</v>
      </c>
      <c r="G50" s="35">
        <f t="shared" si="33"/>
        <v>87.143000000000001</v>
      </c>
      <c r="H50" s="112"/>
      <c r="I50" s="41"/>
      <c r="J50" s="41"/>
      <c r="K50" s="49"/>
      <c r="M50" s="73" t="s">
        <v>14</v>
      </c>
      <c r="N50" s="66">
        <f>((N48*N47)*7)/1000</f>
        <v>141.33000000000001</v>
      </c>
      <c r="O50" s="35">
        <f>((O48*O47)*7)/1000</f>
        <v>140.49</v>
      </c>
      <c r="P50" s="35">
        <f>((P48*P47)*7)/1000</f>
        <v>141.54</v>
      </c>
      <c r="Q50" s="35">
        <f>((Q48*Q47)*7)/1000</f>
        <v>141.33000000000001</v>
      </c>
      <c r="R50" s="35"/>
      <c r="S50" s="84"/>
    </row>
    <row r="51" spans="1:32" ht="33.75" customHeight="1" thickBot="1" x14ac:dyDescent="0.3">
      <c r="A51" s="74" t="s">
        <v>15</v>
      </c>
      <c r="B51" s="37">
        <f t="shared" ref="B51:G51" si="34">+(B46/B48)/7*1000</f>
        <v>21.5</v>
      </c>
      <c r="C51" s="38">
        <f t="shared" si="34"/>
        <v>21.5</v>
      </c>
      <c r="D51" s="38">
        <f t="shared" si="34"/>
        <v>21.5</v>
      </c>
      <c r="E51" s="38">
        <f t="shared" si="34"/>
        <v>21.5</v>
      </c>
      <c r="F51" s="38">
        <f t="shared" si="34"/>
        <v>21.5</v>
      </c>
      <c r="G51" s="38">
        <f t="shared" si="34"/>
        <v>21.5</v>
      </c>
      <c r="H51" s="140"/>
      <c r="I51" s="41"/>
      <c r="J51" s="41"/>
      <c r="K51" s="49"/>
      <c r="L51" s="41"/>
      <c r="M51" s="74" t="s">
        <v>15</v>
      </c>
      <c r="N51" s="67">
        <f>+(N46/N48)/7*1000</f>
        <v>29.999999999999996</v>
      </c>
      <c r="O51" s="38">
        <f>+(O46/O48)/7*1000</f>
        <v>30.000000000000004</v>
      </c>
      <c r="P51" s="38">
        <f>+(P46/P48)/7*1000</f>
        <v>30</v>
      </c>
      <c r="Q51" s="38">
        <f>+(Q46/Q48)/7*1000</f>
        <v>29.999999999999996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58"/>
      <c r="M54" s="958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56" t="s">
        <v>30</v>
      </c>
      <c r="C55" s="956"/>
      <c r="D55" s="956"/>
      <c r="E55" s="956"/>
      <c r="F55" s="957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24</v>
      </c>
      <c r="B58" s="61">
        <f>(($B$67*K58)/1000)</f>
        <v>10.32</v>
      </c>
      <c r="C58" s="61">
        <f>(($C$67*K58)/1000)</f>
        <v>10.275</v>
      </c>
      <c r="D58" s="61">
        <f t="shared" ref="D58:D64" si="35">(($D$67*K58)/1000)</f>
        <v>10.23</v>
      </c>
      <c r="E58" s="61">
        <f>(($E$67*K58)/1000)</f>
        <v>10.26</v>
      </c>
      <c r="F58" s="61"/>
      <c r="G58" s="77">
        <f t="shared" ref="G58:G65" si="36">SUM(B58:F58)</f>
        <v>41.085000000000001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20</v>
      </c>
      <c r="B59" s="61">
        <f t="shared" ref="B59:B64" si="37">(($B$67*K59)/1000)</f>
        <v>12.384</v>
      </c>
      <c r="C59" s="61">
        <f t="shared" ref="C59:C64" si="38">(($C$67*K59)/1000)</f>
        <v>12.33</v>
      </c>
      <c r="D59" s="61">
        <f t="shared" si="35"/>
        <v>12.276</v>
      </c>
      <c r="E59" s="61">
        <f t="shared" ref="E59:E64" si="39">(($E$67*K59)/1000)</f>
        <v>12.311999999999999</v>
      </c>
      <c r="F59" s="61"/>
      <c r="G59" s="77">
        <f t="shared" si="36"/>
        <v>49.301999999999992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28</v>
      </c>
      <c r="B60" s="61">
        <f>(($B$67*K60)/1000)</f>
        <v>15.824</v>
      </c>
      <c r="C60" s="61">
        <f t="shared" si="38"/>
        <v>15.755000000000001</v>
      </c>
      <c r="D60" s="61">
        <f t="shared" si="35"/>
        <v>15.686</v>
      </c>
      <c r="E60" s="61">
        <f t="shared" si="39"/>
        <v>15.731999999999999</v>
      </c>
      <c r="F60" s="19"/>
      <c r="G60" s="77">
        <f t="shared" si="36"/>
        <v>62.997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21</v>
      </c>
      <c r="B61" s="61">
        <f t="shared" si="37"/>
        <v>19.952000000000002</v>
      </c>
      <c r="C61" s="61">
        <f t="shared" si="38"/>
        <v>19.864999999999998</v>
      </c>
      <c r="D61" s="61">
        <f t="shared" si="35"/>
        <v>19.777999999999999</v>
      </c>
      <c r="E61" s="61">
        <f t="shared" si="39"/>
        <v>19.835999999999999</v>
      </c>
      <c r="F61" s="61"/>
      <c r="G61" s="77">
        <f t="shared" si="36"/>
        <v>79.430999999999997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22</v>
      </c>
      <c r="B62" s="61">
        <f t="shared" si="37"/>
        <v>24.768000000000001</v>
      </c>
      <c r="C62" s="61">
        <f t="shared" si="38"/>
        <v>24.66</v>
      </c>
      <c r="D62" s="61">
        <f t="shared" si="35"/>
        <v>24.552</v>
      </c>
      <c r="E62" s="61">
        <f t="shared" si="39"/>
        <v>24.623999999999999</v>
      </c>
      <c r="F62" s="61"/>
      <c r="G62" s="77">
        <f t="shared" si="36"/>
        <v>98.603999999999985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23</v>
      </c>
      <c r="B63" s="61">
        <f t="shared" si="37"/>
        <v>29.584</v>
      </c>
      <c r="C63" s="61">
        <f t="shared" si="38"/>
        <v>29.454999999999998</v>
      </c>
      <c r="D63" s="61">
        <f t="shared" si="35"/>
        <v>29.326000000000001</v>
      </c>
      <c r="E63" s="61">
        <f t="shared" si="39"/>
        <v>29.411999999999999</v>
      </c>
      <c r="F63" s="61"/>
      <c r="G63" s="77">
        <f t="shared" si="36"/>
        <v>117.77700000000002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32</v>
      </c>
      <c r="B64" s="61">
        <f t="shared" si="37"/>
        <v>31.648</v>
      </c>
      <c r="C64" s="61">
        <f t="shared" si="38"/>
        <v>31.51</v>
      </c>
      <c r="D64" s="61">
        <f t="shared" si="35"/>
        <v>31.372</v>
      </c>
      <c r="E64" s="61">
        <f t="shared" si="39"/>
        <v>31.463999999999999</v>
      </c>
      <c r="F64" s="61"/>
      <c r="G64" s="77">
        <f t="shared" si="36"/>
        <v>125.994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144.48000000000002</v>
      </c>
      <c r="C65" s="22">
        <f>SUM(C58:C64)</f>
        <v>143.85</v>
      </c>
      <c r="D65" s="22">
        <f>SUM(D58:D64)</f>
        <v>143.21999999999997</v>
      </c>
      <c r="E65" s="22">
        <f>SUM(E58:E64)</f>
        <v>143.63999999999999</v>
      </c>
      <c r="F65" s="22"/>
      <c r="G65" s="77">
        <f t="shared" si="36"/>
        <v>575.19000000000005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688</v>
      </c>
      <c r="C67" s="79">
        <v>685</v>
      </c>
      <c r="D67" s="79">
        <v>682</v>
      </c>
      <c r="E67" s="79">
        <v>684</v>
      </c>
      <c r="F67" s="79"/>
      <c r="G67" s="82">
        <f>SUM(B67:F67)</f>
        <v>2739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20.64</v>
      </c>
      <c r="C68" s="31">
        <f>(C67*C66)/1000</f>
        <v>20.55</v>
      </c>
      <c r="D68" s="31">
        <f>(D67*D66)/1000</f>
        <v>20.46</v>
      </c>
      <c r="E68" s="31">
        <f>(E67*E66)/1000</f>
        <v>20.52</v>
      </c>
      <c r="F68" s="31"/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144.47999999999999</v>
      </c>
      <c r="C69" s="35">
        <f>((C67*C66)*7)/1000</f>
        <v>143.85</v>
      </c>
      <c r="D69" s="35">
        <f>((D67*D66)*7)/1000</f>
        <v>143.22</v>
      </c>
      <c r="E69" s="35">
        <f>((E67*E66)*7)/1000</f>
        <v>143.63999999999999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30.000000000000004</v>
      </c>
      <c r="C70" s="38">
        <f>+(C65/C67)/7*1000</f>
        <v>30</v>
      </c>
      <c r="D70" s="38">
        <f>+(D65/D67)/7*1000</f>
        <v>29.999999999999996</v>
      </c>
      <c r="E70" s="38">
        <f>+(E65/E67)/7*1000</f>
        <v>30</v>
      </c>
      <c r="F70" s="38"/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55:F55"/>
    <mergeCell ref="L54:M54"/>
    <mergeCell ref="N36:R36"/>
    <mergeCell ref="A3:C3"/>
    <mergeCell ref="E9:G9"/>
    <mergeCell ref="K37:L37"/>
    <mergeCell ref="P15:U15"/>
    <mergeCell ref="K15:O15"/>
    <mergeCell ref="T9:U9"/>
    <mergeCell ref="M11:N11"/>
    <mergeCell ref="B36:G36"/>
    <mergeCell ref="B15:J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workbookViewId="0"/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60" t="s">
        <v>35</v>
      </c>
      <c r="U9" s="96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965" t="s">
        <v>54</v>
      </c>
      <c r="N11" s="965"/>
      <c r="O11" s="6"/>
      <c r="P11" s="6"/>
      <c r="Q11" s="1"/>
      <c r="R11" s="1"/>
      <c r="S11" s="1" t="s">
        <v>6</v>
      </c>
      <c r="T11" s="95">
        <v>45343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68" t="s">
        <v>8</v>
      </c>
      <c r="C15" s="968"/>
      <c r="D15" s="968"/>
      <c r="E15" s="968"/>
      <c r="F15" s="968"/>
      <c r="G15" s="968"/>
      <c r="H15" s="968"/>
      <c r="I15" s="968"/>
      <c r="J15" s="969"/>
      <c r="K15" s="962" t="s">
        <v>29</v>
      </c>
      <c r="L15" s="963"/>
      <c r="M15" s="963"/>
      <c r="N15" s="963"/>
      <c r="O15" s="964"/>
      <c r="P15" s="962" t="s">
        <v>31</v>
      </c>
      <c r="Q15" s="963"/>
      <c r="R15" s="963"/>
      <c r="S15" s="963"/>
      <c r="T15" s="963"/>
      <c r="U15" s="964"/>
      <c r="V15" s="9"/>
    </row>
    <row r="16" spans="1:32" ht="39.950000000000003" customHeight="1" x14ac:dyDescent="0.25">
      <c r="A16" s="80" t="s">
        <v>34</v>
      </c>
      <c r="B16" s="115"/>
      <c r="C16" s="113"/>
      <c r="D16" s="114"/>
      <c r="E16" s="113"/>
      <c r="F16" s="113"/>
      <c r="G16" s="113"/>
      <c r="H16" s="114"/>
      <c r="I16" s="114"/>
      <c r="J16" s="116"/>
      <c r="K16" s="117"/>
      <c r="L16" s="118"/>
      <c r="M16" s="118"/>
      <c r="N16" s="118"/>
      <c r="O16" s="121"/>
      <c r="P16" s="117"/>
      <c r="Q16" s="118"/>
      <c r="R16" s="118"/>
      <c r="S16" s="118"/>
      <c r="T16" s="118"/>
      <c r="U16" s="119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7">
        <v>9</v>
      </c>
      <c r="K17" s="11">
        <v>1</v>
      </c>
      <c r="L17" s="16">
        <v>2</v>
      </c>
      <c r="M17" s="16">
        <v>3</v>
      </c>
      <c r="N17" s="16">
        <v>4</v>
      </c>
      <c r="O17" s="107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53</v>
      </c>
      <c r="B18" s="61">
        <f>(($B$27*$B$26)/1000)</f>
        <v>7.1609999999999996</v>
      </c>
      <c r="C18" s="19">
        <f>(($C$27*$C$26)/1000)</f>
        <v>10.400499999999999</v>
      </c>
      <c r="D18" s="19">
        <f>(($D$27*$D$26)/1000)</f>
        <v>23.52</v>
      </c>
      <c r="E18" s="19">
        <f>(($E$27*$E$26)/1000)</f>
        <v>23.364000000000001</v>
      </c>
      <c r="F18" s="19">
        <f>(($F$27*$F$26)/1000)</f>
        <v>20.155000000000001</v>
      </c>
      <c r="G18" s="19">
        <f>(($G$27*$G$26)/1000)</f>
        <v>18.724499999999999</v>
      </c>
      <c r="H18" s="19">
        <f>(($H$27*$H$26)/1000)</f>
        <v>12.454499999999999</v>
      </c>
      <c r="I18" s="19">
        <f>(($I$27*$I$26)/1000)</f>
        <v>11.48</v>
      </c>
      <c r="J18" s="19">
        <f>(($J$27*$J$26)/1000)</f>
        <v>7.056</v>
      </c>
      <c r="K18" s="19">
        <f>(($K$27*$K$26)/1000)</f>
        <v>5.0839999999999996</v>
      </c>
      <c r="L18" s="19">
        <f>(($L$27*$L$26)/1000)</f>
        <v>12.66</v>
      </c>
      <c r="M18" s="19">
        <f>(($M$27*$M$26)/1000)</f>
        <v>20.821999999999999</v>
      </c>
      <c r="N18" s="19">
        <f>(($N$27*$N$26)/1000)</f>
        <v>24.709499999999998</v>
      </c>
      <c r="O18" s="19">
        <f>(($O$27*$O$26)/1000)</f>
        <v>15.568</v>
      </c>
      <c r="P18" s="19">
        <f>(($P$27*$P$26)/1000)</f>
        <v>3.6269999999999998</v>
      </c>
      <c r="Q18" s="19">
        <f>(($Q$27*$Q$26)/1000)</f>
        <v>10.47</v>
      </c>
      <c r="R18" s="19">
        <f>(($R$27*$R$26)/1000)</f>
        <v>24.484999999999999</v>
      </c>
      <c r="S18" s="19">
        <f>(($S$27*$S$26)/1000)</f>
        <v>26.911999999999999</v>
      </c>
      <c r="T18" s="19">
        <f>(($T$27*$T$26)/1000)</f>
        <v>12.18</v>
      </c>
      <c r="U18" s="20"/>
      <c r="V18" s="98">
        <f>SUM(B18:U18)</f>
        <v>290.83299999999997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7.1609999999999996</v>
      </c>
      <c r="C19" s="19">
        <f t="shared" ref="C19:C24" si="1">(($C$27*$C$26)/1000)</f>
        <v>10.400499999999999</v>
      </c>
      <c r="D19" s="19">
        <f t="shared" ref="D19:D24" si="2">(($D$27*$D$26)/1000)</f>
        <v>23.52</v>
      </c>
      <c r="E19" s="19">
        <f t="shared" ref="E19:E24" si="3">(($E$27*$E$26)/1000)</f>
        <v>23.364000000000001</v>
      </c>
      <c r="F19" s="19">
        <f t="shared" ref="F19:F24" si="4">(($F$27*$F$26)/1000)</f>
        <v>20.155000000000001</v>
      </c>
      <c r="G19" s="19">
        <f t="shared" ref="G19:G24" si="5">(($G$27*$G$26)/1000)</f>
        <v>18.724499999999999</v>
      </c>
      <c r="H19" s="19">
        <f t="shared" ref="H19:H24" si="6">(($H$27*$H$26)/1000)</f>
        <v>12.454499999999999</v>
      </c>
      <c r="I19" s="19">
        <f t="shared" ref="I19:I24" si="7">(($I$27*$I$26)/1000)</f>
        <v>11.48</v>
      </c>
      <c r="J19" s="19">
        <f t="shared" ref="J19:J24" si="8">(($J$27*$J$26)/1000)</f>
        <v>7.056</v>
      </c>
      <c r="K19" s="19">
        <f t="shared" ref="K19:K24" si="9">(($K$27*$K$26)/1000)</f>
        <v>5.0839999999999996</v>
      </c>
      <c r="L19" s="19">
        <f t="shared" ref="L19:L24" si="10">(($L$27*$L$26)/1000)</f>
        <v>12.66</v>
      </c>
      <c r="M19" s="19">
        <f t="shared" ref="M19:M24" si="11">(($M$27*$M$26)/1000)</f>
        <v>20.821999999999999</v>
      </c>
      <c r="N19" s="19">
        <f t="shared" ref="N19:N24" si="12">(($N$27*$N$26)/1000)</f>
        <v>24.709499999999998</v>
      </c>
      <c r="O19" s="19">
        <f t="shared" ref="O19:O24" si="13">(($O$27*$O$26)/1000)</f>
        <v>15.568</v>
      </c>
      <c r="P19" s="19">
        <f t="shared" ref="P19:P24" si="14">(($P$27*$P$26)/1000)</f>
        <v>3.6269999999999998</v>
      </c>
      <c r="Q19" s="19">
        <f t="shared" ref="Q19:Q24" si="15">(($Q$27*$Q$26)/1000)</f>
        <v>10.47</v>
      </c>
      <c r="R19" s="19">
        <f t="shared" ref="R19:R24" si="16">(($R$27*$R$26)/1000)</f>
        <v>24.484999999999999</v>
      </c>
      <c r="S19" s="19">
        <f t="shared" ref="S19:S24" si="17">(($S$27*$S$26)/1000)</f>
        <v>26.911999999999999</v>
      </c>
      <c r="T19" s="19">
        <f t="shared" ref="T19:T24" si="18">(($T$27*$T$26)/1000)</f>
        <v>12.18</v>
      </c>
      <c r="U19" s="20"/>
      <c r="V19" s="98">
        <f>SUM(B19:U19)</f>
        <v>290.83299999999997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7.1609999999999996</v>
      </c>
      <c r="C20" s="19">
        <f t="shared" si="1"/>
        <v>10.400499999999999</v>
      </c>
      <c r="D20" s="19">
        <f t="shared" si="2"/>
        <v>23.52</v>
      </c>
      <c r="E20" s="19">
        <f t="shared" si="3"/>
        <v>23.364000000000001</v>
      </c>
      <c r="F20" s="19">
        <f t="shared" si="4"/>
        <v>20.155000000000001</v>
      </c>
      <c r="G20" s="19">
        <f t="shared" si="5"/>
        <v>18.724499999999999</v>
      </c>
      <c r="H20" s="19">
        <f t="shared" si="6"/>
        <v>12.454499999999999</v>
      </c>
      <c r="I20" s="19">
        <f t="shared" si="7"/>
        <v>11.48</v>
      </c>
      <c r="J20" s="19">
        <f t="shared" si="8"/>
        <v>7.056</v>
      </c>
      <c r="K20" s="19">
        <f t="shared" si="9"/>
        <v>5.0839999999999996</v>
      </c>
      <c r="L20" s="19">
        <f t="shared" si="10"/>
        <v>12.66</v>
      </c>
      <c r="M20" s="19">
        <f t="shared" si="11"/>
        <v>20.821999999999999</v>
      </c>
      <c r="N20" s="19">
        <f t="shared" si="12"/>
        <v>24.709499999999998</v>
      </c>
      <c r="O20" s="19">
        <f t="shared" si="13"/>
        <v>15.568</v>
      </c>
      <c r="P20" s="19">
        <f t="shared" si="14"/>
        <v>3.6269999999999998</v>
      </c>
      <c r="Q20" s="19">
        <f t="shared" si="15"/>
        <v>10.47</v>
      </c>
      <c r="R20" s="19">
        <f t="shared" si="16"/>
        <v>24.484999999999999</v>
      </c>
      <c r="S20" s="19">
        <f t="shared" si="17"/>
        <v>26.911999999999999</v>
      </c>
      <c r="T20" s="19">
        <f t="shared" si="18"/>
        <v>12.18</v>
      </c>
      <c r="U20" s="20"/>
      <c r="V20" s="98">
        <f>SUM(B20:U20)</f>
        <v>290.83299999999997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7.1609999999999996</v>
      </c>
      <c r="C21" s="19">
        <f t="shared" si="1"/>
        <v>10.400499999999999</v>
      </c>
      <c r="D21" s="19">
        <f t="shared" si="2"/>
        <v>23.52</v>
      </c>
      <c r="E21" s="19">
        <f t="shared" si="3"/>
        <v>23.364000000000001</v>
      </c>
      <c r="F21" s="19">
        <f t="shared" si="4"/>
        <v>20.155000000000001</v>
      </c>
      <c r="G21" s="19">
        <f t="shared" si="5"/>
        <v>18.724499999999999</v>
      </c>
      <c r="H21" s="19">
        <f t="shared" si="6"/>
        <v>12.454499999999999</v>
      </c>
      <c r="I21" s="19">
        <f t="shared" si="7"/>
        <v>11.48</v>
      </c>
      <c r="J21" s="19">
        <f t="shared" si="8"/>
        <v>7.056</v>
      </c>
      <c r="K21" s="19">
        <f t="shared" si="9"/>
        <v>5.0839999999999996</v>
      </c>
      <c r="L21" s="19">
        <f t="shared" si="10"/>
        <v>12.66</v>
      </c>
      <c r="M21" s="19">
        <f t="shared" si="11"/>
        <v>20.821999999999999</v>
      </c>
      <c r="N21" s="19">
        <f t="shared" si="12"/>
        <v>24.709499999999998</v>
      </c>
      <c r="O21" s="19">
        <f t="shared" si="13"/>
        <v>15.568</v>
      </c>
      <c r="P21" s="19">
        <f t="shared" si="14"/>
        <v>3.6269999999999998</v>
      </c>
      <c r="Q21" s="19">
        <f t="shared" si="15"/>
        <v>10.47</v>
      </c>
      <c r="R21" s="19">
        <f t="shared" si="16"/>
        <v>24.484999999999999</v>
      </c>
      <c r="S21" s="19">
        <f t="shared" si="17"/>
        <v>26.911999999999999</v>
      </c>
      <c r="T21" s="19">
        <f t="shared" si="18"/>
        <v>12.18</v>
      </c>
      <c r="U21" s="20"/>
      <c r="V21" s="98">
        <f>SUM(B21:U21)</f>
        <v>290.83299999999997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7.1609999999999996</v>
      </c>
      <c r="C22" s="19">
        <f t="shared" si="1"/>
        <v>10.400499999999999</v>
      </c>
      <c r="D22" s="19">
        <f t="shared" si="2"/>
        <v>23.52</v>
      </c>
      <c r="E22" s="19">
        <f t="shared" si="3"/>
        <v>23.364000000000001</v>
      </c>
      <c r="F22" s="19">
        <f t="shared" si="4"/>
        <v>20.155000000000001</v>
      </c>
      <c r="G22" s="19">
        <f t="shared" si="5"/>
        <v>18.724499999999999</v>
      </c>
      <c r="H22" s="19">
        <f t="shared" si="6"/>
        <v>12.454499999999999</v>
      </c>
      <c r="I22" s="19">
        <f t="shared" si="7"/>
        <v>11.48</v>
      </c>
      <c r="J22" s="19">
        <f t="shared" si="8"/>
        <v>7.056</v>
      </c>
      <c r="K22" s="19">
        <f t="shared" si="9"/>
        <v>5.0839999999999996</v>
      </c>
      <c r="L22" s="19">
        <f t="shared" si="10"/>
        <v>12.66</v>
      </c>
      <c r="M22" s="19">
        <f t="shared" si="11"/>
        <v>20.821999999999999</v>
      </c>
      <c r="N22" s="19">
        <f t="shared" si="12"/>
        <v>24.709499999999998</v>
      </c>
      <c r="O22" s="19">
        <f t="shared" si="13"/>
        <v>15.568</v>
      </c>
      <c r="P22" s="19">
        <f t="shared" si="14"/>
        <v>3.6269999999999998</v>
      </c>
      <c r="Q22" s="19">
        <f t="shared" si="15"/>
        <v>10.47</v>
      </c>
      <c r="R22" s="19">
        <f t="shared" si="16"/>
        <v>24.484999999999999</v>
      </c>
      <c r="S22" s="19">
        <f t="shared" si="17"/>
        <v>26.911999999999999</v>
      </c>
      <c r="T22" s="19">
        <f t="shared" si="18"/>
        <v>12.18</v>
      </c>
      <c r="U22" s="20"/>
      <c r="V22" s="98">
        <f>SUM(B22:T22)</f>
        <v>290.83299999999997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7.1609999999999996</v>
      </c>
      <c r="C23" s="19">
        <f t="shared" si="1"/>
        <v>10.400499999999999</v>
      </c>
      <c r="D23" s="19">
        <f t="shared" si="2"/>
        <v>23.52</v>
      </c>
      <c r="E23" s="19">
        <f t="shared" si="3"/>
        <v>23.364000000000001</v>
      </c>
      <c r="F23" s="19">
        <f t="shared" si="4"/>
        <v>20.155000000000001</v>
      </c>
      <c r="G23" s="19">
        <f t="shared" si="5"/>
        <v>18.724499999999999</v>
      </c>
      <c r="H23" s="19">
        <f t="shared" si="6"/>
        <v>12.454499999999999</v>
      </c>
      <c r="I23" s="19">
        <f t="shared" si="7"/>
        <v>11.48</v>
      </c>
      <c r="J23" s="19">
        <f t="shared" si="8"/>
        <v>7.056</v>
      </c>
      <c r="K23" s="19">
        <f t="shared" si="9"/>
        <v>5.0839999999999996</v>
      </c>
      <c r="L23" s="19">
        <f t="shared" si="10"/>
        <v>12.66</v>
      </c>
      <c r="M23" s="19">
        <f t="shared" si="11"/>
        <v>20.821999999999999</v>
      </c>
      <c r="N23" s="19">
        <f t="shared" si="12"/>
        <v>24.709499999999998</v>
      </c>
      <c r="O23" s="19">
        <f t="shared" si="13"/>
        <v>15.568</v>
      </c>
      <c r="P23" s="19">
        <f t="shared" si="14"/>
        <v>3.6269999999999998</v>
      </c>
      <c r="Q23" s="19">
        <f t="shared" si="15"/>
        <v>10.47</v>
      </c>
      <c r="R23" s="19">
        <f t="shared" si="16"/>
        <v>24.484999999999999</v>
      </c>
      <c r="S23" s="19">
        <f t="shared" si="17"/>
        <v>26.911999999999999</v>
      </c>
      <c r="T23" s="19">
        <f t="shared" si="18"/>
        <v>12.18</v>
      </c>
      <c r="U23" s="20"/>
      <c r="V23" s="98">
        <f>SUM(B23:U23)</f>
        <v>290.83299999999997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7.1609999999999996</v>
      </c>
      <c r="C24" s="19">
        <f t="shared" si="1"/>
        <v>10.400499999999999</v>
      </c>
      <c r="D24" s="19">
        <f t="shared" si="2"/>
        <v>23.52</v>
      </c>
      <c r="E24" s="19">
        <f t="shared" si="3"/>
        <v>23.364000000000001</v>
      </c>
      <c r="F24" s="19">
        <f t="shared" si="4"/>
        <v>20.155000000000001</v>
      </c>
      <c r="G24" s="19">
        <f t="shared" si="5"/>
        <v>18.724499999999999</v>
      </c>
      <c r="H24" s="19">
        <f t="shared" si="6"/>
        <v>12.454499999999999</v>
      </c>
      <c r="I24" s="19">
        <f t="shared" si="7"/>
        <v>11.48</v>
      </c>
      <c r="J24" s="19">
        <f t="shared" si="8"/>
        <v>7.056</v>
      </c>
      <c r="K24" s="19">
        <f t="shared" si="9"/>
        <v>5.0839999999999996</v>
      </c>
      <c r="L24" s="19">
        <f t="shared" si="10"/>
        <v>12.66</v>
      </c>
      <c r="M24" s="19">
        <f t="shared" si="11"/>
        <v>20.821999999999999</v>
      </c>
      <c r="N24" s="19">
        <f t="shared" si="12"/>
        <v>24.709499999999998</v>
      </c>
      <c r="O24" s="19">
        <f t="shared" si="13"/>
        <v>15.568</v>
      </c>
      <c r="P24" s="19">
        <f t="shared" si="14"/>
        <v>3.6269999999999998</v>
      </c>
      <c r="Q24" s="19">
        <f t="shared" si="15"/>
        <v>10.47</v>
      </c>
      <c r="R24" s="19">
        <f t="shared" si="16"/>
        <v>24.484999999999999</v>
      </c>
      <c r="S24" s="19">
        <f t="shared" si="17"/>
        <v>26.911999999999999</v>
      </c>
      <c r="T24" s="19">
        <f t="shared" si="18"/>
        <v>12.18</v>
      </c>
      <c r="U24" s="132"/>
      <c r="V24" s="98">
        <f>SUM(B24:U24)</f>
        <v>290.83299999999997</v>
      </c>
      <c r="X24" s="2"/>
    </row>
    <row r="25" spans="1:32" ht="41.45" customHeight="1" x14ac:dyDescent="0.25">
      <c r="A25" s="126" t="s">
        <v>9</v>
      </c>
      <c r="B25" s="127">
        <f t="shared" ref="B25:I25" si="19">SUM(B18:B24)</f>
        <v>50.127000000000002</v>
      </c>
      <c r="C25" s="128">
        <f t="shared" si="19"/>
        <v>72.8035</v>
      </c>
      <c r="D25" s="128">
        <f t="shared" si="19"/>
        <v>164.64000000000001</v>
      </c>
      <c r="E25" s="128">
        <f t="shared" si="19"/>
        <v>163.548</v>
      </c>
      <c r="F25" s="128">
        <f t="shared" si="19"/>
        <v>141.08500000000001</v>
      </c>
      <c r="G25" s="128">
        <f>SUM(G18:G24)</f>
        <v>131.07150000000001</v>
      </c>
      <c r="H25" s="128">
        <f t="shared" si="19"/>
        <v>87.181499999999986</v>
      </c>
      <c r="I25" s="128">
        <f t="shared" si="19"/>
        <v>80.360000000000014</v>
      </c>
      <c r="J25" s="129">
        <f t="shared" ref="J25:T25" si="20">SUM(J18:J24)</f>
        <v>49.391999999999996</v>
      </c>
      <c r="K25" s="131">
        <f t="shared" si="20"/>
        <v>35.587999999999994</v>
      </c>
      <c r="L25" s="128">
        <f t="shared" si="20"/>
        <v>88.61999999999999</v>
      </c>
      <c r="M25" s="128">
        <f t="shared" si="20"/>
        <v>145.75399999999999</v>
      </c>
      <c r="N25" s="128">
        <f t="shared" si="20"/>
        <v>172.96649999999997</v>
      </c>
      <c r="O25" s="129">
        <f t="shared" si="20"/>
        <v>108.976</v>
      </c>
      <c r="P25" s="133">
        <f t="shared" si="20"/>
        <v>25.388999999999996</v>
      </c>
      <c r="Q25" s="134">
        <f t="shared" si="20"/>
        <v>73.290000000000006</v>
      </c>
      <c r="R25" s="134">
        <f t="shared" si="20"/>
        <v>171.39499999999998</v>
      </c>
      <c r="S25" s="134">
        <f t="shared" si="20"/>
        <v>188.38400000000001</v>
      </c>
      <c r="T25" s="134">
        <f t="shared" si="20"/>
        <v>85.259999999999991</v>
      </c>
      <c r="U25" s="129"/>
      <c r="V25" s="98">
        <f>SUM(B25:U25)</f>
        <v>2035.8309999999997</v>
      </c>
    </row>
    <row r="26" spans="1:32" s="2" customFormat="1" ht="36.75" customHeight="1" x14ac:dyDescent="0.25">
      <c r="A26" s="70" t="s">
        <v>11</v>
      </c>
      <c r="B26" s="63">
        <v>31</v>
      </c>
      <c r="C26" s="63">
        <v>30.5</v>
      </c>
      <c r="D26" s="63">
        <v>30</v>
      </c>
      <c r="E26" s="63">
        <v>29.5</v>
      </c>
      <c r="F26" s="63">
        <v>29</v>
      </c>
      <c r="G26" s="63">
        <v>28.5</v>
      </c>
      <c r="H26" s="63">
        <v>28.5</v>
      </c>
      <c r="I26" s="63">
        <v>28</v>
      </c>
      <c r="J26" s="63">
        <v>28</v>
      </c>
      <c r="K26" s="63">
        <v>31</v>
      </c>
      <c r="L26" s="63">
        <v>30</v>
      </c>
      <c r="M26" s="63">
        <v>29</v>
      </c>
      <c r="N26" s="63">
        <v>28.5</v>
      </c>
      <c r="O26" s="63">
        <v>28</v>
      </c>
      <c r="P26" s="63">
        <v>31</v>
      </c>
      <c r="Q26" s="63">
        <v>30</v>
      </c>
      <c r="R26" s="63">
        <v>29.5</v>
      </c>
      <c r="S26" s="63">
        <v>29</v>
      </c>
      <c r="T26" s="63">
        <v>28</v>
      </c>
      <c r="U26" s="25"/>
      <c r="V26" s="99">
        <f>((V25/V27)/7)*1000</f>
        <v>29.126990485728587</v>
      </c>
    </row>
    <row r="27" spans="1:32" s="2" customFormat="1" ht="33" customHeight="1" x14ac:dyDescent="0.25">
      <c r="A27" s="71" t="s">
        <v>12</v>
      </c>
      <c r="B27" s="64">
        <v>231</v>
      </c>
      <c r="C27" s="27">
        <v>341</v>
      </c>
      <c r="D27" s="27">
        <v>784</v>
      </c>
      <c r="E27" s="27">
        <v>792</v>
      </c>
      <c r="F27" s="27">
        <v>695</v>
      </c>
      <c r="G27" s="27">
        <v>657</v>
      </c>
      <c r="H27" s="27">
        <v>437</v>
      </c>
      <c r="I27" s="27">
        <v>410</v>
      </c>
      <c r="J27" s="28">
        <v>252</v>
      </c>
      <c r="K27" s="26">
        <v>164</v>
      </c>
      <c r="L27" s="27">
        <v>422</v>
      </c>
      <c r="M27" s="27">
        <v>718</v>
      </c>
      <c r="N27" s="27">
        <v>867</v>
      </c>
      <c r="O27" s="28">
        <v>556</v>
      </c>
      <c r="P27" s="26">
        <v>117</v>
      </c>
      <c r="Q27" s="27">
        <v>349</v>
      </c>
      <c r="R27" s="27">
        <v>830</v>
      </c>
      <c r="S27" s="27">
        <v>928</v>
      </c>
      <c r="T27" s="27">
        <v>435</v>
      </c>
      <c r="U27" s="28"/>
      <c r="V27" s="29">
        <f>SUM(B27,C27,D27,E27,F27,G27,H27,I27,J27,K27,L27,M27,N27,O27,P27,Q27,R27,S27,T27)</f>
        <v>9985</v>
      </c>
      <c r="W27" s="2">
        <f>((V25*1000)/V27)/7</f>
        <v>29.126990485728587</v>
      </c>
    </row>
    <row r="28" spans="1:32" s="2" customFormat="1" ht="33" customHeight="1" x14ac:dyDescent="0.25">
      <c r="A28" s="72" t="s">
        <v>13</v>
      </c>
      <c r="B28" s="65">
        <f>(B27*B26)/1000</f>
        <v>7.1609999999999996</v>
      </c>
      <c r="C28" s="31">
        <f>(C27*C26)/1000</f>
        <v>10.400499999999999</v>
      </c>
      <c r="D28" s="31">
        <f>(D27*D26)/1000</f>
        <v>23.52</v>
      </c>
      <c r="E28" s="31">
        <f>(E27*E26)/1000</f>
        <v>23.364000000000001</v>
      </c>
      <c r="F28" s="31">
        <f>(F27*F26)/1000</f>
        <v>20.155000000000001</v>
      </c>
      <c r="G28" s="31">
        <f t="shared" ref="G28:T28" si="21">(G27*G26)/1000</f>
        <v>18.724499999999999</v>
      </c>
      <c r="H28" s="31">
        <f t="shared" si="21"/>
        <v>12.454499999999999</v>
      </c>
      <c r="I28" s="31">
        <f t="shared" si="21"/>
        <v>11.48</v>
      </c>
      <c r="J28" s="32">
        <f t="shared" si="21"/>
        <v>7.056</v>
      </c>
      <c r="K28" s="30">
        <f t="shared" si="21"/>
        <v>5.0839999999999996</v>
      </c>
      <c r="L28" s="31">
        <f t="shared" si="21"/>
        <v>12.66</v>
      </c>
      <c r="M28" s="31">
        <f t="shared" si="21"/>
        <v>20.821999999999999</v>
      </c>
      <c r="N28" s="31">
        <f t="shared" si="21"/>
        <v>24.709499999999998</v>
      </c>
      <c r="O28" s="32">
        <f t="shared" si="21"/>
        <v>15.568</v>
      </c>
      <c r="P28" s="30">
        <f t="shared" si="21"/>
        <v>3.6269999999999998</v>
      </c>
      <c r="Q28" s="31">
        <f t="shared" si="21"/>
        <v>10.47</v>
      </c>
      <c r="R28" s="31">
        <f t="shared" si="21"/>
        <v>24.484999999999999</v>
      </c>
      <c r="S28" s="31">
        <f t="shared" si="21"/>
        <v>26.911999999999999</v>
      </c>
      <c r="T28" s="31">
        <f t="shared" si="21"/>
        <v>12.18</v>
      </c>
      <c r="U28" s="32"/>
      <c r="V28" s="33"/>
    </row>
    <row r="29" spans="1:32" ht="33.75" customHeight="1" x14ac:dyDescent="0.25">
      <c r="A29" s="73" t="s">
        <v>14</v>
      </c>
      <c r="B29" s="66">
        <f t="shared" ref="B29:J29" si="22">((B27*B26)*7)/1000</f>
        <v>50.127000000000002</v>
      </c>
      <c r="C29" s="35">
        <f t="shared" si="22"/>
        <v>72.8035</v>
      </c>
      <c r="D29" s="35">
        <f t="shared" si="22"/>
        <v>164.64</v>
      </c>
      <c r="E29" s="35">
        <f t="shared" si="22"/>
        <v>163.548</v>
      </c>
      <c r="F29" s="35">
        <f t="shared" si="22"/>
        <v>141.08500000000001</v>
      </c>
      <c r="G29" s="35">
        <f t="shared" si="22"/>
        <v>131.07149999999999</v>
      </c>
      <c r="H29" s="35">
        <f t="shared" si="22"/>
        <v>87.1815</v>
      </c>
      <c r="I29" s="35">
        <f t="shared" si="22"/>
        <v>80.36</v>
      </c>
      <c r="J29" s="68">
        <f t="shared" si="22"/>
        <v>49.392000000000003</v>
      </c>
      <c r="K29" s="34">
        <f t="shared" ref="K29:T29" si="23">((K27*K26)*7)/1000</f>
        <v>35.588000000000001</v>
      </c>
      <c r="L29" s="35">
        <f t="shared" si="23"/>
        <v>88.62</v>
      </c>
      <c r="M29" s="35">
        <f t="shared" si="23"/>
        <v>145.75399999999999</v>
      </c>
      <c r="N29" s="35">
        <f t="shared" si="23"/>
        <v>172.9665</v>
      </c>
      <c r="O29" s="68">
        <f t="shared" si="23"/>
        <v>108.976</v>
      </c>
      <c r="P29" s="34">
        <f t="shared" si="23"/>
        <v>25.388999999999999</v>
      </c>
      <c r="Q29" s="35">
        <f t="shared" si="23"/>
        <v>73.290000000000006</v>
      </c>
      <c r="R29" s="35">
        <f t="shared" si="23"/>
        <v>171.39500000000001</v>
      </c>
      <c r="S29" s="35">
        <f t="shared" si="23"/>
        <v>188.38399999999999</v>
      </c>
      <c r="T29" s="35">
        <f t="shared" si="23"/>
        <v>85.26</v>
      </c>
      <c r="U29" s="120"/>
      <c r="V29" s="36"/>
    </row>
    <row r="30" spans="1:32" ht="33.75" customHeight="1" thickBot="1" x14ac:dyDescent="0.3">
      <c r="A30" s="74" t="s">
        <v>15</v>
      </c>
      <c r="B30" s="67">
        <f t="shared" ref="B30:J30" si="24">+(B25/B27)/7*1000</f>
        <v>31</v>
      </c>
      <c r="C30" s="38">
        <f t="shared" si="24"/>
        <v>30.5</v>
      </c>
      <c r="D30" s="38">
        <f t="shared" si="24"/>
        <v>30.000000000000004</v>
      </c>
      <c r="E30" s="38">
        <f t="shared" si="24"/>
        <v>29.5</v>
      </c>
      <c r="F30" s="38">
        <f t="shared" si="24"/>
        <v>29</v>
      </c>
      <c r="G30" s="38">
        <f t="shared" si="24"/>
        <v>28.5</v>
      </c>
      <c r="H30" s="38">
        <f t="shared" si="24"/>
        <v>28.499999999999993</v>
      </c>
      <c r="I30" s="38">
        <f t="shared" si="24"/>
        <v>28.000000000000004</v>
      </c>
      <c r="J30" s="39">
        <f t="shared" si="24"/>
        <v>27.999999999999996</v>
      </c>
      <c r="K30" s="37">
        <f t="shared" ref="K30:T30" si="25">+(K25/K27)/7*1000</f>
        <v>30.999999999999996</v>
      </c>
      <c r="L30" s="38">
        <f t="shared" si="25"/>
        <v>29.999999999999996</v>
      </c>
      <c r="M30" s="38">
        <f t="shared" si="25"/>
        <v>28.999999999999996</v>
      </c>
      <c r="N30" s="38">
        <f t="shared" si="25"/>
        <v>28.499999999999993</v>
      </c>
      <c r="O30" s="39">
        <f t="shared" si="25"/>
        <v>28</v>
      </c>
      <c r="P30" s="37">
        <f t="shared" si="25"/>
        <v>30.999999999999996</v>
      </c>
      <c r="Q30" s="38">
        <f t="shared" si="25"/>
        <v>30.000000000000004</v>
      </c>
      <c r="R30" s="38">
        <f t="shared" si="25"/>
        <v>29.5</v>
      </c>
      <c r="S30" s="38">
        <f t="shared" si="25"/>
        <v>29</v>
      </c>
      <c r="T30" s="38">
        <f t="shared" si="25"/>
        <v>27.999999999999996</v>
      </c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66" t="s">
        <v>17</v>
      </c>
      <c r="C36" s="967"/>
      <c r="D36" s="967"/>
      <c r="E36" s="967"/>
      <c r="F36" s="967"/>
      <c r="G36" s="967"/>
      <c r="H36" s="75"/>
      <c r="L36" s="44"/>
      <c r="M36" s="88" t="s">
        <v>18</v>
      </c>
      <c r="N36" s="956" t="s">
        <v>17</v>
      </c>
      <c r="O36" s="956"/>
      <c r="P36" s="956"/>
      <c r="Q36" s="956"/>
      <c r="R36" s="957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41"/>
      <c r="C37" s="118"/>
      <c r="D37" s="118"/>
      <c r="E37" s="118"/>
      <c r="F37" s="118"/>
      <c r="G37" s="119"/>
      <c r="H37" s="13" t="s">
        <v>9</v>
      </c>
      <c r="I37" s="47"/>
      <c r="J37" s="47"/>
      <c r="K37" s="970"/>
      <c r="L37" s="970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144"/>
      <c r="L38" s="14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3.5074999999999998</v>
      </c>
      <c r="C39" s="61">
        <f>(($C$48*$C$47)/1000)</f>
        <v>7.26</v>
      </c>
      <c r="D39" s="61">
        <f>(($D$48*$D$47)/1000)</f>
        <v>16.696999999999999</v>
      </c>
      <c r="E39" s="61">
        <f>(($E$48*$E$47)/1000)</f>
        <v>26.520499999999998</v>
      </c>
      <c r="F39" s="61">
        <f t="shared" ref="F39:F45" si="26">(($F$48*$F$47)/1000)</f>
        <v>17.341999999999999</v>
      </c>
      <c r="G39" s="94">
        <f>(($G$48*$G$47)/1000)</f>
        <v>17.11</v>
      </c>
      <c r="H39" s="136">
        <f t="shared" ref="H39:H46" si="27">SUM(B39:G39)</f>
        <v>88.436999999999998</v>
      </c>
      <c r="I39" s="49"/>
      <c r="J39" s="49"/>
      <c r="K39" s="144"/>
      <c r="L39" s="145"/>
      <c r="M39" s="96" t="s">
        <v>53</v>
      </c>
      <c r="N39" s="61">
        <f t="shared" ref="N39:N45" si="28">(($N$48*T39)/1000)</f>
        <v>30.957999999999998</v>
      </c>
      <c r="O39" s="61">
        <f>(($O$48*T39)/1000)</f>
        <v>30.774000000000001</v>
      </c>
      <c r="P39" s="61">
        <f>(($P$48*T39)/1000)</f>
        <v>31.004000000000001</v>
      </c>
      <c r="Q39" s="61">
        <f>(($Q$48*T39)/1000)</f>
        <v>30.957999999999998</v>
      </c>
      <c r="R39" s="61"/>
      <c r="S39" s="77">
        <f t="shared" ref="S39:S46" si="29">SUM(N39:R39)</f>
        <v>123.694</v>
      </c>
      <c r="T39" s="2">
        <v>46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30">(($B$48*$B$47)/1000)</f>
        <v>3.5074999999999998</v>
      </c>
      <c r="C40" s="61">
        <f t="shared" ref="C40:C45" si="31">(($C$48*$C$47)/1000)</f>
        <v>7.26</v>
      </c>
      <c r="D40" s="61">
        <f t="shared" ref="D40:D45" si="32">(($D$48*$D$47)/1000)</f>
        <v>16.696999999999999</v>
      </c>
      <c r="E40" s="61">
        <f t="shared" ref="E40:E45" si="33">(($E$48*$E$47)/1000)</f>
        <v>26.520499999999998</v>
      </c>
      <c r="F40" s="61">
        <f t="shared" si="26"/>
        <v>17.341999999999999</v>
      </c>
      <c r="G40" s="94">
        <f t="shared" ref="G40:G45" si="34">(($G$48*$G$47)/1000)</f>
        <v>17.11</v>
      </c>
      <c r="H40" s="136">
        <f t="shared" si="27"/>
        <v>88.436999999999998</v>
      </c>
      <c r="I40" s="49"/>
      <c r="J40" s="49"/>
      <c r="K40" s="144"/>
      <c r="L40" s="145"/>
      <c r="M40" s="96" t="s">
        <v>24</v>
      </c>
      <c r="N40" s="61">
        <f t="shared" si="28"/>
        <v>32.976999999999997</v>
      </c>
      <c r="O40" s="61">
        <f t="shared" ref="O40:O45" si="35">(($O$48*T40)/1000)</f>
        <v>32.780999999999999</v>
      </c>
      <c r="P40" s="61">
        <f t="shared" ref="P40:P45" si="36">(($P$48*T40)/1000)</f>
        <v>33.026000000000003</v>
      </c>
      <c r="Q40" s="61">
        <f t="shared" ref="Q40:Q45" si="37">(($Q$48*T40)/1000)</f>
        <v>32.976999999999997</v>
      </c>
      <c r="R40" s="61"/>
      <c r="S40" s="77">
        <f t="shared" si="29"/>
        <v>131.761</v>
      </c>
      <c r="T40" s="2">
        <v>49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30"/>
        <v>3.5074999999999998</v>
      </c>
      <c r="C41" s="61">
        <f t="shared" si="31"/>
        <v>7.26</v>
      </c>
      <c r="D41" s="61">
        <f t="shared" si="32"/>
        <v>16.696999999999999</v>
      </c>
      <c r="E41" s="61">
        <f t="shared" si="33"/>
        <v>26.520499999999998</v>
      </c>
      <c r="F41" s="61">
        <f t="shared" si="26"/>
        <v>17.341999999999999</v>
      </c>
      <c r="G41" s="94">
        <f t="shared" si="34"/>
        <v>17.11</v>
      </c>
      <c r="H41" s="136">
        <f t="shared" si="27"/>
        <v>88.436999999999998</v>
      </c>
      <c r="I41" s="49"/>
      <c r="J41" s="49"/>
      <c r="K41" s="144"/>
      <c r="L41" s="145"/>
      <c r="M41" s="96" t="s">
        <v>20</v>
      </c>
      <c r="N41" s="61">
        <f t="shared" si="28"/>
        <v>37.015000000000001</v>
      </c>
      <c r="O41" s="61">
        <f t="shared" si="35"/>
        <v>36.795000000000002</v>
      </c>
      <c r="P41" s="61">
        <f t="shared" si="36"/>
        <v>37.07</v>
      </c>
      <c r="Q41" s="61">
        <f t="shared" si="37"/>
        <v>37.015000000000001</v>
      </c>
      <c r="R41" s="19"/>
      <c r="S41" s="77">
        <f t="shared" si="29"/>
        <v>147.89499999999998</v>
      </c>
      <c r="T41" s="2">
        <v>55</v>
      </c>
      <c r="U41" s="49"/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30"/>
        <v>3.5074999999999998</v>
      </c>
      <c r="C42" s="61">
        <f t="shared" si="31"/>
        <v>7.26</v>
      </c>
      <c r="D42" s="61">
        <f t="shared" si="32"/>
        <v>16.696999999999999</v>
      </c>
      <c r="E42" s="61">
        <f t="shared" si="33"/>
        <v>26.520499999999998</v>
      </c>
      <c r="F42" s="61">
        <f t="shared" si="26"/>
        <v>17.341999999999999</v>
      </c>
      <c r="G42" s="94">
        <f t="shared" si="34"/>
        <v>17.11</v>
      </c>
      <c r="H42" s="136">
        <f t="shared" si="27"/>
        <v>88.436999999999998</v>
      </c>
      <c r="I42" s="49"/>
      <c r="J42" s="49"/>
      <c r="K42" s="144"/>
      <c r="L42" s="145"/>
      <c r="M42" s="96" t="s">
        <v>28</v>
      </c>
      <c r="N42" s="61">
        <f t="shared" si="28"/>
        <v>40.380000000000003</v>
      </c>
      <c r="O42" s="61">
        <f t="shared" si="35"/>
        <v>40.14</v>
      </c>
      <c r="P42" s="61">
        <f t="shared" si="36"/>
        <v>40.44</v>
      </c>
      <c r="Q42" s="61">
        <f t="shared" si="37"/>
        <v>40.380000000000003</v>
      </c>
      <c r="R42" s="61"/>
      <c r="S42" s="77">
        <f t="shared" si="29"/>
        <v>161.34</v>
      </c>
      <c r="T42" s="2">
        <v>60</v>
      </c>
      <c r="U42" s="49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30"/>
        <v>3.5074999999999998</v>
      </c>
      <c r="C43" s="61">
        <f t="shared" si="31"/>
        <v>7.26</v>
      </c>
      <c r="D43" s="61">
        <f t="shared" si="32"/>
        <v>16.696999999999999</v>
      </c>
      <c r="E43" s="61">
        <f t="shared" si="33"/>
        <v>26.520499999999998</v>
      </c>
      <c r="F43" s="61">
        <f t="shared" si="26"/>
        <v>17.341999999999999</v>
      </c>
      <c r="G43" s="94">
        <f t="shared" si="34"/>
        <v>17.11</v>
      </c>
      <c r="H43" s="136">
        <f t="shared" si="27"/>
        <v>88.436999999999998</v>
      </c>
      <c r="I43" s="49"/>
      <c r="J43" s="49"/>
      <c r="K43" s="144"/>
      <c r="L43" s="145"/>
      <c r="M43" s="96" t="s">
        <v>21</v>
      </c>
      <c r="N43" s="61">
        <f t="shared" si="28"/>
        <v>43.744999999999997</v>
      </c>
      <c r="O43" s="61">
        <f t="shared" si="35"/>
        <v>43.484999999999999</v>
      </c>
      <c r="P43" s="61">
        <f t="shared" si="36"/>
        <v>43.81</v>
      </c>
      <c r="Q43" s="61">
        <f t="shared" si="37"/>
        <v>43.744999999999997</v>
      </c>
      <c r="R43" s="61"/>
      <c r="S43" s="77">
        <f t="shared" si="29"/>
        <v>174.785</v>
      </c>
      <c r="T43" s="2">
        <v>65</v>
      </c>
      <c r="U43" s="49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30"/>
        <v>3.5074999999999998</v>
      </c>
      <c r="C44" s="61">
        <f t="shared" si="31"/>
        <v>7.26</v>
      </c>
      <c r="D44" s="61">
        <f t="shared" si="32"/>
        <v>16.696999999999999</v>
      </c>
      <c r="E44" s="61">
        <f t="shared" si="33"/>
        <v>26.520499999999998</v>
      </c>
      <c r="F44" s="61">
        <f t="shared" si="26"/>
        <v>17.341999999999999</v>
      </c>
      <c r="G44" s="94">
        <f t="shared" si="34"/>
        <v>17.11</v>
      </c>
      <c r="H44" s="136">
        <f t="shared" si="27"/>
        <v>88.436999999999998</v>
      </c>
      <c r="I44" s="49"/>
      <c r="J44" s="49"/>
      <c r="K44" s="144"/>
      <c r="L44" s="145"/>
      <c r="M44" s="96" t="s">
        <v>22</v>
      </c>
      <c r="N44" s="61">
        <f t="shared" si="28"/>
        <v>47.11</v>
      </c>
      <c r="O44" s="61">
        <f t="shared" si="35"/>
        <v>46.83</v>
      </c>
      <c r="P44" s="61">
        <f t="shared" si="36"/>
        <v>47.18</v>
      </c>
      <c r="Q44" s="61">
        <f t="shared" si="37"/>
        <v>47.11</v>
      </c>
      <c r="R44" s="61"/>
      <c r="S44" s="77">
        <f t="shared" si="29"/>
        <v>188.23000000000002</v>
      </c>
      <c r="T44" s="2">
        <v>70</v>
      </c>
      <c r="U44" s="49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30"/>
        <v>3.5074999999999998</v>
      </c>
      <c r="C45" s="61">
        <f t="shared" si="31"/>
        <v>7.26</v>
      </c>
      <c r="D45" s="61">
        <f t="shared" si="32"/>
        <v>16.696999999999999</v>
      </c>
      <c r="E45" s="61">
        <f t="shared" si="33"/>
        <v>26.520499999999998</v>
      </c>
      <c r="F45" s="61">
        <f t="shared" si="26"/>
        <v>17.341999999999999</v>
      </c>
      <c r="G45" s="94">
        <f t="shared" si="34"/>
        <v>17.11</v>
      </c>
      <c r="H45" s="136">
        <f t="shared" si="27"/>
        <v>88.436999999999998</v>
      </c>
      <c r="I45" s="49"/>
      <c r="J45" s="49"/>
      <c r="K45" s="144"/>
      <c r="L45" s="145"/>
      <c r="M45" s="96" t="s">
        <v>23</v>
      </c>
      <c r="N45" s="61">
        <f t="shared" si="28"/>
        <v>50.475000000000001</v>
      </c>
      <c r="O45" s="61">
        <f t="shared" si="35"/>
        <v>50.174999999999997</v>
      </c>
      <c r="P45" s="61">
        <f t="shared" si="36"/>
        <v>50.55</v>
      </c>
      <c r="Q45" s="61">
        <f t="shared" si="37"/>
        <v>50.475000000000001</v>
      </c>
      <c r="R45" s="61"/>
      <c r="S45" s="77">
        <f t="shared" si="29"/>
        <v>201.67499999999998</v>
      </c>
      <c r="T45" s="2">
        <v>75</v>
      </c>
      <c r="U45" s="49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8">SUM(B39:B45)</f>
        <v>24.552499999999998</v>
      </c>
      <c r="C46" s="22">
        <f t="shared" si="38"/>
        <v>50.819999999999993</v>
      </c>
      <c r="D46" s="22">
        <f t="shared" si="38"/>
        <v>116.879</v>
      </c>
      <c r="E46" s="22">
        <f t="shared" si="38"/>
        <v>185.64349999999999</v>
      </c>
      <c r="F46" s="22">
        <f t="shared" si="38"/>
        <v>121.39399999999999</v>
      </c>
      <c r="G46" s="22">
        <f t="shared" si="38"/>
        <v>119.77</v>
      </c>
      <c r="H46" s="136">
        <f t="shared" si="27"/>
        <v>619.05899999999997</v>
      </c>
      <c r="I46" s="49"/>
      <c r="J46" s="49"/>
      <c r="K46" s="49"/>
      <c r="M46" s="80" t="s">
        <v>9</v>
      </c>
      <c r="N46" s="62">
        <f>SUM(N39:N45)</f>
        <v>282.66000000000003</v>
      </c>
      <c r="O46" s="22">
        <f>SUM(O39:O45)</f>
        <v>280.98</v>
      </c>
      <c r="P46" s="22">
        <f>SUM(P39:P45)</f>
        <v>283.08</v>
      </c>
      <c r="Q46" s="22">
        <f>SUM(Q39:Q45)</f>
        <v>282.66000000000003</v>
      </c>
      <c r="R46" s="22"/>
      <c r="S46" s="77">
        <f t="shared" si="29"/>
        <v>1129.3800000000001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30.5</v>
      </c>
      <c r="C47" s="24">
        <v>30</v>
      </c>
      <c r="D47" s="24">
        <v>29.5</v>
      </c>
      <c r="E47" s="24">
        <v>29.5</v>
      </c>
      <c r="F47" s="24">
        <v>29</v>
      </c>
      <c r="G47" s="25">
        <v>29</v>
      </c>
      <c r="H47" s="137">
        <f>+((H46/H48)/7)*1000</f>
        <v>29.381063122923582</v>
      </c>
      <c r="I47" s="109"/>
      <c r="J47" s="109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/>
      <c r="S47" s="78">
        <f>+((S46/S48)/7)*1000</f>
        <v>60.000000000000007</v>
      </c>
      <c r="T47" s="50"/>
      <c r="U47" s="50"/>
    </row>
    <row r="48" spans="1:32" ht="33.75" customHeight="1" x14ac:dyDescent="0.25">
      <c r="A48" s="71" t="s">
        <v>12</v>
      </c>
      <c r="B48" s="26">
        <v>115</v>
      </c>
      <c r="C48" s="27">
        <v>242</v>
      </c>
      <c r="D48" s="27">
        <v>566</v>
      </c>
      <c r="E48" s="27">
        <v>899</v>
      </c>
      <c r="F48" s="27">
        <v>598</v>
      </c>
      <c r="G48" s="28">
        <v>590</v>
      </c>
      <c r="H48" s="138">
        <f>SUM(B48:G48)</f>
        <v>3010</v>
      </c>
      <c r="I48" s="110"/>
      <c r="J48" s="110"/>
      <c r="K48" s="49"/>
      <c r="L48" s="51"/>
      <c r="M48" s="71" t="s">
        <v>12</v>
      </c>
      <c r="N48" s="79">
        <v>673</v>
      </c>
      <c r="O48" s="79">
        <v>669</v>
      </c>
      <c r="P48" s="79">
        <v>674</v>
      </c>
      <c r="Q48" s="79">
        <v>673</v>
      </c>
      <c r="R48" s="79"/>
      <c r="S48" s="82">
        <f>SUM(N48:Q48)</f>
        <v>2689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9">(B48*B47)/1000</f>
        <v>3.5074999999999998</v>
      </c>
      <c r="C49" s="31">
        <f t="shared" si="39"/>
        <v>7.26</v>
      </c>
      <c r="D49" s="31">
        <f t="shared" si="39"/>
        <v>16.696999999999999</v>
      </c>
      <c r="E49" s="31">
        <f t="shared" si="39"/>
        <v>26.520499999999998</v>
      </c>
      <c r="F49" s="31">
        <f t="shared" si="39"/>
        <v>17.341999999999999</v>
      </c>
      <c r="G49" s="31">
        <f t="shared" si="39"/>
        <v>17.11</v>
      </c>
      <c r="H49" s="139">
        <f>((H46*1000)/H48)/7</f>
        <v>29.381063122923589</v>
      </c>
      <c r="I49" s="111"/>
      <c r="J49" s="111"/>
      <c r="K49" s="49"/>
      <c r="M49" s="72" t="s">
        <v>13</v>
      </c>
      <c r="N49" s="65">
        <f>(N48*N47)/1000</f>
        <v>20.190000000000001</v>
      </c>
      <c r="O49" s="31">
        <f>(O48*O47)/1000</f>
        <v>20.07</v>
      </c>
      <c r="P49" s="31">
        <f>(P48*P47)/1000</f>
        <v>20.22</v>
      </c>
      <c r="Q49" s="31">
        <f>(Q48*Q47)/1000</f>
        <v>20.190000000000001</v>
      </c>
      <c r="R49" s="31"/>
      <c r="S49" s="83">
        <f>((S46*1000)/S48)/7</f>
        <v>60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0">((B48*B47)*7)/1000</f>
        <v>24.552499999999998</v>
      </c>
      <c r="C50" s="35">
        <f t="shared" si="40"/>
        <v>50.82</v>
      </c>
      <c r="D50" s="35">
        <f t="shared" si="40"/>
        <v>116.879</v>
      </c>
      <c r="E50" s="35">
        <f t="shared" si="40"/>
        <v>185.64349999999999</v>
      </c>
      <c r="F50" s="35">
        <f t="shared" si="40"/>
        <v>121.39400000000001</v>
      </c>
      <c r="G50" s="35">
        <f t="shared" si="40"/>
        <v>119.77</v>
      </c>
      <c r="H50" s="112"/>
      <c r="I50" s="41"/>
      <c r="J50" s="41"/>
      <c r="K50" s="49"/>
      <c r="M50" s="73" t="s">
        <v>14</v>
      </c>
      <c r="N50" s="66">
        <f>((N48*N47)*7)/1000</f>
        <v>141.33000000000001</v>
      </c>
      <c r="O50" s="35">
        <f>((O48*O47)*7)/1000</f>
        <v>140.49</v>
      </c>
      <c r="P50" s="35">
        <f>((P48*P47)*7)/1000</f>
        <v>141.54</v>
      </c>
      <c r="Q50" s="35">
        <f>((Q48*Q47)*7)/1000</f>
        <v>141.33000000000001</v>
      </c>
      <c r="R50" s="35"/>
      <c r="S50" s="84"/>
    </row>
    <row r="51" spans="1:32" ht="33.75" customHeight="1" thickBot="1" x14ac:dyDescent="0.3">
      <c r="A51" s="74" t="s">
        <v>15</v>
      </c>
      <c r="B51" s="37">
        <f t="shared" ref="B51:G51" si="41">+(B46/B48)/7*1000</f>
        <v>30.5</v>
      </c>
      <c r="C51" s="38">
        <f t="shared" si="41"/>
        <v>29.999999999999996</v>
      </c>
      <c r="D51" s="38">
        <f t="shared" si="41"/>
        <v>29.500000000000004</v>
      </c>
      <c r="E51" s="38">
        <f t="shared" si="41"/>
        <v>29.5</v>
      </c>
      <c r="F51" s="38">
        <f t="shared" si="41"/>
        <v>28.999999999999996</v>
      </c>
      <c r="G51" s="38">
        <f t="shared" si="41"/>
        <v>28.999999999999996</v>
      </c>
      <c r="H51" s="140"/>
      <c r="I51" s="41"/>
      <c r="J51" s="41"/>
      <c r="K51" s="49"/>
      <c r="L51" s="41"/>
      <c r="M51" s="74" t="s">
        <v>15</v>
      </c>
      <c r="N51" s="67">
        <f>+(N46/N48)/7*1000</f>
        <v>60.000000000000007</v>
      </c>
      <c r="O51" s="38">
        <f>+(O46/O48)/7*1000</f>
        <v>60.000000000000007</v>
      </c>
      <c r="P51" s="38">
        <f>+(P46/P48)/7*1000</f>
        <v>60</v>
      </c>
      <c r="Q51" s="38">
        <f>+(Q46/Q48)/7*1000</f>
        <v>60.000000000000007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58"/>
      <c r="M54" s="958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56" t="s">
        <v>30</v>
      </c>
      <c r="C55" s="956"/>
      <c r="D55" s="956"/>
      <c r="E55" s="956"/>
      <c r="F55" s="957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53</v>
      </c>
      <c r="B58" s="61">
        <f>(($B$67*K58)/1000)</f>
        <v>32.241999999999997</v>
      </c>
      <c r="C58" s="61">
        <f>(($C$67*K58)/1000)</f>
        <v>31.654</v>
      </c>
      <c r="D58" s="61">
        <f t="shared" ref="D58:D64" si="42">(($D$67*K58)/1000)</f>
        <v>31.948</v>
      </c>
      <c r="E58" s="61">
        <f>(($E$67*K58)/1000)</f>
        <v>31.899000000000001</v>
      </c>
      <c r="F58" s="61"/>
      <c r="G58" s="77">
        <f t="shared" ref="G58:G65" si="43">SUM(B58:F58)</f>
        <v>127.74299999999999</v>
      </c>
      <c r="H58" s="42"/>
      <c r="I58" s="42"/>
      <c r="J58" s="42"/>
      <c r="K58" s="2">
        <v>49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4">(($B$67*K59)/1000)</f>
        <v>34.874000000000002</v>
      </c>
      <c r="C59" s="61">
        <f t="shared" ref="C59:C64" si="45">(($C$67*K59)/1000)</f>
        <v>34.238</v>
      </c>
      <c r="D59" s="61">
        <f t="shared" si="42"/>
        <v>34.555999999999997</v>
      </c>
      <c r="E59" s="61">
        <f t="shared" ref="E59:E64" si="46">(($E$67*K59)/1000)</f>
        <v>34.503</v>
      </c>
      <c r="F59" s="61"/>
      <c r="G59" s="77">
        <f t="shared" si="43"/>
        <v>138.17099999999999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38.822000000000003</v>
      </c>
      <c r="C60" s="61">
        <f t="shared" si="45"/>
        <v>38.113999999999997</v>
      </c>
      <c r="D60" s="61">
        <f t="shared" si="42"/>
        <v>38.468000000000004</v>
      </c>
      <c r="E60" s="61">
        <f t="shared" si="46"/>
        <v>38.408999999999999</v>
      </c>
      <c r="F60" s="19"/>
      <c r="G60" s="77">
        <f t="shared" si="43"/>
        <v>153.81300000000002</v>
      </c>
      <c r="H60" s="42"/>
      <c r="I60" s="42"/>
      <c r="J60" s="42"/>
      <c r="K60" s="2">
        <v>59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4"/>
        <v>42.77</v>
      </c>
      <c r="C61" s="61">
        <f t="shared" si="45"/>
        <v>41.99</v>
      </c>
      <c r="D61" s="61">
        <f t="shared" si="42"/>
        <v>42.38</v>
      </c>
      <c r="E61" s="61">
        <f t="shared" si="46"/>
        <v>42.314999999999998</v>
      </c>
      <c r="F61" s="61"/>
      <c r="G61" s="77">
        <f t="shared" si="43"/>
        <v>169.45500000000001</v>
      </c>
      <c r="H61" s="42"/>
      <c r="I61" s="42"/>
      <c r="J61" s="42"/>
      <c r="K61" s="2">
        <v>65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4"/>
        <v>46.718000000000004</v>
      </c>
      <c r="C62" s="61">
        <f t="shared" si="45"/>
        <v>45.866</v>
      </c>
      <c r="D62" s="61">
        <f t="shared" si="42"/>
        <v>46.292000000000002</v>
      </c>
      <c r="E62" s="61">
        <f t="shared" si="46"/>
        <v>46.220999999999997</v>
      </c>
      <c r="F62" s="61"/>
      <c r="G62" s="77">
        <f t="shared" si="43"/>
        <v>185.09700000000001</v>
      </c>
      <c r="H62" s="42"/>
      <c r="I62" s="42"/>
      <c r="J62" s="42"/>
      <c r="K62" s="2">
        <v>71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4"/>
        <v>50.008000000000003</v>
      </c>
      <c r="C63" s="61">
        <f t="shared" si="45"/>
        <v>49.095999999999997</v>
      </c>
      <c r="D63" s="61">
        <f t="shared" si="42"/>
        <v>49.552</v>
      </c>
      <c r="E63" s="61">
        <f t="shared" si="46"/>
        <v>49.475999999999999</v>
      </c>
      <c r="F63" s="61"/>
      <c r="G63" s="77">
        <f t="shared" si="43"/>
        <v>198.13200000000001</v>
      </c>
      <c r="H63" s="42"/>
      <c r="I63" s="42"/>
      <c r="J63" s="42"/>
      <c r="K63" s="2">
        <v>76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4"/>
        <v>53.956000000000003</v>
      </c>
      <c r="C64" s="61">
        <f t="shared" si="45"/>
        <v>52.972000000000001</v>
      </c>
      <c r="D64" s="61">
        <f t="shared" si="42"/>
        <v>53.463999999999999</v>
      </c>
      <c r="E64" s="61">
        <f t="shared" si="46"/>
        <v>53.381999999999998</v>
      </c>
      <c r="F64" s="61"/>
      <c r="G64" s="77">
        <f t="shared" si="43"/>
        <v>213.774</v>
      </c>
      <c r="H64" s="42"/>
      <c r="I64" s="42"/>
      <c r="J64" s="42"/>
      <c r="K64" s="2">
        <v>82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299.39</v>
      </c>
      <c r="C65" s="22">
        <f>SUM(C58:C64)</f>
        <v>293.93</v>
      </c>
      <c r="D65" s="22">
        <f>SUM(D58:D64)</f>
        <v>296.65999999999997</v>
      </c>
      <c r="E65" s="22">
        <f>SUM(E58:E64)</f>
        <v>296.20499999999998</v>
      </c>
      <c r="F65" s="22"/>
      <c r="G65" s="77">
        <f t="shared" si="43"/>
        <v>1186.1849999999999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64.999999999999986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658</v>
      </c>
      <c r="C67" s="79">
        <v>646</v>
      </c>
      <c r="D67" s="79">
        <v>652</v>
      </c>
      <c r="E67" s="79">
        <v>651</v>
      </c>
      <c r="F67" s="79"/>
      <c r="G67" s="82">
        <f>SUM(B67:F67)</f>
        <v>2607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19.739999999999998</v>
      </c>
      <c r="C68" s="31">
        <f>(C67*C66)/1000</f>
        <v>19.38</v>
      </c>
      <c r="D68" s="31">
        <f>(D67*D66)/1000</f>
        <v>19.559999999999999</v>
      </c>
      <c r="E68" s="31">
        <f>(E67*E66)/1000</f>
        <v>19.53</v>
      </c>
      <c r="F68" s="31"/>
      <c r="G68" s="86">
        <f>((G65*1000)/G67)/7</f>
        <v>65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138.18</v>
      </c>
      <c r="C69" s="35">
        <f>((C67*C66)*7)/1000</f>
        <v>135.66</v>
      </c>
      <c r="D69" s="35">
        <f>((D67*D66)*7)/1000</f>
        <v>136.91999999999999</v>
      </c>
      <c r="E69" s="35">
        <f>((E67*E66)*7)/1000</f>
        <v>136.71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65</v>
      </c>
      <c r="D70" s="38">
        <f>+(D65/D67)/7*1000</f>
        <v>64.999999999999986</v>
      </c>
      <c r="E70" s="38">
        <f>+(E65/E67)/7*1000</f>
        <v>64.999999999999986</v>
      </c>
      <c r="F70" s="38"/>
      <c r="G70" s="87"/>
      <c r="S70" s="3"/>
    </row>
    <row r="71" spans="1:30" ht="33.75" customHeight="1" x14ac:dyDescent="0.25">
      <c r="B71" s="14">
        <v>48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M11:N11"/>
    <mergeCell ref="B15:J15"/>
    <mergeCell ref="K15:O15"/>
    <mergeCell ref="P15:U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workbookViewId="0"/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1406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60" t="s">
        <v>35</v>
      </c>
      <c r="U9" s="96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965" t="s">
        <v>55</v>
      </c>
      <c r="N11" s="965"/>
      <c r="O11" s="6"/>
      <c r="P11" s="6"/>
      <c r="Q11" s="1"/>
      <c r="R11" s="1"/>
      <c r="S11" s="1" t="s">
        <v>6</v>
      </c>
      <c r="T11" s="95">
        <v>45350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68" t="s">
        <v>8</v>
      </c>
      <c r="C15" s="968"/>
      <c r="D15" s="968"/>
      <c r="E15" s="968"/>
      <c r="F15" s="968"/>
      <c r="G15" s="968"/>
      <c r="H15" s="968"/>
      <c r="I15" s="968"/>
      <c r="J15" s="969"/>
      <c r="K15" s="962" t="s">
        <v>29</v>
      </c>
      <c r="L15" s="963"/>
      <c r="M15" s="963"/>
      <c r="N15" s="963"/>
      <c r="O15" s="964"/>
      <c r="P15" s="962" t="s">
        <v>31</v>
      </c>
      <c r="Q15" s="963"/>
      <c r="R15" s="963"/>
      <c r="S15" s="963"/>
      <c r="T15" s="963"/>
      <c r="U15" s="964"/>
      <c r="V15" s="9"/>
    </row>
    <row r="16" spans="1:32" ht="39.950000000000003" customHeight="1" x14ac:dyDescent="0.25">
      <c r="A16" s="80" t="s">
        <v>34</v>
      </c>
      <c r="B16" s="115"/>
      <c r="C16" s="113"/>
      <c r="D16" s="114"/>
      <c r="E16" s="113"/>
      <c r="F16" s="113"/>
      <c r="G16" s="113"/>
      <c r="H16" s="114"/>
      <c r="I16" s="114"/>
      <c r="J16" s="116"/>
      <c r="K16" s="117"/>
      <c r="L16" s="118"/>
      <c r="M16" s="118"/>
      <c r="N16" s="118"/>
      <c r="O16" s="121"/>
      <c r="P16" s="117"/>
      <c r="Q16" s="118"/>
      <c r="R16" s="118"/>
      <c r="S16" s="118"/>
      <c r="T16" s="118"/>
      <c r="U16" s="119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7">
        <v>9</v>
      </c>
      <c r="K17" s="11">
        <v>1</v>
      </c>
      <c r="L17" s="16">
        <v>2</v>
      </c>
      <c r="M17" s="16">
        <v>3</v>
      </c>
      <c r="N17" s="16">
        <v>4</v>
      </c>
      <c r="O17" s="107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53</v>
      </c>
      <c r="B18" s="61">
        <f>(($B$27*$B$26)/1000)</f>
        <v>7.7625000000000002</v>
      </c>
      <c r="C18" s="19">
        <f>(($C$27*$C$26)/1000)</f>
        <v>11.557499999999999</v>
      </c>
      <c r="D18" s="19">
        <f>(($D$27*$D$26)/1000)</f>
        <v>27.3</v>
      </c>
      <c r="E18" s="19">
        <f>(($E$27*$E$26)/1000)</f>
        <v>26.826000000000001</v>
      </c>
      <c r="F18" s="19">
        <f>(($F$27*$F$26)/1000)</f>
        <v>23.114999999999998</v>
      </c>
      <c r="G18" s="19">
        <f>(($G$27*$G$26)/1000)</f>
        <v>21.648</v>
      </c>
      <c r="H18" s="19">
        <f>(($H$27*$H$26)/1000)</f>
        <v>14.420999999999999</v>
      </c>
      <c r="I18" s="19">
        <f>(($I$27*$I$26)/1000)</f>
        <v>13.53</v>
      </c>
      <c r="J18" s="19">
        <f>(($J$27*$J$26)/1000)</f>
        <v>8.3160000000000007</v>
      </c>
      <c r="K18" s="19">
        <f>(($K$27*$K$26)/1000)</f>
        <v>20.02</v>
      </c>
      <c r="L18" s="19">
        <f>(($L$27*$L$26)/1000)</f>
        <v>23.8185</v>
      </c>
      <c r="M18" s="19">
        <f>(($M$27*$M$26)/1000)</f>
        <v>29.010999999999999</v>
      </c>
      <c r="N18" s="19">
        <f>(($N$27*$N$26)/1000)</f>
        <v>18.347999999999999</v>
      </c>
      <c r="O18" s="19"/>
      <c r="P18" s="19">
        <f>(($P$27*$P$26)/1000)</f>
        <v>15.731999999999999</v>
      </c>
      <c r="Q18" s="19">
        <f>(($Q$27*$Q$26)/1000)</f>
        <v>28.05</v>
      </c>
      <c r="R18" s="19">
        <f>(($R$27*$R$26)/1000)</f>
        <v>31.45</v>
      </c>
      <c r="S18" s="19">
        <f>(($S$27*$S$26)/1000)</f>
        <v>14.355</v>
      </c>
      <c r="T18" s="19"/>
      <c r="U18" s="20"/>
      <c r="V18" s="98">
        <f>SUM(B18:U18)</f>
        <v>335.26049999999998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7.7625000000000002</v>
      </c>
      <c r="C19" s="19">
        <f t="shared" ref="C19:C24" si="1">(($C$27*$C$26)/1000)</f>
        <v>11.557499999999999</v>
      </c>
      <c r="D19" s="19">
        <f t="shared" ref="D19:D24" si="2">(($D$27*$D$26)/1000)</f>
        <v>27.3</v>
      </c>
      <c r="E19" s="19">
        <f t="shared" ref="E19:E24" si="3">(($E$27*$E$26)/1000)</f>
        <v>26.826000000000001</v>
      </c>
      <c r="F19" s="19">
        <f t="shared" ref="F19:F24" si="4">(($F$27*$F$26)/1000)</f>
        <v>23.114999999999998</v>
      </c>
      <c r="G19" s="19">
        <f t="shared" ref="G19:G24" si="5">(($G$27*$G$26)/1000)</f>
        <v>21.648</v>
      </c>
      <c r="H19" s="19">
        <f t="shared" ref="H19:H24" si="6">(($H$27*$H$26)/1000)</f>
        <v>14.420999999999999</v>
      </c>
      <c r="I19" s="19">
        <f t="shared" ref="I19:I24" si="7">(($I$27*$I$26)/1000)</f>
        <v>13.53</v>
      </c>
      <c r="J19" s="19">
        <f t="shared" ref="J19:J24" si="8">(($J$27*$J$26)/1000)</f>
        <v>8.3160000000000007</v>
      </c>
      <c r="K19" s="19">
        <f t="shared" ref="K19:K24" si="9">(($K$27*$K$26)/1000)</f>
        <v>20.02</v>
      </c>
      <c r="L19" s="19">
        <f t="shared" ref="L19:L24" si="10">(($L$27*$L$26)/1000)</f>
        <v>23.8185</v>
      </c>
      <c r="M19" s="19">
        <f t="shared" ref="M19:M24" si="11">(($M$27*$M$26)/1000)</f>
        <v>29.010999999999999</v>
      </c>
      <c r="N19" s="19">
        <f t="shared" ref="N19:N24" si="12">(($N$27*$N$26)/1000)</f>
        <v>18.347999999999999</v>
      </c>
      <c r="O19" s="19"/>
      <c r="P19" s="19">
        <f t="shared" ref="P19:P24" si="13">(($P$27*$P$26)/1000)</f>
        <v>15.731999999999999</v>
      </c>
      <c r="Q19" s="19">
        <f t="shared" ref="Q19:Q24" si="14">(($Q$27*$Q$26)/1000)</f>
        <v>28.05</v>
      </c>
      <c r="R19" s="19">
        <f t="shared" ref="R19:R24" si="15">(($R$27*$R$26)/1000)</f>
        <v>31.45</v>
      </c>
      <c r="S19" s="19">
        <f t="shared" ref="S19:S24" si="16">(($S$27*$S$26)/1000)</f>
        <v>14.355</v>
      </c>
      <c r="T19" s="19"/>
      <c r="U19" s="20"/>
      <c r="V19" s="98">
        <f>SUM(B19:U19)</f>
        <v>335.26049999999998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7.7625000000000002</v>
      </c>
      <c r="C20" s="19">
        <f t="shared" si="1"/>
        <v>11.557499999999999</v>
      </c>
      <c r="D20" s="19">
        <f t="shared" si="2"/>
        <v>27.3</v>
      </c>
      <c r="E20" s="19">
        <f t="shared" si="3"/>
        <v>26.826000000000001</v>
      </c>
      <c r="F20" s="19">
        <f t="shared" si="4"/>
        <v>23.114999999999998</v>
      </c>
      <c r="G20" s="19">
        <f t="shared" si="5"/>
        <v>21.648</v>
      </c>
      <c r="H20" s="19">
        <f t="shared" si="6"/>
        <v>14.420999999999999</v>
      </c>
      <c r="I20" s="19">
        <f t="shared" si="7"/>
        <v>13.53</v>
      </c>
      <c r="J20" s="19">
        <f t="shared" si="8"/>
        <v>8.3160000000000007</v>
      </c>
      <c r="K20" s="19">
        <f t="shared" si="9"/>
        <v>20.02</v>
      </c>
      <c r="L20" s="19">
        <f t="shared" si="10"/>
        <v>23.8185</v>
      </c>
      <c r="M20" s="19">
        <f t="shared" si="11"/>
        <v>29.010999999999999</v>
      </c>
      <c r="N20" s="19">
        <f t="shared" si="12"/>
        <v>18.347999999999999</v>
      </c>
      <c r="O20" s="19"/>
      <c r="P20" s="19">
        <f t="shared" si="13"/>
        <v>15.731999999999999</v>
      </c>
      <c r="Q20" s="19">
        <f t="shared" si="14"/>
        <v>28.05</v>
      </c>
      <c r="R20" s="19">
        <f t="shared" si="15"/>
        <v>31.45</v>
      </c>
      <c r="S20" s="19">
        <f t="shared" si="16"/>
        <v>14.355</v>
      </c>
      <c r="T20" s="19"/>
      <c r="U20" s="20"/>
      <c r="V20" s="98">
        <f>SUM(B20:U20)</f>
        <v>335.26049999999998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7.7625000000000002</v>
      </c>
      <c r="C21" s="19">
        <f t="shared" si="1"/>
        <v>11.557499999999999</v>
      </c>
      <c r="D21" s="19">
        <f t="shared" si="2"/>
        <v>27.3</v>
      </c>
      <c r="E21" s="19">
        <f t="shared" si="3"/>
        <v>26.826000000000001</v>
      </c>
      <c r="F21" s="19">
        <f t="shared" si="4"/>
        <v>23.114999999999998</v>
      </c>
      <c r="G21" s="19">
        <f t="shared" si="5"/>
        <v>21.648</v>
      </c>
      <c r="H21" s="19">
        <f t="shared" si="6"/>
        <v>14.420999999999999</v>
      </c>
      <c r="I21" s="19">
        <f t="shared" si="7"/>
        <v>13.53</v>
      </c>
      <c r="J21" s="19">
        <f t="shared" si="8"/>
        <v>8.3160000000000007</v>
      </c>
      <c r="K21" s="19">
        <f t="shared" si="9"/>
        <v>20.02</v>
      </c>
      <c r="L21" s="19">
        <f t="shared" si="10"/>
        <v>23.8185</v>
      </c>
      <c r="M21" s="19">
        <f t="shared" si="11"/>
        <v>29.010999999999999</v>
      </c>
      <c r="N21" s="19">
        <f t="shared" si="12"/>
        <v>18.347999999999999</v>
      </c>
      <c r="O21" s="19"/>
      <c r="P21" s="19">
        <f t="shared" si="13"/>
        <v>15.731999999999999</v>
      </c>
      <c r="Q21" s="19">
        <f t="shared" si="14"/>
        <v>28.05</v>
      </c>
      <c r="R21" s="19">
        <f t="shared" si="15"/>
        <v>31.45</v>
      </c>
      <c r="S21" s="19">
        <f t="shared" si="16"/>
        <v>14.355</v>
      </c>
      <c r="T21" s="19"/>
      <c r="U21" s="20"/>
      <c r="V21" s="98">
        <f>SUM(B21:U21)</f>
        <v>335.26049999999998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7.7625000000000002</v>
      </c>
      <c r="C22" s="19">
        <f t="shared" si="1"/>
        <v>11.557499999999999</v>
      </c>
      <c r="D22" s="19">
        <f t="shared" si="2"/>
        <v>27.3</v>
      </c>
      <c r="E22" s="19">
        <f t="shared" si="3"/>
        <v>26.826000000000001</v>
      </c>
      <c r="F22" s="19">
        <f t="shared" si="4"/>
        <v>23.114999999999998</v>
      </c>
      <c r="G22" s="19">
        <f t="shared" si="5"/>
        <v>21.648</v>
      </c>
      <c r="H22" s="19">
        <f t="shared" si="6"/>
        <v>14.420999999999999</v>
      </c>
      <c r="I22" s="19">
        <f t="shared" si="7"/>
        <v>13.53</v>
      </c>
      <c r="J22" s="19">
        <f t="shared" si="8"/>
        <v>8.3160000000000007</v>
      </c>
      <c r="K22" s="19">
        <f t="shared" si="9"/>
        <v>20.02</v>
      </c>
      <c r="L22" s="19">
        <f t="shared" si="10"/>
        <v>23.8185</v>
      </c>
      <c r="M22" s="19">
        <f t="shared" si="11"/>
        <v>29.010999999999999</v>
      </c>
      <c r="N22" s="19">
        <f t="shared" si="12"/>
        <v>18.347999999999999</v>
      </c>
      <c r="O22" s="19"/>
      <c r="P22" s="19">
        <f t="shared" si="13"/>
        <v>15.731999999999999</v>
      </c>
      <c r="Q22" s="19">
        <f t="shared" si="14"/>
        <v>28.05</v>
      </c>
      <c r="R22" s="19">
        <f t="shared" si="15"/>
        <v>31.45</v>
      </c>
      <c r="S22" s="19">
        <f t="shared" si="16"/>
        <v>14.355</v>
      </c>
      <c r="T22" s="19"/>
      <c r="U22" s="20"/>
      <c r="V22" s="98">
        <f>SUM(B22:T22)</f>
        <v>335.26049999999998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7.7625000000000002</v>
      </c>
      <c r="C23" s="19">
        <f t="shared" si="1"/>
        <v>11.557499999999999</v>
      </c>
      <c r="D23" s="19">
        <f t="shared" si="2"/>
        <v>27.3</v>
      </c>
      <c r="E23" s="19">
        <f t="shared" si="3"/>
        <v>26.826000000000001</v>
      </c>
      <c r="F23" s="19">
        <f t="shared" si="4"/>
        <v>23.114999999999998</v>
      </c>
      <c r="G23" s="19">
        <f t="shared" si="5"/>
        <v>21.648</v>
      </c>
      <c r="H23" s="19">
        <f t="shared" si="6"/>
        <v>14.420999999999999</v>
      </c>
      <c r="I23" s="19">
        <f t="shared" si="7"/>
        <v>13.53</v>
      </c>
      <c r="J23" s="19">
        <f t="shared" si="8"/>
        <v>8.3160000000000007</v>
      </c>
      <c r="K23" s="19">
        <f t="shared" si="9"/>
        <v>20.02</v>
      </c>
      <c r="L23" s="19">
        <f t="shared" si="10"/>
        <v>23.8185</v>
      </c>
      <c r="M23" s="19">
        <f t="shared" si="11"/>
        <v>29.010999999999999</v>
      </c>
      <c r="N23" s="19">
        <f t="shared" si="12"/>
        <v>18.347999999999999</v>
      </c>
      <c r="O23" s="19"/>
      <c r="P23" s="19">
        <f t="shared" si="13"/>
        <v>15.731999999999999</v>
      </c>
      <c r="Q23" s="19">
        <f t="shared" si="14"/>
        <v>28.05</v>
      </c>
      <c r="R23" s="19">
        <f t="shared" si="15"/>
        <v>31.45</v>
      </c>
      <c r="S23" s="19">
        <f t="shared" si="16"/>
        <v>14.355</v>
      </c>
      <c r="T23" s="19"/>
      <c r="U23" s="20"/>
      <c r="V23" s="98">
        <f>SUM(B23:U23)</f>
        <v>335.26049999999998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7.7625000000000002</v>
      </c>
      <c r="C24" s="19">
        <f t="shared" si="1"/>
        <v>11.557499999999999</v>
      </c>
      <c r="D24" s="19">
        <f t="shared" si="2"/>
        <v>27.3</v>
      </c>
      <c r="E24" s="19">
        <f t="shared" si="3"/>
        <v>26.826000000000001</v>
      </c>
      <c r="F24" s="19">
        <f t="shared" si="4"/>
        <v>23.114999999999998</v>
      </c>
      <c r="G24" s="19">
        <f t="shared" si="5"/>
        <v>21.648</v>
      </c>
      <c r="H24" s="19">
        <f t="shared" si="6"/>
        <v>14.420999999999999</v>
      </c>
      <c r="I24" s="19">
        <f t="shared" si="7"/>
        <v>13.53</v>
      </c>
      <c r="J24" s="19">
        <f t="shared" si="8"/>
        <v>8.3160000000000007</v>
      </c>
      <c r="K24" s="19">
        <f t="shared" si="9"/>
        <v>20.02</v>
      </c>
      <c r="L24" s="19">
        <f t="shared" si="10"/>
        <v>23.8185</v>
      </c>
      <c r="M24" s="19">
        <f t="shared" si="11"/>
        <v>29.010999999999999</v>
      </c>
      <c r="N24" s="19">
        <f t="shared" si="12"/>
        <v>18.347999999999999</v>
      </c>
      <c r="O24" s="19"/>
      <c r="P24" s="19">
        <f t="shared" si="13"/>
        <v>15.731999999999999</v>
      </c>
      <c r="Q24" s="19">
        <f t="shared" si="14"/>
        <v>28.05</v>
      </c>
      <c r="R24" s="19">
        <f t="shared" si="15"/>
        <v>31.45</v>
      </c>
      <c r="S24" s="19">
        <f t="shared" si="16"/>
        <v>14.355</v>
      </c>
      <c r="T24" s="19"/>
      <c r="U24" s="132"/>
      <c r="V24" s="98">
        <f>SUM(B24:U24)</f>
        <v>335.26049999999998</v>
      </c>
      <c r="X24" s="2"/>
    </row>
    <row r="25" spans="1:32" ht="41.45" customHeight="1" x14ac:dyDescent="0.25">
      <c r="A25" s="126" t="s">
        <v>9</v>
      </c>
      <c r="B25" s="127">
        <f t="shared" ref="B25:I25" si="17">SUM(B18:B24)</f>
        <v>54.337500000000006</v>
      </c>
      <c r="C25" s="128">
        <f t="shared" si="17"/>
        <v>80.902500000000003</v>
      </c>
      <c r="D25" s="128">
        <f t="shared" si="17"/>
        <v>191.10000000000002</v>
      </c>
      <c r="E25" s="128">
        <f t="shared" si="17"/>
        <v>187.78199999999998</v>
      </c>
      <c r="F25" s="128">
        <f t="shared" si="17"/>
        <v>161.80500000000001</v>
      </c>
      <c r="G25" s="128">
        <f>SUM(G18:G24)</f>
        <v>151.536</v>
      </c>
      <c r="H25" s="128">
        <f t="shared" si="17"/>
        <v>100.94699999999997</v>
      </c>
      <c r="I25" s="128">
        <f t="shared" si="17"/>
        <v>94.71</v>
      </c>
      <c r="J25" s="129">
        <f>SUM(J18:J24)</f>
        <v>58.21200000000001</v>
      </c>
      <c r="K25" s="131">
        <f>SUM(K18:K24)</f>
        <v>140.13999999999999</v>
      </c>
      <c r="L25" s="128">
        <f>SUM(L18:L24)</f>
        <v>166.7295</v>
      </c>
      <c r="M25" s="128">
        <f>SUM(M18:M24)</f>
        <v>203.077</v>
      </c>
      <c r="N25" s="128">
        <f>SUM(N18:N24)</f>
        <v>128.43599999999998</v>
      </c>
      <c r="O25" s="129"/>
      <c r="P25" s="133">
        <f>SUM(P18:P24)</f>
        <v>110.124</v>
      </c>
      <c r="Q25" s="134">
        <f>SUM(Q18:Q24)</f>
        <v>196.35000000000002</v>
      </c>
      <c r="R25" s="134">
        <f>SUM(R18:R24)</f>
        <v>220.14999999999998</v>
      </c>
      <c r="S25" s="134">
        <f>SUM(S18:S24)</f>
        <v>100.48500000000001</v>
      </c>
      <c r="T25" s="134"/>
      <c r="U25" s="129"/>
      <c r="V25" s="98">
        <f>SUM(B25:U25)</f>
        <v>2346.8235000000004</v>
      </c>
    </row>
    <row r="26" spans="1:32" s="2" customFormat="1" ht="36.75" customHeight="1" x14ac:dyDescent="0.25">
      <c r="A26" s="70" t="s">
        <v>11</v>
      </c>
      <c r="B26" s="63">
        <v>34.5</v>
      </c>
      <c r="C26" s="63">
        <v>34.5</v>
      </c>
      <c r="D26" s="63">
        <v>35</v>
      </c>
      <c r="E26" s="63">
        <v>34</v>
      </c>
      <c r="F26" s="63">
        <v>33.5</v>
      </c>
      <c r="G26" s="63">
        <v>33</v>
      </c>
      <c r="H26" s="63">
        <v>33</v>
      </c>
      <c r="I26" s="63">
        <v>33</v>
      </c>
      <c r="J26" s="63">
        <v>33</v>
      </c>
      <c r="K26" s="63">
        <v>35</v>
      </c>
      <c r="L26" s="63">
        <v>33.5</v>
      </c>
      <c r="M26" s="63">
        <v>33.5</v>
      </c>
      <c r="N26" s="63">
        <v>33</v>
      </c>
      <c r="O26" s="63"/>
      <c r="P26" s="63">
        <v>34.5</v>
      </c>
      <c r="Q26" s="63">
        <v>34</v>
      </c>
      <c r="R26" s="63">
        <v>34</v>
      </c>
      <c r="S26" s="63">
        <v>33</v>
      </c>
      <c r="T26" s="63"/>
      <c r="U26" s="25"/>
      <c r="V26" s="99">
        <f>((V25/V27)/7)*1000</f>
        <v>33.796421370967749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780</v>
      </c>
      <c r="E27" s="27">
        <v>789</v>
      </c>
      <c r="F27" s="27">
        <v>690</v>
      </c>
      <c r="G27" s="27">
        <v>656</v>
      </c>
      <c r="H27" s="27">
        <v>437</v>
      </c>
      <c r="I27" s="27">
        <v>410</v>
      </c>
      <c r="J27" s="28">
        <v>252</v>
      </c>
      <c r="K27" s="26">
        <v>572</v>
      </c>
      <c r="L27" s="27">
        <v>711</v>
      </c>
      <c r="M27" s="27">
        <v>866</v>
      </c>
      <c r="N27" s="27">
        <v>556</v>
      </c>
      <c r="O27" s="28"/>
      <c r="P27" s="26">
        <v>456</v>
      </c>
      <c r="Q27" s="27">
        <v>825</v>
      </c>
      <c r="R27" s="27">
        <v>925</v>
      </c>
      <c r="S27" s="27">
        <v>435</v>
      </c>
      <c r="T27" s="27"/>
      <c r="U27" s="28"/>
      <c r="V27" s="29">
        <f>SUM(B27,C27,D27,E27,F27,G27,H27,I27,J27,K27,L27,M27,N27,O27,P27,Q27,R27,S27,T27)</f>
        <v>9920</v>
      </c>
      <c r="W27" s="2">
        <f>((V25*1000)/V27)/7</f>
        <v>33.796421370967749</v>
      </c>
    </row>
    <row r="28" spans="1:32" s="2" customFormat="1" ht="33" customHeight="1" x14ac:dyDescent="0.25">
      <c r="A28" s="72" t="s">
        <v>13</v>
      </c>
      <c r="B28" s="65">
        <f>(B27*B26)/1000</f>
        <v>7.7625000000000002</v>
      </c>
      <c r="C28" s="31">
        <f>(C27*C26)/1000</f>
        <v>11.557499999999999</v>
      </c>
      <c r="D28" s="31">
        <f>(D27*D26)/1000</f>
        <v>27.3</v>
      </c>
      <c r="E28" s="31">
        <f>(E27*E26)/1000</f>
        <v>26.826000000000001</v>
      </c>
      <c r="F28" s="31">
        <f>(F27*F26)/1000</f>
        <v>23.114999999999998</v>
      </c>
      <c r="G28" s="31">
        <f t="shared" ref="G28:S28" si="18">(G27*G26)/1000</f>
        <v>21.648</v>
      </c>
      <c r="H28" s="31">
        <f t="shared" si="18"/>
        <v>14.420999999999999</v>
      </c>
      <c r="I28" s="31">
        <f t="shared" si="18"/>
        <v>13.53</v>
      </c>
      <c r="J28" s="32">
        <f t="shared" si="18"/>
        <v>8.3160000000000007</v>
      </c>
      <c r="K28" s="30">
        <f t="shared" si="18"/>
        <v>20.02</v>
      </c>
      <c r="L28" s="31">
        <f t="shared" si="18"/>
        <v>23.8185</v>
      </c>
      <c r="M28" s="31">
        <f t="shared" si="18"/>
        <v>29.010999999999999</v>
      </c>
      <c r="N28" s="31">
        <f t="shared" si="18"/>
        <v>18.347999999999999</v>
      </c>
      <c r="O28" s="32"/>
      <c r="P28" s="30">
        <f t="shared" si="18"/>
        <v>15.731999999999999</v>
      </c>
      <c r="Q28" s="31">
        <f t="shared" si="18"/>
        <v>28.05</v>
      </c>
      <c r="R28" s="31">
        <f t="shared" si="18"/>
        <v>31.45</v>
      </c>
      <c r="S28" s="31">
        <f t="shared" si="18"/>
        <v>14.355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54.337499999999999</v>
      </c>
      <c r="C29" s="35">
        <f t="shared" si="19"/>
        <v>80.902500000000003</v>
      </c>
      <c r="D29" s="35">
        <f t="shared" si="19"/>
        <v>191.1</v>
      </c>
      <c r="E29" s="35">
        <f t="shared" si="19"/>
        <v>187.78200000000001</v>
      </c>
      <c r="F29" s="35">
        <f t="shared" si="19"/>
        <v>161.80500000000001</v>
      </c>
      <c r="G29" s="35">
        <f t="shared" si="19"/>
        <v>151.536</v>
      </c>
      <c r="H29" s="35">
        <f t="shared" si="19"/>
        <v>100.947</v>
      </c>
      <c r="I29" s="35">
        <f t="shared" si="19"/>
        <v>94.71</v>
      </c>
      <c r="J29" s="68">
        <f t="shared" si="19"/>
        <v>58.212000000000003</v>
      </c>
      <c r="K29" s="34">
        <f t="shared" ref="K29:S29" si="20">((K27*K26)*7)/1000</f>
        <v>140.13999999999999</v>
      </c>
      <c r="L29" s="35">
        <f t="shared" si="20"/>
        <v>166.7295</v>
      </c>
      <c r="M29" s="35">
        <f t="shared" si="20"/>
        <v>203.077</v>
      </c>
      <c r="N29" s="35">
        <f t="shared" si="20"/>
        <v>128.43600000000001</v>
      </c>
      <c r="O29" s="68"/>
      <c r="P29" s="34">
        <f t="shared" si="20"/>
        <v>110.124</v>
      </c>
      <c r="Q29" s="35">
        <f t="shared" si="20"/>
        <v>196.35</v>
      </c>
      <c r="R29" s="35">
        <f t="shared" si="20"/>
        <v>220.15</v>
      </c>
      <c r="S29" s="35">
        <f t="shared" si="20"/>
        <v>100.485</v>
      </c>
      <c r="T29" s="35"/>
      <c r="U29" s="120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34.5</v>
      </c>
      <c r="C30" s="38">
        <f t="shared" si="21"/>
        <v>34.5</v>
      </c>
      <c r="D30" s="38">
        <f t="shared" si="21"/>
        <v>35</v>
      </c>
      <c r="E30" s="38">
        <f t="shared" si="21"/>
        <v>33.999999999999993</v>
      </c>
      <c r="F30" s="38">
        <f t="shared" si="21"/>
        <v>33.5</v>
      </c>
      <c r="G30" s="38">
        <f t="shared" si="21"/>
        <v>33</v>
      </c>
      <c r="H30" s="38">
        <f t="shared" si="21"/>
        <v>32.999999999999986</v>
      </c>
      <c r="I30" s="38">
        <f t="shared" si="21"/>
        <v>32.999999999999993</v>
      </c>
      <c r="J30" s="39">
        <f t="shared" si="21"/>
        <v>33.000000000000007</v>
      </c>
      <c r="K30" s="37">
        <f t="shared" ref="K30:S30" si="22">+(K25/K27)/7*1000</f>
        <v>34.999999999999993</v>
      </c>
      <c r="L30" s="38">
        <f t="shared" si="22"/>
        <v>33.5</v>
      </c>
      <c r="M30" s="38">
        <f t="shared" si="22"/>
        <v>33.499999999999993</v>
      </c>
      <c r="N30" s="38">
        <f t="shared" si="22"/>
        <v>32.999999999999993</v>
      </c>
      <c r="O30" s="39"/>
      <c r="P30" s="37">
        <f t="shared" si="22"/>
        <v>34.499999999999993</v>
      </c>
      <c r="Q30" s="38">
        <f t="shared" si="22"/>
        <v>34</v>
      </c>
      <c r="R30" s="38">
        <f t="shared" si="22"/>
        <v>33.999999999999993</v>
      </c>
      <c r="S30" s="38">
        <f t="shared" si="22"/>
        <v>33.000000000000007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66" t="s">
        <v>17</v>
      </c>
      <c r="C36" s="967"/>
      <c r="D36" s="967"/>
      <c r="E36" s="967"/>
      <c r="F36" s="967"/>
      <c r="G36" s="967"/>
      <c r="H36" s="75"/>
      <c r="L36" s="44"/>
      <c r="M36" s="88" t="s">
        <v>18</v>
      </c>
      <c r="N36" s="956" t="s">
        <v>17</v>
      </c>
      <c r="O36" s="956"/>
      <c r="P36" s="956"/>
      <c r="Q36" s="956"/>
      <c r="R36" s="957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41"/>
      <c r="C37" s="118"/>
      <c r="D37" s="118"/>
      <c r="E37" s="118"/>
      <c r="F37" s="118"/>
      <c r="G37" s="119"/>
      <c r="H37" s="13" t="s">
        <v>9</v>
      </c>
      <c r="I37" s="47"/>
      <c r="J37" s="47"/>
      <c r="K37" s="970"/>
      <c r="L37" s="970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44"/>
      <c r="L38" s="14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12.005000000000001</v>
      </c>
      <c r="C39" s="61">
        <f>(($C$48*$C$47)/1000)</f>
        <v>19.108000000000001</v>
      </c>
      <c r="D39" s="61">
        <f>(($D$48*$D$47)/1000)</f>
        <v>30.532</v>
      </c>
      <c r="E39" s="61">
        <f>(($E$48*$E$47)/1000)</f>
        <v>20.297999999999998</v>
      </c>
      <c r="F39" s="61">
        <f t="shared" ref="F39:F45" si="23">(($F$48*$F$47)/1000)</f>
        <v>20.059999999999999</v>
      </c>
      <c r="G39" s="94"/>
      <c r="H39" s="136">
        <f t="shared" ref="H39:H46" si="24">SUM(B39:G39)</f>
        <v>102.003</v>
      </c>
      <c r="I39" s="49"/>
      <c r="J39" s="49"/>
      <c r="K39" s="144"/>
      <c r="L39" s="145"/>
      <c r="M39" s="96" t="s">
        <v>53</v>
      </c>
      <c r="N39" s="61">
        <f t="shared" ref="N39:N45" si="25">(($N$48*T39)/1000)</f>
        <v>49.8</v>
      </c>
      <c r="O39" s="61">
        <f>(($O$48*T39)/1000)</f>
        <v>49.35</v>
      </c>
      <c r="P39" s="61">
        <f>(($P$48*T39)/1000)</f>
        <v>49.65</v>
      </c>
      <c r="Q39" s="61">
        <f>(($Q$48*T39)/1000)</f>
        <v>49.875</v>
      </c>
      <c r="R39" s="61"/>
      <c r="S39" s="77">
        <f t="shared" ref="S39:S46" si="26">SUM(N39:R39)</f>
        <v>198.67500000000001</v>
      </c>
      <c r="T39" s="2">
        <v>75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12.005000000000001</v>
      </c>
      <c r="C40" s="61">
        <f t="shared" ref="C40:C45" si="28">(($C$48*$C$47)/1000)</f>
        <v>19.108000000000001</v>
      </c>
      <c r="D40" s="61">
        <f t="shared" ref="D40:D45" si="29">(($D$48*$D$47)/1000)</f>
        <v>30.532</v>
      </c>
      <c r="E40" s="61">
        <f t="shared" ref="E40:E45" si="30">(($E$48*$E$47)/1000)</f>
        <v>20.297999999999998</v>
      </c>
      <c r="F40" s="61">
        <f t="shared" si="23"/>
        <v>20.059999999999999</v>
      </c>
      <c r="G40" s="94"/>
      <c r="H40" s="136">
        <f t="shared" si="24"/>
        <v>102.003</v>
      </c>
      <c r="I40" s="49"/>
      <c r="J40" s="49"/>
      <c r="K40" s="144"/>
      <c r="L40" s="145"/>
      <c r="M40" s="96" t="s">
        <v>24</v>
      </c>
      <c r="N40" s="61">
        <f t="shared" si="25"/>
        <v>49.8</v>
      </c>
      <c r="O40" s="61">
        <f t="shared" ref="O40:O45" si="31">(($O$48*T40)/1000)</f>
        <v>49.35</v>
      </c>
      <c r="P40" s="61">
        <f t="shared" ref="P40:P45" si="32">(($P$48*T40)/1000)</f>
        <v>49.65</v>
      </c>
      <c r="Q40" s="61">
        <f t="shared" ref="Q40:Q45" si="33">(($Q$48*T40)/1000)</f>
        <v>49.875</v>
      </c>
      <c r="R40" s="61"/>
      <c r="S40" s="77">
        <f t="shared" si="26"/>
        <v>198.67500000000001</v>
      </c>
      <c r="T40" s="2">
        <v>75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12.005000000000001</v>
      </c>
      <c r="C41" s="61">
        <f t="shared" si="28"/>
        <v>19.108000000000001</v>
      </c>
      <c r="D41" s="61">
        <f t="shared" si="29"/>
        <v>30.532</v>
      </c>
      <c r="E41" s="61">
        <f t="shared" si="30"/>
        <v>20.297999999999998</v>
      </c>
      <c r="F41" s="61">
        <f t="shared" si="23"/>
        <v>20.059999999999999</v>
      </c>
      <c r="G41" s="94"/>
      <c r="H41" s="136">
        <f t="shared" si="24"/>
        <v>102.003</v>
      </c>
      <c r="I41" s="49"/>
      <c r="J41" s="49"/>
      <c r="K41" s="144"/>
      <c r="L41" s="145"/>
      <c r="M41" s="96" t="s">
        <v>20</v>
      </c>
      <c r="N41" s="61">
        <f t="shared" si="25"/>
        <v>54.448</v>
      </c>
      <c r="O41" s="61">
        <f t="shared" si="31"/>
        <v>53.956000000000003</v>
      </c>
      <c r="P41" s="61">
        <f t="shared" si="32"/>
        <v>54.283999999999999</v>
      </c>
      <c r="Q41" s="61">
        <f t="shared" si="33"/>
        <v>54.53</v>
      </c>
      <c r="R41" s="19"/>
      <c r="S41" s="77">
        <f t="shared" si="26"/>
        <v>217.21799999999999</v>
      </c>
      <c r="T41" s="2">
        <v>82</v>
      </c>
      <c r="U41" s="147">
        <v>630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12.005000000000001</v>
      </c>
      <c r="C42" s="61">
        <f t="shared" si="28"/>
        <v>19.108000000000001</v>
      </c>
      <c r="D42" s="61">
        <f t="shared" si="29"/>
        <v>30.532</v>
      </c>
      <c r="E42" s="61">
        <f t="shared" si="30"/>
        <v>20.297999999999998</v>
      </c>
      <c r="F42" s="61">
        <f t="shared" si="23"/>
        <v>20.059999999999999</v>
      </c>
      <c r="G42" s="94"/>
      <c r="H42" s="136">
        <f t="shared" si="24"/>
        <v>102.003</v>
      </c>
      <c r="I42" s="49"/>
      <c r="J42" s="49"/>
      <c r="K42" s="144"/>
      <c r="L42" s="145"/>
      <c r="M42" s="96" t="s">
        <v>28</v>
      </c>
      <c r="N42" s="61">
        <f t="shared" si="25"/>
        <v>59.095999999999997</v>
      </c>
      <c r="O42" s="61">
        <f t="shared" si="31"/>
        <v>58.561999999999998</v>
      </c>
      <c r="P42" s="61">
        <f t="shared" si="32"/>
        <v>58.917999999999999</v>
      </c>
      <c r="Q42" s="61">
        <f t="shared" si="33"/>
        <v>59.185000000000002</v>
      </c>
      <c r="R42" s="61"/>
      <c r="S42" s="77">
        <f t="shared" si="26"/>
        <v>235.761</v>
      </c>
      <c r="T42" s="2">
        <v>89</v>
      </c>
      <c r="U42" s="49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12.005000000000001</v>
      </c>
      <c r="C43" s="61">
        <f t="shared" si="28"/>
        <v>19.108000000000001</v>
      </c>
      <c r="D43" s="61">
        <f t="shared" si="29"/>
        <v>30.532</v>
      </c>
      <c r="E43" s="61">
        <f t="shared" si="30"/>
        <v>20.297999999999998</v>
      </c>
      <c r="F43" s="61">
        <f t="shared" si="23"/>
        <v>20.059999999999999</v>
      </c>
      <c r="G43" s="94"/>
      <c r="H43" s="136">
        <f t="shared" si="24"/>
        <v>102.003</v>
      </c>
      <c r="I43" s="49"/>
      <c r="J43" s="49"/>
      <c r="K43" s="144"/>
      <c r="L43" s="145"/>
      <c r="M43" s="96" t="s">
        <v>21</v>
      </c>
      <c r="N43" s="61">
        <f t="shared" si="25"/>
        <v>63.744</v>
      </c>
      <c r="O43" s="61">
        <f t="shared" si="31"/>
        <v>63.167999999999999</v>
      </c>
      <c r="P43" s="61">
        <f t="shared" si="32"/>
        <v>63.552</v>
      </c>
      <c r="Q43" s="61">
        <f t="shared" si="33"/>
        <v>63.84</v>
      </c>
      <c r="R43" s="61"/>
      <c r="S43" s="77">
        <f t="shared" si="26"/>
        <v>254.304</v>
      </c>
      <c r="T43" s="2">
        <v>96</v>
      </c>
      <c r="U43" s="49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12.005000000000001</v>
      </c>
      <c r="C44" s="61">
        <f t="shared" si="28"/>
        <v>19.108000000000001</v>
      </c>
      <c r="D44" s="61">
        <f t="shared" si="29"/>
        <v>30.532</v>
      </c>
      <c r="E44" s="61">
        <f t="shared" si="30"/>
        <v>20.297999999999998</v>
      </c>
      <c r="F44" s="61">
        <f t="shared" si="23"/>
        <v>20.059999999999999</v>
      </c>
      <c r="G44" s="94"/>
      <c r="H44" s="136">
        <f t="shared" si="24"/>
        <v>102.003</v>
      </c>
      <c r="I44" s="49"/>
      <c r="J44" s="49"/>
      <c r="K44" s="144"/>
      <c r="L44" s="145"/>
      <c r="M44" s="96" t="s">
        <v>22</v>
      </c>
      <c r="N44" s="61">
        <f t="shared" si="25"/>
        <v>67.727999999999994</v>
      </c>
      <c r="O44" s="61">
        <f t="shared" si="31"/>
        <v>67.116</v>
      </c>
      <c r="P44" s="61">
        <f t="shared" si="32"/>
        <v>67.524000000000001</v>
      </c>
      <c r="Q44" s="61">
        <f t="shared" si="33"/>
        <v>67.83</v>
      </c>
      <c r="R44" s="61"/>
      <c r="S44" s="77">
        <f t="shared" si="26"/>
        <v>270.19799999999998</v>
      </c>
      <c r="T44" s="2">
        <v>102</v>
      </c>
      <c r="U44" s="49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12.005000000000001</v>
      </c>
      <c r="C45" s="61">
        <f t="shared" si="28"/>
        <v>19.108000000000001</v>
      </c>
      <c r="D45" s="61">
        <f t="shared" si="29"/>
        <v>30.532</v>
      </c>
      <c r="E45" s="61">
        <f t="shared" si="30"/>
        <v>20.297999999999998</v>
      </c>
      <c r="F45" s="61">
        <f t="shared" si="23"/>
        <v>20.059999999999999</v>
      </c>
      <c r="G45" s="94"/>
      <c r="H45" s="136">
        <f t="shared" si="24"/>
        <v>102.003</v>
      </c>
      <c r="I45" s="49"/>
      <c r="J45" s="49"/>
      <c r="K45" s="144"/>
      <c r="L45" s="145"/>
      <c r="M45" s="96" t="s">
        <v>23</v>
      </c>
      <c r="N45" s="61">
        <f t="shared" si="25"/>
        <v>72.376000000000005</v>
      </c>
      <c r="O45" s="61">
        <f t="shared" si="31"/>
        <v>71.721999999999994</v>
      </c>
      <c r="P45" s="61">
        <f t="shared" si="32"/>
        <v>72.158000000000001</v>
      </c>
      <c r="Q45" s="61">
        <f t="shared" si="33"/>
        <v>72.484999999999999</v>
      </c>
      <c r="R45" s="61"/>
      <c r="S45" s="77">
        <f t="shared" si="26"/>
        <v>288.74100000000004</v>
      </c>
      <c r="T45" s="2">
        <v>109</v>
      </c>
      <c r="U45" s="49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84.034999999999997</v>
      </c>
      <c r="C46" s="22">
        <f>SUM(C39:C45)</f>
        <v>133.756</v>
      </c>
      <c r="D46" s="22">
        <f>SUM(D39:D45)</f>
        <v>213.72400000000002</v>
      </c>
      <c r="E46" s="22">
        <f>SUM(E39:E45)</f>
        <v>142.08599999999998</v>
      </c>
      <c r="F46" s="22">
        <f>SUM(F39:F45)</f>
        <v>140.41999999999999</v>
      </c>
      <c r="G46" s="22"/>
      <c r="H46" s="136">
        <f t="shared" si="24"/>
        <v>714.02099999999996</v>
      </c>
      <c r="I46" s="49"/>
      <c r="J46" s="49"/>
      <c r="K46" s="49"/>
      <c r="M46" s="80" t="s">
        <v>9</v>
      </c>
      <c r="N46" s="62">
        <f>SUM(N39:N45)</f>
        <v>416.99200000000008</v>
      </c>
      <c r="O46" s="22">
        <f>SUM(O39:O45)</f>
        <v>413.22399999999999</v>
      </c>
      <c r="P46" s="22">
        <f>SUM(P39:P45)</f>
        <v>415.73600000000005</v>
      </c>
      <c r="Q46" s="22">
        <f>SUM(Q39:Q45)</f>
        <v>417.62</v>
      </c>
      <c r="R46" s="22"/>
      <c r="S46" s="77">
        <f t="shared" si="26"/>
        <v>1663.5720000000001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</v>
      </c>
      <c r="D47" s="24">
        <v>34</v>
      </c>
      <c r="E47" s="24">
        <v>34</v>
      </c>
      <c r="F47" s="24">
        <v>34</v>
      </c>
      <c r="G47" s="25"/>
      <c r="H47" s="137">
        <f>+((H46/H48)/7)*1000</f>
        <v>34.11471571906354</v>
      </c>
      <c r="I47" s="109"/>
      <c r="J47" s="109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/>
      <c r="S47" s="78">
        <f>+((S46/S48)/7)*1000</f>
        <v>89.714285714285722</v>
      </c>
      <c r="T47" s="50"/>
      <c r="U47" s="50"/>
    </row>
    <row r="48" spans="1:32" ht="33.75" customHeight="1" x14ac:dyDescent="0.25">
      <c r="A48" s="71" t="s">
        <v>12</v>
      </c>
      <c r="B48" s="26">
        <v>343</v>
      </c>
      <c r="C48" s="27">
        <v>562</v>
      </c>
      <c r="D48" s="27">
        <v>898</v>
      </c>
      <c r="E48" s="27">
        <v>597</v>
      </c>
      <c r="F48" s="27">
        <v>590</v>
      </c>
      <c r="G48" s="28"/>
      <c r="H48" s="138">
        <f>SUM(B48:G48)</f>
        <v>2990</v>
      </c>
      <c r="I48" s="110"/>
      <c r="J48" s="110"/>
      <c r="K48" s="49"/>
      <c r="L48" s="51"/>
      <c r="M48" s="71" t="s">
        <v>12</v>
      </c>
      <c r="N48" s="79">
        <v>664</v>
      </c>
      <c r="O48" s="79">
        <v>658</v>
      </c>
      <c r="P48" s="79">
        <v>662</v>
      </c>
      <c r="Q48" s="79">
        <v>665</v>
      </c>
      <c r="R48" s="79"/>
      <c r="S48" s="82">
        <f>SUM(N48:Q48)</f>
        <v>2649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12.005000000000001</v>
      </c>
      <c r="C49" s="31">
        <f>(C48*C47)/1000</f>
        <v>19.108000000000001</v>
      </c>
      <c r="D49" s="31">
        <f>(D48*D47)/1000</f>
        <v>30.532</v>
      </c>
      <c r="E49" s="31">
        <f>(E48*E47)/1000</f>
        <v>20.297999999999998</v>
      </c>
      <c r="F49" s="31">
        <f>(F48*F47)/1000</f>
        <v>20.059999999999999</v>
      </c>
      <c r="G49" s="31"/>
      <c r="H49" s="139">
        <f>((H46*1000)/H48)/7</f>
        <v>34.114715719063547</v>
      </c>
      <c r="I49" s="111"/>
      <c r="J49" s="111"/>
      <c r="K49" s="49"/>
      <c r="M49" s="72" t="s">
        <v>13</v>
      </c>
      <c r="N49" s="65">
        <f>(N48*N47)/1000</f>
        <v>19.920000000000002</v>
      </c>
      <c r="O49" s="31">
        <f>(O48*O47)/1000</f>
        <v>19.739999999999998</v>
      </c>
      <c r="P49" s="31">
        <f>(P48*P47)/1000</f>
        <v>19.86</v>
      </c>
      <c r="Q49" s="31">
        <f>(Q48*Q47)/1000</f>
        <v>19.95</v>
      </c>
      <c r="R49" s="31"/>
      <c r="S49" s="83">
        <f>((S46*1000)/S48)/7</f>
        <v>89.714285714285708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84.034999999999997</v>
      </c>
      <c r="C50" s="35">
        <f>((C48*C47)*7)/1000</f>
        <v>133.756</v>
      </c>
      <c r="D50" s="35">
        <f>((D48*D47)*7)/1000</f>
        <v>213.72399999999999</v>
      </c>
      <c r="E50" s="35">
        <f>((E48*E47)*7)/1000</f>
        <v>142.08600000000001</v>
      </c>
      <c r="F50" s="35">
        <f>((F48*F47)*7)/1000</f>
        <v>140.41999999999999</v>
      </c>
      <c r="G50" s="35"/>
      <c r="H50" s="112"/>
      <c r="I50" s="41"/>
      <c r="J50" s="41"/>
      <c r="K50" s="49"/>
      <c r="M50" s="73" t="s">
        <v>14</v>
      </c>
      <c r="N50" s="66">
        <f>((N48*N47)*7)/1000</f>
        <v>139.44</v>
      </c>
      <c r="O50" s="35">
        <f>((O48*O47)*7)/1000</f>
        <v>138.18</v>
      </c>
      <c r="P50" s="35">
        <f>((P48*P47)*7)/1000</f>
        <v>139.02000000000001</v>
      </c>
      <c r="Q50" s="35">
        <f>((Q48*Q47)*7)/1000</f>
        <v>139.65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34.999999999999993</v>
      </c>
      <c r="C51" s="38">
        <f>+(C46/C48)/7*1000</f>
        <v>33.999999999999993</v>
      </c>
      <c r="D51" s="38">
        <f>+(D46/D48)/7*1000</f>
        <v>34</v>
      </c>
      <c r="E51" s="38">
        <f>+(E46/E48)/7*1000</f>
        <v>33.999999999999993</v>
      </c>
      <c r="F51" s="38">
        <f>+(F46/F48)/7*1000</f>
        <v>33.999999999999993</v>
      </c>
      <c r="G51" s="38"/>
      <c r="H51" s="140"/>
      <c r="I51" s="41"/>
      <c r="J51" s="41"/>
      <c r="K51" s="49"/>
      <c r="L51" s="41"/>
      <c r="M51" s="74" t="s">
        <v>15</v>
      </c>
      <c r="N51" s="67">
        <f>+(N46/N48)/7*1000</f>
        <v>89.714285714285737</v>
      </c>
      <c r="O51" s="38">
        <f>+(O46/O48)/7*1000</f>
        <v>89.714285714285722</v>
      </c>
      <c r="P51" s="38">
        <f>+(P46/P48)/7*1000</f>
        <v>89.714285714285737</v>
      </c>
      <c r="Q51" s="38">
        <f>+(Q46/Q48)/7*1000</f>
        <v>89.714285714285722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>
        <v>35</v>
      </c>
      <c r="C53" s="42">
        <v>34</v>
      </c>
      <c r="D53" s="42">
        <v>34</v>
      </c>
      <c r="E53" s="42">
        <v>34</v>
      </c>
      <c r="F53" s="42">
        <v>34</v>
      </c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58"/>
      <c r="M54" s="958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56" t="s">
        <v>30</v>
      </c>
      <c r="C55" s="956"/>
      <c r="D55" s="956"/>
      <c r="E55" s="956"/>
      <c r="F55" s="957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53</v>
      </c>
      <c r="B58" s="61">
        <f>(($B$67*K58)/1000)</f>
        <v>53.218000000000004</v>
      </c>
      <c r="C58" s="61">
        <f>(($C$67*K58)/1000)</f>
        <v>51.905999999999999</v>
      </c>
      <c r="D58" s="61">
        <f t="shared" ref="D58:D64" si="34">(($D$67*K58)/1000)</f>
        <v>52.152000000000001</v>
      </c>
      <c r="E58" s="61">
        <f>(($E$67*K58)/1000)</f>
        <v>52.152000000000001</v>
      </c>
      <c r="F58" s="61"/>
      <c r="G58" s="77">
        <f t="shared" ref="G58:G65" si="35">SUM(B58:F58)</f>
        <v>209.428</v>
      </c>
      <c r="H58" s="42"/>
      <c r="I58" s="42"/>
      <c r="J58" s="42"/>
      <c r="K58" s="2">
        <v>82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6">(($B$67*K59)/1000)</f>
        <v>53.218000000000004</v>
      </c>
      <c r="C59" s="61">
        <f t="shared" ref="C59:C64" si="37">(($C$67*K59)/1000)</f>
        <v>51.905999999999999</v>
      </c>
      <c r="D59" s="61">
        <f t="shared" si="34"/>
        <v>52.152000000000001</v>
      </c>
      <c r="E59" s="61">
        <f t="shared" ref="E59:E64" si="38">(($E$67*K59)/1000)</f>
        <v>52.152000000000001</v>
      </c>
      <c r="F59" s="61"/>
      <c r="G59" s="77">
        <f t="shared" si="35"/>
        <v>209.428</v>
      </c>
      <c r="H59" s="42"/>
      <c r="I59" s="42"/>
      <c r="J59" s="42"/>
      <c r="K59" s="2">
        <v>82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57.761000000000003</v>
      </c>
      <c r="C60" s="61">
        <f t="shared" si="37"/>
        <v>56.337000000000003</v>
      </c>
      <c r="D60" s="61">
        <f t="shared" si="34"/>
        <v>56.603999999999999</v>
      </c>
      <c r="E60" s="61">
        <f t="shared" si="38"/>
        <v>56.603999999999999</v>
      </c>
      <c r="F60" s="19"/>
      <c r="G60" s="77">
        <f t="shared" si="35"/>
        <v>227.30599999999998</v>
      </c>
      <c r="H60" s="42"/>
      <c r="I60" s="42"/>
      <c r="J60" s="42"/>
      <c r="K60" s="2">
        <v>89</v>
      </c>
      <c r="L60" s="146">
        <v>665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6"/>
        <v>61.006</v>
      </c>
      <c r="C61" s="61">
        <f t="shared" si="37"/>
        <v>59.502000000000002</v>
      </c>
      <c r="D61" s="61">
        <f t="shared" si="34"/>
        <v>59.783999999999999</v>
      </c>
      <c r="E61" s="61">
        <f t="shared" si="38"/>
        <v>59.783999999999999</v>
      </c>
      <c r="F61" s="61"/>
      <c r="G61" s="77">
        <f t="shared" si="35"/>
        <v>240.07599999999999</v>
      </c>
      <c r="H61" s="42"/>
      <c r="I61" s="42"/>
      <c r="J61" s="42"/>
      <c r="K61" s="2">
        <v>94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6"/>
        <v>64.900000000000006</v>
      </c>
      <c r="C62" s="61">
        <f t="shared" si="37"/>
        <v>63.3</v>
      </c>
      <c r="D62" s="61">
        <f t="shared" si="34"/>
        <v>63.6</v>
      </c>
      <c r="E62" s="61">
        <f t="shared" si="38"/>
        <v>63.6</v>
      </c>
      <c r="F62" s="61"/>
      <c r="G62" s="77">
        <f t="shared" si="35"/>
        <v>255.39999999999998</v>
      </c>
      <c r="H62" s="42"/>
      <c r="I62" s="42"/>
      <c r="J62" s="42"/>
      <c r="K62" s="2">
        <v>100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6"/>
        <v>68.144999999999996</v>
      </c>
      <c r="C63" s="61">
        <f t="shared" si="37"/>
        <v>66.465000000000003</v>
      </c>
      <c r="D63" s="61">
        <f t="shared" si="34"/>
        <v>66.78</v>
      </c>
      <c r="E63" s="61">
        <f t="shared" si="38"/>
        <v>66.78</v>
      </c>
      <c r="F63" s="61"/>
      <c r="G63" s="77">
        <f t="shared" si="35"/>
        <v>268.17</v>
      </c>
      <c r="H63" s="42"/>
      <c r="I63" s="42"/>
      <c r="J63" s="42"/>
      <c r="K63" s="2">
        <v>105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6"/>
        <v>72.039000000000001</v>
      </c>
      <c r="C64" s="61">
        <f t="shared" si="37"/>
        <v>70.263000000000005</v>
      </c>
      <c r="D64" s="61">
        <f t="shared" si="34"/>
        <v>70.596000000000004</v>
      </c>
      <c r="E64" s="61">
        <f t="shared" si="38"/>
        <v>70.596000000000004</v>
      </c>
      <c r="F64" s="61"/>
      <c r="G64" s="77">
        <f t="shared" si="35"/>
        <v>283.49400000000003</v>
      </c>
      <c r="H64" s="42"/>
      <c r="I64" s="42"/>
      <c r="J64" s="42"/>
      <c r="K64" s="2">
        <v>111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430.28699999999998</v>
      </c>
      <c r="C65" s="22">
        <f>SUM(C58:C64)</f>
        <v>419.67900000000009</v>
      </c>
      <c r="D65" s="22">
        <f>SUM(D58:D64)</f>
        <v>421.66800000000001</v>
      </c>
      <c r="E65" s="22">
        <f>SUM(E58:E64)</f>
        <v>421.66800000000001</v>
      </c>
      <c r="F65" s="22"/>
      <c r="G65" s="77">
        <f t="shared" si="35"/>
        <v>1693.3020000000001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94.714285714285722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649</v>
      </c>
      <c r="C67" s="79">
        <v>633</v>
      </c>
      <c r="D67" s="79">
        <v>636</v>
      </c>
      <c r="E67" s="79">
        <v>636</v>
      </c>
      <c r="F67" s="79"/>
      <c r="G67" s="82">
        <f>SUM(B67:F67)</f>
        <v>2554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19.47</v>
      </c>
      <c r="C68" s="31">
        <f>(C67*C66)/1000</f>
        <v>18.989999999999998</v>
      </c>
      <c r="D68" s="31">
        <f>(D67*D66)/1000</f>
        <v>19.079999999999998</v>
      </c>
      <c r="E68" s="31">
        <f>(E67*E66)/1000</f>
        <v>19.079999999999998</v>
      </c>
      <c r="F68" s="31"/>
      <c r="G68" s="86">
        <f>((G65*1000)/G67)/7</f>
        <v>94.714285714285737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136.29</v>
      </c>
      <c r="C69" s="35">
        <f>((C67*C66)*7)/1000</f>
        <v>132.93</v>
      </c>
      <c r="D69" s="35">
        <f>((D67*D66)*7)/1000</f>
        <v>133.56</v>
      </c>
      <c r="E69" s="35">
        <f>((E67*E66)*7)/1000</f>
        <v>133.56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94.714285714285708</v>
      </c>
      <c r="C70" s="38">
        <f>+(C65/C67)/7*1000</f>
        <v>94.714285714285737</v>
      </c>
      <c r="D70" s="38">
        <f>+(D65/D67)/7*1000</f>
        <v>94.714285714285722</v>
      </c>
      <c r="E70" s="38">
        <f>+(E65/E67)/7*1000</f>
        <v>94.714285714285722</v>
      </c>
      <c r="F70" s="38"/>
      <c r="G70" s="87"/>
      <c r="S70" s="3"/>
    </row>
    <row r="71" spans="1:30" ht="33.75" customHeight="1" x14ac:dyDescent="0.25">
      <c r="B71" s="14">
        <v>48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M11:N11"/>
    <mergeCell ref="B15:J15"/>
    <mergeCell ref="K15:O15"/>
    <mergeCell ref="P15:U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workbookViewId="0"/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60" t="s">
        <v>35</v>
      </c>
      <c r="U9" s="96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965" t="s">
        <v>60</v>
      </c>
      <c r="N11" s="965"/>
      <c r="O11" s="6"/>
      <c r="P11" s="6"/>
      <c r="Q11" s="1"/>
      <c r="R11" s="1"/>
      <c r="S11" s="1" t="s">
        <v>6</v>
      </c>
      <c r="T11" s="95">
        <v>45357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68" t="s">
        <v>8</v>
      </c>
      <c r="C15" s="968"/>
      <c r="D15" s="968"/>
      <c r="E15" s="968"/>
      <c r="F15" s="968"/>
      <c r="G15" s="968"/>
      <c r="H15" s="968"/>
      <c r="I15" s="968"/>
      <c r="J15" s="969"/>
      <c r="K15" s="962" t="s">
        <v>29</v>
      </c>
      <c r="L15" s="963"/>
      <c r="M15" s="963"/>
      <c r="N15" s="963"/>
      <c r="O15" s="964"/>
      <c r="P15" s="962" t="s">
        <v>31</v>
      </c>
      <c r="Q15" s="963"/>
      <c r="R15" s="963"/>
      <c r="S15" s="963"/>
      <c r="T15" s="963"/>
      <c r="U15" s="964"/>
      <c r="V15" s="9"/>
    </row>
    <row r="16" spans="1:32" ht="39.950000000000003" customHeight="1" x14ac:dyDescent="0.25">
      <c r="A16" s="80" t="s">
        <v>34</v>
      </c>
      <c r="B16" s="115"/>
      <c r="C16" s="113"/>
      <c r="D16" s="114"/>
      <c r="E16" s="113"/>
      <c r="F16" s="113"/>
      <c r="G16" s="113"/>
      <c r="H16" s="114"/>
      <c r="I16" s="114"/>
      <c r="J16" s="116"/>
      <c r="K16" s="117"/>
      <c r="L16" s="118"/>
      <c r="M16" s="118"/>
      <c r="N16" s="118"/>
      <c r="O16" s="121"/>
      <c r="P16" s="117"/>
      <c r="Q16" s="118"/>
      <c r="R16" s="118"/>
      <c r="S16" s="118"/>
      <c r="T16" s="118"/>
      <c r="U16" s="119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7">
        <v>9</v>
      </c>
      <c r="K17" s="11">
        <v>1</v>
      </c>
      <c r="L17" s="16">
        <v>2</v>
      </c>
      <c r="M17" s="16">
        <v>3</v>
      </c>
      <c r="N17" s="16">
        <v>4</v>
      </c>
      <c r="O17" s="107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53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32"/>
      <c r="V24" s="98">
        <f>SUM(B24:U24)</f>
        <v>366.37549999999999</v>
      </c>
      <c r="X24" s="2"/>
    </row>
    <row r="25" spans="1:32" ht="41.45" customHeight="1" x14ac:dyDescent="0.25">
      <c r="A25" s="126" t="s">
        <v>9</v>
      </c>
      <c r="B25" s="127">
        <f t="shared" ref="B25:I25" si="17">SUM(B18:B24)</f>
        <v>59.0625</v>
      </c>
      <c r="C25" s="128">
        <f t="shared" si="17"/>
        <v>87.9375</v>
      </c>
      <c r="D25" s="128">
        <f t="shared" si="17"/>
        <v>207.214</v>
      </c>
      <c r="E25" s="128">
        <f t="shared" si="17"/>
        <v>207.11250000000001</v>
      </c>
      <c r="F25" s="128">
        <f t="shared" si="17"/>
        <v>177.93300000000002</v>
      </c>
      <c r="G25" s="128">
        <f>SUM(G18:G24)</f>
        <v>167.09700000000001</v>
      </c>
      <c r="H25" s="128">
        <f t="shared" si="17"/>
        <v>111.398</v>
      </c>
      <c r="I25" s="128">
        <f t="shared" si="17"/>
        <v>103.32000000000001</v>
      </c>
      <c r="J25" s="129">
        <f>SUM(J18:J24)</f>
        <v>63.504000000000005</v>
      </c>
      <c r="K25" s="131">
        <f>SUM(K18:K24)</f>
        <v>149.36250000000001</v>
      </c>
      <c r="L25" s="128">
        <f>SUM(L18:L24)</f>
        <v>184.14899999999997</v>
      </c>
      <c r="M25" s="128">
        <f>SUM(M18:M24)</f>
        <v>221.26300000000003</v>
      </c>
      <c r="N25" s="128">
        <f>SUM(N18:N24)</f>
        <v>139.86000000000001</v>
      </c>
      <c r="O25" s="129"/>
      <c r="P25" s="133">
        <f>SUM(P18:P24)</f>
        <v>118.91249999999999</v>
      </c>
      <c r="Q25" s="134">
        <f>SUM(Q18:Q24)</f>
        <v>216.5625</v>
      </c>
      <c r="R25" s="134">
        <f>SUM(R18:R24)</f>
        <v>238.798</v>
      </c>
      <c r="S25" s="134">
        <f>SUM(S18:S24)</f>
        <v>111.1425</v>
      </c>
      <c r="T25" s="134"/>
      <c r="U25" s="129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20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66" t="s">
        <v>17</v>
      </c>
      <c r="C36" s="967"/>
      <c r="D36" s="967"/>
      <c r="E36" s="967"/>
      <c r="F36" s="967"/>
      <c r="G36" s="967"/>
      <c r="H36" s="75"/>
      <c r="L36" s="44"/>
      <c r="M36" s="88" t="s">
        <v>18</v>
      </c>
      <c r="N36" s="956" t="s">
        <v>17</v>
      </c>
      <c r="O36" s="956"/>
      <c r="P36" s="956"/>
      <c r="Q36" s="956"/>
      <c r="R36" s="957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41"/>
      <c r="C37" s="118"/>
      <c r="D37" s="118"/>
      <c r="E37" s="118"/>
      <c r="F37" s="118"/>
      <c r="G37" s="119"/>
      <c r="H37" s="13" t="s">
        <v>9</v>
      </c>
      <c r="I37" s="47"/>
      <c r="J37" s="47"/>
      <c r="K37" s="970"/>
      <c r="L37" s="970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44"/>
      <c r="L38" s="14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36">
        <f t="shared" ref="H39:H46" si="24">SUM(B39:G39)</f>
        <v>113.2115</v>
      </c>
      <c r="I39" s="49"/>
      <c r="J39" s="49"/>
      <c r="K39" s="144"/>
      <c r="L39" s="145"/>
      <c r="M39" s="96" t="s">
        <v>53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36">
        <f t="shared" si="24"/>
        <v>113.2115</v>
      </c>
      <c r="I40" s="49"/>
      <c r="J40" s="49"/>
      <c r="K40" s="144"/>
      <c r="L40" s="14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36">
        <f t="shared" si="24"/>
        <v>113.2115</v>
      </c>
      <c r="I41" s="49"/>
      <c r="J41" s="49"/>
      <c r="K41" s="144"/>
      <c r="L41" s="14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4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36">
        <f t="shared" si="24"/>
        <v>113.2115</v>
      </c>
      <c r="I42" s="49"/>
      <c r="J42" s="49"/>
      <c r="K42" s="144"/>
      <c r="L42" s="14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4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36">
        <f t="shared" si="24"/>
        <v>113.2115</v>
      </c>
      <c r="I43" s="49"/>
      <c r="J43" s="49"/>
      <c r="K43" s="144"/>
      <c r="L43" s="14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4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36">
        <f t="shared" si="24"/>
        <v>113.2115</v>
      </c>
      <c r="I44" s="49"/>
      <c r="J44" s="49"/>
      <c r="K44" s="144"/>
      <c r="L44" s="14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4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36">
        <f t="shared" si="24"/>
        <v>113.2115</v>
      </c>
      <c r="I45" s="49"/>
      <c r="J45" s="49"/>
      <c r="K45" s="144"/>
      <c r="L45" s="14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4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36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37">
        <f>+((H46/H48)/7)*1000</f>
        <v>37.952229299363054</v>
      </c>
      <c r="I47" s="109"/>
      <c r="J47" s="109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38">
        <f>SUM(B48:G48)</f>
        <v>2983</v>
      </c>
      <c r="I48" s="110"/>
      <c r="J48" s="110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9">
        <f>((H46*1000)/H48)/7</f>
        <v>37.952229299363054</v>
      </c>
      <c r="I49" s="111"/>
      <c r="J49" s="111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12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40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58"/>
      <c r="M54" s="958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56" t="s">
        <v>30</v>
      </c>
      <c r="C55" s="956"/>
      <c r="D55" s="956"/>
      <c r="E55" s="956"/>
      <c r="F55" s="957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53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4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4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M11:N11"/>
    <mergeCell ref="B15:J15"/>
    <mergeCell ref="K15:O15"/>
    <mergeCell ref="P15:U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H239"/>
  <sheetViews>
    <sheetView workbookViewId="0"/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1" width="20.140625" style="14" customWidth="1"/>
    <col min="12" max="12" width="28.28515625" style="14" bestFit="1" customWidth="1"/>
    <col min="13" max="14" width="33.42578125" style="14" bestFit="1" customWidth="1"/>
    <col min="15" max="15" width="22.7109375" style="14" customWidth="1"/>
    <col min="16" max="18" width="21.28515625" style="14" customWidth="1"/>
    <col min="19" max="19" width="21.28515625" style="14" bestFit="1" customWidth="1"/>
    <col min="20" max="20" width="21.28515625" style="14" customWidth="1"/>
    <col min="21" max="21" width="27.85546875" style="14" customWidth="1"/>
    <col min="22" max="22" width="23.42578125" style="14" customWidth="1"/>
    <col min="23" max="23" width="21.42578125" style="14" customWidth="1"/>
    <col min="24" max="24" width="25.42578125" style="14" customWidth="1"/>
    <col min="25" max="26" width="20.7109375" style="14" customWidth="1"/>
    <col min="27" max="27" width="32.28515625" style="14" bestFit="1" customWidth="1"/>
    <col min="28" max="28" width="20.7109375" style="14" customWidth="1"/>
    <col min="29" max="29" width="22" style="14" customWidth="1"/>
    <col min="30" max="33" width="21.28515625" style="14" customWidth="1"/>
    <col min="34" max="34" width="22.28515625" style="14" customWidth="1"/>
    <col min="35" max="36" width="11.42578125" style="14"/>
    <col min="37" max="37" width="14.85546875" style="14" bestFit="1" customWidth="1"/>
    <col min="38" max="262" width="11.42578125" style="14"/>
    <col min="263" max="263" width="34.42578125" style="14" customWidth="1"/>
    <col min="264" max="265" width="19.42578125" style="14" bestFit="1" customWidth="1"/>
    <col min="266" max="266" width="19.7109375" style="14" customWidth="1"/>
    <col min="267" max="268" width="20.42578125" style="14" customWidth="1"/>
    <col min="269" max="270" width="19.7109375" style="14" customWidth="1"/>
    <col min="271" max="271" width="25.28515625" style="14" customWidth="1"/>
    <col min="272" max="272" width="26" style="14" customWidth="1"/>
    <col min="273" max="273" width="22.28515625" style="14" customWidth="1"/>
    <col min="274" max="274" width="24.85546875" style="14" customWidth="1"/>
    <col min="275" max="275" width="21.140625" style="14" customWidth="1"/>
    <col min="276" max="276" width="21.42578125" style="14" customWidth="1"/>
    <col min="277" max="277" width="27.85546875" style="14" customWidth="1"/>
    <col min="278" max="278" width="23.42578125" style="14" customWidth="1"/>
    <col min="279" max="279" width="21.42578125" style="14" customWidth="1"/>
    <col min="280" max="282" width="20.7109375" style="14" customWidth="1"/>
    <col min="283" max="283" width="32.28515625" style="14" bestFit="1" customWidth="1"/>
    <col min="284" max="284" width="20.7109375" style="14" customWidth="1"/>
    <col min="285" max="285" width="22" style="14" customWidth="1"/>
    <col min="286" max="289" width="21.28515625" style="14" customWidth="1"/>
    <col min="290" max="290" width="22.28515625" style="14" customWidth="1"/>
    <col min="291" max="292" width="11.42578125" style="14"/>
    <col min="293" max="293" width="14.85546875" style="14" bestFit="1" customWidth="1"/>
    <col min="294" max="518" width="11.42578125" style="14"/>
    <col min="519" max="519" width="34.42578125" style="14" customWidth="1"/>
    <col min="520" max="521" width="19.42578125" style="14" bestFit="1" customWidth="1"/>
    <col min="522" max="522" width="19.7109375" style="14" customWidth="1"/>
    <col min="523" max="524" width="20.42578125" style="14" customWidth="1"/>
    <col min="525" max="526" width="19.7109375" style="14" customWidth="1"/>
    <col min="527" max="527" width="25.28515625" style="14" customWidth="1"/>
    <col min="528" max="528" width="26" style="14" customWidth="1"/>
    <col min="529" max="529" width="22.28515625" style="14" customWidth="1"/>
    <col min="530" max="530" width="24.85546875" style="14" customWidth="1"/>
    <col min="531" max="531" width="21.140625" style="14" customWidth="1"/>
    <col min="532" max="532" width="21.42578125" style="14" customWidth="1"/>
    <col min="533" max="533" width="27.85546875" style="14" customWidth="1"/>
    <col min="534" max="534" width="23.42578125" style="14" customWidth="1"/>
    <col min="535" max="535" width="21.42578125" style="14" customWidth="1"/>
    <col min="536" max="538" width="20.7109375" style="14" customWidth="1"/>
    <col min="539" max="539" width="32.28515625" style="14" bestFit="1" customWidth="1"/>
    <col min="540" max="540" width="20.7109375" style="14" customWidth="1"/>
    <col min="541" max="541" width="22" style="14" customWidth="1"/>
    <col min="542" max="545" width="21.28515625" style="14" customWidth="1"/>
    <col min="546" max="546" width="22.28515625" style="14" customWidth="1"/>
    <col min="547" max="548" width="11.42578125" style="14"/>
    <col min="549" max="549" width="14.85546875" style="14" bestFit="1" customWidth="1"/>
    <col min="550" max="774" width="11.42578125" style="14"/>
    <col min="775" max="775" width="34.42578125" style="14" customWidth="1"/>
    <col min="776" max="777" width="19.42578125" style="14" bestFit="1" customWidth="1"/>
    <col min="778" max="778" width="19.7109375" style="14" customWidth="1"/>
    <col min="779" max="780" width="20.42578125" style="14" customWidth="1"/>
    <col min="781" max="782" width="19.7109375" style="14" customWidth="1"/>
    <col min="783" max="783" width="25.28515625" style="14" customWidth="1"/>
    <col min="784" max="784" width="26" style="14" customWidth="1"/>
    <col min="785" max="785" width="22.28515625" style="14" customWidth="1"/>
    <col min="786" max="786" width="24.85546875" style="14" customWidth="1"/>
    <col min="787" max="787" width="21.140625" style="14" customWidth="1"/>
    <col min="788" max="788" width="21.42578125" style="14" customWidth="1"/>
    <col min="789" max="789" width="27.85546875" style="14" customWidth="1"/>
    <col min="790" max="790" width="23.42578125" style="14" customWidth="1"/>
    <col min="791" max="791" width="21.42578125" style="14" customWidth="1"/>
    <col min="792" max="794" width="20.7109375" style="14" customWidth="1"/>
    <col min="795" max="795" width="32.28515625" style="14" bestFit="1" customWidth="1"/>
    <col min="796" max="796" width="20.7109375" style="14" customWidth="1"/>
    <col min="797" max="797" width="22" style="14" customWidth="1"/>
    <col min="798" max="801" width="21.28515625" style="14" customWidth="1"/>
    <col min="802" max="802" width="22.28515625" style="14" customWidth="1"/>
    <col min="803" max="804" width="11.42578125" style="14"/>
    <col min="805" max="805" width="14.85546875" style="14" bestFit="1" customWidth="1"/>
    <col min="806" max="1030" width="11.42578125" style="14"/>
    <col min="1031" max="1031" width="34.42578125" style="14" customWidth="1"/>
    <col min="1032" max="1033" width="19.42578125" style="14" bestFit="1" customWidth="1"/>
    <col min="1034" max="1034" width="19.7109375" style="14" customWidth="1"/>
    <col min="1035" max="1036" width="20.42578125" style="14" customWidth="1"/>
    <col min="1037" max="1038" width="19.7109375" style="14" customWidth="1"/>
    <col min="1039" max="1039" width="25.28515625" style="14" customWidth="1"/>
    <col min="1040" max="1040" width="26" style="14" customWidth="1"/>
    <col min="1041" max="1041" width="22.28515625" style="14" customWidth="1"/>
    <col min="1042" max="1042" width="24.85546875" style="14" customWidth="1"/>
    <col min="1043" max="1043" width="21.140625" style="14" customWidth="1"/>
    <col min="1044" max="1044" width="21.42578125" style="14" customWidth="1"/>
    <col min="1045" max="1045" width="27.85546875" style="14" customWidth="1"/>
    <col min="1046" max="1046" width="23.42578125" style="14" customWidth="1"/>
    <col min="1047" max="1047" width="21.42578125" style="14" customWidth="1"/>
    <col min="1048" max="1050" width="20.7109375" style="14" customWidth="1"/>
    <col min="1051" max="1051" width="32.28515625" style="14" bestFit="1" customWidth="1"/>
    <col min="1052" max="1052" width="20.7109375" style="14" customWidth="1"/>
    <col min="1053" max="1053" width="22" style="14" customWidth="1"/>
    <col min="1054" max="1057" width="21.28515625" style="14" customWidth="1"/>
    <col min="1058" max="1058" width="22.28515625" style="14" customWidth="1"/>
    <col min="1059" max="1060" width="11.42578125" style="14"/>
    <col min="1061" max="1061" width="14.85546875" style="14" bestFit="1" customWidth="1"/>
    <col min="1062" max="1286" width="11.42578125" style="14"/>
    <col min="1287" max="1287" width="34.42578125" style="14" customWidth="1"/>
    <col min="1288" max="1289" width="19.42578125" style="14" bestFit="1" customWidth="1"/>
    <col min="1290" max="1290" width="19.7109375" style="14" customWidth="1"/>
    <col min="1291" max="1292" width="20.42578125" style="14" customWidth="1"/>
    <col min="1293" max="1294" width="19.7109375" style="14" customWidth="1"/>
    <col min="1295" max="1295" width="25.28515625" style="14" customWidth="1"/>
    <col min="1296" max="1296" width="26" style="14" customWidth="1"/>
    <col min="1297" max="1297" width="22.28515625" style="14" customWidth="1"/>
    <col min="1298" max="1298" width="24.85546875" style="14" customWidth="1"/>
    <col min="1299" max="1299" width="21.140625" style="14" customWidth="1"/>
    <col min="1300" max="1300" width="21.42578125" style="14" customWidth="1"/>
    <col min="1301" max="1301" width="27.85546875" style="14" customWidth="1"/>
    <col min="1302" max="1302" width="23.42578125" style="14" customWidth="1"/>
    <col min="1303" max="1303" width="21.42578125" style="14" customWidth="1"/>
    <col min="1304" max="1306" width="20.7109375" style="14" customWidth="1"/>
    <col min="1307" max="1307" width="32.28515625" style="14" bestFit="1" customWidth="1"/>
    <col min="1308" max="1308" width="20.7109375" style="14" customWidth="1"/>
    <col min="1309" max="1309" width="22" style="14" customWidth="1"/>
    <col min="1310" max="1313" width="21.28515625" style="14" customWidth="1"/>
    <col min="1314" max="1314" width="22.28515625" style="14" customWidth="1"/>
    <col min="1315" max="1316" width="11.42578125" style="14"/>
    <col min="1317" max="1317" width="14.85546875" style="14" bestFit="1" customWidth="1"/>
    <col min="1318" max="1542" width="11.42578125" style="14"/>
    <col min="1543" max="1543" width="34.42578125" style="14" customWidth="1"/>
    <col min="1544" max="1545" width="19.42578125" style="14" bestFit="1" customWidth="1"/>
    <col min="1546" max="1546" width="19.7109375" style="14" customWidth="1"/>
    <col min="1547" max="1548" width="20.42578125" style="14" customWidth="1"/>
    <col min="1549" max="1550" width="19.7109375" style="14" customWidth="1"/>
    <col min="1551" max="1551" width="25.28515625" style="14" customWidth="1"/>
    <col min="1552" max="1552" width="26" style="14" customWidth="1"/>
    <col min="1553" max="1553" width="22.28515625" style="14" customWidth="1"/>
    <col min="1554" max="1554" width="24.85546875" style="14" customWidth="1"/>
    <col min="1555" max="1555" width="21.140625" style="14" customWidth="1"/>
    <col min="1556" max="1556" width="21.42578125" style="14" customWidth="1"/>
    <col min="1557" max="1557" width="27.85546875" style="14" customWidth="1"/>
    <col min="1558" max="1558" width="23.42578125" style="14" customWidth="1"/>
    <col min="1559" max="1559" width="21.42578125" style="14" customWidth="1"/>
    <col min="1560" max="1562" width="20.7109375" style="14" customWidth="1"/>
    <col min="1563" max="1563" width="32.28515625" style="14" bestFit="1" customWidth="1"/>
    <col min="1564" max="1564" width="20.7109375" style="14" customWidth="1"/>
    <col min="1565" max="1565" width="22" style="14" customWidth="1"/>
    <col min="1566" max="1569" width="21.28515625" style="14" customWidth="1"/>
    <col min="1570" max="1570" width="22.28515625" style="14" customWidth="1"/>
    <col min="1571" max="1572" width="11.42578125" style="14"/>
    <col min="1573" max="1573" width="14.85546875" style="14" bestFit="1" customWidth="1"/>
    <col min="1574" max="1798" width="11.42578125" style="14"/>
    <col min="1799" max="1799" width="34.42578125" style="14" customWidth="1"/>
    <col min="1800" max="1801" width="19.42578125" style="14" bestFit="1" customWidth="1"/>
    <col min="1802" max="1802" width="19.7109375" style="14" customWidth="1"/>
    <col min="1803" max="1804" width="20.42578125" style="14" customWidth="1"/>
    <col min="1805" max="1806" width="19.7109375" style="14" customWidth="1"/>
    <col min="1807" max="1807" width="25.28515625" style="14" customWidth="1"/>
    <col min="1808" max="1808" width="26" style="14" customWidth="1"/>
    <col min="1809" max="1809" width="22.28515625" style="14" customWidth="1"/>
    <col min="1810" max="1810" width="24.85546875" style="14" customWidth="1"/>
    <col min="1811" max="1811" width="21.140625" style="14" customWidth="1"/>
    <col min="1812" max="1812" width="21.42578125" style="14" customWidth="1"/>
    <col min="1813" max="1813" width="27.85546875" style="14" customWidth="1"/>
    <col min="1814" max="1814" width="23.42578125" style="14" customWidth="1"/>
    <col min="1815" max="1815" width="21.42578125" style="14" customWidth="1"/>
    <col min="1816" max="1818" width="20.7109375" style="14" customWidth="1"/>
    <col min="1819" max="1819" width="32.28515625" style="14" bestFit="1" customWidth="1"/>
    <col min="1820" max="1820" width="20.7109375" style="14" customWidth="1"/>
    <col min="1821" max="1821" width="22" style="14" customWidth="1"/>
    <col min="1822" max="1825" width="21.28515625" style="14" customWidth="1"/>
    <col min="1826" max="1826" width="22.28515625" style="14" customWidth="1"/>
    <col min="1827" max="1828" width="11.42578125" style="14"/>
    <col min="1829" max="1829" width="14.85546875" style="14" bestFit="1" customWidth="1"/>
    <col min="1830" max="2054" width="11.42578125" style="14"/>
    <col min="2055" max="2055" width="34.42578125" style="14" customWidth="1"/>
    <col min="2056" max="2057" width="19.42578125" style="14" bestFit="1" customWidth="1"/>
    <col min="2058" max="2058" width="19.7109375" style="14" customWidth="1"/>
    <col min="2059" max="2060" width="20.42578125" style="14" customWidth="1"/>
    <col min="2061" max="2062" width="19.7109375" style="14" customWidth="1"/>
    <col min="2063" max="2063" width="25.28515625" style="14" customWidth="1"/>
    <col min="2064" max="2064" width="26" style="14" customWidth="1"/>
    <col min="2065" max="2065" width="22.28515625" style="14" customWidth="1"/>
    <col min="2066" max="2066" width="24.85546875" style="14" customWidth="1"/>
    <col min="2067" max="2067" width="21.140625" style="14" customWidth="1"/>
    <col min="2068" max="2068" width="21.42578125" style="14" customWidth="1"/>
    <col min="2069" max="2069" width="27.85546875" style="14" customWidth="1"/>
    <col min="2070" max="2070" width="23.42578125" style="14" customWidth="1"/>
    <col min="2071" max="2071" width="21.42578125" style="14" customWidth="1"/>
    <col min="2072" max="2074" width="20.7109375" style="14" customWidth="1"/>
    <col min="2075" max="2075" width="32.28515625" style="14" bestFit="1" customWidth="1"/>
    <col min="2076" max="2076" width="20.7109375" style="14" customWidth="1"/>
    <col min="2077" max="2077" width="22" style="14" customWidth="1"/>
    <col min="2078" max="2081" width="21.28515625" style="14" customWidth="1"/>
    <col min="2082" max="2082" width="22.28515625" style="14" customWidth="1"/>
    <col min="2083" max="2084" width="11.42578125" style="14"/>
    <col min="2085" max="2085" width="14.85546875" style="14" bestFit="1" customWidth="1"/>
    <col min="2086" max="2310" width="11.42578125" style="14"/>
    <col min="2311" max="2311" width="34.42578125" style="14" customWidth="1"/>
    <col min="2312" max="2313" width="19.42578125" style="14" bestFit="1" customWidth="1"/>
    <col min="2314" max="2314" width="19.7109375" style="14" customWidth="1"/>
    <col min="2315" max="2316" width="20.42578125" style="14" customWidth="1"/>
    <col min="2317" max="2318" width="19.7109375" style="14" customWidth="1"/>
    <col min="2319" max="2319" width="25.28515625" style="14" customWidth="1"/>
    <col min="2320" max="2320" width="26" style="14" customWidth="1"/>
    <col min="2321" max="2321" width="22.28515625" style="14" customWidth="1"/>
    <col min="2322" max="2322" width="24.85546875" style="14" customWidth="1"/>
    <col min="2323" max="2323" width="21.140625" style="14" customWidth="1"/>
    <col min="2324" max="2324" width="21.42578125" style="14" customWidth="1"/>
    <col min="2325" max="2325" width="27.85546875" style="14" customWidth="1"/>
    <col min="2326" max="2326" width="23.42578125" style="14" customWidth="1"/>
    <col min="2327" max="2327" width="21.42578125" style="14" customWidth="1"/>
    <col min="2328" max="2330" width="20.7109375" style="14" customWidth="1"/>
    <col min="2331" max="2331" width="32.28515625" style="14" bestFit="1" customWidth="1"/>
    <col min="2332" max="2332" width="20.7109375" style="14" customWidth="1"/>
    <col min="2333" max="2333" width="22" style="14" customWidth="1"/>
    <col min="2334" max="2337" width="21.28515625" style="14" customWidth="1"/>
    <col min="2338" max="2338" width="22.28515625" style="14" customWidth="1"/>
    <col min="2339" max="2340" width="11.42578125" style="14"/>
    <col min="2341" max="2341" width="14.85546875" style="14" bestFit="1" customWidth="1"/>
    <col min="2342" max="2566" width="11.42578125" style="14"/>
    <col min="2567" max="2567" width="34.42578125" style="14" customWidth="1"/>
    <col min="2568" max="2569" width="19.42578125" style="14" bestFit="1" customWidth="1"/>
    <col min="2570" max="2570" width="19.7109375" style="14" customWidth="1"/>
    <col min="2571" max="2572" width="20.42578125" style="14" customWidth="1"/>
    <col min="2573" max="2574" width="19.7109375" style="14" customWidth="1"/>
    <col min="2575" max="2575" width="25.28515625" style="14" customWidth="1"/>
    <col min="2576" max="2576" width="26" style="14" customWidth="1"/>
    <col min="2577" max="2577" width="22.28515625" style="14" customWidth="1"/>
    <col min="2578" max="2578" width="24.85546875" style="14" customWidth="1"/>
    <col min="2579" max="2579" width="21.140625" style="14" customWidth="1"/>
    <col min="2580" max="2580" width="21.42578125" style="14" customWidth="1"/>
    <col min="2581" max="2581" width="27.85546875" style="14" customWidth="1"/>
    <col min="2582" max="2582" width="23.42578125" style="14" customWidth="1"/>
    <col min="2583" max="2583" width="21.42578125" style="14" customWidth="1"/>
    <col min="2584" max="2586" width="20.7109375" style="14" customWidth="1"/>
    <col min="2587" max="2587" width="32.28515625" style="14" bestFit="1" customWidth="1"/>
    <col min="2588" max="2588" width="20.7109375" style="14" customWidth="1"/>
    <col min="2589" max="2589" width="22" style="14" customWidth="1"/>
    <col min="2590" max="2593" width="21.28515625" style="14" customWidth="1"/>
    <col min="2594" max="2594" width="22.28515625" style="14" customWidth="1"/>
    <col min="2595" max="2596" width="11.42578125" style="14"/>
    <col min="2597" max="2597" width="14.85546875" style="14" bestFit="1" customWidth="1"/>
    <col min="2598" max="2822" width="11.42578125" style="14"/>
    <col min="2823" max="2823" width="34.42578125" style="14" customWidth="1"/>
    <col min="2824" max="2825" width="19.42578125" style="14" bestFit="1" customWidth="1"/>
    <col min="2826" max="2826" width="19.7109375" style="14" customWidth="1"/>
    <col min="2827" max="2828" width="20.42578125" style="14" customWidth="1"/>
    <col min="2829" max="2830" width="19.7109375" style="14" customWidth="1"/>
    <col min="2831" max="2831" width="25.28515625" style="14" customWidth="1"/>
    <col min="2832" max="2832" width="26" style="14" customWidth="1"/>
    <col min="2833" max="2833" width="22.28515625" style="14" customWidth="1"/>
    <col min="2834" max="2834" width="24.85546875" style="14" customWidth="1"/>
    <col min="2835" max="2835" width="21.140625" style="14" customWidth="1"/>
    <col min="2836" max="2836" width="21.42578125" style="14" customWidth="1"/>
    <col min="2837" max="2837" width="27.85546875" style="14" customWidth="1"/>
    <col min="2838" max="2838" width="23.42578125" style="14" customWidth="1"/>
    <col min="2839" max="2839" width="21.42578125" style="14" customWidth="1"/>
    <col min="2840" max="2842" width="20.7109375" style="14" customWidth="1"/>
    <col min="2843" max="2843" width="32.28515625" style="14" bestFit="1" customWidth="1"/>
    <col min="2844" max="2844" width="20.7109375" style="14" customWidth="1"/>
    <col min="2845" max="2845" width="22" style="14" customWidth="1"/>
    <col min="2846" max="2849" width="21.28515625" style="14" customWidth="1"/>
    <col min="2850" max="2850" width="22.28515625" style="14" customWidth="1"/>
    <col min="2851" max="2852" width="11.42578125" style="14"/>
    <col min="2853" max="2853" width="14.85546875" style="14" bestFit="1" customWidth="1"/>
    <col min="2854" max="3078" width="11.42578125" style="14"/>
    <col min="3079" max="3079" width="34.42578125" style="14" customWidth="1"/>
    <col min="3080" max="3081" width="19.42578125" style="14" bestFit="1" customWidth="1"/>
    <col min="3082" max="3082" width="19.7109375" style="14" customWidth="1"/>
    <col min="3083" max="3084" width="20.42578125" style="14" customWidth="1"/>
    <col min="3085" max="3086" width="19.7109375" style="14" customWidth="1"/>
    <col min="3087" max="3087" width="25.28515625" style="14" customWidth="1"/>
    <col min="3088" max="3088" width="26" style="14" customWidth="1"/>
    <col min="3089" max="3089" width="22.28515625" style="14" customWidth="1"/>
    <col min="3090" max="3090" width="24.85546875" style="14" customWidth="1"/>
    <col min="3091" max="3091" width="21.140625" style="14" customWidth="1"/>
    <col min="3092" max="3092" width="21.42578125" style="14" customWidth="1"/>
    <col min="3093" max="3093" width="27.85546875" style="14" customWidth="1"/>
    <col min="3094" max="3094" width="23.42578125" style="14" customWidth="1"/>
    <col min="3095" max="3095" width="21.42578125" style="14" customWidth="1"/>
    <col min="3096" max="3098" width="20.7109375" style="14" customWidth="1"/>
    <col min="3099" max="3099" width="32.28515625" style="14" bestFit="1" customWidth="1"/>
    <col min="3100" max="3100" width="20.7109375" style="14" customWidth="1"/>
    <col min="3101" max="3101" width="22" style="14" customWidth="1"/>
    <col min="3102" max="3105" width="21.28515625" style="14" customWidth="1"/>
    <col min="3106" max="3106" width="22.28515625" style="14" customWidth="1"/>
    <col min="3107" max="3108" width="11.42578125" style="14"/>
    <col min="3109" max="3109" width="14.85546875" style="14" bestFit="1" customWidth="1"/>
    <col min="3110" max="3334" width="11.42578125" style="14"/>
    <col min="3335" max="3335" width="34.42578125" style="14" customWidth="1"/>
    <col min="3336" max="3337" width="19.42578125" style="14" bestFit="1" customWidth="1"/>
    <col min="3338" max="3338" width="19.7109375" style="14" customWidth="1"/>
    <col min="3339" max="3340" width="20.42578125" style="14" customWidth="1"/>
    <col min="3341" max="3342" width="19.7109375" style="14" customWidth="1"/>
    <col min="3343" max="3343" width="25.28515625" style="14" customWidth="1"/>
    <col min="3344" max="3344" width="26" style="14" customWidth="1"/>
    <col min="3345" max="3345" width="22.28515625" style="14" customWidth="1"/>
    <col min="3346" max="3346" width="24.85546875" style="14" customWidth="1"/>
    <col min="3347" max="3347" width="21.140625" style="14" customWidth="1"/>
    <col min="3348" max="3348" width="21.42578125" style="14" customWidth="1"/>
    <col min="3349" max="3349" width="27.85546875" style="14" customWidth="1"/>
    <col min="3350" max="3350" width="23.42578125" style="14" customWidth="1"/>
    <col min="3351" max="3351" width="21.42578125" style="14" customWidth="1"/>
    <col min="3352" max="3354" width="20.7109375" style="14" customWidth="1"/>
    <col min="3355" max="3355" width="32.28515625" style="14" bestFit="1" customWidth="1"/>
    <col min="3356" max="3356" width="20.7109375" style="14" customWidth="1"/>
    <col min="3357" max="3357" width="22" style="14" customWidth="1"/>
    <col min="3358" max="3361" width="21.28515625" style="14" customWidth="1"/>
    <col min="3362" max="3362" width="22.28515625" style="14" customWidth="1"/>
    <col min="3363" max="3364" width="11.42578125" style="14"/>
    <col min="3365" max="3365" width="14.85546875" style="14" bestFit="1" customWidth="1"/>
    <col min="3366" max="3590" width="11.42578125" style="14"/>
    <col min="3591" max="3591" width="34.42578125" style="14" customWidth="1"/>
    <col min="3592" max="3593" width="19.42578125" style="14" bestFit="1" customWidth="1"/>
    <col min="3594" max="3594" width="19.7109375" style="14" customWidth="1"/>
    <col min="3595" max="3596" width="20.42578125" style="14" customWidth="1"/>
    <col min="3597" max="3598" width="19.7109375" style="14" customWidth="1"/>
    <col min="3599" max="3599" width="25.28515625" style="14" customWidth="1"/>
    <col min="3600" max="3600" width="26" style="14" customWidth="1"/>
    <col min="3601" max="3601" width="22.28515625" style="14" customWidth="1"/>
    <col min="3602" max="3602" width="24.85546875" style="14" customWidth="1"/>
    <col min="3603" max="3603" width="21.140625" style="14" customWidth="1"/>
    <col min="3604" max="3604" width="21.42578125" style="14" customWidth="1"/>
    <col min="3605" max="3605" width="27.85546875" style="14" customWidth="1"/>
    <col min="3606" max="3606" width="23.42578125" style="14" customWidth="1"/>
    <col min="3607" max="3607" width="21.42578125" style="14" customWidth="1"/>
    <col min="3608" max="3610" width="20.7109375" style="14" customWidth="1"/>
    <col min="3611" max="3611" width="32.28515625" style="14" bestFit="1" customWidth="1"/>
    <col min="3612" max="3612" width="20.7109375" style="14" customWidth="1"/>
    <col min="3613" max="3613" width="22" style="14" customWidth="1"/>
    <col min="3614" max="3617" width="21.28515625" style="14" customWidth="1"/>
    <col min="3618" max="3618" width="22.28515625" style="14" customWidth="1"/>
    <col min="3619" max="3620" width="11.42578125" style="14"/>
    <col min="3621" max="3621" width="14.85546875" style="14" bestFit="1" customWidth="1"/>
    <col min="3622" max="3846" width="11.42578125" style="14"/>
    <col min="3847" max="3847" width="34.42578125" style="14" customWidth="1"/>
    <col min="3848" max="3849" width="19.42578125" style="14" bestFit="1" customWidth="1"/>
    <col min="3850" max="3850" width="19.7109375" style="14" customWidth="1"/>
    <col min="3851" max="3852" width="20.42578125" style="14" customWidth="1"/>
    <col min="3853" max="3854" width="19.7109375" style="14" customWidth="1"/>
    <col min="3855" max="3855" width="25.28515625" style="14" customWidth="1"/>
    <col min="3856" max="3856" width="26" style="14" customWidth="1"/>
    <col min="3857" max="3857" width="22.28515625" style="14" customWidth="1"/>
    <col min="3858" max="3858" width="24.85546875" style="14" customWidth="1"/>
    <col min="3859" max="3859" width="21.140625" style="14" customWidth="1"/>
    <col min="3860" max="3860" width="21.42578125" style="14" customWidth="1"/>
    <col min="3861" max="3861" width="27.85546875" style="14" customWidth="1"/>
    <col min="3862" max="3862" width="23.42578125" style="14" customWidth="1"/>
    <col min="3863" max="3863" width="21.42578125" style="14" customWidth="1"/>
    <col min="3864" max="3866" width="20.7109375" style="14" customWidth="1"/>
    <col min="3867" max="3867" width="32.28515625" style="14" bestFit="1" customWidth="1"/>
    <col min="3868" max="3868" width="20.7109375" style="14" customWidth="1"/>
    <col min="3869" max="3869" width="22" style="14" customWidth="1"/>
    <col min="3870" max="3873" width="21.28515625" style="14" customWidth="1"/>
    <col min="3874" max="3874" width="22.28515625" style="14" customWidth="1"/>
    <col min="3875" max="3876" width="11.42578125" style="14"/>
    <col min="3877" max="3877" width="14.85546875" style="14" bestFit="1" customWidth="1"/>
    <col min="3878" max="4102" width="11.42578125" style="14"/>
    <col min="4103" max="4103" width="34.42578125" style="14" customWidth="1"/>
    <col min="4104" max="4105" width="19.42578125" style="14" bestFit="1" customWidth="1"/>
    <col min="4106" max="4106" width="19.7109375" style="14" customWidth="1"/>
    <col min="4107" max="4108" width="20.42578125" style="14" customWidth="1"/>
    <col min="4109" max="4110" width="19.7109375" style="14" customWidth="1"/>
    <col min="4111" max="4111" width="25.28515625" style="14" customWidth="1"/>
    <col min="4112" max="4112" width="26" style="14" customWidth="1"/>
    <col min="4113" max="4113" width="22.28515625" style="14" customWidth="1"/>
    <col min="4114" max="4114" width="24.85546875" style="14" customWidth="1"/>
    <col min="4115" max="4115" width="21.140625" style="14" customWidth="1"/>
    <col min="4116" max="4116" width="21.42578125" style="14" customWidth="1"/>
    <col min="4117" max="4117" width="27.85546875" style="14" customWidth="1"/>
    <col min="4118" max="4118" width="23.42578125" style="14" customWidth="1"/>
    <col min="4119" max="4119" width="21.42578125" style="14" customWidth="1"/>
    <col min="4120" max="4122" width="20.7109375" style="14" customWidth="1"/>
    <col min="4123" max="4123" width="32.28515625" style="14" bestFit="1" customWidth="1"/>
    <col min="4124" max="4124" width="20.7109375" style="14" customWidth="1"/>
    <col min="4125" max="4125" width="22" style="14" customWidth="1"/>
    <col min="4126" max="4129" width="21.28515625" style="14" customWidth="1"/>
    <col min="4130" max="4130" width="22.28515625" style="14" customWidth="1"/>
    <col min="4131" max="4132" width="11.42578125" style="14"/>
    <col min="4133" max="4133" width="14.85546875" style="14" bestFit="1" customWidth="1"/>
    <col min="4134" max="4358" width="11.42578125" style="14"/>
    <col min="4359" max="4359" width="34.42578125" style="14" customWidth="1"/>
    <col min="4360" max="4361" width="19.42578125" style="14" bestFit="1" customWidth="1"/>
    <col min="4362" max="4362" width="19.7109375" style="14" customWidth="1"/>
    <col min="4363" max="4364" width="20.42578125" style="14" customWidth="1"/>
    <col min="4365" max="4366" width="19.7109375" style="14" customWidth="1"/>
    <col min="4367" max="4367" width="25.28515625" style="14" customWidth="1"/>
    <col min="4368" max="4368" width="26" style="14" customWidth="1"/>
    <col min="4369" max="4369" width="22.28515625" style="14" customWidth="1"/>
    <col min="4370" max="4370" width="24.85546875" style="14" customWidth="1"/>
    <col min="4371" max="4371" width="21.140625" style="14" customWidth="1"/>
    <col min="4372" max="4372" width="21.42578125" style="14" customWidth="1"/>
    <col min="4373" max="4373" width="27.85546875" style="14" customWidth="1"/>
    <col min="4374" max="4374" width="23.42578125" style="14" customWidth="1"/>
    <col min="4375" max="4375" width="21.42578125" style="14" customWidth="1"/>
    <col min="4376" max="4378" width="20.7109375" style="14" customWidth="1"/>
    <col min="4379" max="4379" width="32.28515625" style="14" bestFit="1" customWidth="1"/>
    <col min="4380" max="4380" width="20.7109375" style="14" customWidth="1"/>
    <col min="4381" max="4381" width="22" style="14" customWidth="1"/>
    <col min="4382" max="4385" width="21.28515625" style="14" customWidth="1"/>
    <col min="4386" max="4386" width="22.28515625" style="14" customWidth="1"/>
    <col min="4387" max="4388" width="11.42578125" style="14"/>
    <col min="4389" max="4389" width="14.85546875" style="14" bestFit="1" customWidth="1"/>
    <col min="4390" max="4614" width="11.42578125" style="14"/>
    <col min="4615" max="4615" width="34.42578125" style="14" customWidth="1"/>
    <col min="4616" max="4617" width="19.42578125" style="14" bestFit="1" customWidth="1"/>
    <col min="4618" max="4618" width="19.7109375" style="14" customWidth="1"/>
    <col min="4619" max="4620" width="20.42578125" style="14" customWidth="1"/>
    <col min="4621" max="4622" width="19.7109375" style="14" customWidth="1"/>
    <col min="4623" max="4623" width="25.28515625" style="14" customWidth="1"/>
    <col min="4624" max="4624" width="26" style="14" customWidth="1"/>
    <col min="4625" max="4625" width="22.28515625" style="14" customWidth="1"/>
    <col min="4626" max="4626" width="24.85546875" style="14" customWidth="1"/>
    <col min="4627" max="4627" width="21.140625" style="14" customWidth="1"/>
    <col min="4628" max="4628" width="21.42578125" style="14" customWidth="1"/>
    <col min="4629" max="4629" width="27.85546875" style="14" customWidth="1"/>
    <col min="4630" max="4630" width="23.42578125" style="14" customWidth="1"/>
    <col min="4631" max="4631" width="21.42578125" style="14" customWidth="1"/>
    <col min="4632" max="4634" width="20.7109375" style="14" customWidth="1"/>
    <col min="4635" max="4635" width="32.28515625" style="14" bestFit="1" customWidth="1"/>
    <col min="4636" max="4636" width="20.7109375" style="14" customWidth="1"/>
    <col min="4637" max="4637" width="22" style="14" customWidth="1"/>
    <col min="4638" max="4641" width="21.28515625" style="14" customWidth="1"/>
    <col min="4642" max="4642" width="22.28515625" style="14" customWidth="1"/>
    <col min="4643" max="4644" width="11.42578125" style="14"/>
    <col min="4645" max="4645" width="14.85546875" style="14" bestFit="1" customWidth="1"/>
    <col min="4646" max="4870" width="11.42578125" style="14"/>
    <col min="4871" max="4871" width="34.42578125" style="14" customWidth="1"/>
    <col min="4872" max="4873" width="19.42578125" style="14" bestFit="1" customWidth="1"/>
    <col min="4874" max="4874" width="19.7109375" style="14" customWidth="1"/>
    <col min="4875" max="4876" width="20.42578125" style="14" customWidth="1"/>
    <col min="4877" max="4878" width="19.7109375" style="14" customWidth="1"/>
    <col min="4879" max="4879" width="25.28515625" style="14" customWidth="1"/>
    <col min="4880" max="4880" width="26" style="14" customWidth="1"/>
    <col min="4881" max="4881" width="22.28515625" style="14" customWidth="1"/>
    <col min="4882" max="4882" width="24.85546875" style="14" customWidth="1"/>
    <col min="4883" max="4883" width="21.140625" style="14" customWidth="1"/>
    <col min="4884" max="4884" width="21.42578125" style="14" customWidth="1"/>
    <col min="4885" max="4885" width="27.85546875" style="14" customWidth="1"/>
    <col min="4886" max="4886" width="23.42578125" style="14" customWidth="1"/>
    <col min="4887" max="4887" width="21.42578125" style="14" customWidth="1"/>
    <col min="4888" max="4890" width="20.7109375" style="14" customWidth="1"/>
    <col min="4891" max="4891" width="32.28515625" style="14" bestFit="1" customWidth="1"/>
    <col min="4892" max="4892" width="20.7109375" style="14" customWidth="1"/>
    <col min="4893" max="4893" width="22" style="14" customWidth="1"/>
    <col min="4894" max="4897" width="21.28515625" style="14" customWidth="1"/>
    <col min="4898" max="4898" width="22.28515625" style="14" customWidth="1"/>
    <col min="4899" max="4900" width="11.42578125" style="14"/>
    <col min="4901" max="4901" width="14.85546875" style="14" bestFit="1" customWidth="1"/>
    <col min="4902" max="5126" width="11.42578125" style="14"/>
    <col min="5127" max="5127" width="34.42578125" style="14" customWidth="1"/>
    <col min="5128" max="5129" width="19.42578125" style="14" bestFit="1" customWidth="1"/>
    <col min="5130" max="5130" width="19.7109375" style="14" customWidth="1"/>
    <col min="5131" max="5132" width="20.42578125" style="14" customWidth="1"/>
    <col min="5133" max="5134" width="19.7109375" style="14" customWidth="1"/>
    <col min="5135" max="5135" width="25.28515625" style="14" customWidth="1"/>
    <col min="5136" max="5136" width="26" style="14" customWidth="1"/>
    <col min="5137" max="5137" width="22.28515625" style="14" customWidth="1"/>
    <col min="5138" max="5138" width="24.85546875" style="14" customWidth="1"/>
    <col min="5139" max="5139" width="21.140625" style="14" customWidth="1"/>
    <col min="5140" max="5140" width="21.42578125" style="14" customWidth="1"/>
    <col min="5141" max="5141" width="27.85546875" style="14" customWidth="1"/>
    <col min="5142" max="5142" width="23.42578125" style="14" customWidth="1"/>
    <col min="5143" max="5143" width="21.42578125" style="14" customWidth="1"/>
    <col min="5144" max="5146" width="20.7109375" style="14" customWidth="1"/>
    <col min="5147" max="5147" width="32.28515625" style="14" bestFit="1" customWidth="1"/>
    <col min="5148" max="5148" width="20.7109375" style="14" customWidth="1"/>
    <col min="5149" max="5149" width="22" style="14" customWidth="1"/>
    <col min="5150" max="5153" width="21.28515625" style="14" customWidth="1"/>
    <col min="5154" max="5154" width="22.28515625" style="14" customWidth="1"/>
    <col min="5155" max="5156" width="11.42578125" style="14"/>
    <col min="5157" max="5157" width="14.85546875" style="14" bestFit="1" customWidth="1"/>
    <col min="5158" max="5382" width="11.42578125" style="14"/>
    <col min="5383" max="5383" width="34.42578125" style="14" customWidth="1"/>
    <col min="5384" max="5385" width="19.42578125" style="14" bestFit="1" customWidth="1"/>
    <col min="5386" max="5386" width="19.7109375" style="14" customWidth="1"/>
    <col min="5387" max="5388" width="20.42578125" style="14" customWidth="1"/>
    <col min="5389" max="5390" width="19.7109375" style="14" customWidth="1"/>
    <col min="5391" max="5391" width="25.28515625" style="14" customWidth="1"/>
    <col min="5392" max="5392" width="26" style="14" customWidth="1"/>
    <col min="5393" max="5393" width="22.28515625" style="14" customWidth="1"/>
    <col min="5394" max="5394" width="24.85546875" style="14" customWidth="1"/>
    <col min="5395" max="5395" width="21.140625" style="14" customWidth="1"/>
    <col min="5396" max="5396" width="21.42578125" style="14" customWidth="1"/>
    <col min="5397" max="5397" width="27.85546875" style="14" customWidth="1"/>
    <col min="5398" max="5398" width="23.42578125" style="14" customWidth="1"/>
    <col min="5399" max="5399" width="21.42578125" style="14" customWidth="1"/>
    <col min="5400" max="5402" width="20.7109375" style="14" customWidth="1"/>
    <col min="5403" max="5403" width="32.28515625" style="14" bestFit="1" customWidth="1"/>
    <col min="5404" max="5404" width="20.7109375" style="14" customWidth="1"/>
    <col min="5405" max="5405" width="22" style="14" customWidth="1"/>
    <col min="5406" max="5409" width="21.28515625" style="14" customWidth="1"/>
    <col min="5410" max="5410" width="22.28515625" style="14" customWidth="1"/>
    <col min="5411" max="5412" width="11.42578125" style="14"/>
    <col min="5413" max="5413" width="14.85546875" style="14" bestFit="1" customWidth="1"/>
    <col min="5414" max="5638" width="11.42578125" style="14"/>
    <col min="5639" max="5639" width="34.42578125" style="14" customWidth="1"/>
    <col min="5640" max="5641" width="19.42578125" style="14" bestFit="1" customWidth="1"/>
    <col min="5642" max="5642" width="19.7109375" style="14" customWidth="1"/>
    <col min="5643" max="5644" width="20.42578125" style="14" customWidth="1"/>
    <col min="5645" max="5646" width="19.7109375" style="14" customWidth="1"/>
    <col min="5647" max="5647" width="25.28515625" style="14" customWidth="1"/>
    <col min="5648" max="5648" width="26" style="14" customWidth="1"/>
    <col min="5649" max="5649" width="22.28515625" style="14" customWidth="1"/>
    <col min="5650" max="5650" width="24.85546875" style="14" customWidth="1"/>
    <col min="5651" max="5651" width="21.140625" style="14" customWidth="1"/>
    <col min="5652" max="5652" width="21.42578125" style="14" customWidth="1"/>
    <col min="5653" max="5653" width="27.85546875" style="14" customWidth="1"/>
    <col min="5654" max="5654" width="23.42578125" style="14" customWidth="1"/>
    <col min="5655" max="5655" width="21.42578125" style="14" customWidth="1"/>
    <col min="5656" max="5658" width="20.7109375" style="14" customWidth="1"/>
    <col min="5659" max="5659" width="32.28515625" style="14" bestFit="1" customWidth="1"/>
    <col min="5660" max="5660" width="20.7109375" style="14" customWidth="1"/>
    <col min="5661" max="5661" width="22" style="14" customWidth="1"/>
    <col min="5662" max="5665" width="21.28515625" style="14" customWidth="1"/>
    <col min="5666" max="5666" width="22.28515625" style="14" customWidth="1"/>
    <col min="5667" max="5668" width="11.42578125" style="14"/>
    <col min="5669" max="5669" width="14.85546875" style="14" bestFit="1" customWidth="1"/>
    <col min="5670" max="5894" width="11.42578125" style="14"/>
    <col min="5895" max="5895" width="34.42578125" style="14" customWidth="1"/>
    <col min="5896" max="5897" width="19.42578125" style="14" bestFit="1" customWidth="1"/>
    <col min="5898" max="5898" width="19.7109375" style="14" customWidth="1"/>
    <col min="5899" max="5900" width="20.42578125" style="14" customWidth="1"/>
    <col min="5901" max="5902" width="19.7109375" style="14" customWidth="1"/>
    <col min="5903" max="5903" width="25.28515625" style="14" customWidth="1"/>
    <col min="5904" max="5904" width="26" style="14" customWidth="1"/>
    <col min="5905" max="5905" width="22.28515625" style="14" customWidth="1"/>
    <col min="5906" max="5906" width="24.85546875" style="14" customWidth="1"/>
    <col min="5907" max="5907" width="21.140625" style="14" customWidth="1"/>
    <col min="5908" max="5908" width="21.42578125" style="14" customWidth="1"/>
    <col min="5909" max="5909" width="27.85546875" style="14" customWidth="1"/>
    <col min="5910" max="5910" width="23.42578125" style="14" customWidth="1"/>
    <col min="5911" max="5911" width="21.42578125" style="14" customWidth="1"/>
    <col min="5912" max="5914" width="20.7109375" style="14" customWidth="1"/>
    <col min="5915" max="5915" width="32.28515625" style="14" bestFit="1" customWidth="1"/>
    <col min="5916" max="5916" width="20.7109375" style="14" customWidth="1"/>
    <col min="5917" max="5917" width="22" style="14" customWidth="1"/>
    <col min="5918" max="5921" width="21.28515625" style="14" customWidth="1"/>
    <col min="5922" max="5922" width="22.28515625" style="14" customWidth="1"/>
    <col min="5923" max="5924" width="11.42578125" style="14"/>
    <col min="5925" max="5925" width="14.85546875" style="14" bestFit="1" customWidth="1"/>
    <col min="5926" max="6150" width="11.42578125" style="14"/>
    <col min="6151" max="6151" width="34.42578125" style="14" customWidth="1"/>
    <col min="6152" max="6153" width="19.42578125" style="14" bestFit="1" customWidth="1"/>
    <col min="6154" max="6154" width="19.7109375" style="14" customWidth="1"/>
    <col min="6155" max="6156" width="20.42578125" style="14" customWidth="1"/>
    <col min="6157" max="6158" width="19.7109375" style="14" customWidth="1"/>
    <col min="6159" max="6159" width="25.28515625" style="14" customWidth="1"/>
    <col min="6160" max="6160" width="26" style="14" customWidth="1"/>
    <col min="6161" max="6161" width="22.28515625" style="14" customWidth="1"/>
    <col min="6162" max="6162" width="24.85546875" style="14" customWidth="1"/>
    <col min="6163" max="6163" width="21.140625" style="14" customWidth="1"/>
    <col min="6164" max="6164" width="21.42578125" style="14" customWidth="1"/>
    <col min="6165" max="6165" width="27.85546875" style="14" customWidth="1"/>
    <col min="6166" max="6166" width="23.42578125" style="14" customWidth="1"/>
    <col min="6167" max="6167" width="21.42578125" style="14" customWidth="1"/>
    <col min="6168" max="6170" width="20.7109375" style="14" customWidth="1"/>
    <col min="6171" max="6171" width="32.28515625" style="14" bestFit="1" customWidth="1"/>
    <col min="6172" max="6172" width="20.7109375" style="14" customWidth="1"/>
    <col min="6173" max="6173" width="22" style="14" customWidth="1"/>
    <col min="6174" max="6177" width="21.28515625" style="14" customWidth="1"/>
    <col min="6178" max="6178" width="22.28515625" style="14" customWidth="1"/>
    <col min="6179" max="6180" width="11.42578125" style="14"/>
    <col min="6181" max="6181" width="14.85546875" style="14" bestFit="1" customWidth="1"/>
    <col min="6182" max="6406" width="11.42578125" style="14"/>
    <col min="6407" max="6407" width="34.42578125" style="14" customWidth="1"/>
    <col min="6408" max="6409" width="19.42578125" style="14" bestFit="1" customWidth="1"/>
    <col min="6410" max="6410" width="19.7109375" style="14" customWidth="1"/>
    <col min="6411" max="6412" width="20.42578125" style="14" customWidth="1"/>
    <col min="6413" max="6414" width="19.7109375" style="14" customWidth="1"/>
    <col min="6415" max="6415" width="25.28515625" style="14" customWidth="1"/>
    <col min="6416" max="6416" width="26" style="14" customWidth="1"/>
    <col min="6417" max="6417" width="22.28515625" style="14" customWidth="1"/>
    <col min="6418" max="6418" width="24.85546875" style="14" customWidth="1"/>
    <col min="6419" max="6419" width="21.140625" style="14" customWidth="1"/>
    <col min="6420" max="6420" width="21.42578125" style="14" customWidth="1"/>
    <col min="6421" max="6421" width="27.85546875" style="14" customWidth="1"/>
    <col min="6422" max="6422" width="23.42578125" style="14" customWidth="1"/>
    <col min="6423" max="6423" width="21.42578125" style="14" customWidth="1"/>
    <col min="6424" max="6426" width="20.7109375" style="14" customWidth="1"/>
    <col min="6427" max="6427" width="32.28515625" style="14" bestFit="1" customWidth="1"/>
    <col min="6428" max="6428" width="20.7109375" style="14" customWidth="1"/>
    <col min="6429" max="6429" width="22" style="14" customWidth="1"/>
    <col min="6430" max="6433" width="21.28515625" style="14" customWidth="1"/>
    <col min="6434" max="6434" width="22.28515625" style="14" customWidth="1"/>
    <col min="6435" max="6436" width="11.42578125" style="14"/>
    <col min="6437" max="6437" width="14.85546875" style="14" bestFit="1" customWidth="1"/>
    <col min="6438" max="6662" width="11.42578125" style="14"/>
    <col min="6663" max="6663" width="34.42578125" style="14" customWidth="1"/>
    <col min="6664" max="6665" width="19.42578125" style="14" bestFit="1" customWidth="1"/>
    <col min="6666" max="6666" width="19.7109375" style="14" customWidth="1"/>
    <col min="6667" max="6668" width="20.42578125" style="14" customWidth="1"/>
    <col min="6669" max="6670" width="19.7109375" style="14" customWidth="1"/>
    <col min="6671" max="6671" width="25.28515625" style="14" customWidth="1"/>
    <col min="6672" max="6672" width="26" style="14" customWidth="1"/>
    <col min="6673" max="6673" width="22.28515625" style="14" customWidth="1"/>
    <col min="6674" max="6674" width="24.85546875" style="14" customWidth="1"/>
    <col min="6675" max="6675" width="21.140625" style="14" customWidth="1"/>
    <col min="6676" max="6676" width="21.42578125" style="14" customWidth="1"/>
    <col min="6677" max="6677" width="27.85546875" style="14" customWidth="1"/>
    <col min="6678" max="6678" width="23.42578125" style="14" customWidth="1"/>
    <col min="6679" max="6679" width="21.42578125" style="14" customWidth="1"/>
    <col min="6680" max="6682" width="20.7109375" style="14" customWidth="1"/>
    <col min="6683" max="6683" width="32.28515625" style="14" bestFit="1" customWidth="1"/>
    <col min="6684" max="6684" width="20.7109375" style="14" customWidth="1"/>
    <col min="6685" max="6685" width="22" style="14" customWidth="1"/>
    <col min="6686" max="6689" width="21.28515625" style="14" customWidth="1"/>
    <col min="6690" max="6690" width="22.28515625" style="14" customWidth="1"/>
    <col min="6691" max="6692" width="11.42578125" style="14"/>
    <col min="6693" max="6693" width="14.85546875" style="14" bestFit="1" customWidth="1"/>
    <col min="6694" max="6918" width="11.42578125" style="14"/>
    <col min="6919" max="6919" width="34.42578125" style="14" customWidth="1"/>
    <col min="6920" max="6921" width="19.42578125" style="14" bestFit="1" customWidth="1"/>
    <col min="6922" max="6922" width="19.7109375" style="14" customWidth="1"/>
    <col min="6923" max="6924" width="20.42578125" style="14" customWidth="1"/>
    <col min="6925" max="6926" width="19.7109375" style="14" customWidth="1"/>
    <col min="6927" max="6927" width="25.28515625" style="14" customWidth="1"/>
    <col min="6928" max="6928" width="26" style="14" customWidth="1"/>
    <col min="6929" max="6929" width="22.28515625" style="14" customWidth="1"/>
    <col min="6930" max="6930" width="24.85546875" style="14" customWidth="1"/>
    <col min="6931" max="6931" width="21.140625" style="14" customWidth="1"/>
    <col min="6932" max="6932" width="21.42578125" style="14" customWidth="1"/>
    <col min="6933" max="6933" width="27.85546875" style="14" customWidth="1"/>
    <col min="6934" max="6934" width="23.42578125" style="14" customWidth="1"/>
    <col min="6935" max="6935" width="21.42578125" style="14" customWidth="1"/>
    <col min="6936" max="6938" width="20.7109375" style="14" customWidth="1"/>
    <col min="6939" max="6939" width="32.28515625" style="14" bestFit="1" customWidth="1"/>
    <col min="6940" max="6940" width="20.7109375" style="14" customWidth="1"/>
    <col min="6941" max="6941" width="22" style="14" customWidth="1"/>
    <col min="6942" max="6945" width="21.28515625" style="14" customWidth="1"/>
    <col min="6946" max="6946" width="22.28515625" style="14" customWidth="1"/>
    <col min="6947" max="6948" width="11.42578125" style="14"/>
    <col min="6949" max="6949" width="14.85546875" style="14" bestFit="1" customWidth="1"/>
    <col min="6950" max="7174" width="11.42578125" style="14"/>
    <col min="7175" max="7175" width="34.42578125" style="14" customWidth="1"/>
    <col min="7176" max="7177" width="19.42578125" style="14" bestFit="1" customWidth="1"/>
    <col min="7178" max="7178" width="19.7109375" style="14" customWidth="1"/>
    <col min="7179" max="7180" width="20.42578125" style="14" customWidth="1"/>
    <col min="7181" max="7182" width="19.7109375" style="14" customWidth="1"/>
    <col min="7183" max="7183" width="25.28515625" style="14" customWidth="1"/>
    <col min="7184" max="7184" width="26" style="14" customWidth="1"/>
    <col min="7185" max="7185" width="22.28515625" style="14" customWidth="1"/>
    <col min="7186" max="7186" width="24.85546875" style="14" customWidth="1"/>
    <col min="7187" max="7187" width="21.140625" style="14" customWidth="1"/>
    <col min="7188" max="7188" width="21.42578125" style="14" customWidth="1"/>
    <col min="7189" max="7189" width="27.85546875" style="14" customWidth="1"/>
    <col min="7190" max="7190" width="23.42578125" style="14" customWidth="1"/>
    <col min="7191" max="7191" width="21.42578125" style="14" customWidth="1"/>
    <col min="7192" max="7194" width="20.7109375" style="14" customWidth="1"/>
    <col min="7195" max="7195" width="32.28515625" style="14" bestFit="1" customWidth="1"/>
    <col min="7196" max="7196" width="20.7109375" style="14" customWidth="1"/>
    <col min="7197" max="7197" width="22" style="14" customWidth="1"/>
    <col min="7198" max="7201" width="21.28515625" style="14" customWidth="1"/>
    <col min="7202" max="7202" width="22.28515625" style="14" customWidth="1"/>
    <col min="7203" max="7204" width="11.42578125" style="14"/>
    <col min="7205" max="7205" width="14.85546875" style="14" bestFit="1" customWidth="1"/>
    <col min="7206" max="7430" width="11.42578125" style="14"/>
    <col min="7431" max="7431" width="34.42578125" style="14" customWidth="1"/>
    <col min="7432" max="7433" width="19.42578125" style="14" bestFit="1" customWidth="1"/>
    <col min="7434" max="7434" width="19.7109375" style="14" customWidth="1"/>
    <col min="7435" max="7436" width="20.42578125" style="14" customWidth="1"/>
    <col min="7437" max="7438" width="19.7109375" style="14" customWidth="1"/>
    <col min="7439" max="7439" width="25.28515625" style="14" customWidth="1"/>
    <col min="7440" max="7440" width="26" style="14" customWidth="1"/>
    <col min="7441" max="7441" width="22.28515625" style="14" customWidth="1"/>
    <col min="7442" max="7442" width="24.85546875" style="14" customWidth="1"/>
    <col min="7443" max="7443" width="21.140625" style="14" customWidth="1"/>
    <col min="7444" max="7444" width="21.42578125" style="14" customWidth="1"/>
    <col min="7445" max="7445" width="27.85546875" style="14" customWidth="1"/>
    <col min="7446" max="7446" width="23.42578125" style="14" customWidth="1"/>
    <col min="7447" max="7447" width="21.42578125" style="14" customWidth="1"/>
    <col min="7448" max="7450" width="20.7109375" style="14" customWidth="1"/>
    <col min="7451" max="7451" width="32.28515625" style="14" bestFit="1" customWidth="1"/>
    <col min="7452" max="7452" width="20.7109375" style="14" customWidth="1"/>
    <col min="7453" max="7453" width="22" style="14" customWidth="1"/>
    <col min="7454" max="7457" width="21.28515625" style="14" customWidth="1"/>
    <col min="7458" max="7458" width="22.28515625" style="14" customWidth="1"/>
    <col min="7459" max="7460" width="11.42578125" style="14"/>
    <col min="7461" max="7461" width="14.85546875" style="14" bestFit="1" customWidth="1"/>
    <col min="7462" max="7686" width="11.42578125" style="14"/>
    <col min="7687" max="7687" width="34.42578125" style="14" customWidth="1"/>
    <col min="7688" max="7689" width="19.42578125" style="14" bestFit="1" customWidth="1"/>
    <col min="7690" max="7690" width="19.7109375" style="14" customWidth="1"/>
    <col min="7691" max="7692" width="20.42578125" style="14" customWidth="1"/>
    <col min="7693" max="7694" width="19.7109375" style="14" customWidth="1"/>
    <col min="7695" max="7695" width="25.28515625" style="14" customWidth="1"/>
    <col min="7696" max="7696" width="26" style="14" customWidth="1"/>
    <col min="7697" max="7697" width="22.28515625" style="14" customWidth="1"/>
    <col min="7698" max="7698" width="24.85546875" style="14" customWidth="1"/>
    <col min="7699" max="7699" width="21.140625" style="14" customWidth="1"/>
    <col min="7700" max="7700" width="21.42578125" style="14" customWidth="1"/>
    <col min="7701" max="7701" width="27.85546875" style="14" customWidth="1"/>
    <col min="7702" max="7702" width="23.42578125" style="14" customWidth="1"/>
    <col min="7703" max="7703" width="21.42578125" style="14" customWidth="1"/>
    <col min="7704" max="7706" width="20.7109375" style="14" customWidth="1"/>
    <col min="7707" max="7707" width="32.28515625" style="14" bestFit="1" customWidth="1"/>
    <col min="7708" max="7708" width="20.7109375" style="14" customWidth="1"/>
    <col min="7709" max="7709" width="22" style="14" customWidth="1"/>
    <col min="7710" max="7713" width="21.28515625" style="14" customWidth="1"/>
    <col min="7714" max="7714" width="22.28515625" style="14" customWidth="1"/>
    <col min="7715" max="7716" width="11.42578125" style="14"/>
    <col min="7717" max="7717" width="14.85546875" style="14" bestFit="1" customWidth="1"/>
    <col min="7718" max="7942" width="11.42578125" style="14"/>
    <col min="7943" max="7943" width="34.42578125" style="14" customWidth="1"/>
    <col min="7944" max="7945" width="19.42578125" style="14" bestFit="1" customWidth="1"/>
    <col min="7946" max="7946" width="19.7109375" style="14" customWidth="1"/>
    <col min="7947" max="7948" width="20.42578125" style="14" customWidth="1"/>
    <col min="7949" max="7950" width="19.7109375" style="14" customWidth="1"/>
    <col min="7951" max="7951" width="25.28515625" style="14" customWidth="1"/>
    <col min="7952" max="7952" width="26" style="14" customWidth="1"/>
    <col min="7953" max="7953" width="22.28515625" style="14" customWidth="1"/>
    <col min="7954" max="7954" width="24.85546875" style="14" customWidth="1"/>
    <col min="7955" max="7955" width="21.140625" style="14" customWidth="1"/>
    <col min="7956" max="7956" width="21.42578125" style="14" customWidth="1"/>
    <col min="7957" max="7957" width="27.85546875" style="14" customWidth="1"/>
    <col min="7958" max="7958" width="23.42578125" style="14" customWidth="1"/>
    <col min="7959" max="7959" width="21.42578125" style="14" customWidth="1"/>
    <col min="7960" max="7962" width="20.7109375" style="14" customWidth="1"/>
    <col min="7963" max="7963" width="32.28515625" style="14" bestFit="1" customWidth="1"/>
    <col min="7964" max="7964" width="20.7109375" style="14" customWidth="1"/>
    <col min="7965" max="7965" width="22" style="14" customWidth="1"/>
    <col min="7966" max="7969" width="21.28515625" style="14" customWidth="1"/>
    <col min="7970" max="7970" width="22.28515625" style="14" customWidth="1"/>
    <col min="7971" max="7972" width="11.42578125" style="14"/>
    <col min="7973" max="7973" width="14.85546875" style="14" bestFit="1" customWidth="1"/>
    <col min="7974" max="8198" width="11.42578125" style="14"/>
    <col min="8199" max="8199" width="34.42578125" style="14" customWidth="1"/>
    <col min="8200" max="8201" width="19.42578125" style="14" bestFit="1" customWidth="1"/>
    <col min="8202" max="8202" width="19.7109375" style="14" customWidth="1"/>
    <col min="8203" max="8204" width="20.42578125" style="14" customWidth="1"/>
    <col min="8205" max="8206" width="19.7109375" style="14" customWidth="1"/>
    <col min="8207" max="8207" width="25.28515625" style="14" customWidth="1"/>
    <col min="8208" max="8208" width="26" style="14" customWidth="1"/>
    <col min="8209" max="8209" width="22.28515625" style="14" customWidth="1"/>
    <col min="8210" max="8210" width="24.85546875" style="14" customWidth="1"/>
    <col min="8211" max="8211" width="21.140625" style="14" customWidth="1"/>
    <col min="8212" max="8212" width="21.42578125" style="14" customWidth="1"/>
    <col min="8213" max="8213" width="27.85546875" style="14" customWidth="1"/>
    <col min="8214" max="8214" width="23.42578125" style="14" customWidth="1"/>
    <col min="8215" max="8215" width="21.42578125" style="14" customWidth="1"/>
    <col min="8216" max="8218" width="20.7109375" style="14" customWidth="1"/>
    <col min="8219" max="8219" width="32.28515625" style="14" bestFit="1" customWidth="1"/>
    <col min="8220" max="8220" width="20.7109375" style="14" customWidth="1"/>
    <col min="8221" max="8221" width="22" style="14" customWidth="1"/>
    <col min="8222" max="8225" width="21.28515625" style="14" customWidth="1"/>
    <col min="8226" max="8226" width="22.28515625" style="14" customWidth="1"/>
    <col min="8227" max="8228" width="11.42578125" style="14"/>
    <col min="8229" max="8229" width="14.85546875" style="14" bestFit="1" customWidth="1"/>
    <col min="8230" max="8454" width="11.42578125" style="14"/>
    <col min="8455" max="8455" width="34.42578125" style="14" customWidth="1"/>
    <col min="8456" max="8457" width="19.42578125" style="14" bestFit="1" customWidth="1"/>
    <col min="8458" max="8458" width="19.7109375" style="14" customWidth="1"/>
    <col min="8459" max="8460" width="20.42578125" style="14" customWidth="1"/>
    <col min="8461" max="8462" width="19.7109375" style="14" customWidth="1"/>
    <col min="8463" max="8463" width="25.28515625" style="14" customWidth="1"/>
    <col min="8464" max="8464" width="26" style="14" customWidth="1"/>
    <col min="8465" max="8465" width="22.28515625" style="14" customWidth="1"/>
    <col min="8466" max="8466" width="24.85546875" style="14" customWidth="1"/>
    <col min="8467" max="8467" width="21.140625" style="14" customWidth="1"/>
    <col min="8468" max="8468" width="21.42578125" style="14" customWidth="1"/>
    <col min="8469" max="8469" width="27.85546875" style="14" customWidth="1"/>
    <col min="8470" max="8470" width="23.42578125" style="14" customWidth="1"/>
    <col min="8471" max="8471" width="21.42578125" style="14" customWidth="1"/>
    <col min="8472" max="8474" width="20.7109375" style="14" customWidth="1"/>
    <col min="8475" max="8475" width="32.28515625" style="14" bestFit="1" customWidth="1"/>
    <col min="8476" max="8476" width="20.7109375" style="14" customWidth="1"/>
    <col min="8477" max="8477" width="22" style="14" customWidth="1"/>
    <col min="8478" max="8481" width="21.28515625" style="14" customWidth="1"/>
    <col min="8482" max="8482" width="22.28515625" style="14" customWidth="1"/>
    <col min="8483" max="8484" width="11.42578125" style="14"/>
    <col min="8485" max="8485" width="14.85546875" style="14" bestFit="1" customWidth="1"/>
    <col min="8486" max="8710" width="11.42578125" style="14"/>
    <col min="8711" max="8711" width="34.42578125" style="14" customWidth="1"/>
    <col min="8712" max="8713" width="19.42578125" style="14" bestFit="1" customWidth="1"/>
    <col min="8714" max="8714" width="19.7109375" style="14" customWidth="1"/>
    <col min="8715" max="8716" width="20.42578125" style="14" customWidth="1"/>
    <col min="8717" max="8718" width="19.7109375" style="14" customWidth="1"/>
    <col min="8719" max="8719" width="25.28515625" style="14" customWidth="1"/>
    <col min="8720" max="8720" width="26" style="14" customWidth="1"/>
    <col min="8721" max="8721" width="22.28515625" style="14" customWidth="1"/>
    <col min="8722" max="8722" width="24.85546875" style="14" customWidth="1"/>
    <col min="8723" max="8723" width="21.140625" style="14" customWidth="1"/>
    <col min="8724" max="8724" width="21.42578125" style="14" customWidth="1"/>
    <col min="8725" max="8725" width="27.85546875" style="14" customWidth="1"/>
    <col min="8726" max="8726" width="23.42578125" style="14" customWidth="1"/>
    <col min="8727" max="8727" width="21.42578125" style="14" customWidth="1"/>
    <col min="8728" max="8730" width="20.7109375" style="14" customWidth="1"/>
    <col min="8731" max="8731" width="32.28515625" style="14" bestFit="1" customWidth="1"/>
    <col min="8732" max="8732" width="20.7109375" style="14" customWidth="1"/>
    <col min="8733" max="8733" width="22" style="14" customWidth="1"/>
    <col min="8734" max="8737" width="21.28515625" style="14" customWidth="1"/>
    <col min="8738" max="8738" width="22.28515625" style="14" customWidth="1"/>
    <col min="8739" max="8740" width="11.42578125" style="14"/>
    <col min="8741" max="8741" width="14.85546875" style="14" bestFit="1" customWidth="1"/>
    <col min="8742" max="8966" width="11.42578125" style="14"/>
    <col min="8967" max="8967" width="34.42578125" style="14" customWidth="1"/>
    <col min="8968" max="8969" width="19.42578125" style="14" bestFit="1" customWidth="1"/>
    <col min="8970" max="8970" width="19.7109375" style="14" customWidth="1"/>
    <col min="8971" max="8972" width="20.42578125" style="14" customWidth="1"/>
    <col min="8973" max="8974" width="19.7109375" style="14" customWidth="1"/>
    <col min="8975" max="8975" width="25.28515625" style="14" customWidth="1"/>
    <col min="8976" max="8976" width="26" style="14" customWidth="1"/>
    <col min="8977" max="8977" width="22.28515625" style="14" customWidth="1"/>
    <col min="8978" max="8978" width="24.85546875" style="14" customWidth="1"/>
    <col min="8979" max="8979" width="21.140625" style="14" customWidth="1"/>
    <col min="8980" max="8980" width="21.42578125" style="14" customWidth="1"/>
    <col min="8981" max="8981" width="27.85546875" style="14" customWidth="1"/>
    <col min="8982" max="8982" width="23.42578125" style="14" customWidth="1"/>
    <col min="8983" max="8983" width="21.42578125" style="14" customWidth="1"/>
    <col min="8984" max="8986" width="20.7109375" style="14" customWidth="1"/>
    <col min="8987" max="8987" width="32.28515625" style="14" bestFit="1" customWidth="1"/>
    <col min="8988" max="8988" width="20.7109375" style="14" customWidth="1"/>
    <col min="8989" max="8989" width="22" style="14" customWidth="1"/>
    <col min="8990" max="8993" width="21.28515625" style="14" customWidth="1"/>
    <col min="8994" max="8994" width="22.28515625" style="14" customWidth="1"/>
    <col min="8995" max="8996" width="11.42578125" style="14"/>
    <col min="8997" max="8997" width="14.85546875" style="14" bestFit="1" customWidth="1"/>
    <col min="8998" max="9222" width="11.42578125" style="14"/>
    <col min="9223" max="9223" width="34.42578125" style="14" customWidth="1"/>
    <col min="9224" max="9225" width="19.42578125" style="14" bestFit="1" customWidth="1"/>
    <col min="9226" max="9226" width="19.7109375" style="14" customWidth="1"/>
    <col min="9227" max="9228" width="20.42578125" style="14" customWidth="1"/>
    <col min="9229" max="9230" width="19.7109375" style="14" customWidth="1"/>
    <col min="9231" max="9231" width="25.28515625" style="14" customWidth="1"/>
    <col min="9232" max="9232" width="26" style="14" customWidth="1"/>
    <col min="9233" max="9233" width="22.28515625" style="14" customWidth="1"/>
    <col min="9234" max="9234" width="24.85546875" style="14" customWidth="1"/>
    <col min="9235" max="9235" width="21.140625" style="14" customWidth="1"/>
    <col min="9236" max="9236" width="21.42578125" style="14" customWidth="1"/>
    <col min="9237" max="9237" width="27.85546875" style="14" customWidth="1"/>
    <col min="9238" max="9238" width="23.42578125" style="14" customWidth="1"/>
    <col min="9239" max="9239" width="21.42578125" style="14" customWidth="1"/>
    <col min="9240" max="9242" width="20.7109375" style="14" customWidth="1"/>
    <col min="9243" max="9243" width="32.28515625" style="14" bestFit="1" customWidth="1"/>
    <col min="9244" max="9244" width="20.7109375" style="14" customWidth="1"/>
    <col min="9245" max="9245" width="22" style="14" customWidth="1"/>
    <col min="9246" max="9249" width="21.28515625" style="14" customWidth="1"/>
    <col min="9250" max="9250" width="22.28515625" style="14" customWidth="1"/>
    <col min="9251" max="9252" width="11.42578125" style="14"/>
    <col min="9253" max="9253" width="14.85546875" style="14" bestFit="1" customWidth="1"/>
    <col min="9254" max="9478" width="11.42578125" style="14"/>
    <col min="9479" max="9479" width="34.42578125" style="14" customWidth="1"/>
    <col min="9480" max="9481" width="19.42578125" style="14" bestFit="1" customWidth="1"/>
    <col min="9482" max="9482" width="19.7109375" style="14" customWidth="1"/>
    <col min="9483" max="9484" width="20.42578125" style="14" customWidth="1"/>
    <col min="9485" max="9486" width="19.7109375" style="14" customWidth="1"/>
    <col min="9487" max="9487" width="25.28515625" style="14" customWidth="1"/>
    <col min="9488" max="9488" width="26" style="14" customWidth="1"/>
    <col min="9489" max="9489" width="22.28515625" style="14" customWidth="1"/>
    <col min="9490" max="9490" width="24.85546875" style="14" customWidth="1"/>
    <col min="9491" max="9491" width="21.140625" style="14" customWidth="1"/>
    <col min="9492" max="9492" width="21.42578125" style="14" customWidth="1"/>
    <col min="9493" max="9493" width="27.85546875" style="14" customWidth="1"/>
    <col min="9494" max="9494" width="23.42578125" style="14" customWidth="1"/>
    <col min="9495" max="9495" width="21.42578125" style="14" customWidth="1"/>
    <col min="9496" max="9498" width="20.7109375" style="14" customWidth="1"/>
    <col min="9499" max="9499" width="32.28515625" style="14" bestFit="1" customWidth="1"/>
    <col min="9500" max="9500" width="20.7109375" style="14" customWidth="1"/>
    <col min="9501" max="9501" width="22" style="14" customWidth="1"/>
    <col min="9502" max="9505" width="21.28515625" style="14" customWidth="1"/>
    <col min="9506" max="9506" width="22.28515625" style="14" customWidth="1"/>
    <col min="9507" max="9508" width="11.42578125" style="14"/>
    <col min="9509" max="9509" width="14.85546875" style="14" bestFit="1" customWidth="1"/>
    <col min="9510" max="9734" width="11.42578125" style="14"/>
    <col min="9735" max="9735" width="34.42578125" style="14" customWidth="1"/>
    <col min="9736" max="9737" width="19.42578125" style="14" bestFit="1" customWidth="1"/>
    <col min="9738" max="9738" width="19.7109375" style="14" customWidth="1"/>
    <col min="9739" max="9740" width="20.42578125" style="14" customWidth="1"/>
    <col min="9741" max="9742" width="19.7109375" style="14" customWidth="1"/>
    <col min="9743" max="9743" width="25.28515625" style="14" customWidth="1"/>
    <col min="9744" max="9744" width="26" style="14" customWidth="1"/>
    <col min="9745" max="9745" width="22.28515625" style="14" customWidth="1"/>
    <col min="9746" max="9746" width="24.85546875" style="14" customWidth="1"/>
    <col min="9747" max="9747" width="21.140625" style="14" customWidth="1"/>
    <col min="9748" max="9748" width="21.42578125" style="14" customWidth="1"/>
    <col min="9749" max="9749" width="27.85546875" style="14" customWidth="1"/>
    <col min="9750" max="9750" width="23.42578125" style="14" customWidth="1"/>
    <col min="9751" max="9751" width="21.42578125" style="14" customWidth="1"/>
    <col min="9752" max="9754" width="20.7109375" style="14" customWidth="1"/>
    <col min="9755" max="9755" width="32.28515625" style="14" bestFit="1" customWidth="1"/>
    <col min="9756" max="9756" width="20.7109375" style="14" customWidth="1"/>
    <col min="9757" max="9757" width="22" style="14" customWidth="1"/>
    <col min="9758" max="9761" width="21.28515625" style="14" customWidth="1"/>
    <col min="9762" max="9762" width="22.28515625" style="14" customWidth="1"/>
    <col min="9763" max="9764" width="11.42578125" style="14"/>
    <col min="9765" max="9765" width="14.85546875" style="14" bestFit="1" customWidth="1"/>
    <col min="9766" max="9990" width="11.42578125" style="14"/>
    <col min="9991" max="9991" width="34.42578125" style="14" customWidth="1"/>
    <col min="9992" max="9993" width="19.42578125" style="14" bestFit="1" customWidth="1"/>
    <col min="9994" max="9994" width="19.7109375" style="14" customWidth="1"/>
    <col min="9995" max="9996" width="20.42578125" style="14" customWidth="1"/>
    <col min="9997" max="9998" width="19.7109375" style="14" customWidth="1"/>
    <col min="9999" max="9999" width="25.28515625" style="14" customWidth="1"/>
    <col min="10000" max="10000" width="26" style="14" customWidth="1"/>
    <col min="10001" max="10001" width="22.28515625" style="14" customWidth="1"/>
    <col min="10002" max="10002" width="24.85546875" style="14" customWidth="1"/>
    <col min="10003" max="10003" width="21.140625" style="14" customWidth="1"/>
    <col min="10004" max="10004" width="21.42578125" style="14" customWidth="1"/>
    <col min="10005" max="10005" width="27.85546875" style="14" customWidth="1"/>
    <col min="10006" max="10006" width="23.42578125" style="14" customWidth="1"/>
    <col min="10007" max="10007" width="21.42578125" style="14" customWidth="1"/>
    <col min="10008" max="10010" width="20.7109375" style="14" customWidth="1"/>
    <col min="10011" max="10011" width="32.28515625" style="14" bestFit="1" customWidth="1"/>
    <col min="10012" max="10012" width="20.7109375" style="14" customWidth="1"/>
    <col min="10013" max="10013" width="22" style="14" customWidth="1"/>
    <col min="10014" max="10017" width="21.28515625" style="14" customWidth="1"/>
    <col min="10018" max="10018" width="22.28515625" style="14" customWidth="1"/>
    <col min="10019" max="10020" width="11.42578125" style="14"/>
    <col min="10021" max="10021" width="14.85546875" style="14" bestFit="1" customWidth="1"/>
    <col min="10022" max="10246" width="11.42578125" style="14"/>
    <col min="10247" max="10247" width="34.42578125" style="14" customWidth="1"/>
    <col min="10248" max="10249" width="19.42578125" style="14" bestFit="1" customWidth="1"/>
    <col min="10250" max="10250" width="19.7109375" style="14" customWidth="1"/>
    <col min="10251" max="10252" width="20.42578125" style="14" customWidth="1"/>
    <col min="10253" max="10254" width="19.7109375" style="14" customWidth="1"/>
    <col min="10255" max="10255" width="25.28515625" style="14" customWidth="1"/>
    <col min="10256" max="10256" width="26" style="14" customWidth="1"/>
    <col min="10257" max="10257" width="22.28515625" style="14" customWidth="1"/>
    <col min="10258" max="10258" width="24.85546875" style="14" customWidth="1"/>
    <col min="10259" max="10259" width="21.140625" style="14" customWidth="1"/>
    <col min="10260" max="10260" width="21.42578125" style="14" customWidth="1"/>
    <col min="10261" max="10261" width="27.85546875" style="14" customWidth="1"/>
    <col min="10262" max="10262" width="23.42578125" style="14" customWidth="1"/>
    <col min="10263" max="10263" width="21.42578125" style="14" customWidth="1"/>
    <col min="10264" max="10266" width="20.7109375" style="14" customWidth="1"/>
    <col min="10267" max="10267" width="32.28515625" style="14" bestFit="1" customWidth="1"/>
    <col min="10268" max="10268" width="20.7109375" style="14" customWidth="1"/>
    <col min="10269" max="10269" width="22" style="14" customWidth="1"/>
    <col min="10270" max="10273" width="21.28515625" style="14" customWidth="1"/>
    <col min="10274" max="10274" width="22.28515625" style="14" customWidth="1"/>
    <col min="10275" max="10276" width="11.42578125" style="14"/>
    <col min="10277" max="10277" width="14.85546875" style="14" bestFit="1" customWidth="1"/>
    <col min="10278" max="10502" width="11.42578125" style="14"/>
    <col min="10503" max="10503" width="34.42578125" style="14" customWidth="1"/>
    <col min="10504" max="10505" width="19.42578125" style="14" bestFit="1" customWidth="1"/>
    <col min="10506" max="10506" width="19.7109375" style="14" customWidth="1"/>
    <col min="10507" max="10508" width="20.42578125" style="14" customWidth="1"/>
    <col min="10509" max="10510" width="19.7109375" style="14" customWidth="1"/>
    <col min="10511" max="10511" width="25.28515625" style="14" customWidth="1"/>
    <col min="10512" max="10512" width="26" style="14" customWidth="1"/>
    <col min="10513" max="10513" width="22.28515625" style="14" customWidth="1"/>
    <col min="10514" max="10514" width="24.85546875" style="14" customWidth="1"/>
    <col min="10515" max="10515" width="21.140625" style="14" customWidth="1"/>
    <col min="10516" max="10516" width="21.42578125" style="14" customWidth="1"/>
    <col min="10517" max="10517" width="27.85546875" style="14" customWidth="1"/>
    <col min="10518" max="10518" width="23.42578125" style="14" customWidth="1"/>
    <col min="10519" max="10519" width="21.42578125" style="14" customWidth="1"/>
    <col min="10520" max="10522" width="20.7109375" style="14" customWidth="1"/>
    <col min="10523" max="10523" width="32.28515625" style="14" bestFit="1" customWidth="1"/>
    <col min="10524" max="10524" width="20.7109375" style="14" customWidth="1"/>
    <col min="10525" max="10525" width="22" style="14" customWidth="1"/>
    <col min="10526" max="10529" width="21.28515625" style="14" customWidth="1"/>
    <col min="10530" max="10530" width="22.28515625" style="14" customWidth="1"/>
    <col min="10531" max="10532" width="11.42578125" style="14"/>
    <col min="10533" max="10533" width="14.85546875" style="14" bestFit="1" customWidth="1"/>
    <col min="10534" max="10758" width="11.42578125" style="14"/>
    <col min="10759" max="10759" width="34.42578125" style="14" customWidth="1"/>
    <col min="10760" max="10761" width="19.42578125" style="14" bestFit="1" customWidth="1"/>
    <col min="10762" max="10762" width="19.7109375" style="14" customWidth="1"/>
    <col min="10763" max="10764" width="20.42578125" style="14" customWidth="1"/>
    <col min="10765" max="10766" width="19.7109375" style="14" customWidth="1"/>
    <col min="10767" max="10767" width="25.28515625" style="14" customWidth="1"/>
    <col min="10768" max="10768" width="26" style="14" customWidth="1"/>
    <col min="10769" max="10769" width="22.28515625" style="14" customWidth="1"/>
    <col min="10770" max="10770" width="24.85546875" style="14" customWidth="1"/>
    <col min="10771" max="10771" width="21.140625" style="14" customWidth="1"/>
    <col min="10772" max="10772" width="21.42578125" style="14" customWidth="1"/>
    <col min="10773" max="10773" width="27.85546875" style="14" customWidth="1"/>
    <col min="10774" max="10774" width="23.42578125" style="14" customWidth="1"/>
    <col min="10775" max="10775" width="21.42578125" style="14" customWidth="1"/>
    <col min="10776" max="10778" width="20.7109375" style="14" customWidth="1"/>
    <col min="10779" max="10779" width="32.28515625" style="14" bestFit="1" customWidth="1"/>
    <col min="10780" max="10780" width="20.7109375" style="14" customWidth="1"/>
    <col min="10781" max="10781" width="22" style="14" customWidth="1"/>
    <col min="10782" max="10785" width="21.28515625" style="14" customWidth="1"/>
    <col min="10786" max="10786" width="22.28515625" style="14" customWidth="1"/>
    <col min="10787" max="10788" width="11.42578125" style="14"/>
    <col min="10789" max="10789" width="14.85546875" style="14" bestFit="1" customWidth="1"/>
    <col min="10790" max="11014" width="11.42578125" style="14"/>
    <col min="11015" max="11015" width="34.42578125" style="14" customWidth="1"/>
    <col min="11016" max="11017" width="19.42578125" style="14" bestFit="1" customWidth="1"/>
    <col min="11018" max="11018" width="19.7109375" style="14" customWidth="1"/>
    <col min="11019" max="11020" width="20.42578125" style="14" customWidth="1"/>
    <col min="11021" max="11022" width="19.7109375" style="14" customWidth="1"/>
    <col min="11023" max="11023" width="25.28515625" style="14" customWidth="1"/>
    <col min="11024" max="11024" width="26" style="14" customWidth="1"/>
    <col min="11025" max="11025" width="22.28515625" style="14" customWidth="1"/>
    <col min="11026" max="11026" width="24.85546875" style="14" customWidth="1"/>
    <col min="11027" max="11027" width="21.140625" style="14" customWidth="1"/>
    <col min="11028" max="11028" width="21.42578125" style="14" customWidth="1"/>
    <col min="11029" max="11029" width="27.85546875" style="14" customWidth="1"/>
    <col min="11030" max="11030" width="23.42578125" style="14" customWidth="1"/>
    <col min="11031" max="11031" width="21.42578125" style="14" customWidth="1"/>
    <col min="11032" max="11034" width="20.7109375" style="14" customWidth="1"/>
    <col min="11035" max="11035" width="32.28515625" style="14" bestFit="1" customWidth="1"/>
    <col min="11036" max="11036" width="20.7109375" style="14" customWidth="1"/>
    <col min="11037" max="11037" width="22" style="14" customWidth="1"/>
    <col min="11038" max="11041" width="21.28515625" style="14" customWidth="1"/>
    <col min="11042" max="11042" width="22.28515625" style="14" customWidth="1"/>
    <col min="11043" max="11044" width="11.42578125" style="14"/>
    <col min="11045" max="11045" width="14.85546875" style="14" bestFit="1" customWidth="1"/>
    <col min="11046" max="11270" width="11.42578125" style="14"/>
    <col min="11271" max="11271" width="34.42578125" style="14" customWidth="1"/>
    <col min="11272" max="11273" width="19.42578125" style="14" bestFit="1" customWidth="1"/>
    <col min="11274" max="11274" width="19.7109375" style="14" customWidth="1"/>
    <col min="11275" max="11276" width="20.42578125" style="14" customWidth="1"/>
    <col min="11277" max="11278" width="19.7109375" style="14" customWidth="1"/>
    <col min="11279" max="11279" width="25.28515625" style="14" customWidth="1"/>
    <col min="11280" max="11280" width="26" style="14" customWidth="1"/>
    <col min="11281" max="11281" width="22.28515625" style="14" customWidth="1"/>
    <col min="11282" max="11282" width="24.85546875" style="14" customWidth="1"/>
    <col min="11283" max="11283" width="21.140625" style="14" customWidth="1"/>
    <col min="11284" max="11284" width="21.42578125" style="14" customWidth="1"/>
    <col min="11285" max="11285" width="27.85546875" style="14" customWidth="1"/>
    <col min="11286" max="11286" width="23.42578125" style="14" customWidth="1"/>
    <col min="11287" max="11287" width="21.42578125" style="14" customWidth="1"/>
    <col min="11288" max="11290" width="20.7109375" style="14" customWidth="1"/>
    <col min="11291" max="11291" width="32.28515625" style="14" bestFit="1" customWidth="1"/>
    <col min="11292" max="11292" width="20.7109375" style="14" customWidth="1"/>
    <col min="11293" max="11293" width="22" style="14" customWidth="1"/>
    <col min="11294" max="11297" width="21.28515625" style="14" customWidth="1"/>
    <col min="11298" max="11298" width="22.28515625" style="14" customWidth="1"/>
    <col min="11299" max="11300" width="11.42578125" style="14"/>
    <col min="11301" max="11301" width="14.85546875" style="14" bestFit="1" customWidth="1"/>
    <col min="11302" max="11526" width="11.42578125" style="14"/>
    <col min="11527" max="11527" width="34.42578125" style="14" customWidth="1"/>
    <col min="11528" max="11529" width="19.42578125" style="14" bestFit="1" customWidth="1"/>
    <col min="11530" max="11530" width="19.7109375" style="14" customWidth="1"/>
    <col min="11531" max="11532" width="20.42578125" style="14" customWidth="1"/>
    <col min="11533" max="11534" width="19.7109375" style="14" customWidth="1"/>
    <col min="11535" max="11535" width="25.28515625" style="14" customWidth="1"/>
    <col min="11536" max="11536" width="26" style="14" customWidth="1"/>
    <col min="11537" max="11537" width="22.28515625" style="14" customWidth="1"/>
    <col min="11538" max="11538" width="24.85546875" style="14" customWidth="1"/>
    <col min="11539" max="11539" width="21.140625" style="14" customWidth="1"/>
    <col min="11540" max="11540" width="21.42578125" style="14" customWidth="1"/>
    <col min="11541" max="11541" width="27.85546875" style="14" customWidth="1"/>
    <col min="11542" max="11542" width="23.42578125" style="14" customWidth="1"/>
    <col min="11543" max="11543" width="21.42578125" style="14" customWidth="1"/>
    <col min="11544" max="11546" width="20.7109375" style="14" customWidth="1"/>
    <col min="11547" max="11547" width="32.28515625" style="14" bestFit="1" customWidth="1"/>
    <col min="11548" max="11548" width="20.7109375" style="14" customWidth="1"/>
    <col min="11549" max="11549" width="22" style="14" customWidth="1"/>
    <col min="11550" max="11553" width="21.28515625" style="14" customWidth="1"/>
    <col min="11554" max="11554" width="22.28515625" style="14" customWidth="1"/>
    <col min="11555" max="11556" width="11.42578125" style="14"/>
    <col min="11557" max="11557" width="14.85546875" style="14" bestFit="1" customWidth="1"/>
    <col min="11558" max="11782" width="11.42578125" style="14"/>
    <col min="11783" max="11783" width="34.42578125" style="14" customWidth="1"/>
    <col min="11784" max="11785" width="19.42578125" style="14" bestFit="1" customWidth="1"/>
    <col min="11786" max="11786" width="19.7109375" style="14" customWidth="1"/>
    <col min="11787" max="11788" width="20.42578125" style="14" customWidth="1"/>
    <col min="11789" max="11790" width="19.7109375" style="14" customWidth="1"/>
    <col min="11791" max="11791" width="25.28515625" style="14" customWidth="1"/>
    <col min="11792" max="11792" width="26" style="14" customWidth="1"/>
    <col min="11793" max="11793" width="22.28515625" style="14" customWidth="1"/>
    <col min="11794" max="11794" width="24.85546875" style="14" customWidth="1"/>
    <col min="11795" max="11795" width="21.140625" style="14" customWidth="1"/>
    <col min="11796" max="11796" width="21.42578125" style="14" customWidth="1"/>
    <col min="11797" max="11797" width="27.85546875" style="14" customWidth="1"/>
    <col min="11798" max="11798" width="23.42578125" style="14" customWidth="1"/>
    <col min="11799" max="11799" width="21.42578125" style="14" customWidth="1"/>
    <col min="11800" max="11802" width="20.7109375" style="14" customWidth="1"/>
    <col min="11803" max="11803" width="32.28515625" style="14" bestFit="1" customWidth="1"/>
    <col min="11804" max="11804" width="20.7109375" style="14" customWidth="1"/>
    <col min="11805" max="11805" width="22" style="14" customWidth="1"/>
    <col min="11806" max="11809" width="21.28515625" style="14" customWidth="1"/>
    <col min="11810" max="11810" width="22.28515625" style="14" customWidth="1"/>
    <col min="11811" max="11812" width="11.42578125" style="14"/>
    <col min="11813" max="11813" width="14.85546875" style="14" bestFit="1" customWidth="1"/>
    <col min="11814" max="12038" width="11.42578125" style="14"/>
    <col min="12039" max="12039" width="34.42578125" style="14" customWidth="1"/>
    <col min="12040" max="12041" width="19.42578125" style="14" bestFit="1" customWidth="1"/>
    <col min="12042" max="12042" width="19.7109375" style="14" customWidth="1"/>
    <col min="12043" max="12044" width="20.42578125" style="14" customWidth="1"/>
    <col min="12045" max="12046" width="19.7109375" style="14" customWidth="1"/>
    <col min="12047" max="12047" width="25.28515625" style="14" customWidth="1"/>
    <col min="12048" max="12048" width="26" style="14" customWidth="1"/>
    <col min="12049" max="12049" width="22.28515625" style="14" customWidth="1"/>
    <col min="12050" max="12050" width="24.85546875" style="14" customWidth="1"/>
    <col min="12051" max="12051" width="21.140625" style="14" customWidth="1"/>
    <col min="12052" max="12052" width="21.42578125" style="14" customWidth="1"/>
    <col min="12053" max="12053" width="27.85546875" style="14" customWidth="1"/>
    <col min="12054" max="12054" width="23.42578125" style="14" customWidth="1"/>
    <col min="12055" max="12055" width="21.42578125" style="14" customWidth="1"/>
    <col min="12056" max="12058" width="20.7109375" style="14" customWidth="1"/>
    <col min="12059" max="12059" width="32.28515625" style="14" bestFit="1" customWidth="1"/>
    <col min="12060" max="12060" width="20.7109375" style="14" customWidth="1"/>
    <col min="12061" max="12061" width="22" style="14" customWidth="1"/>
    <col min="12062" max="12065" width="21.28515625" style="14" customWidth="1"/>
    <col min="12066" max="12066" width="22.28515625" style="14" customWidth="1"/>
    <col min="12067" max="12068" width="11.42578125" style="14"/>
    <col min="12069" max="12069" width="14.85546875" style="14" bestFit="1" customWidth="1"/>
    <col min="12070" max="12294" width="11.42578125" style="14"/>
    <col min="12295" max="12295" width="34.42578125" style="14" customWidth="1"/>
    <col min="12296" max="12297" width="19.42578125" style="14" bestFit="1" customWidth="1"/>
    <col min="12298" max="12298" width="19.7109375" style="14" customWidth="1"/>
    <col min="12299" max="12300" width="20.42578125" style="14" customWidth="1"/>
    <col min="12301" max="12302" width="19.7109375" style="14" customWidth="1"/>
    <col min="12303" max="12303" width="25.28515625" style="14" customWidth="1"/>
    <col min="12304" max="12304" width="26" style="14" customWidth="1"/>
    <col min="12305" max="12305" width="22.28515625" style="14" customWidth="1"/>
    <col min="12306" max="12306" width="24.85546875" style="14" customWidth="1"/>
    <col min="12307" max="12307" width="21.140625" style="14" customWidth="1"/>
    <col min="12308" max="12308" width="21.42578125" style="14" customWidth="1"/>
    <col min="12309" max="12309" width="27.85546875" style="14" customWidth="1"/>
    <col min="12310" max="12310" width="23.42578125" style="14" customWidth="1"/>
    <col min="12311" max="12311" width="21.42578125" style="14" customWidth="1"/>
    <col min="12312" max="12314" width="20.7109375" style="14" customWidth="1"/>
    <col min="12315" max="12315" width="32.28515625" style="14" bestFit="1" customWidth="1"/>
    <col min="12316" max="12316" width="20.7109375" style="14" customWidth="1"/>
    <col min="12317" max="12317" width="22" style="14" customWidth="1"/>
    <col min="12318" max="12321" width="21.28515625" style="14" customWidth="1"/>
    <col min="12322" max="12322" width="22.28515625" style="14" customWidth="1"/>
    <col min="12323" max="12324" width="11.42578125" style="14"/>
    <col min="12325" max="12325" width="14.85546875" style="14" bestFit="1" customWidth="1"/>
    <col min="12326" max="12550" width="11.42578125" style="14"/>
    <col min="12551" max="12551" width="34.42578125" style="14" customWidth="1"/>
    <col min="12552" max="12553" width="19.42578125" style="14" bestFit="1" customWidth="1"/>
    <col min="12554" max="12554" width="19.7109375" style="14" customWidth="1"/>
    <col min="12555" max="12556" width="20.42578125" style="14" customWidth="1"/>
    <col min="12557" max="12558" width="19.7109375" style="14" customWidth="1"/>
    <col min="12559" max="12559" width="25.28515625" style="14" customWidth="1"/>
    <col min="12560" max="12560" width="26" style="14" customWidth="1"/>
    <col min="12561" max="12561" width="22.28515625" style="14" customWidth="1"/>
    <col min="12562" max="12562" width="24.85546875" style="14" customWidth="1"/>
    <col min="12563" max="12563" width="21.140625" style="14" customWidth="1"/>
    <col min="12564" max="12564" width="21.42578125" style="14" customWidth="1"/>
    <col min="12565" max="12565" width="27.85546875" style="14" customWidth="1"/>
    <col min="12566" max="12566" width="23.42578125" style="14" customWidth="1"/>
    <col min="12567" max="12567" width="21.42578125" style="14" customWidth="1"/>
    <col min="12568" max="12570" width="20.7109375" style="14" customWidth="1"/>
    <col min="12571" max="12571" width="32.28515625" style="14" bestFit="1" customWidth="1"/>
    <col min="12572" max="12572" width="20.7109375" style="14" customWidth="1"/>
    <col min="12573" max="12573" width="22" style="14" customWidth="1"/>
    <col min="12574" max="12577" width="21.28515625" style="14" customWidth="1"/>
    <col min="12578" max="12578" width="22.28515625" style="14" customWidth="1"/>
    <col min="12579" max="12580" width="11.42578125" style="14"/>
    <col min="12581" max="12581" width="14.85546875" style="14" bestFit="1" customWidth="1"/>
    <col min="12582" max="12806" width="11.42578125" style="14"/>
    <col min="12807" max="12807" width="34.42578125" style="14" customWidth="1"/>
    <col min="12808" max="12809" width="19.42578125" style="14" bestFit="1" customWidth="1"/>
    <col min="12810" max="12810" width="19.7109375" style="14" customWidth="1"/>
    <col min="12811" max="12812" width="20.42578125" style="14" customWidth="1"/>
    <col min="12813" max="12814" width="19.7109375" style="14" customWidth="1"/>
    <col min="12815" max="12815" width="25.28515625" style="14" customWidth="1"/>
    <col min="12816" max="12816" width="26" style="14" customWidth="1"/>
    <col min="12817" max="12817" width="22.28515625" style="14" customWidth="1"/>
    <col min="12818" max="12818" width="24.85546875" style="14" customWidth="1"/>
    <col min="12819" max="12819" width="21.140625" style="14" customWidth="1"/>
    <col min="12820" max="12820" width="21.42578125" style="14" customWidth="1"/>
    <col min="12821" max="12821" width="27.85546875" style="14" customWidth="1"/>
    <col min="12822" max="12822" width="23.42578125" style="14" customWidth="1"/>
    <col min="12823" max="12823" width="21.42578125" style="14" customWidth="1"/>
    <col min="12824" max="12826" width="20.7109375" style="14" customWidth="1"/>
    <col min="12827" max="12827" width="32.28515625" style="14" bestFit="1" customWidth="1"/>
    <col min="12828" max="12828" width="20.7109375" style="14" customWidth="1"/>
    <col min="12829" max="12829" width="22" style="14" customWidth="1"/>
    <col min="12830" max="12833" width="21.28515625" style="14" customWidth="1"/>
    <col min="12834" max="12834" width="22.28515625" style="14" customWidth="1"/>
    <col min="12835" max="12836" width="11.42578125" style="14"/>
    <col min="12837" max="12837" width="14.85546875" style="14" bestFit="1" customWidth="1"/>
    <col min="12838" max="13062" width="11.42578125" style="14"/>
    <col min="13063" max="13063" width="34.42578125" style="14" customWidth="1"/>
    <col min="13064" max="13065" width="19.42578125" style="14" bestFit="1" customWidth="1"/>
    <col min="13066" max="13066" width="19.7109375" style="14" customWidth="1"/>
    <col min="13067" max="13068" width="20.42578125" style="14" customWidth="1"/>
    <col min="13069" max="13070" width="19.7109375" style="14" customWidth="1"/>
    <col min="13071" max="13071" width="25.28515625" style="14" customWidth="1"/>
    <col min="13072" max="13072" width="26" style="14" customWidth="1"/>
    <col min="13073" max="13073" width="22.28515625" style="14" customWidth="1"/>
    <col min="13074" max="13074" width="24.85546875" style="14" customWidth="1"/>
    <col min="13075" max="13075" width="21.140625" style="14" customWidth="1"/>
    <col min="13076" max="13076" width="21.42578125" style="14" customWidth="1"/>
    <col min="13077" max="13077" width="27.85546875" style="14" customWidth="1"/>
    <col min="13078" max="13078" width="23.42578125" style="14" customWidth="1"/>
    <col min="13079" max="13079" width="21.42578125" style="14" customWidth="1"/>
    <col min="13080" max="13082" width="20.7109375" style="14" customWidth="1"/>
    <col min="13083" max="13083" width="32.28515625" style="14" bestFit="1" customWidth="1"/>
    <col min="13084" max="13084" width="20.7109375" style="14" customWidth="1"/>
    <col min="13085" max="13085" width="22" style="14" customWidth="1"/>
    <col min="13086" max="13089" width="21.28515625" style="14" customWidth="1"/>
    <col min="13090" max="13090" width="22.28515625" style="14" customWidth="1"/>
    <col min="13091" max="13092" width="11.42578125" style="14"/>
    <col min="13093" max="13093" width="14.85546875" style="14" bestFit="1" customWidth="1"/>
    <col min="13094" max="13318" width="11.42578125" style="14"/>
    <col min="13319" max="13319" width="34.42578125" style="14" customWidth="1"/>
    <col min="13320" max="13321" width="19.42578125" style="14" bestFit="1" customWidth="1"/>
    <col min="13322" max="13322" width="19.7109375" style="14" customWidth="1"/>
    <col min="13323" max="13324" width="20.42578125" style="14" customWidth="1"/>
    <col min="13325" max="13326" width="19.7109375" style="14" customWidth="1"/>
    <col min="13327" max="13327" width="25.28515625" style="14" customWidth="1"/>
    <col min="13328" max="13328" width="26" style="14" customWidth="1"/>
    <col min="13329" max="13329" width="22.28515625" style="14" customWidth="1"/>
    <col min="13330" max="13330" width="24.85546875" style="14" customWidth="1"/>
    <col min="13331" max="13331" width="21.140625" style="14" customWidth="1"/>
    <col min="13332" max="13332" width="21.42578125" style="14" customWidth="1"/>
    <col min="13333" max="13333" width="27.85546875" style="14" customWidth="1"/>
    <col min="13334" max="13334" width="23.42578125" style="14" customWidth="1"/>
    <col min="13335" max="13335" width="21.42578125" style="14" customWidth="1"/>
    <col min="13336" max="13338" width="20.7109375" style="14" customWidth="1"/>
    <col min="13339" max="13339" width="32.28515625" style="14" bestFit="1" customWidth="1"/>
    <col min="13340" max="13340" width="20.7109375" style="14" customWidth="1"/>
    <col min="13341" max="13341" width="22" style="14" customWidth="1"/>
    <col min="13342" max="13345" width="21.28515625" style="14" customWidth="1"/>
    <col min="13346" max="13346" width="22.28515625" style="14" customWidth="1"/>
    <col min="13347" max="13348" width="11.42578125" style="14"/>
    <col min="13349" max="13349" width="14.85546875" style="14" bestFit="1" customWidth="1"/>
    <col min="13350" max="13574" width="11.42578125" style="14"/>
    <col min="13575" max="13575" width="34.42578125" style="14" customWidth="1"/>
    <col min="13576" max="13577" width="19.42578125" style="14" bestFit="1" customWidth="1"/>
    <col min="13578" max="13578" width="19.7109375" style="14" customWidth="1"/>
    <col min="13579" max="13580" width="20.42578125" style="14" customWidth="1"/>
    <col min="13581" max="13582" width="19.7109375" style="14" customWidth="1"/>
    <col min="13583" max="13583" width="25.28515625" style="14" customWidth="1"/>
    <col min="13584" max="13584" width="26" style="14" customWidth="1"/>
    <col min="13585" max="13585" width="22.28515625" style="14" customWidth="1"/>
    <col min="13586" max="13586" width="24.85546875" style="14" customWidth="1"/>
    <col min="13587" max="13587" width="21.140625" style="14" customWidth="1"/>
    <col min="13588" max="13588" width="21.42578125" style="14" customWidth="1"/>
    <col min="13589" max="13589" width="27.85546875" style="14" customWidth="1"/>
    <col min="13590" max="13590" width="23.42578125" style="14" customWidth="1"/>
    <col min="13591" max="13591" width="21.42578125" style="14" customWidth="1"/>
    <col min="13592" max="13594" width="20.7109375" style="14" customWidth="1"/>
    <col min="13595" max="13595" width="32.28515625" style="14" bestFit="1" customWidth="1"/>
    <col min="13596" max="13596" width="20.7109375" style="14" customWidth="1"/>
    <col min="13597" max="13597" width="22" style="14" customWidth="1"/>
    <col min="13598" max="13601" width="21.28515625" style="14" customWidth="1"/>
    <col min="13602" max="13602" width="22.28515625" style="14" customWidth="1"/>
    <col min="13603" max="13604" width="11.42578125" style="14"/>
    <col min="13605" max="13605" width="14.85546875" style="14" bestFit="1" customWidth="1"/>
    <col min="13606" max="13830" width="11.42578125" style="14"/>
    <col min="13831" max="13831" width="34.42578125" style="14" customWidth="1"/>
    <col min="13832" max="13833" width="19.42578125" style="14" bestFit="1" customWidth="1"/>
    <col min="13834" max="13834" width="19.7109375" style="14" customWidth="1"/>
    <col min="13835" max="13836" width="20.42578125" style="14" customWidth="1"/>
    <col min="13837" max="13838" width="19.7109375" style="14" customWidth="1"/>
    <col min="13839" max="13839" width="25.28515625" style="14" customWidth="1"/>
    <col min="13840" max="13840" width="26" style="14" customWidth="1"/>
    <col min="13841" max="13841" width="22.28515625" style="14" customWidth="1"/>
    <col min="13842" max="13842" width="24.85546875" style="14" customWidth="1"/>
    <col min="13843" max="13843" width="21.140625" style="14" customWidth="1"/>
    <col min="13844" max="13844" width="21.42578125" style="14" customWidth="1"/>
    <col min="13845" max="13845" width="27.85546875" style="14" customWidth="1"/>
    <col min="13846" max="13846" width="23.42578125" style="14" customWidth="1"/>
    <col min="13847" max="13847" width="21.42578125" style="14" customWidth="1"/>
    <col min="13848" max="13850" width="20.7109375" style="14" customWidth="1"/>
    <col min="13851" max="13851" width="32.28515625" style="14" bestFit="1" customWidth="1"/>
    <col min="13852" max="13852" width="20.7109375" style="14" customWidth="1"/>
    <col min="13853" max="13853" width="22" style="14" customWidth="1"/>
    <col min="13854" max="13857" width="21.28515625" style="14" customWidth="1"/>
    <col min="13858" max="13858" width="22.28515625" style="14" customWidth="1"/>
    <col min="13859" max="13860" width="11.42578125" style="14"/>
    <col min="13861" max="13861" width="14.85546875" style="14" bestFit="1" customWidth="1"/>
    <col min="13862" max="14086" width="11.42578125" style="14"/>
    <col min="14087" max="14087" width="34.42578125" style="14" customWidth="1"/>
    <col min="14088" max="14089" width="19.42578125" style="14" bestFit="1" customWidth="1"/>
    <col min="14090" max="14090" width="19.7109375" style="14" customWidth="1"/>
    <col min="14091" max="14092" width="20.42578125" style="14" customWidth="1"/>
    <col min="14093" max="14094" width="19.7109375" style="14" customWidth="1"/>
    <col min="14095" max="14095" width="25.28515625" style="14" customWidth="1"/>
    <col min="14096" max="14096" width="26" style="14" customWidth="1"/>
    <col min="14097" max="14097" width="22.28515625" style="14" customWidth="1"/>
    <col min="14098" max="14098" width="24.85546875" style="14" customWidth="1"/>
    <col min="14099" max="14099" width="21.140625" style="14" customWidth="1"/>
    <col min="14100" max="14100" width="21.42578125" style="14" customWidth="1"/>
    <col min="14101" max="14101" width="27.85546875" style="14" customWidth="1"/>
    <col min="14102" max="14102" width="23.42578125" style="14" customWidth="1"/>
    <col min="14103" max="14103" width="21.42578125" style="14" customWidth="1"/>
    <col min="14104" max="14106" width="20.7109375" style="14" customWidth="1"/>
    <col min="14107" max="14107" width="32.28515625" style="14" bestFit="1" customWidth="1"/>
    <col min="14108" max="14108" width="20.7109375" style="14" customWidth="1"/>
    <col min="14109" max="14109" width="22" style="14" customWidth="1"/>
    <col min="14110" max="14113" width="21.28515625" style="14" customWidth="1"/>
    <col min="14114" max="14114" width="22.28515625" style="14" customWidth="1"/>
    <col min="14115" max="14116" width="11.42578125" style="14"/>
    <col min="14117" max="14117" width="14.85546875" style="14" bestFit="1" customWidth="1"/>
    <col min="14118" max="14342" width="11.42578125" style="14"/>
    <col min="14343" max="14343" width="34.42578125" style="14" customWidth="1"/>
    <col min="14344" max="14345" width="19.42578125" style="14" bestFit="1" customWidth="1"/>
    <col min="14346" max="14346" width="19.7109375" style="14" customWidth="1"/>
    <col min="14347" max="14348" width="20.42578125" style="14" customWidth="1"/>
    <col min="14349" max="14350" width="19.7109375" style="14" customWidth="1"/>
    <col min="14351" max="14351" width="25.28515625" style="14" customWidth="1"/>
    <col min="14352" max="14352" width="26" style="14" customWidth="1"/>
    <col min="14353" max="14353" width="22.28515625" style="14" customWidth="1"/>
    <col min="14354" max="14354" width="24.85546875" style="14" customWidth="1"/>
    <col min="14355" max="14355" width="21.140625" style="14" customWidth="1"/>
    <col min="14356" max="14356" width="21.42578125" style="14" customWidth="1"/>
    <col min="14357" max="14357" width="27.85546875" style="14" customWidth="1"/>
    <col min="14358" max="14358" width="23.42578125" style="14" customWidth="1"/>
    <col min="14359" max="14359" width="21.42578125" style="14" customWidth="1"/>
    <col min="14360" max="14362" width="20.7109375" style="14" customWidth="1"/>
    <col min="14363" max="14363" width="32.28515625" style="14" bestFit="1" customWidth="1"/>
    <col min="14364" max="14364" width="20.7109375" style="14" customWidth="1"/>
    <col min="14365" max="14365" width="22" style="14" customWidth="1"/>
    <col min="14366" max="14369" width="21.28515625" style="14" customWidth="1"/>
    <col min="14370" max="14370" width="22.28515625" style="14" customWidth="1"/>
    <col min="14371" max="14372" width="11.42578125" style="14"/>
    <col min="14373" max="14373" width="14.85546875" style="14" bestFit="1" customWidth="1"/>
    <col min="14374" max="14598" width="11.42578125" style="14"/>
    <col min="14599" max="14599" width="34.42578125" style="14" customWidth="1"/>
    <col min="14600" max="14601" width="19.42578125" style="14" bestFit="1" customWidth="1"/>
    <col min="14602" max="14602" width="19.7109375" style="14" customWidth="1"/>
    <col min="14603" max="14604" width="20.42578125" style="14" customWidth="1"/>
    <col min="14605" max="14606" width="19.7109375" style="14" customWidth="1"/>
    <col min="14607" max="14607" width="25.28515625" style="14" customWidth="1"/>
    <col min="14608" max="14608" width="26" style="14" customWidth="1"/>
    <col min="14609" max="14609" width="22.28515625" style="14" customWidth="1"/>
    <col min="14610" max="14610" width="24.85546875" style="14" customWidth="1"/>
    <col min="14611" max="14611" width="21.140625" style="14" customWidth="1"/>
    <col min="14612" max="14612" width="21.42578125" style="14" customWidth="1"/>
    <col min="14613" max="14613" width="27.85546875" style="14" customWidth="1"/>
    <col min="14614" max="14614" width="23.42578125" style="14" customWidth="1"/>
    <col min="14615" max="14615" width="21.42578125" style="14" customWidth="1"/>
    <col min="14616" max="14618" width="20.7109375" style="14" customWidth="1"/>
    <col min="14619" max="14619" width="32.28515625" style="14" bestFit="1" customWidth="1"/>
    <col min="14620" max="14620" width="20.7109375" style="14" customWidth="1"/>
    <col min="14621" max="14621" width="22" style="14" customWidth="1"/>
    <col min="14622" max="14625" width="21.28515625" style="14" customWidth="1"/>
    <col min="14626" max="14626" width="22.28515625" style="14" customWidth="1"/>
    <col min="14627" max="14628" width="11.42578125" style="14"/>
    <col min="14629" max="14629" width="14.85546875" style="14" bestFit="1" customWidth="1"/>
    <col min="14630" max="14854" width="11.42578125" style="14"/>
    <col min="14855" max="14855" width="34.42578125" style="14" customWidth="1"/>
    <col min="14856" max="14857" width="19.42578125" style="14" bestFit="1" customWidth="1"/>
    <col min="14858" max="14858" width="19.7109375" style="14" customWidth="1"/>
    <col min="14859" max="14860" width="20.42578125" style="14" customWidth="1"/>
    <col min="14861" max="14862" width="19.7109375" style="14" customWidth="1"/>
    <col min="14863" max="14863" width="25.28515625" style="14" customWidth="1"/>
    <col min="14864" max="14864" width="26" style="14" customWidth="1"/>
    <col min="14865" max="14865" width="22.28515625" style="14" customWidth="1"/>
    <col min="14866" max="14866" width="24.85546875" style="14" customWidth="1"/>
    <col min="14867" max="14867" width="21.140625" style="14" customWidth="1"/>
    <col min="14868" max="14868" width="21.42578125" style="14" customWidth="1"/>
    <col min="14869" max="14869" width="27.85546875" style="14" customWidth="1"/>
    <col min="14870" max="14870" width="23.42578125" style="14" customWidth="1"/>
    <col min="14871" max="14871" width="21.42578125" style="14" customWidth="1"/>
    <col min="14872" max="14874" width="20.7109375" style="14" customWidth="1"/>
    <col min="14875" max="14875" width="32.28515625" style="14" bestFit="1" customWidth="1"/>
    <col min="14876" max="14876" width="20.7109375" style="14" customWidth="1"/>
    <col min="14877" max="14877" width="22" style="14" customWidth="1"/>
    <col min="14878" max="14881" width="21.28515625" style="14" customWidth="1"/>
    <col min="14882" max="14882" width="22.28515625" style="14" customWidth="1"/>
    <col min="14883" max="14884" width="11.42578125" style="14"/>
    <col min="14885" max="14885" width="14.85546875" style="14" bestFit="1" customWidth="1"/>
    <col min="14886" max="15110" width="11.42578125" style="14"/>
    <col min="15111" max="15111" width="34.42578125" style="14" customWidth="1"/>
    <col min="15112" max="15113" width="19.42578125" style="14" bestFit="1" customWidth="1"/>
    <col min="15114" max="15114" width="19.7109375" style="14" customWidth="1"/>
    <col min="15115" max="15116" width="20.42578125" style="14" customWidth="1"/>
    <col min="15117" max="15118" width="19.7109375" style="14" customWidth="1"/>
    <col min="15119" max="15119" width="25.28515625" style="14" customWidth="1"/>
    <col min="15120" max="15120" width="26" style="14" customWidth="1"/>
    <col min="15121" max="15121" width="22.28515625" style="14" customWidth="1"/>
    <col min="15122" max="15122" width="24.85546875" style="14" customWidth="1"/>
    <col min="15123" max="15123" width="21.140625" style="14" customWidth="1"/>
    <col min="15124" max="15124" width="21.42578125" style="14" customWidth="1"/>
    <col min="15125" max="15125" width="27.85546875" style="14" customWidth="1"/>
    <col min="15126" max="15126" width="23.42578125" style="14" customWidth="1"/>
    <col min="15127" max="15127" width="21.42578125" style="14" customWidth="1"/>
    <col min="15128" max="15130" width="20.7109375" style="14" customWidth="1"/>
    <col min="15131" max="15131" width="32.28515625" style="14" bestFit="1" customWidth="1"/>
    <col min="15132" max="15132" width="20.7109375" style="14" customWidth="1"/>
    <col min="15133" max="15133" width="22" style="14" customWidth="1"/>
    <col min="15134" max="15137" width="21.28515625" style="14" customWidth="1"/>
    <col min="15138" max="15138" width="22.28515625" style="14" customWidth="1"/>
    <col min="15139" max="15140" width="11.42578125" style="14"/>
    <col min="15141" max="15141" width="14.85546875" style="14" bestFit="1" customWidth="1"/>
    <col min="15142" max="15366" width="11.42578125" style="14"/>
    <col min="15367" max="15367" width="34.42578125" style="14" customWidth="1"/>
    <col min="15368" max="15369" width="19.42578125" style="14" bestFit="1" customWidth="1"/>
    <col min="15370" max="15370" width="19.7109375" style="14" customWidth="1"/>
    <col min="15371" max="15372" width="20.42578125" style="14" customWidth="1"/>
    <col min="15373" max="15374" width="19.7109375" style="14" customWidth="1"/>
    <col min="15375" max="15375" width="25.28515625" style="14" customWidth="1"/>
    <col min="15376" max="15376" width="26" style="14" customWidth="1"/>
    <col min="15377" max="15377" width="22.28515625" style="14" customWidth="1"/>
    <col min="15378" max="15378" width="24.85546875" style="14" customWidth="1"/>
    <col min="15379" max="15379" width="21.140625" style="14" customWidth="1"/>
    <col min="15380" max="15380" width="21.42578125" style="14" customWidth="1"/>
    <col min="15381" max="15381" width="27.85546875" style="14" customWidth="1"/>
    <col min="15382" max="15382" width="23.42578125" style="14" customWidth="1"/>
    <col min="15383" max="15383" width="21.42578125" style="14" customWidth="1"/>
    <col min="15384" max="15386" width="20.7109375" style="14" customWidth="1"/>
    <col min="15387" max="15387" width="32.28515625" style="14" bestFit="1" customWidth="1"/>
    <col min="15388" max="15388" width="20.7109375" style="14" customWidth="1"/>
    <col min="15389" max="15389" width="22" style="14" customWidth="1"/>
    <col min="15390" max="15393" width="21.28515625" style="14" customWidth="1"/>
    <col min="15394" max="15394" width="22.28515625" style="14" customWidth="1"/>
    <col min="15395" max="15396" width="11.42578125" style="14"/>
    <col min="15397" max="15397" width="14.85546875" style="14" bestFit="1" customWidth="1"/>
    <col min="15398" max="15622" width="11.42578125" style="14"/>
    <col min="15623" max="15623" width="34.42578125" style="14" customWidth="1"/>
    <col min="15624" max="15625" width="19.42578125" style="14" bestFit="1" customWidth="1"/>
    <col min="15626" max="15626" width="19.7109375" style="14" customWidth="1"/>
    <col min="15627" max="15628" width="20.42578125" style="14" customWidth="1"/>
    <col min="15629" max="15630" width="19.7109375" style="14" customWidth="1"/>
    <col min="15631" max="15631" width="25.28515625" style="14" customWidth="1"/>
    <col min="15632" max="15632" width="26" style="14" customWidth="1"/>
    <col min="15633" max="15633" width="22.28515625" style="14" customWidth="1"/>
    <col min="15634" max="15634" width="24.85546875" style="14" customWidth="1"/>
    <col min="15635" max="15635" width="21.140625" style="14" customWidth="1"/>
    <col min="15636" max="15636" width="21.42578125" style="14" customWidth="1"/>
    <col min="15637" max="15637" width="27.85546875" style="14" customWidth="1"/>
    <col min="15638" max="15638" width="23.42578125" style="14" customWidth="1"/>
    <col min="15639" max="15639" width="21.42578125" style="14" customWidth="1"/>
    <col min="15640" max="15642" width="20.7109375" style="14" customWidth="1"/>
    <col min="15643" max="15643" width="32.28515625" style="14" bestFit="1" customWidth="1"/>
    <col min="15644" max="15644" width="20.7109375" style="14" customWidth="1"/>
    <col min="15645" max="15645" width="22" style="14" customWidth="1"/>
    <col min="15646" max="15649" width="21.28515625" style="14" customWidth="1"/>
    <col min="15650" max="15650" width="22.28515625" style="14" customWidth="1"/>
    <col min="15651" max="15652" width="11.42578125" style="14"/>
    <col min="15653" max="15653" width="14.85546875" style="14" bestFit="1" customWidth="1"/>
    <col min="15654" max="15878" width="11.42578125" style="14"/>
    <col min="15879" max="15879" width="34.42578125" style="14" customWidth="1"/>
    <col min="15880" max="15881" width="19.42578125" style="14" bestFit="1" customWidth="1"/>
    <col min="15882" max="15882" width="19.7109375" style="14" customWidth="1"/>
    <col min="15883" max="15884" width="20.42578125" style="14" customWidth="1"/>
    <col min="15885" max="15886" width="19.7109375" style="14" customWidth="1"/>
    <col min="15887" max="15887" width="25.28515625" style="14" customWidth="1"/>
    <col min="15888" max="15888" width="26" style="14" customWidth="1"/>
    <col min="15889" max="15889" width="22.28515625" style="14" customWidth="1"/>
    <col min="15890" max="15890" width="24.85546875" style="14" customWidth="1"/>
    <col min="15891" max="15891" width="21.140625" style="14" customWidth="1"/>
    <col min="15892" max="15892" width="21.42578125" style="14" customWidth="1"/>
    <col min="15893" max="15893" width="27.85546875" style="14" customWidth="1"/>
    <col min="15894" max="15894" width="23.42578125" style="14" customWidth="1"/>
    <col min="15895" max="15895" width="21.42578125" style="14" customWidth="1"/>
    <col min="15896" max="15898" width="20.7109375" style="14" customWidth="1"/>
    <col min="15899" max="15899" width="32.28515625" style="14" bestFit="1" customWidth="1"/>
    <col min="15900" max="15900" width="20.7109375" style="14" customWidth="1"/>
    <col min="15901" max="15901" width="22" style="14" customWidth="1"/>
    <col min="15902" max="15905" width="21.28515625" style="14" customWidth="1"/>
    <col min="15906" max="15906" width="22.28515625" style="14" customWidth="1"/>
    <col min="15907" max="15908" width="11.42578125" style="14"/>
    <col min="15909" max="15909" width="14.85546875" style="14" bestFit="1" customWidth="1"/>
    <col min="15910" max="16134" width="11.42578125" style="14"/>
    <col min="16135" max="16135" width="34.42578125" style="14" customWidth="1"/>
    <col min="16136" max="16137" width="19.42578125" style="14" bestFit="1" customWidth="1"/>
    <col min="16138" max="16138" width="19.7109375" style="14" customWidth="1"/>
    <col min="16139" max="16140" width="20.42578125" style="14" customWidth="1"/>
    <col min="16141" max="16142" width="19.7109375" style="14" customWidth="1"/>
    <col min="16143" max="16143" width="25.28515625" style="14" customWidth="1"/>
    <col min="16144" max="16144" width="26" style="14" customWidth="1"/>
    <col min="16145" max="16145" width="22.28515625" style="14" customWidth="1"/>
    <col min="16146" max="16146" width="24.85546875" style="14" customWidth="1"/>
    <col min="16147" max="16147" width="21.140625" style="14" customWidth="1"/>
    <col min="16148" max="16148" width="21.42578125" style="14" customWidth="1"/>
    <col min="16149" max="16149" width="27.85546875" style="14" customWidth="1"/>
    <col min="16150" max="16150" width="23.42578125" style="14" customWidth="1"/>
    <col min="16151" max="16151" width="21.42578125" style="14" customWidth="1"/>
    <col min="16152" max="16154" width="20.7109375" style="14" customWidth="1"/>
    <col min="16155" max="16155" width="32.28515625" style="14" bestFit="1" customWidth="1"/>
    <col min="16156" max="16156" width="20.7109375" style="14" customWidth="1"/>
    <col min="16157" max="16157" width="22" style="14" customWidth="1"/>
    <col min="16158" max="16161" width="21.28515625" style="14" customWidth="1"/>
    <col min="16162" max="16162" width="22.28515625" style="14" customWidth="1"/>
    <col min="16163" max="16164" width="11.42578125" style="14"/>
    <col min="16165" max="16165" width="14.85546875" style="14" bestFit="1" customWidth="1"/>
    <col min="16166" max="16384" width="11.42578125" style="14"/>
  </cols>
  <sheetData>
    <row r="1" spans="1:34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2"/>
      <c r="AD1" s="2"/>
      <c r="AE1" s="2"/>
      <c r="AF1" s="2"/>
      <c r="AG1" s="2"/>
      <c r="AH1" s="1"/>
    </row>
    <row r="2" spans="1:34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2"/>
      <c r="AD2" s="2"/>
      <c r="AE2" s="2"/>
      <c r="AF2" s="2"/>
      <c r="AG2" s="2"/>
      <c r="AH2" s="1"/>
    </row>
    <row r="3" spans="1:34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2"/>
      <c r="AD3" s="2"/>
      <c r="AE3" s="2"/>
      <c r="AF3" s="2"/>
      <c r="AG3" s="2"/>
      <c r="AH3" s="4"/>
    </row>
    <row r="4" spans="1:34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2"/>
      <c r="AD4" s="2"/>
      <c r="AE4" s="2"/>
      <c r="AF4" s="2"/>
      <c r="AG4" s="2"/>
      <c r="AH4" s="1"/>
    </row>
    <row r="5" spans="1:34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2"/>
      <c r="AD5" s="2"/>
      <c r="AE5" s="2"/>
      <c r="AF5" s="2"/>
      <c r="AG5" s="2"/>
      <c r="AH5" s="1"/>
    </row>
    <row r="6" spans="1:34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2"/>
      <c r="AD6" s="2"/>
      <c r="AE6" s="2"/>
      <c r="AF6" s="2"/>
      <c r="AG6" s="2"/>
      <c r="AH6" s="1"/>
    </row>
    <row r="7" spans="1:34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2"/>
      <c r="AD7" s="2"/>
      <c r="AE7" s="2"/>
      <c r="AF7" s="2"/>
      <c r="AG7" s="2"/>
      <c r="AH7" s="1"/>
    </row>
    <row r="8" spans="1:34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2"/>
      <c r="AD8" s="2"/>
      <c r="AE8" s="2"/>
      <c r="AF8" s="2"/>
      <c r="AG8" s="2"/>
      <c r="AH8" s="1"/>
    </row>
    <row r="9" spans="1:34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 t="s">
        <v>3</v>
      </c>
      <c r="V9" s="960" t="s">
        <v>35</v>
      </c>
      <c r="W9" s="960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</row>
    <row r="10" spans="1:3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</row>
    <row r="11" spans="1:34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965" t="s">
        <v>61</v>
      </c>
      <c r="O11" s="965"/>
      <c r="P11" s="6"/>
      <c r="Q11" s="6"/>
      <c r="R11" s="6"/>
      <c r="S11" s="1"/>
      <c r="T11" s="1"/>
      <c r="U11" s="1" t="s">
        <v>6</v>
      </c>
      <c r="V11" s="95">
        <v>45364</v>
      </c>
      <c r="W11" s="6"/>
      <c r="X11" s="6"/>
      <c r="Y11" s="6"/>
      <c r="Z11" s="6"/>
      <c r="AA11" s="6"/>
      <c r="AB11" s="6"/>
      <c r="AC11" s="1"/>
      <c r="AD11" s="1"/>
      <c r="AE11" s="1"/>
      <c r="AF11" s="1"/>
      <c r="AG11" s="1"/>
      <c r="AH11" s="1"/>
    </row>
    <row r="12" spans="1:3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6"/>
      <c r="O12" s="6"/>
      <c r="P12" s="6"/>
      <c r="Q12" s="6"/>
      <c r="R12" s="6"/>
      <c r="S12" s="1"/>
      <c r="T12" s="1"/>
      <c r="U12" s="1"/>
      <c r="V12" s="1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"/>
    </row>
    <row r="13" spans="1:3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"/>
      <c r="AB13" s="1"/>
      <c r="AC13" s="1"/>
    </row>
    <row r="14" spans="1:34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1"/>
      <c r="AC14" s="1"/>
      <c r="AD14" s="1"/>
    </row>
    <row r="15" spans="1:34" s="10" customFormat="1" ht="36" thickBot="1" x14ac:dyDescent="0.3">
      <c r="A15" s="69" t="s">
        <v>7</v>
      </c>
      <c r="B15" s="971" t="s">
        <v>8</v>
      </c>
      <c r="C15" s="968"/>
      <c r="D15" s="968"/>
      <c r="E15" s="968"/>
      <c r="F15" s="968"/>
      <c r="G15" s="968"/>
      <c r="H15" s="968"/>
      <c r="I15" s="968"/>
      <c r="J15" s="968"/>
      <c r="K15" s="969"/>
      <c r="L15" s="971" t="s">
        <v>29</v>
      </c>
      <c r="M15" s="968"/>
      <c r="N15" s="968"/>
      <c r="O15" s="968"/>
      <c r="P15" s="968"/>
      <c r="Q15" s="969"/>
      <c r="R15" s="962" t="s">
        <v>31</v>
      </c>
      <c r="S15" s="963"/>
      <c r="T15" s="963"/>
      <c r="U15" s="963"/>
      <c r="V15" s="963"/>
      <c r="W15" s="964"/>
      <c r="X15" s="9"/>
    </row>
    <row r="16" spans="1:34" ht="39.950000000000003" customHeight="1" x14ac:dyDescent="0.25">
      <c r="A16" s="80" t="s">
        <v>34</v>
      </c>
      <c r="B16" s="117"/>
      <c r="C16" s="118"/>
      <c r="D16" s="150"/>
      <c r="E16" s="118"/>
      <c r="F16" s="118"/>
      <c r="G16" s="118"/>
      <c r="H16" s="150"/>
      <c r="I16" s="150"/>
      <c r="J16" s="151"/>
      <c r="K16" s="152"/>
      <c r="L16" s="117"/>
      <c r="M16" s="118"/>
      <c r="N16" s="118"/>
      <c r="O16" s="118"/>
      <c r="P16" s="118"/>
      <c r="Q16" s="119"/>
      <c r="R16" s="149"/>
      <c r="S16" s="118"/>
      <c r="T16" s="118"/>
      <c r="U16" s="118"/>
      <c r="V16" s="118"/>
      <c r="W16" s="118"/>
      <c r="X16" s="13" t="s">
        <v>9</v>
      </c>
      <c r="Z16" s="15"/>
      <c r="AA16" s="15"/>
    </row>
    <row r="17" spans="1:34" ht="39.950000000000003" customHeight="1" x14ac:dyDescent="0.25">
      <c r="A17" s="80" t="s">
        <v>10</v>
      </c>
      <c r="B17" s="11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7">
        <v>9</v>
      </c>
      <c r="K17" s="17">
        <v>10</v>
      </c>
      <c r="L17" s="11">
        <v>1</v>
      </c>
      <c r="M17" s="16">
        <v>2</v>
      </c>
      <c r="N17" s="16">
        <v>3</v>
      </c>
      <c r="O17" s="16">
        <v>4</v>
      </c>
      <c r="P17" s="16">
        <v>5</v>
      </c>
      <c r="Q17" s="17">
        <v>6</v>
      </c>
      <c r="R17" s="60">
        <v>1</v>
      </c>
      <c r="S17" s="16">
        <v>2</v>
      </c>
      <c r="T17" s="16">
        <v>3</v>
      </c>
      <c r="U17" s="16">
        <v>4</v>
      </c>
      <c r="V17" s="16">
        <v>5</v>
      </c>
      <c r="W17" s="16">
        <v>6</v>
      </c>
      <c r="X17" s="13"/>
      <c r="Z17" s="2"/>
      <c r="AA17" s="15"/>
    </row>
    <row r="18" spans="1:34" ht="39.950000000000003" customHeight="1" x14ac:dyDescent="0.25">
      <c r="A18" s="96" t="s">
        <v>53</v>
      </c>
      <c r="B18" s="18">
        <f>(($B$27*$B$26)/1000)</f>
        <v>22.385999999999999</v>
      </c>
      <c r="C18" s="19">
        <f>(($C$27*$C$26)/1000)</f>
        <v>17.471499999999999</v>
      </c>
      <c r="D18" s="19">
        <f>(($D$27*$D$26)/1000)</f>
        <v>21.372499999999999</v>
      </c>
      <c r="E18" s="19">
        <f>(($E$27*$E$26)/1000)</f>
        <v>21.155999999999999</v>
      </c>
      <c r="F18" s="19">
        <f>(($F$27*$F$26)/1000)</f>
        <v>16.280999999999999</v>
      </c>
      <c r="G18" s="19">
        <f>(($G$27*$G$26)/1000)</f>
        <v>16.240500000000001</v>
      </c>
      <c r="H18" s="19">
        <f>(($H$27*$H$26)/1000)</f>
        <v>21.04</v>
      </c>
      <c r="I18" s="19">
        <f>(($I$27*$I$26)/1000)</f>
        <v>21.08</v>
      </c>
      <c r="J18" s="19">
        <f>(($J$27*$J$26)/1000)</f>
        <v>19.947500000000002</v>
      </c>
      <c r="K18" s="20">
        <f>(($K$27*$K$26)/1000)</f>
        <v>8.0730000000000004</v>
      </c>
      <c r="L18" s="18">
        <f>(($L$27*$L$26)/1000)</f>
        <v>20.076000000000001</v>
      </c>
      <c r="M18" s="19">
        <f>(($M$27*$M$26)/1000)</f>
        <v>19.228999999999999</v>
      </c>
      <c r="N18" s="19">
        <f>(($N$27*$N$26)/1000)</f>
        <v>21.465</v>
      </c>
      <c r="O18" s="19">
        <f>(($O$27*$O$26)/1000)</f>
        <v>18.2</v>
      </c>
      <c r="P18" s="19">
        <f>(($P$27*$P$26)/1000)</f>
        <v>18.36</v>
      </c>
      <c r="Q18" s="20">
        <f>(($Q$27*$Q$26)/1000)</f>
        <v>11.817</v>
      </c>
      <c r="R18" s="61">
        <f>(($R$27*$R$26)/1000)</f>
        <v>10.0845</v>
      </c>
      <c r="S18" s="19">
        <f>(($S$27*$S$26)/1000)</f>
        <v>23.861999999999998</v>
      </c>
      <c r="T18" s="19">
        <f>(($T$27*$T$26)/1000)</f>
        <v>20.655000000000001</v>
      </c>
      <c r="U18" s="19">
        <f>(($U$27*$U$26)/1000)</f>
        <v>21.2</v>
      </c>
      <c r="V18" s="19">
        <f>(($V$27*$V$26)/1000)</f>
        <v>18.96</v>
      </c>
      <c r="W18" s="19">
        <f>(($W$27*$W$26)/1000)</f>
        <v>11.218</v>
      </c>
      <c r="X18" s="98">
        <f>SUM(B18:W18)</f>
        <v>400.17450000000002</v>
      </c>
      <c r="Z18" s="2"/>
      <c r="AA18" s="15"/>
    </row>
    <row r="19" spans="1:34" ht="39.950000000000003" customHeight="1" x14ac:dyDescent="0.25">
      <c r="A19" s="96" t="s">
        <v>24</v>
      </c>
      <c r="B19" s="18">
        <f t="shared" ref="B19:B24" si="0">(($B$27*$B$26)/1000)</f>
        <v>22.385999999999999</v>
      </c>
      <c r="C19" s="19">
        <f t="shared" ref="C19:C24" si="1">(($C$27*$C$26)/1000)</f>
        <v>17.471499999999999</v>
      </c>
      <c r="D19" s="19">
        <f t="shared" ref="D19:D24" si="2">(($D$27*$D$26)/1000)</f>
        <v>21.372499999999999</v>
      </c>
      <c r="E19" s="19">
        <f t="shared" ref="E19:E24" si="3">(($E$27*$E$26)/1000)</f>
        <v>21.155999999999999</v>
      </c>
      <c r="F19" s="19">
        <f t="shared" ref="F19:F24" si="4">(($F$27*$F$26)/1000)</f>
        <v>16.280999999999999</v>
      </c>
      <c r="G19" s="19">
        <f t="shared" ref="G19:G24" si="5">(($G$27*$G$26)/1000)</f>
        <v>16.240500000000001</v>
      </c>
      <c r="H19" s="19">
        <f t="shared" ref="H19:H24" si="6">(($H$27*$H$26)/1000)</f>
        <v>21.04</v>
      </c>
      <c r="I19" s="19">
        <f t="shared" ref="I19:I24" si="7">(($I$27*$I$26)/1000)</f>
        <v>21.08</v>
      </c>
      <c r="J19" s="19">
        <f t="shared" ref="J19:J24" si="8">(($J$27*$J$26)/1000)</f>
        <v>19.947500000000002</v>
      </c>
      <c r="K19" s="20">
        <f t="shared" ref="K19:K24" si="9">(($K$27*$K$26)/1000)</f>
        <v>8.0730000000000004</v>
      </c>
      <c r="L19" s="18">
        <f t="shared" ref="L19:L24" si="10">(($L$27*$L$26)/1000)</f>
        <v>20.076000000000001</v>
      </c>
      <c r="M19" s="19">
        <f t="shared" ref="M19:M24" si="11">(($M$27*$M$26)/1000)</f>
        <v>19.228999999999999</v>
      </c>
      <c r="N19" s="19">
        <f t="shared" ref="N19:N24" si="12">(($N$27*$N$26)/1000)</f>
        <v>21.465</v>
      </c>
      <c r="O19" s="19">
        <f t="shared" ref="O19:O24" si="13">(($O$27*$O$26)/1000)</f>
        <v>18.2</v>
      </c>
      <c r="P19" s="19">
        <f t="shared" ref="P19:P24" si="14">(($P$27*$P$26)/1000)</f>
        <v>18.36</v>
      </c>
      <c r="Q19" s="20">
        <f t="shared" ref="Q19:Q24" si="15">(($Q$27*$Q$26)/1000)</f>
        <v>11.817</v>
      </c>
      <c r="R19" s="61">
        <f t="shared" ref="R19:R24" si="16">(($R$27*$R$26)/1000)</f>
        <v>10.0845</v>
      </c>
      <c r="S19" s="19">
        <f t="shared" ref="S19:S24" si="17">(($S$27*$S$26)/1000)</f>
        <v>23.861999999999998</v>
      </c>
      <c r="T19" s="19">
        <f t="shared" ref="T19:T24" si="18">(($T$27*$T$26)/1000)</f>
        <v>20.655000000000001</v>
      </c>
      <c r="U19" s="19">
        <f t="shared" ref="U19:U24" si="19">(($U$27*$U$26)/1000)</f>
        <v>21.2</v>
      </c>
      <c r="V19" s="19">
        <f t="shared" ref="V19:V24" si="20">(($V$27*$V$26)/1000)</f>
        <v>18.96</v>
      </c>
      <c r="W19" s="19">
        <f t="shared" ref="W19:W24" si="21">(($W$27*$W$26)/1000)</f>
        <v>11.218</v>
      </c>
      <c r="X19" s="98">
        <f>SUM(B19:W19)</f>
        <v>400.17450000000002</v>
      </c>
      <c r="Z19" s="2"/>
      <c r="AA19" s="15"/>
    </row>
    <row r="20" spans="1:34" ht="39.75" customHeight="1" x14ac:dyDescent="0.25">
      <c r="A20" s="96" t="s">
        <v>20</v>
      </c>
      <c r="B20" s="18">
        <f t="shared" si="0"/>
        <v>22.385999999999999</v>
      </c>
      <c r="C20" s="19">
        <f t="shared" si="1"/>
        <v>17.471499999999999</v>
      </c>
      <c r="D20" s="19">
        <f t="shared" si="2"/>
        <v>21.372499999999999</v>
      </c>
      <c r="E20" s="19">
        <f t="shared" si="3"/>
        <v>21.155999999999999</v>
      </c>
      <c r="F20" s="19">
        <f t="shared" si="4"/>
        <v>16.280999999999999</v>
      </c>
      <c r="G20" s="19">
        <f t="shared" si="5"/>
        <v>16.240500000000001</v>
      </c>
      <c r="H20" s="19">
        <f t="shared" si="6"/>
        <v>21.04</v>
      </c>
      <c r="I20" s="19">
        <f t="shared" si="7"/>
        <v>21.08</v>
      </c>
      <c r="J20" s="19">
        <f t="shared" si="8"/>
        <v>19.947500000000002</v>
      </c>
      <c r="K20" s="20">
        <f t="shared" si="9"/>
        <v>8.0730000000000004</v>
      </c>
      <c r="L20" s="18">
        <f t="shared" si="10"/>
        <v>20.076000000000001</v>
      </c>
      <c r="M20" s="19">
        <f t="shared" si="11"/>
        <v>19.228999999999999</v>
      </c>
      <c r="N20" s="19">
        <f t="shared" si="12"/>
        <v>21.465</v>
      </c>
      <c r="O20" s="19">
        <f t="shared" si="13"/>
        <v>18.2</v>
      </c>
      <c r="P20" s="19">
        <f t="shared" si="14"/>
        <v>18.36</v>
      </c>
      <c r="Q20" s="20">
        <f t="shared" si="15"/>
        <v>11.817</v>
      </c>
      <c r="R20" s="61">
        <f t="shared" si="16"/>
        <v>10.0845</v>
      </c>
      <c r="S20" s="19">
        <f t="shared" si="17"/>
        <v>23.861999999999998</v>
      </c>
      <c r="T20" s="19">
        <f t="shared" si="18"/>
        <v>20.655000000000001</v>
      </c>
      <c r="U20" s="19">
        <f t="shared" si="19"/>
        <v>21.2</v>
      </c>
      <c r="V20" s="19">
        <f t="shared" si="20"/>
        <v>18.96</v>
      </c>
      <c r="W20" s="19">
        <f t="shared" si="21"/>
        <v>11.218</v>
      </c>
      <c r="X20" s="98">
        <f>SUM(B20:W20)</f>
        <v>400.17450000000002</v>
      </c>
      <c r="Z20" s="2"/>
      <c r="AA20" s="15"/>
    </row>
    <row r="21" spans="1:34" ht="39.950000000000003" customHeight="1" x14ac:dyDescent="0.25">
      <c r="A21" s="96" t="s">
        <v>28</v>
      </c>
      <c r="B21" s="18">
        <f t="shared" si="0"/>
        <v>22.385999999999999</v>
      </c>
      <c r="C21" s="19">
        <f t="shared" si="1"/>
        <v>17.471499999999999</v>
      </c>
      <c r="D21" s="19">
        <f t="shared" si="2"/>
        <v>21.372499999999999</v>
      </c>
      <c r="E21" s="19">
        <f t="shared" si="3"/>
        <v>21.155999999999999</v>
      </c>
      <c r="F21" s="19">
        <f t="shared" si="4"/>
        <v>16.280999999999999</v>
      </c>
      <c r="G21" s="19">
        <f t="shared" si="5"/>
        <v>16.240500000000001</v>
      </c>
      <c r="H21" s="19">
        <f t="shared" si="6"/>
        <v>21.04</v>
      </c>
      <c r="I21" s="19">
        <f t="shared" si="7"/>
        <v>21.08</v>
      </c>
      <c r="J21" s="19">
        <f t="shared" si="8"/>
        <v>19.947500000000002</v>
      </c>
      <c r="K21" s="20">
        <f t="shared" si="9"/>
        <v>8.0730000000000004</v>
      </c>
      <c r="L21" s="18">
        <f t="shared" si="10"/>
        <v>20.076000000000001</v>
      </c>
      <c r="M21" s="19">
        <f t="shared" si="11"/>
        <v>19.228999999999999</v>
      </c>
      <c r="N21" s="19">
        <f t="shared" si="12"/>
        <v>21.465</v>
      </c>
      <c r="O21" s="19">
        <f t="shared" si="13"/>
        <v>18.2</v>
      </c>
      <c r="P21" s="19">
        <f t="shared" si="14"/>
        <v>18.36</v>
      </c>
      <c r="Q21" s="20">
        <f t="shared" si="15"/>
        <v>11.817</v>
      </c>
      <c r="R21" s="61">
        <f t="shared" si="16"/>
        <v>10.0845</v>
      </c>
      <c r="S21" s="19">
        <f t="shared" si="17"/>
        <v>23.861999999999998</v>
      </c>
      <c r="T21" s="19">
        <f t="shared" si="18"/>
        <v>20.655000000000001</v>
      </c>
      <c r="U21" s="19">
        <f t="shared" si="19"/>
        <v>21.2</v>
      </c>
      <c r="V21" s="19">
        <f t="shared" si="20"/>
        <v>18.96</v>
      </c>
      <c r="W21" s="19">
        <f t="shared" si="21"/>
        <v>11.218</v>
      </c>
      <c r="X21" s="98">
        <f>SUM(B21:W21)</f>
        <v>400.17450000000002</v>
      </c>
      <c r="Z21" s="2"/>
      <c r="AA21" s="15"/>
    </row>
    <row r="22" spans="1:34" ht="39.950000000000003" customHeight="1" x14ac:dyDescent="0.25">
      <c r="A22" s="96" t="s">
        <v>21</v>
      </c>
      <c r="B22" s="18">
        <f t="shared" si="0"/>
        <v>22.385999999999999</v>
      </c>
      <c r="C22" s="19">
        <f t="shared" si="1"/>
        <v>17.471499999999999</v>
      </c>
      <c r="D22" s="19">
        <f t="shared" si="2"/>
        <v>21.372499999999999</v>
      </c>
      <c r="E22" s="19">
        <f t="shared" si="3"/>
        <v>21.155999999999999</v>
      </c>
      <c r="F22" s="19">
        <f t="shared" si="4"/>
        <v>16.280999999999999</v>
      </c>
      <c r="G22" s="19">
        <f t="shared" si="5"/>
        <v>16.240500000000001</v>
      </c>
      <c r="H22" s="19">
        <f t="shared" si="6"/>
        <v>21.04</v>
      </c>
      <c r="I22" s="19">
        <f t="shared" si="7"/>
        <v>21.08</v>
      </c>
      <c r="J22" s="19">
        <f t="shared" si="8"/>
        <v>19.947500000000002</v>
      </c>
      <c r="K22" s="20">
        <f t="shared" si="9"/>
        <v>8.0730000000000004</v>
      </c>
      <c r="L22" s="18">
        <f t="shared" si="10"/>
        <v>20.076000000000001</v>
      </c>
      <c r="M22" s="19">
        <f t="shared" si="11"/>
        <v>19.228999999999999</v>
      </c>
      <c r="N22" s="19">
        <f t="shared" si="12"/>
        <v>21.465</v>
      </c>
      <c r="O22" s="19">
        <f t="shared" si="13"/>
        <v>18.2</v>
      </c>
      <c r="P22" s="19">
        <f t="shared" si="14"/>
        <v>18.36</v>
      </c>
      <c r="Q22" s="20">
        <f t="shared" si="15"/>
        <v>11.817</v>
      </c>
      <c r="R22" s="61">
        <f t="shared" si="16"/>
        <v>10.0845</v>
      </c>
      <c r="S22" s="19">
        <f t="shared" si="17"/>
        <v>23.861999999999998</v>
      </c>
      <c r="T22" s="19">
        <f t="shared" si="18"/>
        <v>20.655000000000001</v>
      </c>
      <c r="U22" s="19">
        <f t="shared" si="19"/>
        <v>21.2</v>
      </c>
      <c r="V22" s="19">
        <f t="shared" si="20"/>
        <v>18.96</v>
      </c>
      <c r="W22" s="19">
        <f t="shared" si="21"/>
        <v>11.218</v>
      </c>
      <c r="X22" s="98">
        <f>SUM(B22:V22)</f>
        <v>388.95650000000001</v>
      </c>
      <c r="Z22" s="2"/>
      <c r="AA22" s="15"/>
    </row>
    <row r="23" spans="1:34" ht="39.950000000000003" customHeight="1" x14ac:dyDescent="0.25">
      <c r="A23" s="96" t="s">
        <v>22</v>
      </c>
      <c r="B23" s="18">
        <f t="shared" si="0"/>
        <v>22.385999999999999</v>
      </c>
      <c r="C23" s="19">
        <f t="shared" si="1"/>
        <v>17.471499999999999</v>
      </c>
      <c r="D23" s="19">
        <f t="shared" si="2"/>
        <v>21.372499999999999</v>
      </c>
      <c r="E23" s="19">
        <f t="shared" si="3"/>
        <v>21.155999999999999</v>
      </c>
      <c r="F23" s="19">
        <f t="shared" si="4"/>
        <v>16.280999999999999</v>
      </c>
      <c r="G23" s="19">
        <f t="shared" si="5"/>
        <v>16.240500000000001</v>
      </c>
      <c r="H23" s="19">
        <f t="shared" si="6"/>
        <v>21.04</v>
      </c>
      <c r="I23" s="19">
        <f t="shared" si="7"/>
        <v>21.08</v>
      </c>
      <c r="J23" s="19">
        <f t="shared" si="8"/>
        <v>19.947500000000002</v>
      </c>
      <c r="K23" s="20">
        <f t="shared" si="9"/>
        <v>8.0730000000000004</v>
      </c>
      <c r="L23" s="18">
        <f t="shared" si="10"/>
        <v>20.076000000000001</v>
      </c>
      <c r="M23" s="19">
        <f t="shared" si="11"/>
        <v>19.228999999999999</v>
      </c>
      <c r="N23" s="19">
        <f t="shared" si="12"/>
        <v>21.465</v>
      </c>
      <c r="O23" s="19">
        <f t="shared" si="13"/>
        <v>18.2</v>
      </c>
      <c r="P23" s="19">
        <f t="shared" si="14"/>
        <v>18.36</v>
      </c>
      <c r="Q23" s="20">
        <f t="shared" si="15"/>
        <v>11.817</v>
      </c>
      <c r="R23" s="61">
        <f t="shared" si="16"/>
        <v>10.0845</v>
      </c>
      <c r="S23" s="19">
        <f t="shared" si="17"/>
        <v>23.861999999999998</v>
      </c>
      <c r="T23" s="19">
        <f t="shared" si="18"/>
        <v>20.655000000000001</v>
      </c>
      <c r="U23" s="19">
        <f t="shared" si="19"/>
        <v>21.2</v>
      </c>
      <c r="V23" s="19">
        <f t="shared" si="20"/>
        <v>18.96</v>
      </c>
      <c r="W23" s="19">
        <f t="shared" si="21"/>
        <v>11.218</v>
      </c>
      <c r="X23" s="98">
        <f>SUM(B23:W23)</f>
        <v>400.17450000000002</v>
      </c>
      <c r="Z23" s="2"/>
      <c r="AA23" s="15"/>
    </row>
    <row r="24" spans="1:34" ht="39.950000000000003" customHeight="1" thickBot="1" x14ac:dyDescent="0.3">
      <c r="A24" s="96" t="s">
        <v>23</v>
      </c>
      <c r="B24" s="153">
        <f t="shared" si="0"/>
        <v>22.385999999999999</v>
      </c>
      <c r="C24" s="154">
        <f t="shared" si="1"/>
        <v>17.471499999999999</v>
      </c>
      <c r="D24" s="154">
        <f t="shared" si="2"/>
        <v>21.372499999999999</v>
      </c>
      <c r="E24" s="154">
        <f t="shared" si="3"/>
        <v>21.155999999999999</v>
      </c>
      <c r="F24" s="154">
        <f t="shared" si="4"/>
        <v>16.280999999999999</v>
      </c>
      <c r="G24" s="154">
        <f t="shared" si="5"/>
        <v>16.240500000000001</v>
      </c>
      <c r="H24" s="154">
        <f t="shared" si="6"/>
        <v>21.04</v>
      </c>
      <c r="I24" s="154">
        <f t="shared" si="7"/>
        <v>21.08</v>
      </c>
      <c r="J24" s="154">
        <f t="shared" si="8"/>
        <v>19.947500000000002</v>
      </c>
      <c r="K24" s="20">
        <f t="shared" si="9"/>
        <v>8.0730000000000004</v>
      </c>
      <c r="L24" s="153">
        <f t="shared" si="10"/>
        <v>20.076000000000001</v>
      </c>
      <c r="M24" s="154">
        <f t="shared" si="11"/>
        <v>19.228999999999999</v>
      </c>
      <c r="N24" s="154">
        <f t="shared" si="12"/>
        <v>21.465</v>
      </c>
      <c r="O24" s="154">
        <f t="shared" si="13"/>
        <v>18.2</v>
      </c>
      <c r="P24" s="19">
        <f t="shared" si="14"/>
        <v>18.36</v>
      </c>
      <c r="Q24" s="20">
        <f t="shared" si="15"/>
        <v>11.817</v>
      </c>
      <c r="R24" s="61">
        <f t="shared" si="16"/>
        <v>10.0845</v>
      </c>
      <c r="S24" s="19">
        <f t="shared" si="17"/>
        <v>23.861999999999998</v>
      </c>
      <c r="T24" s="19">
        <f t="shared" si="18"/>
        <v>20.655000000000001</v>
      </c>
      <c r="U24" s="19">
        <f t="shared" si="19"/>
        <v>21.2</v>
      </c>
      <c r="V24" s="19">
        <f t="shared" si="20"/>
        <v>18.96</v>
      </c>
      <c r="W24" s="19">
        <f t="shared" si="21"/>
        <v>11.218</v>
      </c>
      <c r="X24" s="98">
        <f>SUM(B24:W24)</f>
        <v>400.17450000000002</v>
      </c>
      <c r="Z24" s="2"/>
    </row>
    <row r="25" spans="1:34" ht="41.45" customHeight="1" x14ac:dyDescent="0.25">
      <c r="A25" s="126" t="s">
        <v>9</v>
      </c>
      <c r="B25" s="131">
        <f t="shared" ref="B25:I25" si="22">SUM(B18:B24)</f>
        <v>156.702</v>
      </c>
      <c r="C25" s="128">
        <f t="shared" si="22"/>
        <v>122.30049999999997</v>
      </c>
      <c r="D25" s="128">
        <f t="shared" si="22"/>
        <v>149.60749999999999</v>
      </c>
      <c r="E25" s="128">
        <f t="shared" si="22"/>
        <v>148.09200000000001</v>
      </c>
      <c r="F25" s="128">
        <f t="shared" si="22"/>
        <v>113.96700000000001</v>
      </c>
      <c r="G25" s="128">
        <f>SUM(G18:G24)</f>
        <v>113.6835</v>
      </c>
      <c r="H25" s="128">
        <f t="shared" si="22"/>
        <v>147.27999999999997</v>
      </c>
      <c r="I25" s="128">
        <f t="shared" si="22"/>
        <v>147.56</v>
      </c>
      <c r="J25" s="129">
        <f t="shared" ref="J25:W25" si="23">SUM(J18:J24)</f>
        <v>139.63250000000002</v>
      </c>
      <c r="K25" s="129">
        <f t="shared" si="23"/>
        <v>56.511000000000003</v>
      </c>
      <c r="L25" s="131">
        <f t="shared" si="23"/>
        <v>140.53199999999998</v>
      </c>
      <c r="M25" s="128">
        <f t="shared" si="23"/>
        <v>134.60300000000001</v>
      </c>
      <c r="N25" s="128">
        <f t="shared" si="23"/>
        <v>150.255</v>
      </c>
      <c r="O25" s="128">
        <f t="shared" si="23"/>
        <v>127.4</v>
      </c>
      <c r="P25" s="128">
        <f t="shared" si="23"/>
        <v>128.51999999999998</v>
      </c>
      <c r="Q25" s="129">
        <f t="shared" si="23"/>
        <v>82.718999999999994</v>
      </c>
      <c r="R25" s="133">
        <f t="shared" si="23"/>
        <v>70.591499999999996</v>
      </c>
      <c r="S25" s="134">
        <f t="shared" si="23"/>
        <v>167.03399999999999</v>
      </c>
      <c r="T25" s="134">
        <f t="shared" si="23"/>
        <v>144.58500000000001</v>
      </c>
      <c r="U25" s="134">
        <f t="shared" si="23"/>
        <v>148.4</v>
      </c>
      <c r="V25" s="134">
        <f t="shared" si="23"/>
        <v>132.72000000000003</v>
      </c>
      <c r="W25" s="156">
        <f t="shared" si="23"/>
        <v>78.52600000000001</v>
      </c>
      <c r="X25" s="98">
        <f>SUM(B25:W25)</f>
        <v>2801.2214999999997</v>
      </c>
    </row>
    <row r="26" spans="1:34" s="2" customFormat="1" ht="36.75" customHeight="1" x14ac:dyDescent="0.25">
      <c r="A26" s="70" t="s">
        <v>11</v>
      </c>
      <c r="B26" s="23">
        <v>42</v>
      </c>
      <c r="C26" s="63">
        <v>41.5</v>
      </c>
      <c r="D26" s="63">
        <v>41.5</v>
      </c>
      <c r="E26" s="63">
        <v>41</v>
      </c>
      <c r="F26" s="63">
        <v>40.5</v>
      </c>
      <c r="G26" s="63">
        <v>40.5</v>
      </c>
      <c r="H26" s="63">
        <v>40</v>
      </c>
      <c r="I26" s="63">
        <v>40</v>
      </c>
      <c r="J26" s="63">
        <v>39.5</v>
      </c>
      <c r="K26" s="155">
        <v>39</v>
      </c>
      <c r="L26" s="23">
        <v>42</v>
      </c>
      <c r="M26" s="63">
        <v>41</v>
      </c>
      <c r="N26" s="63">
        <v>40.5</v>
      </c>
      <c r="O26" s="63">
        <v>40</v>
      </c>
      <c r="P26" s="63">
        <v>40</v>
      </c>
      <c r="Q26" s="155">
        <v>39</v>
      </c>
      <c r="R26" s="23">
        <v>41.5</v>
      </c>
      <c r="S26" s="63">
        <v>41</v>
      </c>
      <c r="T26" s="63">
        <v>40.5</v>
      </c>
      <c r="U26" s="63">
        <v>40</v>
      </c>
      <c r="V26" s="63">
        <v>39.5</v>
      </c>
      <c r="W26" s="155">
        <v>39.5</v>
      </c>
      <c r="X26" s="99">
        <f>((X25/X27)/7)*1000</f>
        <v>40.519896719319554</v>
      </c>
    </row>
    <row r="27" spans="1:34" s="2" customFormat="1" ht="33" customHeight="1" x14ac:dyDescent="0.25">
      <c r="A27" s="71" t="s">
        <v>12</v>
      </c>
      <c r="B27" s="26">
        <v>533</v>
      </c>
      <c r="C27" s="27">
        <v>421</v>
      </c>
      <c r="D27" s="27">
        <v>515</v>
      </c>
      <c r="E27" s="27">
        <v>516</v>
      </c>
      <c r="F27" s="27">
        <v>402</v>
      </c>
      <c r="G27" s="27">
        <v>401</v>
      </c>
      <c r="H27" s="27">
        <v>526</v>
      </c>
      <c r="I27" s="27">
        <v>527</v>
      </c>
      <c r="J27" s="28">
        <v>505</v>
      </c>
      <c r="K27" s="28">
        <v>207</v>
      </c>
      <c r="L27" s="26">
        <v>478</v>
      </c>
      <c r="M27" s="27">
        <v>469</v>
      </c>
      <c r="N27" s="27">
        <v>530</v>
      </c>
      <c r="O27" s="27">
        <v>455</v>
      </c>
      <c r="P27" s="27">
        <v>459</v>
      </c>
      <c r="Q27" s="28">
        <v>303</v>
      </c>
      <c r="R27" s="26">
        <v>243</v>
      </c>
      <c r="S27" s="27">
        <v>582</v>
      </c>
      <c r="T27" s="27">
        <v>510</v>
      </c>
      <c r="U27" s="27">
        <v>530</v>
      </c>
      <c r="V27" s="27">
        <v>480</v>
      </c>
      <c r="W27" s="28">
        <v>284</v>
      </c>
      <c r="X27" s="29">
        <f>SUM(B27,C27,D27,E27,F27,G27,H27,I27,J27,K27,L27,M27,N27,O27,P27,Q27,R27,S27,T27,U27,V27,W27)</f>
        <v>9876</v>
      </c>
      <c r="Y27" s="2">
        <f>((X25*1000)/X27)/7</f>
        <v>40.519896719319554</v>
      </c>
    </row>
    <row r="28" spans="1:34" s="2" customFormat="1" ht="33" customHeight="1" x14ac:dyDescent="0.25">
      <c r="A28" s="72" t="s">
        <v>13</v>
      </c>
      <c r="B28" s="30">
        <f>(B27*B26)/1000</f>
        <v>22.385999999999999</v>
      </c>
      <c r="C28" s="31">
        <f>(C27*C26)/1000</f>
        <v>17.471499999999999</v>
      </c>
      <c r="D28" s="31">
        <f>(D27*D26)/1000</f>
        <v>21.372499999999999</v>
      </c>
      <c r="E28" s="31">
        <f>(E27*E26)/1000</f>
        <v>21.155999999999999</v>
      </c>
      <c r="F28" s="31">
        <f>(F27*F26)/1000</f>
        <v>16.280999999999999</v>
      </c>
      <c r="G28" s="31">
        <f t="shared" ref="G28:U28" si="24">(G27*G26)/1000</f>
        <v>16.240500000000001</v>
      </c>
      <c r="H28" s="31">
        <f t="shared" si="24"/>
        <v>21.04</v>
      </c>
      <c r="I28" s="31">
        <f t="shared" si="24"/>
        <v>21.08</v>
      </c>
      <c r="J28" s="32">
        <f t="shared" si="24"/>
        <v>19.947500000000002</v>
      </c>
      <c r="K28" s="32">
        <f>(K27*K26)/1000</f>
        <v>8.0730000000000004</v>
      </c>
      <c r="L28" s="30">
        <f t="shared" si="24"/>
        <v>20.076000000000001</v>
      </c>
      <c r="M28" s="31">
        <f t="shared" si="24"/>
        <v>19.228999999999999</v>
      </c>
      <c r="N28" s="31">
        <f t="shared" si="24"/>
        <v>21.465</v>
      </c>
      <c r="O28" s="31">
        <f t="shared" si="24"/>
        <v>18.2</v>
      </c>
      <c r="P28" s="31">
        <f>(P27*P26)/1000</f>
        <v>18.36</v>
      </c>
      <c r="Q28" s="32">
        <f>(Q27*Q26)/1000</f>
        <v>11.817</v>
      </c>
      <c r="R28" s="30">
        <f t="shared" si="24"/>
        <v>10.0845</v>
      </c>
      <c r="S28" s="31">
        <f t="shared" si="24"/>
        <v>23.861999999999998</v>
      </c>
      <c r="T28" s="31">
        <f t="shared" si="24"/>
        <v>20.655000000000001</v>
      </c>
      <c r="U28" s="31">
        <f t="shared" si="24"/>
        <v>21.2</v>
      </c>
      <c r="V28" s="31">
        <f>(V27*V26)/1000</f>
        <v>18.96</v>
      </c>
      <c r="W28" s="32">
        <f>(W27*W26)/1000</f>
        <v>11.218</v>
      </c>
      <c r="X28" s="33"/>
    </row>
    <row r="29" spans="1:34" ht="33.75" customHeight="1" x14ac:dyDescent="0.25">
      <c r="A29" s="73" t="s">
        <v>14</v>
      </c>
      <c r="B29" s="34">
        <f t="shared" ref="B29:K29" si="25">((B27*B26)*7)/1000</f>
        <v>156.702</v>
      </c>
      <c r="C29" s="35">
        <f t="shared" si="25"/>
        <v>122.3005</v>
      </c>
      <c r="D29" s="35">
        <f t="shared" si="25"/>
        <v>149.60749999999999</v>
      </c>
      <c r="E29" s="35">
        <f t="shared" si="25"/>
        <v>148.09200000000001</v>
      </c>
      <c r="F29" s="35">
        <f t="shared" si="25"/>
        <v>113.967</v>
      </c>
      <c r="G29" s="35">
        <f t="shared" si="25"/>
        <v>113.6835</v>
      </c>
      <c r="H29" s="35">
        <f t="shared" si="25"/>
        <v>147.28</v>
      </c>
      <c r="I29" s="35">
        <f t="shared" si="25"/>
        <v>147.56</v>
      </c>
      <c r="J29" s="68">
        <f t="shared" si="25"/>
        <v>139.63249999999999</v>
      </c>
      <c r="K29" s="68">
        <f t="shared" si="25"/>
        <v>56.511000000000003</v>
      </c>
      <c r="L29" s="34">
        <f t="shared" ref="L29:U29" si="26">((L27*L26)*7)/1000</f>
        <v>140.53200000000001</v>
      </c>
      <c r="M29" s="35">
        <f t="shared" si="26"/>
        <v>134.60300000000001</v>
      </c>
      <c r="N29" s="35">
        <f t="shared" si="26"/>
        <v>150.255</v>
      </c>
      <c r="O29" s="35">
        <f t="shared" si="26"/>
        <v>127.4</v>
      </c>
      <c r="P29" s="35">
        <f>((P27*P26)*7)/1000</f>
        <v>128.52000000000001</v>
      </c>
      <c r="Q29" s="68">
        <f>((Q27*Q26)*7)/1000</f>
        <v>82.718999999999994</v>
      </c>
      <c r="R29" s="34">
        <f t="shared" si="26"/>
        <v>70.591499999999996</v>
      </c>
      <c r="S29" s="35">
        <f t="shared" si="26"/>
        <v>167.03399999999999</v>
      </c>
      <c r="T29" s="35">
        <f t="shared" si="26"/>
        <v>144.58500000000001</v>
      </c>
      <c r="U29" s="35">
        <f t="shared" si="26"/>
        <v>148.4</v>
      </c>
      <c r="V29" s="35">
        <f>((V27*V26)*7)/1000</f>
        <v>132.72</v>
      </c>
      <c r="W29" s="68">
        <f>((W27*W26)*7)/1000</f>
        <v>78.525999999999996</v>
      </c>
      <c r="X29" s="36"/>
    </row>
    <row r="30" spans="1:34" ht="33.75" customHeight="1" thickBot="1" x14ac:dyDescent="0.3">
      <c r="A30" s="74" t="s">
        <v>15</v>
      </c>
      <c r="B30" s="37">
        <f t="shared" ref="B30:K30" si="27">+(B25/B27)/7*1000</f>
        <v>41.999999999999993</v>
      </c>
      <c r="C30" s="38">
        <f t="shared" si="27"/>
        <v>41.499999999999986</v>
      </c>
      <c r="D30" s="38">
        <f t="shared" si="27"/>
        <v>41.499999999999993</v>
      </c>
      <c r="E30" s="38">
        <f t="shared" si="27"/>
        <v>41</v>
      </c>
      <c r="F30" s="38">
        <f t="shared" si="27"/>
        <v>40.5</v>
      </c>
      <c r="G30" s="38">
        <f t="shared" si="27"/>
        <v>40.499999999999993</v>
      </c>
      <c r="H30" s="38">
        <f t="shared" si="27"/>
        <v>39.999999999999993</v>
      </c>
      <c r="I30" s="38">
        <f t="shared" si="27"/>
        <v>40</v>
      </c>
      <c r="J30" s="39">
        <f t="shared" si="27"/>
        <v>39.5</v>
      </c>
      <c r="K30" s="39">
        <f t="shared" si="27"/>
        <v>39</v>
      </c>
      <c r="L30" s="37">
        <f t="shared" ref="L30:U30" si="28">+(L25/L27)/7*1000</f>
        <v>41.999999999999993</v>
      </c>
      <c r="M30" s="38">
        <f t="shared" si="28"/>
        <v>41</v>
      </c>
      <c r="N30" s="38">
        <f t="shared" si="28"/>
        <v>40.499999999999993</v>
      </c>
      <c r="O30" s="38">
        <f t="shared" si="28"/>
        <v>40</v>
      </c>
      <c r="P30" s="38">
        <f>+(P25/P27)/7*1000</f>
        <v>39.999999999999993</v>
      </c>
      <c r="Q30" s="39">
        <f>+(Q25/Q27)/7*1000</f>
        <v>38.999999999999993</v>
      </c>
      <c r="R30" s="37">
        <f t="shared" si="28"/>
        <v>41.499999999999993</v>
      </c>
      <c r="S30" s="38">
        <f t="shared" si="28"/>
        <v>40.999999999999993</v>
      </c>
      <c r="T30" s="38">
        <f t="shared" si="28"/>
        <v>40.5</v>
      </c>
      <c r="U30" s="38">
        <f t="shared" si="28"/>
        <v>40</v>
      </c>
      <c r="V30" s="38">
        <f>+(V25/V27)/7*1000</f>
        <v>39.500000000000014</v>
      </c>
      <c r="W30" s="39">
        <f>+(W25/W27)/7*1000</f>
        <v>39.5</v>
      </c>
      <c r="X30" s="40"/>
    </row>
    <row r="31" spans="1:34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>
        <v>41.5</v>
      </c>
      <c r="AA32" s="42"/>
      <c r="AB32" s="42"/>
      <c r="AC32" s="42"/>
      <c r="AD32" s="42"/>
      <c r="AE32" s="42"/>
      <c r="AF32" s="42"/>
      <c r="AG32" s="42"/>
      <c r="AH32" s="41"/>
    </row>
    <row r="33" spans="1:34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>
        <v>41</v>
      </c>
      <c r="AA33" s="42"/>
      <c r="AB33" s="42"/>
      <c r="AC33" s="42"/>
      <c r="AD33" s="42"/>
      <c r="AE33" s="42"/>
      <c r="AF33" s="42"/>
      <c r="AG33" s="42"/>
      <c r="AH33" s="41"/>
    </row>
    <row r="34" spans="1:34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>
        <v>40.5</v>
      </c>
      <c r="AA34" s="42"/>
      <c r="AB34" s="42"/>
      <c r="AC34" s="42"/>
      <c r="AD34" s="42"/>
      <c r="AE34" s="42"/>
      <c r="AF34" s="41"/>
    </row>
    <row r="35" spans="1:34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>
        <v>40</v>
      </c>
      <c r="AA35" s="43"/>
      <c r="AB35" s="43"/>
      <c r="AC35" s="43"/>
      <c r="AD35" s="43"/>
      <c r="AE35" s="43"/>
      <c r="AF35" s="3"/>
    </row>
    <row r="36" spans="1:34" ht="33.75" customHeight="1" thickBot="1" x14ac:dyDescent="0.3">
      <c r="A36" s="69" t="s">
        <v>16</v>
      </c>
      <c r="B36" s="966" t="s">
        <v>17</v>
      </c>
      <c r="C36" s="967"/>
      <c r="D36" s="967"/>
      <c r="E36" s="967"/>
      <c r="F36" s="967"/>
      <c r="G36" s="967"/>
      <c r="H36" s="75"/>
      <c r="M36" s="44"/>
      <c r="N36" s="88" t="s">
        <v>18</v>
      </c>
      <c r="O36" s="956" t="s">
        <v>17</v>
      </c>
      <c r="P36" s="956"/>
      <c r="Q36" s="956"/>
      <c r="R36" s="956"/>
      <c r="S36" s="956"/>
      <c r="T36" s="957"/>
      <c r="U36" s="81"/>
      <c r="V36" s="45"/>
      <c r="W36" s="45"/>
      <c r="X36" s="46"/>
      <c r="Y36" s="3"/>
      <c r="Z36" s="45">
        <v>39.5</v>
      </c>
      <c r="AA36" s="45"/>
      <c r="AB36" s="45"/>
      <c r="AC36" s="3"/>
    </row>
    <row r="37" spans="1:34" ht="33.75" customHeight="1" x14ac:dyDescent="0.25">
      <c r="A37" s="80" t="s">
        <v>34</v>
      </c>
      <c r="B37" s="141"/>
      <c r="C37" s="118"/>
      <c r="D37" s="118"/>
      <c r="E37" s="118"/>
      <c r="F37" s="118"/>
      <c r="G37" s="119"/>
      <c r="H37" s="13" t="s">
        <v>9</v>
      </c>
      <c r="I37" s="47"/>
      <c r="J37" s="47"/>
      <c r="K37" s="47"/>
      <c r="L37" s="970"/>
      <c r="M37" s="970"/>
      <c r="N37" s="97" t="s">
        <v>33</v>
      </c>
      <c r="O37" s="60"/>
      <c r="P37" s="12"/>
      <c r="Q37" s="12"/>
      <c r="R37" s="12"/>
      <c r="S37" s="12"/>
      <c r="T37" s="12"/>
      <c r="U37" s="76" t="s">
        <v>9</v>
      </c>
      <c r="V37" s="47"/>
      <c r="W37" s="47"/>
      <c r="X37" s="3"/>
      <c r="Y37" s="46"/>
      <c r="Z37" s="3">
        <v>39.5</v>
      </c>
      <c r="AA37" s="45"/>
      <c r="AB37" s="45"/>
      <c r="AC37" s="45"/>
    </row>
    <row r="38" spans="1:34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6">
        <v>6</v>
      </c>
      <c r="H38" s="13"/>
      <c r="I38" s="47"/>
      <c r="J38" s="47"/>
      <c r="K38" s="47"/>
      <c r="L38" s="144"/>
      <c r="M38" s="145"/>
      <c r="N38" s="80" t="s">
        <v>10</v>
      </c>
      <c r="O38" s="60">
        <v>1</v>
      </c>
      <c r="P38" s="16">
        <v>2</v>
      </c>
      <c r="Q38" s="16"/>
      <c r="R38" s="16">
        <v>3</v>
      </c>
      <c r="S38" s="16">
        <v>4</v>
      </c>
      <c r="T38" s="16">
        <v>5</v>
      </c>
      <c r="U38" s="76"/>
      <c r="V38" s="47"/>
      <c r="W38" s="47"/>
      <c r="X38" s="48"/>
      <c r="Y38" s="48"/>
      <c r="Z38" s="2"/>
      <c r="AA38" s="2"/>
      <c r="AB38" s="2"/>
      <c r="AC38" s="2"/>
    </row>
    <row r="39" spans="1:34" ht="33.75" customHeight="1" x14ac:dyDescent="0.25">
      <c r="A39" s="96" t="s">
        <v>32</v>
      </c>
      <c r="B39" s="18">
        <f>(($B$48*$B$47)/1000)</f>
        <v>14.08</v>
      </c>
      <c r="C39" s="61">
        <f>(($C$48*$C$47)/1000)</f>
        <v>20.898</v>
      </c>
      <c r="D39" s="61">
        <f>(($D$48*$D$47)/1000)</f>
        <v>30.94</v>
      </c>
      <c r="E39" s="61">
        <f>(($E$48*$E$47)/1000)</f>
        <v>30.175000000000001</v>
      </c>
      <c r="F39" s="61">
        <f t="shared" ref="F39:F45" si="29">(($F$48*$F$47)/1000)</f>
        <v>16.350999999999999</v>
      </c>
      <c r="G39" s="61">
        <f>(($G$48*$G$47)/1000)</f>
        <v>13.570499999999999</v>
      </c>
      <c r="H39" s="136">
        <f t="shared" ref="H39:H46" si="30">SUM(B39:G39)</f>
        <v>126.0145</v>
      </c>
      <c r="I39" s="49"/>
      <c r="J39" s="49"/>
      <c r="K39" s="49"/>
      <c r="L39" s="144"/>
      <c r="M39" s="145"/>
      <c r="N39" s="96" t="s">
        <v>53</v>
      </c>
      <c r="O39" s="61">
        <f t="shared" ref="O39:O45" si="31">(($O$48*V39)/1000)</f>
        <v>354.66</v>
      </c>
      <c r="P39" s="61"/>
      <c r="Q39" s="61"/>
      <c r="R39" s="61"/>
      <c r="S39" s="61"/>
      <c r="T39" s="61"/>
      <c r="U39" s="77">
        <f t="shared" ref="U39:U46" si="32">SUM(O39:T39)</f>
        <v>354.66</v>
      </c>
      <c r="V39" s="2">
        <v>138</v>
      </c>
      <c r="W39" s="49"/>
      <c r="X39" s="48"/>
      <c r="Y39" s="48"/>
      <c r="Z39" s="2"/>
      <c r="AA39" s="2"/>
      <c r="AB39" s="2"/>
      <c r="AC39" s="2"/>
    </row>
    <row r="40" spans="1:34" ht="33.75" customHeight="1" x14ac:dyDescent="0.25">
      <c r="A40" s="96" t="s">
        <v>24</v>
      </c>
      <c r="B40" s="18">
        <f t="shared" ref="B40:B45" si="33">(($B$48*$B$47)/1000)</f>
        <v>14.08</v>
      </c>
      <c r="C40" s="61">
        <f t="shared" ref="C40:C45" si="34">(($C$48*$C$47)/1000)</f>
        <v>20.898</v>
      </c>
      <c r="D40" s="61">
        <f t="shared" ref="D40:D45" si="35">(($D$48*$D$47)/1000)</f>
        <v>30.94</v>
      </c>
      <c r="E40" s="61">
        <f t="shared" ref="E40:E45" si="36">(($E$48*$E$47)/1000)</f>
        <v>30.175000000000001</v>
      </c>
      <c r="F40" s="61">
        <f t="shared" si="29"/>
        <v>16.350999999999999</v>
      </c>
      <c r="G40" s="61">
        <f t="shared" ref="G40:G45" si="37">(($G$48*$G$47)/1000)</f>
        <v>13.570499999999999</v>
      </c>
      <c r="H40" s="136">
        <f t="shared" si="30"/>
        <v>126.0145</v>
      </c>
      <c r="I40" s="49"/>
      <c r="J40" s="49"/>
      <c r="K40" s="49"/>
      <c r="L40" s="144"/>
      <c r="M40" s="145"/>
      <c r="N40" s="96" t="s">
        <v>24</v>
      </c>
      <c r="O40" s="61">
        <f t="shared" si="31"/>
        <v>354.66</v>
      </c>
      <c r="P40" s="61"/>
      <c r="Q40" s="61"/>
      <c r="R40" s="61"/>
      <c r="S40" s="61"/>
      <c r="T40" s="61"/>
      <c r="U40" s="77">
        <f t="shared" si="32"/>
        <v>354.66</v>
      </c>
      <c r="V40" s="2">
        <v>138</v>
      </c>
      <c r="W40" s="49"/>
      <c r="X40" s="48"/>
      <c r="Y40" s="48"/>
      <c r="Z40" s="2"/>
      <c r="AA40" s="2"/>
      <c r="AB40" s="2"/>
      <c r="AC40" s="2"/>
    </row>
    <row r="41" spans="1:34" ht="33.75" customHeight="1" x14ac:dyDescent="0.25">
      <c r="A41" s="96" t="s">
        <v>20</v>
      </c>
      <c r="B41" s="18">
        <f t="shared" si="33"/>
        <v>14.08</v>
      </c>
      <c r="C41" s="61">
        <f t="shared" si="34"/>
        <v>20.898</v>
      </c>
      <c r="D41" s="61">
        <f t="shared" si="35"/>
        <v>30.94</v>
      </c>
      <c r="E41" s="61">
        <f t="shared" si="36"/>
        <v>30.175000000000001</v>
      </c>
      <c r="F41" s="61">
        <f t="shared" si="29"/>
        <v>16.350999999999999</v>
      </c>
      <c r="G41" s="61">
        <f t="shared" si="37"/>
        <v>13.570499999999999</v>
      </c>
      <c r="H41" s="136">
        <f t="shared" si="30"/>
        <v>126.0145</v>
      </c>
      <c r="I41" s="49"/>
      <c r="J41" s="49"/>
      <c r="K41" s="49"/>
      <c r="L41" s="144"/>
      <c r="M41" s="145"/>
      <c r="N41" s="96" t="s">
        <v>20</v>
      </c>
      <c r="O41" s="61">
        <f t="shared" si="31"/>
        <v>146.49</v>
      </c>
      <c r="P41" s="61"/>
      <c r="Q41" s="61"/>
      <c r="R41" s="61"/>
      <c r="S41" s="61"/>
      <c r="T41" s="19"/>
      <c r="U41" s="77">
        <f t="shared" si="32"/>
        <v>146.49</v>
      </c>
      <c r="V41" s="90">
        <v>57</v>
      </c>
      <c r="W41" s="147">
        <v>571.20000000000005</v>
      </c>
      <c r="X41" s="48"/>
      <c r="Y41" s="48"/>
      <c r="Z41" s="2"/>
      <c r="AA41" s="2"/>
      <c r="AB41" s="2"/>
      <c r="AC41" s="2"/>
    </row>
    <row r="42" spans="1:34" ht="33.75" customHeight="1" x14ac:dyDescent="0.25">
      <c r="A42" s="96" t="s">
        <v>28</v>
      </c>
      <c r="B42" s="18">
        <f t="shared" si="33"/>
        <v>14.08</v>
      </c>
      <c r="C42" s="61">
        <f t="shared" si="34"/>
        <v>20.898</v>
      </c>
      <c r="D42" s="61">
        <f t="shared" si="35"/>
        <v>30.94</v>
      </c>
      <c r="E42" s="61">
        <f t="shared" si="36"/>
        <v>30.175000000000001</v>
      </c>
      <c r="F42" s="61">
        <f t="shared" si="29"/>
        <v>16.350999999999999</v>
      </c>
      <c r="G42" s="61">
        <f t="shared" si="37"/>
        <v>13.570499999999999</v>
      </c>
      <c r="H42" s="136">
        <f t="shared" si="30"/>
        <v>126.0145</v>
      </c>
      <c r="I42" s="49"/>
      <c r="J42" s="49"/>
      <c r="K42" s="49"/>
      <c r="L42" s="144"/>
      <c r="M42" s="145"/>
      <c r="N42" s="96" t="s">
        <v>28</v>
      </c>
      <c r="O42" s="61">
        <f t="shared" si="31"/>
        <v>149.06</v>
      </c>
      <c r="P42" s="61"/>
      <c r="Q42" s="61"/>
      <c r="R42" s="61"/>
      <c r="S42" s="61"/>
      <c r="T42" s="61"/>
      <c r="U42" s="77">
        <f t="shared" si="32"/>
        <v>149.06</v>
      </c>
      <c r="V42" s="90">
        <v>58</v>
      </c>
      <c r="W42" s="147"/>
      <c r="X42" s="48"/>
      <c r="Y42" s="48"/>
      <c r="Z42" s="2"/>
      <c r="AA42" s="2"/>
      <c r="AB42" s="2"/>
      <c r="AC42" s="2"/>
    </row>
    <row r="43" spans="1:34" ht="33.75" customHeight="1" x14ac:dyDescent="0.25">
      <c r="A43" s="96" t="s">
        <v>21</v>
      </c>
      <c r="B43" s="18">
        <f t="shared" si="33"/>
        <v>14.08</v>
      </c>
      <c r="C43" s="61">
        <f t="shared" si="34"/>
        <v>20.898</v>
      </c>
      <c r="D43" s="61">
        <f t="shared" si="35"/>
        <v>30.94</v>
      </c>
      <c r="E43" s="61">
        <f t="shared" si="36"/>
        <v>30.175000000000001</v>
      </c>
      <c r="F43" s="61">
        <f t="shared" si="29"/>
        <v>16.350999999999999</v>
      </c>
      <c r="G43" s="61">
        <f t="shared" si="37"/>
        <v>13.570499999999999</v>
      </c>
      <c r="H43" s="136">
        <f t="shared" si="30"/>
        <v>126.0145</v>
      </c>
      <c r="I43" s="49"/>
      <c r="J43" s="49"/>
      <c r="K43" s="49"/>
      <c r="L43" s="144"/>
      <c r="M43" s="145"/>
      <c r="N43" s="96" t="s">
        <v>21</v>
      </c>
      <c r="O43" s="61">
        <f t="shared" si="31"/>
        <v>150.345</v>
      </c>
      <c r="P43" s="61"/>
      <c r="Q43" s="61"/>
      <c r="R43" s="61"/>
      <c r="S43" s="61"/>
      <c r="T43" s="61"/>
      <c r="U43" s="77">
        <f t="shared" si="32"/>
        <v>150.345</v>
      </c>
      <c r="V43" s="90">
        <v>58.5</v>
      </c>
      <c r="W43" s="147"/>
      <c r="X43" s="48"/>
      <c r="Y43" s="48"/>
      <c r="Z43" s="2"/>
      <c r="AA43" s="2"/>
      <c r="AB43" s="2"/>
      <c r="AC43" s="2"/>
    </row>
    <row r="44" spans="1:34" ht="33.75" customHeight="1" x14ac:dyDescent="0.25">
      <c r="A44" s="96" t="s">
        <v>22</v>
      </c>
      <c r="B44" s="18">
        <f t="shared" si="33"/>
        <v>14.08</v>
      </c>
      <c r="C44" s="61">
        <f t="shared" si="34"/>
        <v>20.898</v>
      </c>
      <c r="D44" s="61">
        <f t="shared" si="35"/>
        <v>30.94</v>
      </c>
      <c r="E44" s="61">
        <f t="shared" si="36"/>
        <v>30.175000000000001</v>
      </c>
      <c r="F44" s="61">
        <f t="shared" si="29"/>
        <v>16.350999999999999</v>
      </c>
      <c r="G44" s="61">
        <f t="shared" si="37"/>
        <v>13.570499999999999</v>
      </c>
      <c r="H44" s="136">
        <f t="shared" si="30"/>
        <v>126.0145</v>
      </c>
      <c r="I44" s="49"/>
      <c r="J44" s="49"/>
      <c r="K44" s="49"/>
      <c r="L44" s="144"/>
      <c r="M44" s="145"/>
      <c r="N44" s="96" t="s">
        <v>22</v>
      </c>
      <c r="O44" s="61">
        <f t="shared" si="31"/>
        <v>154.19999999999999</v>
      </c>
      <c r="P44" s="61"/>
      <c r="Q44" s="61"/>
      <c r="R44" s="61"/>
      <c r="S44" s="61"/>
      <c r="T44" s="61"/>
      <c r="U44" s="77">
        <f t="shared" si="32"/>
        <v>154.19999999999999</v>
      </c>
      <c r="V44" s="90">
        <v>60</v>
      </c>
      <c r="W44" s="147"/>
      <c r="X44" s="48"/>
      <c r="Y44" s="48"/>
      <c r="Z44" s="2"/>
      <c r="AA44" s="2"/>
      <c r="AB44" s="2"/>
      <c r="AC44" s="2"/>
    </row>
    <row r="45" spans="1:34" ht="33.75" customHeight="1" x14ac:dyDescent="0.25">
      <c r="A45" s="96" t="s">
        <v>32</v>
      </c>
      <c r="B45" s="18">
        <f t="shared" si="33"/>
        <v>14.08</v>
      </c>
      <c r="C45" s="61">
        <f t="shared" si="34"/>
        <v>20.898</v>
      </c>
      <c r="D45" s="61">
        <f t="shared" si="35"/>
        <v>30.94</v>
      </c>
      <c r="E45" s="61">
        <f t="shared" si="36"/>
        <v>30.175000000000001</v>
      </c>
      <c r="F45" s="61">
        <f t="shared" si="29"/>
        <v>16.350999999999999</v>
      </c>
      <c r="G45" s="61">
        <f t="shared" si="37"/>
        <v>13.570499999999999</v>
      </c>
      <c r="H45" s="136">
        <f t="shared" si="30"/>
        <v>126.0145</v>
      </c>
      <c r="I45" s="49"/>
      <c r="J45" s="49"/>
      <c r="K45" s="49"/>
      <c r="L45" s="144"/>
      <c r="M45" s="145"/>
      <c r="N45" s="96" t="s">
        <v>23</v>
      </c>
      <c r="O45" s="61">
        <f t="shared" si="31"/>
        <v>159.34</v>
      </c>
      <c r="P45" s="61"/>
      <c r="Q45" s="61"/>
      <c r="R45" s="61"/>
      <c r="S45" s="61"/>
      <c r="T45" s="61"/>
      <c r="U45" s="77">
        <f t="shared" si="32"/>
        <v>159.34</v>
      </c>
      <c r="V45" s="90">
        <v>62</v>
      </c>
      <c r="W45" s="147"/>
      <c r="X45" s="48"/>
      <c r="Y45" s="48"/>
      <c r="Z45" s="48"/>
      <c r="AA45" s="48"/>
      <c r="AB45" s="2"/>
      <c r="AC45" s="2"/>
      <c r="AD45" s="2"/>
      <c r="AE45" s="2"/>
    </row>
    <row r="46" spans="1:34" ht="33.75" customHeight="1" x14ac:dyDescent="0.25">
      <c r="A46" s="80" t="s">
        <v>9</v>
      </c>
      <c r="B46" s="21">
        <f t="shared" ref="B46:G46" si="38">SUM(B39:B45)</f>
        <v>98.56</v>
      </c>
      <c r="C46" s="22">
        <f t="shared" si="38"/>
        <v>146.286</v>
      </c>
      <c r="D46" s="22">
        <f t="shared" si="38"/>
        <v>216.58</v>
      </c>
      <c r="E46" s="22">
        <f t="shared" si="38"/>
        <v>211.22500000000002</v>
      </c>
      <c r="F46" s="22">
        <f t="shared" si="38"/>
        <v>114.45699999999999</v>
      </c>
      <c r="G46" s="22">
        <f t="shared" si="38"/>
        <v>94.993499999999983</v>
      </c>
      <c r="H46" s="136">
        <f t="shared" si="30"/>
        <v>882.10149999999999</v>
      </c>
      <c r="I46" s="49"/>
      <c r="J46" s="49"/>
      <c r="K46" s="49"/>
      <c r="L46" s="49"/>
      <c r="N46" s="80" t="s">
        <v>9</v>
      </c>
      <c r="O46" s="62">
        <f>SUM(O39:O45)</f>
        <v>1468.7550000000001</v>
      </c>
      <c r="P46" s="22"/>
      <c r="Q46" s="22"/>
      <c r="R46" s="22"/>
      <c r="S46" s="22"/>
      <c r="T46" s="22"/>
      <c r="U46" s="77">
        <f t="shared" si="32"/>
        <v>1468.7550000000001</v>
      </c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4" ht="33.75" customHeight="1" x14ac:dyDescent="0.25">
      <c r="A47" s="70" t="s">
        <v>11</v>
      </c>
      <c r="B47" s="23">
        <v>44</v>
      </c>
      <c r="C47" s="24">
        <v>43</v>
      </c>
      <c r="D47" s="24">
        <v>42.5</v>
      </c>
      <c r="E47" s="24">
        <v>42.5</v>
      </c>
      <c r="F47" s="24">
        <v>41.5</v>
      </c>
      <c r="G47" s="24">
        <v>41.5</v>
      </c>
      <c r="H47" s="137">
        <f>+((H46/H48)/7)*1000</f>
        <v>42.500674536256327</v>
      </c>
      <c r="I47" s="109"/>
      <c r="J47" s="109"/>
      <c r="K47" s="109"/>
      <c r="L47" s="49"/>
      <c r="N47" s="93" t="s">
        <v>11</v>
      </c>
      <c r="O47" s="63"/>
      <c r="P47" s="24"/>
      <c r="Q47" s="24"/>
      <c r="R47" s="24"/>
      <c r="S47" s="24"/>
      <c r="T47" s="24"/>
      <c r="U47" s="78">
        <f>+((U46/U48)/7)*1000</f>
        <v>81.642857142857139</v>
      </c>
      <c r="V47" s="50"/>
      <c r="W47" s="50"/>
    </row>
    <row r="48" spans="1:34" ht="33.75" customHeight="1" x14ac:dyDescent="0.25">
      <c r="A48" s="71" t="s">
        <v>12</v>
      </c>
      <c r="B48" s="26">
        <v>320</v>
      </c>
      <c r="C48" s="27">
        <v>486</v>
      </c>
      <c r="D48" s="27">
        <v>728</v>
      </c>
      <c r="E48" s="27">
        <v>710</v>
      </c>
      <c r="F48" s="27">
        <v>394</v>
      </c>
      <c r="G48" s="27">
        <v>327</v>
      </c>
      <c r="H48" s="138">
        <f>SUM(B48:G48)</f>
        <v>2965</v>
      </c>
      <c r="I48" s="110"/>
      <c r="J48" s="110"/>
      <c r="K48" s="110"/>
      <c r="L48" s="49"/>
      <c r="M48" s="51"/>
      <c r="N48" s="71" t="s">
        <v>12</v>
      </c>
      <c r="O48" s="79">
        <v>2570</v>
      </c>
      <c r="P48" s="79"/>
      <c r="Q48" s="79"/>
      <c r="R48" s="79"/>
      <c r="S48" s="79"/>
      <c r="T48" s="79"/>
      <c r="U48" s="82">
        <f>SUM(O48:S48)</f>
        <v>2570</v>
      </c>
      <c r="V48" s="52"/>
      <c r="W48" s="52"/>
    </row>
    <row r="49" spans="1:34" ht="33.75" customHeight="1" x14ac:dyDescent="0.25">
      <c r="A49" s="72" t="s">
        <v>13</v>
      </c>
      <c r="B49" s="30">
        <f t="shared" ref="B49:G49" si="39">(B48*B47)/1000</f>
        <v>14.08</v>
      </c>
      <c r="C49" s="31">
        <f t="shared" si="39"/>
        <v>20.898</v>
      </c>
      <c r="D49" s="31">
        <f t="shared" si="39"/>
        <v>30.94</v>
      </c>
      <c r="E49" s="31">
        <f t="shared" si="39"/>
        <v>30.175000000000001</v>
      </c>
      <c r="F49" s="31">
        <f t="shared" si="39"/>
        <v>16.350999999999999</v>
      </c>
      <c r="G49" s="31">
        <f t="shared" si="39"/>
        <v>13.570499999999999</v>
      </c>
      <c r="H49" s="139">
        <f>((H46*1000)/H48)/7</f>
        <v>42.500674536256327</v>
      </c>
      <c r="I49" s="111"/>
      <c r="J49" s="111"/>
      <c r="K49" s="111"/>
      <c r="L49" s="49"/>
      <c r="N49" s="72" t="s">
        <v>13</v>
      </c>
      <c r="O49" s="65">
        <v>81.569999999999993</v>
      </c>
      <c r="P49" s="31"/>
      <c r="Q49" s="31"/>
      <c r="R49" s="31"/>
      <c r="S49" s="31"/>
      <c r="T49" s="31"/>
      <c r="U49" s="83">
        <f>((U46*1000)/U48)/7</f>
        <v>81.642857142857139</v>
      </c>
      <c r="V49" s="52"/>
      <c r="W49" s="52"/>
    </row>
    <row r="50" spans="1:34" ht="33.75" customHeight="1" x14ac:dyDescent="0.25">
      <c r="A50" s="73" t="s">
        <v>14</v>
      </c>
      <c r="B50" s="34">
        <f t="shared" ref="B50:G50" si="40">((B48*B47)*7)/1000</f>
        <v>98.56</v>
      </c>
      <c r="C50" s="35">
        <f t="shared" si="40"/>
        <v>146.286</v>
      </c>
      <c r="D50" s="35">
        <f t="shared" si="40"/>
        <v>216.58</v>
      </c>
      <c r="E50" s="35">
        <f t="shared" si="40"/>
        <v>211.22499999999999</v>
      </c>
      <c r="F50" s="35">
        <f t="shared" si="40"/>
        <v>114.45699999999999</v>
      </c>
      <c r="G50" s="35">
        <f t="shared" si="40"/>
        <v>94.993499999999997</v>
      </c>
      <c r="H50" s="112"/>
      <c r="I50" s="41"/>
      <c r="J50" s="41"/>
      <c r="K50" s="41"/>
      <c r="L50" s="49"/>
      <c r="N50" s="73" t="s">
        <v>14</v>
      </c>
      <c r="O50" s="66">
        <f>((O48*O47)*7)/1000</f>
        <v>0</v>
      </c>
      <c r="P50" s="35"/>
      <c r="Q50" s="35"/>
      <c r="R50" s="35"/>
      <c r="S50" s="35"/>
      <c r="T50" s="35"/>
      <c r="U50" s="84"/>
    </row>
    <row r="51" spans="1:34" ht="33.75" customHeight="1" thickBot="1" x14ac:dyDescent="0.3">
      <c r="A51" s="74" t="s">
        <v>15</v>
      </c>
      <c r="B51" s="37">
        <f t="shared" ref="B51:G51" si="41">+(B46/B48)/7*1000</f>
        <v>44</v>
      </c>
      <c r="C51" s="38">
        <f t="shared" si="41"/>
        <v>43</v>
      </c>
      <c r="D51" s="38">
        <f t="shared" si="41"/>
        <v>42.5</v>
      </c>
      <c r="E51" s="38">
        <f t="shared" si="41"/>
        <v>42.5</v>
      </c>
      <c r="F51" s="38">
        <f t="shared" si="41"/>
        <v>41.499999999999993</v>
      </c>
      <c r="G51" s="38">
        <f t="shared" si="41"/>
        <v>41.499999999999986</v>
      </c>
      <c r="H51" s="140"/>
      <c r="I51" s="41"/>
      <c r="J51" s="41"/>
      <c r="K51" s="41"/>
      <c r="L51" s="49"/>
      <c r="M51" s="41"/>
      <c r="N51" s="74" t="s">
        <v>15</v>
      </c>
      <c r="O51" s="67">
        <f>+(O46/O48)/7*1000</f>
        <v>81.642857142857139</v>
      </c>
      <c r="P51" s="38"/>
      <c r="Q51" s="38"/>
      <c r="R51" s="38"/>
      <c r="S51" s="38"/>
      <c r="T51" s="38"/>
      <c r="U51" s="39"/>
      <c r="V51" s="42"/>
      <c r="W51" s="42"/>
    </row>
    <row r="52" spans="1:34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1"/>
      <c r="N52" s="42"/>
      <c r="O52" s="42">
        <v>120</v>
      </c>
      <c r="P52" s="42"/>
      <c r="Q52" s="42"/>
      <c r="R52" s="42"/>
      <c r="S52" s="42"/>
      <c r="T52" s="42"/>
      <c r="U52" s="42"/>
      <c r="V52" s="42"/>
      <c r="W52" s="42"/>
      <c r="X52" s="42"/>
      <c r="Y52" s="2"/>
      <c r="Z52" s="2"/>
      <c r="AA52" s="2"/>
      <c r="AB52" s="2"/>
      <c r="AC52" s="2"/>
    </row>
    <row r="53" spans="1:34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1"/>
      <c r="M53" s="42"/>
      <c r="N53" s="42"/>
      <c r="O53" s="42"/>
      <c r="P53" s="42"/>
      <c r="Q53" s="42"/>
      <c r="R53" s="42"/>
      <c r="S53" s="42"/>
      <c r="T53" s="42"/>
      <c r="U53" s="42"/>
      <c r="V53" s="43"/>
      <c r="W53" s="43"/>
      <c r="X53" s="43"/>
      <c r="Y53" s="2"/>
      <c r="Z53" s="2"/>
      <c r="AA53" s="2"/>
      <c r="AB53" s="2"/>
      <c r="AF53" s="3"/>
    </row>
    <row r="54" spans="1:34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958"/>
      <c r="N54" s="958"/>
      <c r="O54" s="54"/>
      <c r="P54" s="54"/>
      <c r="Q54" s="54"/>
      <c r="R54" s="54"/>
      <c r="S54" s="55"/>
      <c r="X54" s="43"/>
      <c r="Y54" s="43"/>
      <c r="Z54" s="43"/>
      <c r="AA54" s="2"/>
      <c r="AB54" s="2"/>
      <c r="AC54" s="2"/>
      <c r="AD54" s="2"/>
      <c r="AF54" s="2"/>
      <c r="AG54" s="2"/>
      <c r="AH54" s="2"/>
    </row>
    <row r="55" spans="1:34" ht="33.75" customHeight="1" x14ac:dyDescent="0.25">
      <c r="A55" s="88" t="s">
        <v>19</v>
      </c>
      <c r="B55" s="956" t="s">
        <v>30</v>
      </c>
      <c r="C55" s="956"/>
      <c r="D55" s="956"/>
      <c r="E55" s="956"/>
      <c r="F55" s="957"/>
      <c r="G55" s="85"/>
      <c r="H55" s="56"/>
      <c r="I55" s="56"/>
      <c r="J55" s="56"/>
      <c r="K55" s="56"/>
      <c r="L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4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L56" s="45"/>
      <c r="M56" s="45"/>
      <c r="N56" s="45"/>
      <c r="O56" s="45"/>
      <c r="P56" s="57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4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45"/>
      <c r="P57" s="57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4" ht="33.75" customHeight="1" x14ac:dyDescent="0.25">
      <c r="A58" s="96" t="s">
        <v>53</v>
      </c>
      <c r="B58" s="61">
        <f>(($B$67*L58)/1000)</f>
        <v>368.44499999999999</v>
      </c>
      <c r="C58" s="61"/>
      <c r="D58" s="61"/>
      <c r="E58" s="61"/>
      <c r="F58" s="61"/>
      <c r="G58" s="77">
        <f t="shared" ref="G58:G65" si="42">SUM(B58:F58)</f>
        <v>368.44499999999999</v>
      </c>
      <c r="H58" s="42"/>
      <c r="I58" s="42"/>
      <c r="J58" s="42"/>
      <c r="K58" s="42"/>
      <c r="L58" s="2">
        <v>145</v>
      </c>
      <c r="M58" s="45"/>
      <c r="N58" s="45"/>
      <c r="O58" s="45"/>
      <c r="P58" s="57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4" ht="33.75" customHeight="1" x14ac:dyDescent="0.25">
      <c r="A59" s="96" t="s">
        <v>24</v>
      </c>
      <c r="B59" s="61">
        <f t="shared" ref="B59:B64" si="43">(($B$67*L59)/1000)</f>
        <v>368.44499999999999</v>
      </c>
      <c r="C59" s="61"/>
      <c r="D59" s="61"/>
      <c r="E59" s="61"/>
      <c r="F59" s="61"/>
      <c r="G59" s="77">
        <f t="shared" si="42"/>
        <v>368.44499999999999</v>
      </c>
      <c r="H59" s="42"/>
      <c r="I59" s="42"/>
      <c r="J59" s="42"/>
      <c r="K59" s="42"/>
      <c r="L59" s="2">
        <v>145</v>
      </c>
      <c r="M59" s="45"/>
      <c r="N59" s="45"/>
      <c r="O59" s="45"/>
      <c r="P59" s="57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4" ht="33.75" customHeight="1" x14ac:dyDescent="0.25">
      <c r="A60" s="96" t="s">
        <v>20</v>
      </c>
      <c r="B60" s="61">
        <f>(($B$67*L60)/1000)</f>
        <v>145.85339999999999</v>
      </c>
      <c r="C60" s="61"/>
      <c r="D60" s="61"/>
      <c r="E60" s="61"/>
      <c r="F60" s="19"/>
      <c r="G60" s="77">
        <f t="shared" si="42"/>
        <v>145.85339999999999</v>
      </c>
      <c r="H60" s="42"/>
      <c r="I60" s="42"/>
      <c r="J60" s="42"/>
      <c r="K60" s="42"/>
      <c r="L60" s="2">
        <v>57.4</v>
      </c>
      <c r="M60" s="146"/>
      <c r="N60" s="45"/>
      <c r="O60" s="45"/>
      <c r="P60" s="57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4" ht="33.75" customHeight="1" x14ac:dyDescent="0.25">
      <c r="A61" s="96" t="s">
        <v>28</v>
      </c>
      <c r="B61" s="61">
        <f t="shared" si="43"/>
        <v>148.64850000000001</v>
      </c>
      <c r="C61" s="61"/>
      <c r="D61" s="61"/>
      <c r="E61" s="61"/>
      <c r="F61" s="61"/>
      <c r="G61" s="77">
        <f t="shared" si="42"/>
        <v>148.64850000000001</v>
      </c>
      <c r="H61" s="42"/>
      <c r="I61" s="42"/>
      <c r="J61" s="42"/>
      <c r="K61" s="42"/>
      <c r="L61" s="2">
        <v>58.5</v>
      </c>
      <c r="M61" s="45"/>
      <c r="N61" s="45"/>
      <c r="O61" s="45"/>
      <c r="P61" s="57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4" ht="33.75" customHeight="1" x14ac:dyDescent="0.25">
      <c r="A62" s="96" t="s">
        <v>21</v>
      </c>
      <c r="B62" s="61">
        <f t="shared" si="43"/>
        <v>149.91900000000001</v>
      </c>
      <c r="C62" s="61"/>
      <c r="D62" s="61"/>
      <c r="E62" s="61"/>
      <c r="F62" s="61"/>
      <c r="G62" s="77">
        <f t="shared" si="42"/>
        <v>149.91900000000001</v>
      </c>
      <c r="H62" s="42"/>
      <c r="I62" s="42"/>
      <c r="J62" s="42"/>
      <c r="K62" s="42"/>
      <c r="L62" s="2">
        <v>59</v>
      </c>
      <c r="M62" s="45"/>
      <c r="N62" s="45"/>
      <c r="O62" s="45"/>
      <c r="P62" s="57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4" ht="33.75" customHeight="1" x14ac:dyDescent="0.25">
      <c r="A63" s="96" t="s">
        <v>22</v>
      </c>
      <c r="B63" s="61">
        <f t="shared" si="43"/>
        <v>152.46</v>
      </c>
      <c r="C63" s="61"/>
      <c r="D63" s="61"/>
      <c r="E63" s="61"/>
      <c r="F63" s="61"/>
      <c r="G63" s="77">
        <f t="shared" si="42"/>
        <v>152.46</v>
      </c>
      <c r="H63" s="42"/>
      <c r="I63" s="42"/>
      <c r="J63" s="42"/>
      <c r="K63" s="42"/>
      <c r="L63" s="2">
        <v>60</v>
      </c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4" ht="33.75" customHeight="1" x14ac:dyDescent="0.25">
      <c r="A64" s="96" t="s">
        <v>23</v>
      </c>
      <c r="B64" s="61">
        <f t="shared" si="43"/>
        <v>155.001</v>
      </c>
      <c r="C64" s="61"/>
      <c r="D64" s="61"/>
      <c r="E64" s="61"/>
      <c r="F64" s="61"/>
      <c r="G64" s="77">
        <f t="shared" si="42"/>
        <v>155.001</v>
      </c>
      <c r="H64" s="42"/>
      <c r="I64" s="42"/>
      <c r="J64" s="42"/>
      <c r="K64" s="42"/>
      <c r="L64" s="2">
        <v>61</v>
      </c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80" t="s">
        <v>9</v>
      </c>
      <c r="B65" s="62">
        <f>SUM(B58:B64)</f>
        <v>1488.7719000000002</v>
      </c>
      <c r="C65" s="22"/>
      <c r="D65" s="22"/>
      <c r="E65" s="22"/>
      <c r="F65" s="22"/>
      <c r="G65" s="77">
        <f t="shared" si="42"/>
        <v>1488.7719000000002</v>
      </c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83.700000000000017</v>
      </c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71" t="s">
        <v>12</v>
      </c>
      <c r="B67" s="79">
        <v>2541</v>
      </c>
      <c r="C67" s="79"/>
      <c r="D67" s="79"/>
      <c r="E67" s="79"/>
      <c r="F67" s="79"/>
      <c r="G67" s="82">
        <f>SUM(B67:F67)</f>
        <v>2541</v>
      </c>
      <c r="L67" s="59"/>
      <c r="P67" s="3"/>
      <c r="Q67" s="3"/>
      <c r="R67" s="3"/>
      <c r="S67" s="3"/>
      <c r="T67" s="3"/>
      <c r="U67" s="3"/>
    </row>
    <row r="68" spans="1:32" ht="33.75" customHeight="1" x14ac:dyDescent="0.25">
      <c r="A68" s="72" t="s">
        <v>13</v>
      </c>
      <c r="B68" s="65">
        <v>83.71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83.700000000000017</v>
      </c>
      <c r="P68" s="3"/>
      <c r="Q68" s="3"/>
      <c r="R68" s="3"/>
      <c r="S68" s="3"/>
      <c r="T68" s="3"/>
      <c r="U68" s="3"/>
    </row>
    <row r="69" spans="1:32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K69" s="41"/>
      <c r="U69" s="3"/>
    </row>
    <row r="70" spans="1:32" ht="33.75" customHeight="1" thickBot="1" x14ac:dyDescent="0.3">
      <c r="A70" s="74" t="s">
        <v>15</v>
      </c>
      <c r="B70" s="67">
        <f>+(B65/B67)/7*1000</f>
        <v>83.700000000000017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U70" s="3"/>
    </row>
    <row r="71" spans="1:32" ht="33.75" customHeight="1" x14ac:dyDescent="0.25">
      <c r="B71" s="148">
        <v>125</v>
      </c>
    </row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  <c r="M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G36"/>
    <mergeCell ref="O36:T36"/>
    <mergeCell ref="L37:M37"/>
    <mergeCell ref="M54:N54"/>
    <mergeCell ref="B55:F55"/>
    <mergeCell ref="B15:K15"/>
    <mergeCell ref="L15:Q15"/>
    <mergeCell ref="A3:C3"/>
    <mergeCell ref="E9:G9"/>
    <mergeCell ref="V9:W9"/>
    <mergeCell ref="N11:O11"/>
    <mergeCell ref="R15:W1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I239"/>
  <sheetViews>
    <sheetView workbookViewId="0"/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1" width="20.140625" style="14" customWidth="1"/>
    <col min="12" max="12" width="28.28515625" style="14" bestFit="1" customWidth="1"/>
    <col min="13" max="14" width="33.42578125" style="14" bestFit="1" customWidth="1"/>
    <col min="15" max="15" width="22.7109375" style="14" customWidth="1"/>
    <col min="16" max="18" width="21.28515625" style="14" customWidth="1"/>
    <col min="19" max="19" width="21.28515625" style="14" bestFit="1" customWidth="1"/>
    <col min="20" max="20" width="21.28515625" style="14" customWidth="1"/>
    <col min="21" max="21" width="27.85546875" style="14" customWidth="1"/>
    <col min="22" max="22" width="26.28515625" style="14" customWidth="1"/>
    <col min="23" max="23" width="21.42578125" style="14" customWidth="1"/>
    <col min="24" max="24" width="25.42578125" style="14" customWidth="1"/>
    <col min="25" max="26" width="20.7109375" style="14" customWidth="1"/>
    <col min="27" max="27" width="32.28515625" style="14" bestFit="1" customWidth="1"/>
    <col min="28" max="28" width="20.7109375" style="14" customWidth="1"/>
    <col min="29" max="29" width="22" style="14" customWidth="1"/>
    <col min="30" max="33" width="21.28515625" style="14" customWidth="1"/>
    <col min="34" max="34" width="22.28515625" style="14" customWidth="1"/>
    <col min="35" max="36" width="11.42578125" style="14"/>
    <col min="37" max="37" width="14.85546875" style="14" bestFit="1" customWidth="1"/>
    <col min="38" max="262" width="11.42578125" style="14"/>
    <col min="263" max="263" width="34.42578125" style="14" customWidth="1"/>
    <col min="264" max="265" width="19.42578125" style="14" bestFit="1" customWidth="1"/>
    <col min="266" max="266" width="19.7109375" style="14" customWidth="1"/>
    <col min="267" max="268" width="20.42578125" style="14" customWidth="1"/>
    <col min="269" max="270" width="19.7109375" style="14" customWidth="1"/>
    <col min="271" max="271" width="25.28515625" style="14" customWidth="1"/>
    <col min="272" max="272" width="26" style="14" customWidth="1"/>
    <col min="273" max="273" width="22.28515625" style="14" customWidth="1"/>
    <col min="274" max="274" width="24.85546875" style="14" customWidth="1"/>
    <col min="275" max="275" width="21.140625" style="14" customWidth="1"/>
    <col min="276" max="276" width="21.42578125" style="14" customWidth="1"/>
    <col min="277" max="277" width="27.85546875" style="14" customWidth="1"/>
    <col min="278" max="278" width="23.42578125" style="14" customWidth="1"/>
    <col min="279" max="279" width="21.42578125" style="14" customWidth="1"/>
    <col min="280" max="282" width="20.7109375" style="14" customWidth="1"/>
    <col min="283" max="283" width="32.28515625" style="14" bestFit="1" customWidth="1"/>
    <col min="284" max="284" width="20.7109375" style="14" customWidth="1"/>
    <col min="285" max="285" width="22" style="14" customWidth="1"/>
    <col min="286" max="289" width="21.28515625" style="14" customWidth="1"/>
    <col min="290" max="290" width="22.28515625" style="14" customWidth="1"/>
    <col min="291" max="292" width="11.42578125" style="14"/>
    <col min="293" max="293" width="14.85546875" style="14" bestFit="1" customWidth="1"/>
    <col min="294" max="518" width="11.42578125" style="14"/>
    <col min="519" max="519" width="34.42578125" style="14" customWidth="1"/>
    <col min="520" max="521" width="19.42578125" style="14" bestFit="1" customWidth="1"/>
    <col min="522" max="522" width="19.7109375" style="14" customWidth="1"/>
    <col min="523" max="524" width="20.42578125" style="14" customWidth="1"/>
    <col min="525" max="526" width="19.7109375" style="14" customWidth="1"/>
    <col min="527" max="527" width="25.28515625" style="14" customWidth="1"/>
    <col min="528" max="528" width="26" style="14" customWidth="1"/>
    <col min="529" max="529" width="22.28515625" style="14" customWidth="1"/>
    <col min="530" max="530" width="24.85546875" style="14" customWidth="1"/>
    <col min="531" max="531" width="21.140625" style="14" customWidth="1"/>
    <col min="532" max="532" width="21.42578125" style="14" customWidth="1"/>
    <col min="533" max="533" width="27.85546875" style="14" customWidth="1"/>
    <col min="534" max="534" width="23.42578125" style="14" customWidth="1"/>
    <col min="535" max="535" width="21.42578125" style="14" customWidth="1"/>
    <col min="536" max="538" width="20.7109375" style="14" customWidth="1"/>
    <col min="539" max="539" width="32.28515625" style="14" bestFit="1" customWidth="1"/>
    <col min="540" max="540" width="20.7109375" style="14" customWidth="1"/>
    <col min="541" max="541" width="22" style="14" customWidth="1"/>
    <col min="542" max="545" width="21.28515625" style="14" customWidth="1"/>
    <col min="546" max="546" width="22.28515625" style="14" customWidth="1"/>
    <col min="547" max="548" width="11.42578125" style="14"/>
    <col min="549" max="549" width="14.85546875" style="14" bestFit="1" customWidth="1"/>
    <col min="550" max="774" width="11.42578125" style="14"/>
    <col min="775" max="775" width="34.42578125" style="14" customWidth="1"/>
    <col min="776" max="777" width="19.42578125" style="14" bestFit="1" customWidth="1"/>
    <col min="778" max="778" width="19.7109375" style="14" customWidth="1"/>
    <col min="779" max="780" width="20.42578125" style="14" customWidth="1"/>
    <col min="781" max="782" width="19.7109375" style="14" customWidth="1"/>
    <col min="783" max="783" width="25.28515625" style="14" customWidth="1"/>
    <col min="784" max="784" width="26" style="14" customWidth="1"/>
    <col min="785" max="785" width="22.28515625" style="14" customWidth="1"/>
    <col min="786" max="786" width="24.85546875" style="14" customWidth="1"/>
    <col min="787" max="787" width="21.140625" style="14" customWidth="1"/>
    <col min="788" max="788" width="21.42578125" style="14" customWidth="1"/>
    <col min="789" max="789" width="27.85546875" style="14" customWidth="1"/>
    <col min="790" max="790" width="23.42578125" style="14" customWidth="1"/>
    <col min="791" max="791" width="21.42578125" style="14" customWidth="1"/>
    <col min="792" max="794" width="20.7109375" style="14" customWidth="1"/>
    <col min="795" max="795" width="32.28515625" style="14" bestFit="1" customWidth="1"/>
    <col min="796" max="796" width="20.7109375" style="14" customWidth="1"/>
    <col min="797" max="797" width="22" style="14" customWidth="1"/>
    <col min="798" max="801" width="21.28515625" style="14" customWidth="1"/>
    <col min="802" max="802" width="22.28515625" style="14" customWidth="1"/>
    <col min="803" max="804" width="11.42578125" style="14"/>
    <col min="805" max="805" width="14.85546875" style="14" bestFit="1" customWidth="1"/>
    <col min="806" max="1030" width="11.42578125" style="14"/>
    <col min="1031" max="1031" width="34.42578125" style="14" customWidth="1"/>
    <col min="1032" max="1033" width="19.42578125" style="14" bestFit="1" customWidth="1"/>
    <col min="1034" max="1034" width="19.7109375" style="14" customWidth="1"/>
    <col min="1035" max="1036" width="20.42578125" style="14" customWidth="1"/>
    <col min="1037" max="1038" width="19.7109375" style="14" customWidth="1"/>
    <col min="1039" max="1039" width="25.28515625" style="14" customWidth="1"/>
    <col min="1040" max="1040" width="26" style="14" customWidth="1"/>
    <col min="1041" max="1041" width="22.28515625" style="14" customWidth="1"/>
    <col min="1042" max="1042" width="24.85546875" style="14" customWidth="1"/>
    <col min="1043" max="1043" width="21.140625" style="14" customWidth="1"/>
    <col min="1044" max="1044" width="21.42578125" style="14" customWidth="1"/>
    <col min="1045" max="1045" width="27.85546875" style="14" customWidth="1"/>
    <col min="1046" max="1046" width="23.42578125" style="14" customWidth="1"/>
    <col min="1047" max="1047" width="21.42578125" style="14" customWidth="1"/>
    <col min="1048" max="1050" width="20.7109375" style="14" customWidth="1"/>
    <col min="1051" max="1051" width="32.28515625" style="14" bestFit="1" customWidth="1"/>
    <col min="1052" max="1052" width="20.7109375" style="14" customWidth="1"/>
    <col min="1053" max="1053" width="22" style="14" customWidth="1"/>
    <col min="1054" max="1057" width="21.28515625" style="14" customWidth="1"/>
    <col min="1058" max="1058" width="22.28515625" style="14" customWidth="1"/>
    <col min="1059" max="1060" width="11.42578125" style="14"/>
    <col min="1061" max="1061" width="14.85546875" style="14" bestFit="1" customWidth="1"/>
    <col min="1062" max="1286" width="11.42578125" style="14"/>
    <col min="1287" max="1287" width="34.42578125" style="14" customWidth="1"/>
    <col min="1288" max="1289" width="19.42578125" style="14" bestFit="1" customWidth="1"/>
    <col min="1290" max="1290" width="19.7109375" style="14" customWidth="1"/>
    <col min="1291" max="1292" width="20.42578125" style="14" customWidth="1"/>
    <col min="1293" max="1294" width="19.7109375" style="14" customWidth="1"/>
    <col min="1295" max="1295" width="25.28515625" style="14" customWidth="1"/>
    <col min="1296" max="1296" width="26" style="14" customWidth="1"/>
    <col min="1297" max="1297" width="22.28515625" style="14" customWidth="1"/>
    <col min="1298" max="1298" width="24.85546875" style="14" customWidth="1"/>
    <col min="1299" max="1299" width="21.140625" style="14" customWidth="1"/>
    <col min="1300" max="1300" width="21.42578125" style="14" customWidth="1"/>
    <col min="1301" max="1301" width="27.85546875" style="14" customWidth="1"/>
    <col min="1302" max="1302" width="23.42578125" style="14" customWidth="1"/>
    <col min="1303" max="1303" width="21.42578125" style="14" customWidth="1"/>
    <col min="1304" max="1306" width="20.7109375" style="14" customWidth="1"/>
    <col min="1307" max="1307" width="32.28515625" style="14" bestFit="1" customWidth="1"/>
    <col min="1308" max="1308" width="20.7109375" style="14" customWidth="1"/>
    <col min="1309" max="1309" width="22" style="14" customWidth="1"/>
    <col min="1310" max="1313" width="21.28515625" style="14" customWidth="1"/>
    <col min="1314" max="1314" width="22.28515625" style="14" customWidth="1"/>
    <col min="1315" max="1316" width="11.42578125" style="14"/>
    <col min="1317" max="1317" width="14.85546875" style="14" bestFit="1" customWidth="1"/>
    <col min="1318" max="1542" width="11.42578125" style="14"/>
    <col min="1543" max="1543" width="34.42578125" style="14" customWidth="1"/>
    <col min="1544" max="1545" width="19.42578125" style="14" bestFit="1" customWidth="1"/>
    <col min="1546" max="1546" width="19.7109375" style="14" customWidth="1"/>
    <col min="1547" max="1548" width="20.42578125" style="14" customWidth="1"/>
    <col min="1549" max="1550" width="19.7109375" style="14" customWidth="1"/>
    <col min="1551" max="1551" width="25.28515625" style="14" customWidth="1"/>
    <col min="1552" max="1552" width="26" style="14" customWidth="1"/>
    <col min="1553" max="1553" width="22.28515625" style="14" customWidth="1"/>
    <col min="1554" max="1554" width="24.85546875" style="14" customWidth="1"/>
    <col min="1555" max="1555" width="21.140625" style="14" customWidth="1"/>
    <col min="1556" max="1556" width="21.42578125" style="14" customWidth="1"/>
    <col min="1557" max="1557" width="27.85546875" style="14" customWidth="1"/>
    <col min="1558" max="1558" width="23.42578125" style="14" customWidth="1"/>
    <col min="1559" max="1559" width="21.42578125" style="14" customWidth="1"/>
    <col min="1560" max="1562" width="20.7109375" style="14" customWidth="1"/>
    <col min="1563" max="1563" width="32.28515625" style="14" bestFit="1" customWidth="1"/>
    <col min="1564" max="1564" width="20.7109375" style="14" customWidth="1"/>
    <col min="1565" max="1565" width="22" style="14" customWidth="1"/>
    <col min="1566" max="1569" width="21.28515625" style="14" customWidth="1"/>
    <col min="1570" max="1570" width="22.28515625" style="14" customWidth="1"/>
    <col min="1571" max="1572" width="11.42578125" style="14"/>
    <col min="1573" max="1573" width="14.85546875" style="14" bestFit="1" customWidth="1"/>
    <col min="1574" max="1798" width="11.42578125" style="14"/>
    <col min="1799" max="1799" width="34.42578125" style="14" customWidth="1"/>
    <col min="1800" max="1801" width="19.42578125" style="14" bestFit="1" customWidth="1"/>
    <col min="1802" max="1802" width="19.7109375" style="14" customWidth="1"/>
    <col min="1803" max="1804" width="20.42578125" style="14" customWidth="1"/>
    <col min="1805" max="1806" width="19.7109375" style="14" customWidth="1"/>
    <col min="1807" max="1807" width="25.28515625" style="14" customWidth="1"/>
    <col min="1808" max="1808" width="26" style="14" customWidth="1"/>
    <col min="1809" max="1809" width="22.28515625" style="14" customWidth="1"/>
    <col min="1810" max="1810" width="24.85546875" style="14" customWidth="1"/>
    <col min="1811" max="1811" width="21.140625" style="14" customWidth="1"/>
    <col min="1812" max="1812" width="21.42578125" style="14" customWidth="1"/>
    <col min="1813" max="1813" width="27.85546875" style="14" customWidth="1"/>
    <col min="1814" max="1814" width="23.42578125" style="14" customWidth="1"/>
    <col min="1815" max="1815" width="21.42578125" style="14" customWidth="1"/>
    <col min="1816" max="1818" width="20.7109375" style="14" customWidth="1"/>
    <col min="1819" max="1819" width="32.28515625" style="14" bestFit="1" customWidth="1"/>
    <col min="1820" max="1820" width="20.7109375" style="14" customWidth="1"/>
    <col min="1821" max="1821" width="22" style="14" customWidth="1"/>
    <col min="1822" max="1825" width="21.28515625" style="14" customWidth="1"/>
    <col min="1826" max="1826" width="22.28515625" style="14" customWidth="1"/>
    <col min="1827" max="1828" width="11.42578125" style="14"/>
    <col min="1829" max="1829" width="14.85546875" style="14" bestFit="1" customWidth="1"/>
    <col min="1830" max="2054" width="11.42578125" style="14"/>
    <col min="2055" max="2055" width="34.42578125" style="14" customWidth="1"/>
    <col min="2056" max="2057" width="19.42578125" style="14" bestFit="1" customWidth="1"/>
    <col min="2058" max="2058" width="19.7109375" style="14" customWidth="1"/>
    <col min="2059" max="2060" width="20.42578125" style="14" customWidth="1"/>
    <col min="2061" max="2062" width="19.7109375" style="14" customWidth="1"/>
    <col min="2063" max="2063" width="25.28515625" style="14" customWidth="1"/>
    <col min="2064" max="2064" width="26" style="14" customWidth="1"/>
    <col min="2065" max="2065" width="22.28515625" style="14" customWidth="1"/>
    <col min="2066" max="2066" width="24.85546875" style="14" customWidth="1"/>
    <col min="2067" max="2067" width="21.140625" style="14" customWidth="1"/>
    <col min="2068" max="2068" width="21.42578125" style="14" customWidth="1"/>
    <col min="2069" max="2069" width="27.85546875" style="14" customWidth="1"/>
    <col min="2070" max="2070" width="23.42578125" style="14" customWidth="1"/>
    <col min="2071" max="2071" width="21.42578125" style="14" customWidth="1"/>
    <col min="2072" max="2074" width="20.7109375" style="14" customWidth="1"/>
    <col min="2075" max="2075" width="32.28515625" style="14" bestFit="1" customWidth="1"/>
    <col min="2076" max="2076" width="20.7109375" style="14" customWidth="1"/>
    <col min="2077" max="2077" width="22" style="14" customWidth="1"/>
    <col min="2078" max="2081" width="21.28515625" style="14" customWidth="1"/>
    <col min="2082" max="2082" width="22.28515625" style="14" customWidth="1"/>
    <col min="2083" max="2084" width="11.42578125" style="14"/>
    <col min="2085" max="2085" width="14.85546875" style="14" bestFit="1" customWidth="1"/>
    <col min="2086" max="2310" width="11.42578125" style="14"/>
    <col min="2311" max="2311" width="34.42578125" style="14" customWidth="1"/>
    <col min="2312" max="2313" width="19.42578125" style="14" bestFit="1" customWidth="1"/>
    <col min="2314" max="2314" width="19.7109375" style="14" customWidth="1"/>
    <col min="2315" max="2316" width="20.42578125" style="14" customWidth="1"/>
    <col min="2317" max="2318" width="19.7109375" style="14" customWidth="1"/>
    <col min="2319" max="2319" width="25.28515625" style="14" customWidth="1"/>
    <col min="2320" max="2320" width="26" style="14" customWidth="1"/>
    <col min="2321" max="2321" width="22.28515625" style="14" customWidth="1"/>
    <col min="2322" max="2322" width="24.85546875" style="14" customWidth="1"/>
    <col min="2323" max="2323" width="21.140625" style="14" customWidth="1"/>
    <col min="2324" max="2324" width="21.42578125" style="14" customWidth="1"/>
    <col min="2325" max="2325" width="27.85546875" style="14" customWidth="1"/>
    <col min="2326" max="2326" width="23.42578125" style="14" customWidth="1"/>
    <col min="2327" max="2327" width="21.42578125" style="14" customWidth="1"/>
    <col min="2328" max="2330" width="20.7109375" style="14" customWidth="1"/>
    <col min="2331" max="2331" width="32.28515625" style="14" bestFit="1" customWidth="1"/>
    <col min="2332" max="2332" width="20.7109375" style="14" customWidth="1"/>
    <col min="2333" max="2333" width="22" style="14" customWidth="1"/>
    <col min="2334" max="2337" width="21.28515625" style="14" customWidth="1"/>
    <col min="2338" max="2338" width="22.28515625" style="14" customWidth="1"/>
    <col min="2339" max="2340" width="11.42578125" style="14"/>
    <col min="2341" max="2341" width="14.85546875" style="14" bestFit="1" customWidth="1"/>
    <col min="2342" max="2566" width="11.42578125" style="14"/>
    <col min="2567" max="2567" width="34.42578125" style="14" customWidth="1"/>
    <col min="2568" max="2569" width="19.42578125" style="14" bestFit="1" customWidth="1"/>
    <col min="2570" max="2570" width="19.7109375" style="14" customWidth="1"/>
    <col min="2571" max="2572" width="20.42578125" style="14" customWidth="1"/>
    <col min="2573" max="2574" width="19.7109375" style="14" customWidth="1"/>
    <col min="2575" max="2575" width="25.28515625" style="14" customWidth="1"/>
    <col min="2576" max="2576" width="26" style="14" customWidth="1"/>
    <col min="2577" max="2577" width="22.28515625" style="14" customWidth="1"/>
    <col min="2578" max="2578" width="24.85546875" style="14" customWidth="1"/>
    <col min="2579" max="2579" width="21.140625" style="14" customWidth="1"/>
    <col min="2580" max="2580" width="21.42578125" style="14" customWidth="1"/>
    <col min="2581" max="2581" width="27.85546875" style="14" customWidth="1"/>
    <col min="2582" max="2582" width="23.42578125" style="14" customWidth="1"/>
    <col min="2583" max="2583" width="21.42578125" style="14" customWidth="1"/>
    <col min="2584" max="2586" width="20.7109375" style="14" customWidth="1"/>
    <col min="2587" max="2587" width="32.28515625" style="14" bestFit="1" customWidth="1"/>
    <col min="2588" max="2588" width="20.7109375" style="14" customWidth="1"/>
    <col min="2589" max="2589" width="22" style="14" customWidth="1"/>
    <col min="2590" max="2593" width="21.28515625" style="14" customWidth="1"/>
    <col min="2594" max="2594" width="22.28515625" style="14" customWidth="1"/>
    <col min="2595" max="2596" width="11.42578125" style="14"/>
    <col min="2597" max="2597" width="14.85546875" style="14" bestFit="1" customWidth="1"/>
    <col min="2598" max="2822" width="11.42578125" style="14"/>
    <col min="2823" max="2823" width="34.42578125" style="14" customWidth="1"/>
    <col min="2824" max="2825" width="19.42578125" style="14" bestFit="1" customWidth="1"/>
    <col min="2826" max="2826" width="19.7109375" style="14" customWidth="1"/>
    <col min="2827" max="2828" width="20.42578125" style="14" customWidth="1"/>
    <col min="2829" max="2830" width="19.7109375" style="14" customWidth="1"/>
    <col min="2831" max="2831" width="25.28515625" style="14" customWidth="1"/>
    <col min="2832" max="2832" width="26" style="14" customWidth="1"/>
    <col min="2833" max="2833" width="22.28515625" style="14" customWidth="1"/>
    <col min="2834" max="2834" width="24.85546875" style="14" customWidth="1"/>
    <col min="2835" max="2835" width="21.140625" style="14" customWidth="1"/>
    <col min="2836" max="2836" width="21.42578125" style="14" customWidth="1"/>
    <col min="2837" max="2837" width="27.85546875" style="14" customWidth="1"/>
    <col min="2838" max="2838" width="23.42578125" style="14" customWidth="1"/>
    <col min="2839" max="2839" width="21.42578125" style="14" customWidth="1"/>
    <col min="2840" max="2842" width="20.7109375" style="14" customWidth="1"/>
    <col min="2843" max="2843" width="32.28515625" style="14" bestFit="1" customWidth="1"/>
    <col min="2844" max="2844" width="20.7109375" style="14" customWidth="1"/>
    <col min="2845" max="2845" width="22" style="14" customWidth="1"/>
    <col min="2846" max="2849" width="21.28515625" style="14" customWidth="1"/>
    <col min="2850" max="2850" width="22.28515625" style="14" customWidth="1"/>
    <col min="2851" max="2852" width="11.42578125" style="14"/>
    <col min="2853" max="2853" width="14.85546875" style="14" bestFit="1" customWidth="1"/>
    <col min="2854" max="3078" width="11.42578125" style="14"/>
    <col min="3079" max="3079" width="34.42578125" style="14" customWidth="1"/>
    <col min="3080" max="3081" width="19.42578125" style="14" bestFit="1" customWidth="1"/>
    <col min="3082" max="3082" width="19.7109375" style="14" customWidth="1"/>
    <col min="3083" max="3084" width="20.42578125" style="14" customWidth="1"/>
    <col min="3085" max="3086" width="19.7109375" style="14" customWidth="1"/>
    <col min="3087" max="3087" width="25.28515625" style="14" customWidth="1"/>
    <col min="3088" max="3088" width="26" style="14" customWidth="1"/>
    <col min="3089" max="3089" width="22.28515625" style="14" customWidth="1"/>
    <col min="3090" max="3090" width="24.85546875" style="14" customWidth="1"/>
    <col min="3091" max="3091" width="21.140625" style="14" customWidth="1"/>
    <col min="3092" max="3092" width="21.42578125" style="14" customWidth="1"/>
    <col min="3093" max="3093" width="27.85546875" style="14" customWidth="1"/>
    <col min="3094" max="3094" width="23.42578125" style="14" customWidth="1"/>
    <col min="3095" max="3095" width="21.42578125" style="14" customWidth="1"/>
    <col min="3096" max="3098" width="20.7109375" style="14" customWidth="1"/>
    <col min="3099" max="3099" width="32.28515625" style="14" bestFit="1" customWidth="1"/>
    <col min="3100" max="3100" width="20.7109375" style="14" customWidth="1"/>
    <col min="3101" max="3101" width="22" style="14" customWidth="1"/>
    <col min="3102" max="3105" width="21.28515625" style="14" customWidth="1"/>
    <col min="3106" max="3106" width="22.28515625" style="14" customWidth="1"/>
    <col min="3107" max="3108" width="11.42578125" style="14"/>
    <col min="3109" max="3109" width="14.85546875" style="14" bestFit="1" customWidth="1"/>
    <col min="3110" max="3334" width="11.42578125" style="14"/>
    <col min="3335" max="3335" width="34.42578125" style="14" customWidth="1"/>
    <col min="3336" max="3337" width="19.42578125" style="14" bestFit="1" customWidth="1"/>
    <col min="3338" max="3338" width="19.7109375" style="14" customWidth="1"/>
    <col min="3339" max="3340" width="20.42578125" style="14" customWidth="1"/>
    <col min="3341" max="3342" width="19.7109375" style="14" customWidth="1"/>
    <col min="3343" max="3343" width="25.28515625" style="14" customWidth="1"/>
    <col min="3344" max="3344" width="26" style="14" customWidth="1"/>
    <col min="3345" max="3345" width="22.28515625" style="14" customWidth="1"/>
    <col min="3346" max="3346" width="24.85546875" style="14" customWidth="1"/>
    <col min="3347" max="3347" width="21.140625" style="14" customWidth="1"/>
    <col min="3348" max="3348" width="21.42578125" style="14" customWidth="1"/>
    <col min="3349" max="3349" width="27.85546875" style="14" customWidth="1"/>
    <col min="3350" max="3350" width="23.42578125" style="14" customWidth="1"/>
    <col min="3351" max="3351" width="21.42578125" style="14" customWidth="1"/>
    <col min="3352" max="3354" width="20.7109375" style="14" customWidth="1"/>
    <col min="3355" max="3355" width="32.28515625" style="14" bestFit="1" customWidth="1"/>
    <col min="3356" max="3356" width="20.7109375" style="14" customWidth="1"/>
    <col min="3357" max="3357" width="22" style="14" customWidth="1"/>
    <col min="3358" max="3361" width="21.28515625" style="14" customWidth="1"/>
    <col min="3362" max="3362" width="22.28515625" style="14" customWidth="1"/>
    <col min="3363" max="3364" width="11.42578125" style="14"/>
    <col min="3365" max="3365" width="14.85546875" style="14" bestFit="1" customWidth="1"/>
    <col min="3366" max="3590" width="11.42578125" style="14"/>
    <col min="3591" max="3591" width="34.42578125" style="14" customWidth="1"/>
    <col min="3592" max="3593" width="19.42578125" style="14" bestFit="1" customWidth="1"/>
    <col min="3594" max="3594" width="19.7109375" style="14" customWidth="1"/>
    <col min="3595" max="3596" width="20.42578125" style="14" customWidth="1"/>
    <col min="3597" max="3598" width="19.7109375" style="14" customWidth="1"/>
    <col min="3599" max="3599" width="25.28515625" style="14" customWidth="1"/>
    <col min="3600" max="3600" width="26" style="14" customWidth="1"/>
    <col min="3601" max="3601" width="22.28515625" style="14" customWidth="1"/>
    <col min="3602" max="3602" width="24.85546875" style="14" customWidth="1"/>
    <col min="3603" max="3603" width="21.140625" style="14" customWidth="1"/>
    <col min="3604" max="3604" width="21.42578125" style="14" customWidth="1"/>
    <col min="3605" max="3605" width="27.85546875" style="14" customWidth="1"/>
    <col min="3606" max="3606" width="23.42578125" style="14" customWidth="1"/>
    <col min="3607" max="3607" width="21.42578125" style="14" customWidth="1"/>
    <col min="3608" max="3610" width="20.7109375" style="14" customWidth="1"/>
    <col min="3611" max="3611" width="32.28515625" style="14" bestFit="1" customWidth="1"/>
    <col min="3612" max="3612" width="20.7109375" style="14" customWidth="1"/>
    <col min="3613" max="3613" width="22" style="14" customWidth="1"/>
    <col min="3614" max="3617" width="21.28515625" style="14" customWidth="1"/>
    <col min="3618" max="3618" width="22.28515625" style="14" customWidth="1"/>
    <col min="3619" max="3620" width="11.42578125" style="14"/>
    <col min="3621" max="3621" width="14.85546875" style="14" bestFit="1" customWidth="1"/>
    <col min="3622" max="3846" width="11.42578125" style="14"/>
    <col min="3847" max="3847" width="34.42578125" style="14" customWidth="1"/>
    <col min="3848" max="3849" width="19.42578125" style="14" bestFit="1" customWidth="1"/>
    <col min="3850" max="3850" width="19.7109375" style="14" customWidth="1"/>
    <col min="3851" max="3852" width="20.42578125" style="14" customWidth="1"/>
    <col min="3853" max="3854" width="19.7109375" style="14" customWidth="1"/>
    <col min="3855" max="3855" width="25.28515625" style="14" customWidth="1"/>
    <col min="3856" max="3856" width="26" style="14" customWidth="1"/>
    <col min="3857" max="3857" width="22.28515625" style="14" customWidth="1"/>
    <col min="3858" max="3858" width="24.85546875" style="14" customWidth="1"/>
    <col min="3859" max="3859" width="21.140625" style="14" customWidth="1"/>
    <col min="3860" max="3860" width="21.42578125" style="14" customWidth="1"/>
    <col min="3861" max="3861" width="27.85546875" style="14" customWidth="1"/>
    <col min="3862" max="3862" width="23.42578125" style="14" customWidth="1"/>
    <col min="3863" max="3863" width="21.42578125" style="14" customWidth="1"/>
    <col min="3864" max="3866" width="20.7109375" style="14" customWidth="1"/>
    <col min="3867" max="3867" width="32.28515625" style="14" bestFit="1" customWidth="1"/>
    <col min="3868" max="3868" width="20.7109375" style="14" customWidth="1"/>
    <col min="3869" max="3869" width="22" style="14" customWidth="1"/>
    <col min="3870" max="3873" width="21.28515625" style="14" customWidth="1"/>
    <col min="3874" max="3874" width="22.28515625" style="14" customWidth="1"/>
    <col min="3875" max="3876" width="11.42578125" style="14"/>
    <col min="3877" max="3877" width="14.85546875" style="14" bestFit="1" customWidth="1"/>
    <col min="3878" max="4102" width="11.42578125" style="14"/>
    <col min="4103" max="4103" width="34.42578125" style="14" customWidth="1"/>
    <col min="4104" max="4105" width="19.42578125" style="14" bestFit="1" customWidth="1"/>
    <col min="4106" max="4106" width="19.7109375" style="14" customWidth="1"/>
    <col min="4107" max="4108" width="20.42578125" style="14" customWidth="1"/>
    <col min="4109" max="4110" width="19.7109375" style="14" customWidth="1"/>
    <col min="4111" max="4111" width="25.28515625" style="14" customWidth="1"/>
    <col min="4112" max="4112" width="26" style="14" customWidth="1"/>
    <col min="4113" max="4113" width="22.28515625" style="14" customWidth="1"/>
    <col min="4114" max="4114" width="24.85546875" style="14" customWidth="1"/>
    <col min="4115" max="4115" width="21.140625" style="14" customWidth="1"/>
    <col min="4116" max="4116" width="21.42578125" style="14" customWidth="1"/>
    <col min="4117" max="4117" width="27.85546875" style="14" customWidth="1"/>
    <col min="4118" max="4118" width="23.42578125" style="14" customWidth="1"/>
    <col min="4119" max="4119" width="21.42578125" style="14" customWidth="1"/>
    <col min="4120" max="4122" width="20.7109375" style="14" customWidth="1"/>
    <col min="4123" max="4123" width="32.28515625" style="14" bestFit="1" customWidth="1"/>
    <col min="4124" max="4124" width="20.7109375" style="14" customWidth="1"/>
    <col min="4125" max="4125" width="22" style="14" customWidth="1"/>
    <col min="4126" max="4129" width="21.28515625" style="14" customWidth="1"/>
    <col min="4130" max="4130" width="22.28515625" style="14" customWidth="1"/>
    <col min="4131" max="4132" width="11.42578125" style="14"/>
    <col min="4133" max="4133" width="14.85546875" style="14" bestFit="1" customWidth="1"/>
    <col min="4134" max="4358" width="11.42578125" style="14"/>
    <col min="4359" max="4359" width="34.42578125" style="14" customWidth="1"/>
    <col min="4360" max="4361" width="19.42578125" style="14" bestFit="1" customWidth="1"/>
    <col min="4362" max="4362" width="19.7109375" style="14" customWidth="1"/>
    <col min="4363" max="4364" width="20.42578125" style="14" customWidth="1"/>
    <col min="4365" max="4366" width="19.7109375" style="14" customWidth="1"/>
    <col min="4367" max="4367" width="25.28515625" style="14" customWidth="1"/>
    <col min="4368" max="4368" width="26" style="14" customWidth="1"/>
    <col min="4369" max="4369" width="22.28515625" style="14" customWidth="1"/>
    <col min="4370" max="4370" width="24.85546875" style="14" customWidth="1"/>
    <col min="4371" max="4371" width="21.140625" style="14" customWidth="1"/>
    <col min="4372" max="4372" width="21.42578125" style="14" customWidth="1"/>
    <col min="4373" max="4373" width="27.85546875" style="14" customWidth="1"/>
    <col min="4374" max="4374" width="23.42578125" style="14" customWidth="1"/>
    <col min="4375" max="4375" width="21.42578125" style="14" customWidth="1"/>
    <col min="4376" max="4378" width="20.7109375" style="14" customWidth="1"/>
    <col min="4379" max="4379" width="32.28515625" style="14" bestFit="1" customWidth="1"/>
    <col min="4380" max="4380" width="20.7109375" style="14" customWidth="1"/>
    <col min="4381" max="4381" width="22" style="14" customWidth="1"/>
    <col min="4382" max="4385" width="21.28515625" style="14" customWidth="1"/>
    <col min="4386" max="4386" width="22.28515625" style="14" customWidth="1"/>
    <col min="4387" max="4388" width="11.42578125" style="14"/>
    <col min="4389" max="4389" width="14.85546875" style="14" bestFit="1" customWidth="1"/>
    <col min="4390" max="4614" width="11.42578125" style="14"/>
    <col min="4615" max="4615" width="34.42578125" style="14" customWidth="1"/>
    <col min="4616" max="4617" width="19.42578125" style="14" bestFit="1" customWidth="1"/>
    <col min="4618" max="4618" width="19.7109375" style="14" customWidth="1"/>
    <col min="4619" max="4620" width="20.42578125" style="14" customWidth="1"/>
    <col min="4621" max="4622" width="19.7109375" style="14" customWidth="1"/>
    <col min="4623" max="4623" width="25.28515625" style="14" customWidth="1"/>
    <col min="4624" max="4624" width="26" style="14" customWidth="1"/>
    <col min="4625" max="4625" width="22.28515625" style="14" customWidth="1"/>
    <col min="4626" max="4626" width="24.85546875" style="14" customWidth="1"/>
    <col min="4627" max="4627" width="21.140625" style="14" customWidth="1"/>
    <col min="4628" max="4628" width="21.42578125" style="14" customWidth="1"/>
    <col min="4629" max="4629" width="27.85546875" style="14" customWidth="1"/>
    <col min="4630" max="4630" width="23.42578125" style="14" customWidth="1"/>
    <col min="4631" max="4631" width="21.42578125" style="14" customWidth="1"/>
    <col min="4632" max="4634" width="20.7109375" style="14" customWidth="1"/>
    <col min="4635" max="4635" width="32.28515625" style="14" bestFit="1" customWidth="1"/>
    <col min="4636" max="4636" width="20.7109375" style="14" customWidth="1"/>
    <col min="4637" max="4637" width="22" style="14" customWidth="1"/>
    <col min="4638" max="4641" width="21.28515625" style="14" customWidth="1"/>
    <col min="4642" max="4642" width="22.28515625" style="14" customWidth="1"/>
    <col min="4643" max="4644" width="11.42578125" style="14"/>
    <col min="4645" max="4645" width="14.85546875" style="14" bestFit="1" customWidth="1"/>
    <col min="4646" max="4870" width="11.42578125" style="14"/>
    <col min="4871" max="4871" width="34.42578125" style="14" customWidth="1"/>
    <col min="4872" max="4873" width="19.42578125" style="14" bestFit="1" customWidth="1"/>
    <col min="4874" max="4874" width="19.7109375" style="14" customWidth="1"/>
    <col min="4875" max="4876" width="20.42578125" style="14" customWidth="1"/>
    <col min="4877" max="4878" width="19.7109375" style="14" customWidth="1"/>
    <col min="4879" max="4879" width="25.28515625" style="14" customWidth="1"/>
    <col min="4880" max="4880" width="26" style="14" customWidth="1"/>
    <col min="4881" max="4881" width="22.28515625" style="14" customWidth="1"/>
    <col min="4882" max="4882" width="24.85546875" style="14" customWidth="1"/>
    <col min="4883" max="4883" width="21.140625" style="14" customWidth="1"/>
    <col min="4884" max="4884" width="21.42578125" style="14" customWidth="1"/>
    <col min="4885" max="4885" width="27.85546875" style="14" customWidth="1"/>
    <col min="4886" max="4886" width="23.42578125" style="14" customWidth="1"/>
    <col min="4887" max="4887" width="21.42578125" style="14" customWidth="1"/>
    <col min="4888" max="4890" width="20.7109375" style="14" customWidth="1"/>
    <col min="4891" max="4891" width="32.28515625" style="14" bestFit="1" customWidth="1"/>
    <col min="4892" max="4892" width="20.7109375" style="14" customWidth="1"/>
    <col min="4893" max="4893" width="22" style="14" customWidth="1"/>
    <col min="4894" max="4897" width="21.28515625" style="14" customWidth="1"/>
    <col min="4898" max="4898" width="22.28515625" style="14" customWidth="1"/>
    <col min="4899" max="4900" width="11.42578125" style="14"/>
    <col min="4901" max="4901" width="14.85546875" style="14" bestFit="1" customWidth="1"/>
    <col min="4902" max="5126" width="11.42578125" style="14"/>
    <col min="5127" max="5127" width="34.42578125" style="14" customWidth="1"/>
    <col min="5128" max="5129" width="19.42578125" style="14" bestFit="1" customWidth="1"/>
    <col min="5130" max="5130" width="19.7109375" style="14" customWidth="1"/>
    <col min="5131" max="5132" width="20.42578125" style="14" customWidth="1"/>
    <col min="5133" max="5134" width="19.7109375" style="14" customWidth="1"/>
    <col min="5135" max="5135" width="25.28515625" style="14" customWidth="1"/>
    <col min="5136" max="5136" width="26" style="14" customWidth="1"/>
    <col min="5137" max="5137" width="22.28515625" style="14" customWidth="1"/>
    <col min="5138" max="5138" width="24.85546875" style="14" customWidth="1"/>
    <col min="5139" max="5139" width="21.140625" style="14" customWidth="1"/>
    <col min="5140" max="5140" width="21.42578125" style="14" customWidth="1"/>
    <col min="5141" max="5141" width="27.85546875" style="14" customWidth="1"/>
    <col min="5142" max="5142" width="23.42578125" style="14" customWidth="1"/>
    <col min="5143" max="5143" width="21.42578125" style="14" customWidth="1"/>
    <col min="5144" max="5146" width="20.7109375" style="14" customWidth="1"/>
    <col min="5147" max="5147" width="32.28515625" style="14" bestFit="1" customWidth="1"/>
    <col min="5148" max="5148" width="20.7109375" style="14" customWidth="1"/>
    <col min="5149" max="5149" width="22" style="14" customWidth="1"/>
    <col min="5150" max="5153" width="21.28515625" style="14" customWidth="1"/>
    <col min="5154" max="5154" width="22.28515625" style="14" customWidth="1"/>
    <col min="5155" max="5156" width="11.42578125" style="14"/>
    <col min="5157" max="5157" width="14.85546875" style="14" bestFit="1" customWidth="1"/>
    <col min="5158" max="5382" width="11.42578125" style="14"/>
    <col min="5383" max="5383" width="34.42578125" style="14" customWidth="1"/>
    <col min="5384" max="5385" width="19.42578125" style="14" bestFit="1" customWidth="1"/>
    <col min="5386" max="5386" width="19.7109375" style="14" customWidth="1"/>
    <col min="5387" max="5388" width="20.42578125" style="14" customWidth="1"/>
    <col min="5389" max="5390" width="19.7109375" style="14" customWidth="1"/>
    <col min="5391" max="5391" width="25.28515625" style="14" customWidth="1"/>
    <col min="5392" max="5392" width="26" style="14" customWidth="1"/>
    <col min="5393" max="5393" width="22.28515625" style="14" customWidth="1"/>
    <col min="5394" max="5394" width="24.85546875" style="14" customWidth="1"/>
    <col min="5395" max="5395" width="21.140625" style="14" customWidth="1"/>
    <col min="5396" max="5396" width="21.42578125" style="14" customWidth="1"/>
    <col min="5397" max="5397" width="27.85546875" style="14" customWidth="1"/>
    <col min="5398" max="5398" width="23.42578125" style="14" customWidth="1"/>
    <col min="5399" max="5399" width="21.42578125" style="14" customWidth="1"/>
    <col min="5400" max="5402" width="20.7109375" style="14" customWidth="1"/>
    <col min="5403" max="5403" width="32.28515625" style="14" bestFit="1" customWidth="1"/>
    <col min="5404" max="5404" width="20.7109375" style="14" customWidth="1"/>
    <col min="5405" max="5405" width="22" style="14" customWidth="1"/>
    <col min="5406" max="5409" width="21.28515625" style="14" customWidth="1"/>
    <col min="5410" max="5410" width="22.28515625" style="14" customWidth="1"/>
    <col min="5411" max="5412" width="11.42578125" style="14"/>
    <col min="5413" max="5413" width="14.85546875" style="14" bestFit="1" customWidth="1"/>
    <col min="5414" max="5638" width="11.42578125" style="14"/>
    <col min="5639" max="5639" width="34.42578125" style="14" customWidth="1"/>
    <col min="5640" max="5641" width="19.42578125" style="14" bestFit="1" customWidth="1"/>
    <col min="5642" max="5642" width="19.7109375" style="14" customWidth="1"/>
    <col min="5643" max="5644" width="20.42578125" style="14" customWidth="1"/>
    <col min="5645" max="5646" width="19.7109375" style="14" customWidth="1"/>
    <col min="5647" max="5647" width="25.28515625" style="14" customWidth="1"/>
    <col min="5648" max="5648" width="26" style="14" customWidth="1"/>
    <col min="5649" max="5649" width="22.28515625" style="14" customWidth="1"/>
    <col min="5650" max="5650" width="24.85546875" style="14" customWidth="1"/>
    <col min="5651" max="5651" width="21.140625" style="14" customWidth="1"/>
    <col min="5652" max="5652" width="21.42578125" style="14" customWidth="1"/>
    <col min="5653" max="5653" width="27.85546875" style="14" customWidth="1"/>
    <col min="5654" max="5654" width="23.42578125" style="14" customWidth="1"/>
    <col min="5655" max="5655" width="21.42578125" style="14" customWidth="1"/>
    <col min="5656" max="5658" width="20.7109375" style="14" customWidth="1"/>
    <col min="5659" max="5659" width="32.28515625" style="14" bestFit="1" customWidth="1"/>
    <col min="5660" max="5660" width="20.7109375" style="14" customWidth="1"/>
    <col min="5661" max="5661" width="22" style="14" customWidth="1"/>
    <col min="5662" max="5665" width="21.28515625" style="14" customWidth="1"/>
    <col min="5666" max="5666" width="22.28515625" style="14" customWidth="1"/>
    <col min="5667" max="5668" width="11.42578125" style="14"/>
    <col min="5669" max="5669" width="14.85546875" style="14" bestFit="1" customWidth="1"/>
    <col min="5670" max="5894" width="11.42578125" style="14"/>
    <col min="5895" max="5895" width="34.42578125" style="14" customWidth="1"/>
    <col min="5896" max="5897" width="19.42578125" style="14" bestFit="1" customWidth="1"/>
    <col min="5898" max="5898" width="19.7109375" style="14" customWidth="1"/>
    <col min="5899" max="5900" width="20.42578125" style="14" customWidth="1"/>
    <col min="5901" max="5902" width="19.7109375" style="14" customWidth="1"/>
    <col min="5903" max="5903" width="25.28515625" style="14" customWidth="1"/>
    <col min="5904" max="5904" width="26" style="14" customWidth="1"/>
    <col min="5905" max="5905" width="22.28515625" style="14" customWidth="1"/>
    <col min="5906" max="5906" width="24.85546875" style="14" customWidth="1"/>
    <col min="5907" max="5907" width="21.140625" style="14" customWidth="1"/>
    <col min="5908" max="5908" width="21.42578125" style="14" customWidth="1"/>
    <col min="5909" max="5909" width="27.85546875" style="14" customWidth="1"/>
    <col min="5910" max="5910" width="23.42578125" style="14" customWidth="1"/>
    <col min="5911" max="5911" width="21.42578125" style="14" customWidth="1"/>
    <col min="5912" max="5914" width="20.7109375" style="14" customWidth="1"/>
    <col min="5915" max="5915" width="32.28515625" style="14" bestFit="1" customWidth="1"/>
    <col min="5916" max="5916" width="20.7109375" style="14" customWidth="1"/>
    <col min="5917" max="5917" width="22" style="14" customWidth="1"/>
    <col min="5918" max="5921" width="21.28515625" style="14" customWidth="1"/>
    <col min="5922" max="5922" width="22.28515625" style="14" customWidth="1"/>
    <col min="5923" max="5924" width="11.42578125" style="14"/>
    <col min="5925" max="5925" width="14.85546875" style="14" bestFit="1" customWidth="1"/>
    <col min="5926" max="6150" width="11.42578125" style="14"/>
    <col min="6151" max="6151" width="34.42578125" style="14" customWidth="1"/>
    <col min="6152" max="6153" width="19.42578125" style="14" bestFit="1" customWidth="1"/>
    <col min="6154" max="6154" width="19.7109375" style="14" customWidth="1"/>
    <col min="6155" max="6156" width="20.42578125" style="14" customWidth="1"/>
    <col min="6157" max="6158" width="19.7109375" style="14" customWidth="1"/>
    <col min="6159" max="6159" width="25.28515625" style="14" customWidth="1"/>
    <col min="6160" max="6160" width="26" style="14" customWidth="1"/>
    <col min="6161" max="6161" width="22.28515625" style="14" customWidth="1"/>
    <col min="6162" max="6162" width="24.85546875" style="14" customWidth="1"/>
    <col min="6163" max="6163" width="21.140625" style="14" customWidth="1"/>
    <col min="6164" max="6164" width="21.42578125" style="14" customWidth="1"/>
    <col min="6165" max="6165" width="27.85546875" style="14" customWidth="1"/>
    <col min="6166" max="6166" width="23.42578125" style="14" customWidth="1"/>
    <col min="6167" max="6167" width="21.42578125" style="14" customWidth="1"/>
    <col min="6168" max="6170" width="20.7109375" style="14" customWidth="1"/>
    <col min="6171" max="6171" width="32.28515625" style="14" bestFit="1" customWidth="1"/>
    <col min="6172" max="6172" width="20.7109375" style="14" customWidth="1"/>
    <col min="6173" max="6173" width="22" style="14" customWidth="1"/>
    <col min="6174" max="6177" width="21.28515625" style="14" customWidth="1"/>
    <col min="6178" max="6178" width="22.28515625" style="14" customWidth="1"/>
    <col min="6179" max="6180" width="11.42578125" style="14"/>
    <col min="6181" max="6181" width="14.85546875" style="14" bestFit="1" customWidth="1"/>
    <col min="6182" max="6406" width="11.42578125" style="14"/>
    <col min="6407" max="6407" width="34.42578125" style="14" customWidth="1"/>
    <col min="6408" max="6409" width="19.42578125" style="14" bestFit="1" customWidth="1"/>
    <col min="6410" max="6410" width="19.7109375" style="14" customWidth="1"/>
    <col min="6411" max="6412" width="20.42578125" style="14" customWidth="1"/>
    <col min="6413" max="6414" width="19.7109375" style="14" customWidth="1"/>
    <col min="6415" max="6415" width="25.28515625" style="14" customWidth="1"/>
    <col min="6416" max="6416" width="26" style="14" customWidth="1"/>
    <col min="6417" max="6417" width="22.28515625" style="14" customWidth="1"/>
    <col min="6418" max="6418" width="24.85546875" style="14" customWidth="1"/>
    <col min="6419" max="6419" width="21.140625" style="14" customWidth="1"/>
    <col min="6420" max="6420" width="21.42578125" style="14" customWidth="1"/>
    <col min="6421" max="6421" width="27.85546875" style="14" customWidth="1"/>
    <col min="6422" max="6422" width="23.42578125" style="14" customWidth="1"/>
    <col min="6423" max="6423" width="21.42578125" style="14" customWidth="1"/>
    <col min="6424" max="6426" width="20.7109375" style="14" customWidth="1"/>
    <col min="6427" max="6427" width="32.28515625" style="14" bestFit="1" customWidth="1"/>
    <col min="6428" max="6428" width="20.7109375" style="14" customWidth="1"/>
    <col min="6429" max="6429" width="22" style="14" customWidth="1"/>
    <col min="6430" max="6433" width="21.28515625" style="14" customWidth="1"/>
    <col min="6434" max="6434" width="22.28515625" style="14" customWidth="1"/>
    <col min="6435" max="6436" width="11.42578125" style="14"/>
    <col min="6437" max="6437" width="14.85546875" style="14" bestFit="1" customWidth="1"/>
    <col min="6438" max="6662" width="11.42578125" style="14"/>
    <col min="6663" max="6663" width="34.42578125" style="14" customWidth="1"/>
    <col min="6664" max="6665" width="19.42578125" style="14" bestFit="1" customWidth="1"/>
    <col min="6666" max="6666" width="19.7109375" style="14" customWidth="1"/>
    <col min="6667" max="6668" width="20.42578125" style="14" customWidth="1"/>
    <col min="6669" max="6670" width="19.7109375" style="14" customWidth="1"/>
    <col min="6671" max="6671" width="25.28515625" style="14" customWidth="1"/>
    <col min="6672" max="6672" width="26" style="14" customWidth="1"/>
    <col min="6673" max="6673" width="22.28515625" style="14" customWidth="1"/>
    <col min="6674" max="6674" width="24.85546875" style="14" customWidth="1"/>
    <col min="6675" max="6675" width="21.140625" style="14" customWidth="1"/>
    <col min="6676" max="6676" width="21.42578125" style="14" customWidth="1"/>
    <col min="6677" max="6677" width="27.85546875" style="14" customWidth="1"/>
    <col min="6678" max="6678" width="23.42578125" style="14" customWidth="1"/>
    <col min="6679" max="6679" width="21.42578125" style="14" customWidth="1"/>
    <col min="6680" max="6682" width="20.7109375" style="14" customWidth="1"/>
    <col min="6683" max="6683" width="32.28515625" style="14" bestFit="1" customWidth="1"/>
    <col min="6684" max="6684" width="20.7109375" style="14" customWidth="1"/>
    <col min="6685" max="6685" width="22" style="14" customWidth="1"/>
    <col min="6686" max="6689" width="21.28515625" style="14" customWidth="1"/>
    <col min="6690" max="6690" width="22.28515625" style="14" customWidth="1"/>
    <col min="6691" max="6692" width="11.42578125" style="14"/>
    <col min="6693" max="6693" width="14.85546875" style="14" bestFit="1" customWidth="1"/>
    <col min="6694" max="6918" width="11.42578125" style="14"/>
    <col min="6919" max="6919" width="34.42578125" style="14" customWidth="1"/>
    <col min="6920" max="6921" width="19.42578125" style="14" bestFit="1" customWidth="1"/>
    <col min="6922" max="6922" width="19.7109375" style="14" customWidth="1"/>
    <col min="6923" max="6924" width="20.42578125" style="14" customWidth="1"/>
    <col min="6925" max="6926" width="19.7109375" style="14" customWidth="1"/>
    <col min="6927" max="6927" width="25.28515625" style="14" customWidth="1"/>
    <col min="6928" max="6928" width="26" style="14" customWidth="1"/>
    <col min="6929" max="6929" width="22.28515625" style="14" customWidth="1"/>
    <col min="6930" max="6930" width="24.85546875" style="14" customWidth="1"/>
    <col min="6931" max="6931" width="21.140625" style="14" customWidth="1"/>
    <col min="6932" max="6932" width="21.42578125" style="14" customWidth="1"/>
    <col min="6933" max="6933" width="27.85546875" style="14" customWidth="1"/>
    <col min="6934" max="6934" width="23.42578125" style="14" customWidth="1"/>
    <col min="6935" max="6935" width="21.42578125" style="14" customWidth="1"/>
    <col min="6936" max="6938" width="20.7109375" style="14" customWidth="1"/>
    <col min="6939" max="6939" width="32.28515625" style="14" bestFit="1" customWidth="1"/>
    <col min="6940" max="6940" width="20.7109375" style="14" customWidth="1"/>
    <col min="6941" max="6941" width="22" style="14" customWidth="1"/>
    <col min="6942" max="6945" width="21.28515625" style="14" customWidth="1"/>
    <col min="6946" max="6946" width="22.28515625" style="14" customWidth="1"/>
    <col min="6947" max="6948" width="11.42578125" style="14"/>
    <col min="6949" max="6949" width="14.85546875" style="14" bestFit="1" customWidth="1"/>
    <col min="6950" max="7174" width="11.42578125" style="14"/>
    <col min="7175" max="7175" width="34.42578125" style="14" customWidth="1"/>
    <col min="7176" max="7177" width="19.42578125" style="14" bestFit="1" customWidth="1"/>
    <col min="7178" max="7178" width="19.7109375" style="14" customWidth="1"/>
    <col min="7179" max="7180" width="20.42578125" style="14" customWidth="1"/>
    <col min="7181" max="7182" width="19.7109375" style="14" customWidth="1"/>
    <col min="7183" max="7183" width="25.28515625" style="14" customWidth="1"/>
    <col min="7184" max="7184" width="26" style="14" customWidth="1"/>
    <col min="7185" max="7185" width="22.28515625" style="14" customWidth="1"/>
    <col min="7186" max="7186" width="24.85546875" style="14" customWidth="1"/>
    <col min="7187" max="7187" width="21.140625" style="14" customWidth="1"/>
    <col min="7188" max="7188" width="21.42578125" style="14" customWidth="1"/>
    <col min="7189" max="7189" width="27.85546875" style="14" customWidth="1"/>
    <col min="7190" max="7190" width="23.42578125" style="14" customWidth="1"/>
    <col min="7191" max="7191" width="21.42578125" style="14" customWidth="1"/>
    <col min="7192" max="7194" width="20.7109375" style="14" customWidth="1"/>
    <col min="7195" max="7195" width="32.28515625" style="14" bestFit="1" customWidth="1"/>
    <col min="7196" max="7196" width="20.7109375" style="14" customWidth="1"/>
    <col min="7197" max="7197" width="22" style="14" customWidth="1"/>
    <col min="7198" max="7201" width="21.28515625" style="14" customWidth="1"/>
    <col min="7202" max="7202" width="22.28515625" style="14" customWidth="1"/>
    <col min="7203" max="7204" width="11.42578125" style="14"/>
    <col min="7205" max="7205" width="14.85546875" style="14" bestFit="1" customWidth="1"/>
    <col min="7206" max="7430" width="11.42578125" style="14"/>
    <col min="7431" max="7431" width="34.42578125" style="14" customWidth="1"/>
    <col min="7432" max="7433" width="19.42578125" style="14" bestFit="1" customWidth="1"/>
    <col min="7434" max="7434" width="19.7109375" style="14" customWidth="1"/>
    <col min="7435" max="7436" width="20.42578125" style="14" customWidth="1"/>
    <col min="7437" max="7438" width="19.7109375" style="14" customWidth="1"/>
    <col min="7439" max="7439" width="25.28515625" style="14" customWidth="1"/>
    <col min="7440" max="7440" width="26" style="14" customWidth="1"/>
    <col min="7441" max="7441" width="22.28515625" style="14" customWidth="1"/>
    <col min="7442" max="7442" width="24.85546875" style="14" customWidth="1"/>
    <col min="7443" max="7443" width="21.140625" style="14" customWidth="1"/>
    <col min="7444" max="7444" width="21.42578125" style="14" customWidth="1"/>
    <col min="7445" max="7445" width="27.85546875" style="14" customWidth="1"/>
    <col min="7446" max="7446" width="23.42578125" style="14" customWidth="1"/>
    <col min="7447" max="7447" width="21.42578125" style="14" customWidth="1"/>
    <col min="7448" max="7450" width="20.7109375" style="14" customWidth="1"/>
    <col min="7451" max="7451" width="32.28515625" style="14" bestFit="1" customWidth="1"/>
    <col min="7452" max="7452" width="20.7109375" style="14" customWidth="1"/>
    <col min="7453" max="7453" width="22" style="14" customWidth="1"/>
    <col min="7454" max="7457" width="21.28515625" style="14" customWidth="1"/>
    <col min="7458" max="7458" width="22.28515625" style="14" customWidth="1"/>
    <col min="7459" max="7460" width="11.42578125" style="14"/>
    <col min="7461" max="7461" width="14.85546875" style="14" bestFit="1" customWidth="1"/>
    <col min="7462" max="7686" width="11.42578125" style="14"/>
    <col min="7687" max="7687" width="34.42578125" style="14" customWidth="1"/>
    <col min="7688" max="7689" width="19.42578125" style="14" bestFit="1" customWidth="1"/>
    <col min="7690" max="7690" width="19.7109375" style="14" customWidth="1"/>
    <col min="7691" max="7692" width="20.42578125" style="14" customWidth="1"/>
    <col min="7693" max="7694" width="19.7109375" style="14" customWidth="1"/>
    <col min="7695" max="7695" width="25.28515625" style="14" customWidth="1"/>
    <col min="7696" max="7696" width="26" style="14" customWidth="1"/>
    <col min="7697" max="7697" width="22.28515625" style="14" customWidth="1"/>
    <col min="7698" max="7698" width="24.85546875" style="14" customWidth="1"/>
    <col min="7699" max="7699" width="21.140625" style="14" customWidth="1"/>
    <col min="7700" max="7700" width="21.42578125" style="14" customWidth="1"/>
    <col min="7701" max="7701" width="27.85546875" style="14" customWidth="1"/>
    <col min="7702" max="7702" width="23.42578125" style="14" customWidth="1"/>
    <col min="7703" max="7703" width="21.42578125" style="14" customWidth="1"/>
    <col min="7704" max="7706" width="20.7109375" style="14" customWidth="1"/>
    <col min="7707" max="7707" width="32.28515625" style="14" bestFit="1" customWidth="1"/>
    <col min="7708" max="7708" width="20.7109375" style="14" customWidth="1"/>
    <col min="7709" max="7709" width="22" style="14" customWidth="1"/>
    <col min="7710" max="7713" width="21.28515625" style="14" customWidth="1"/>
    <col min="7714" max="7714" width="22.28515625" style="14" customWidth="1"/>
    <col min="7715" max="7716" width="11.42578125" style="14"/>
    <col min="7717" max="7717" width="14.85546875" style="14" bestFit="1" customWidth="1"/>
    <col min="7718" max="7942" width="11.42578125" style="14"/>
    <col min="7943" max="7943" width="34.42578125" style="14" customWidth="1"/>
    <col min="7944" max="7945" width="19.42578125" style="14" bestFit="1" customWidth="1"/>
    <col min="7946" max="7946" width="19.7109375" style="14" customWidth="1"/>
    <col min="7947" max="7948" width="20.42578125" style="14" customWidth="1"/>
    <col min="7949" max="7950" width="19.7109375" style="14" customWidth="1"/>
    <col min="7951" max="7951" width="25.28515625" style="14" customWidth="1"/>
    <col min="7952" max="7952" width="26" style="14" customWidth="1"/>
    <col min="7953" max="7953" width="22.28515625" style="14" customWidth="1"/>
    <col min="7954" max="7954" width="24.85546875" style="14" customWidth="1"/>
    <col min="7955" max="7955" width="21.140625" style="14" customWidth="1"/>
    <col min="7956" max="7956" width="21.42578125" style="14" customWidth="1"/>
    <col min="7957" max="7957" width="27.85546875" style="14" customWidth="1"/>
    <col min="7958" max="7958" width="23.42578125" style="14" customWidth="1"/>
    <col min="7959" max="7959" width="21.42578125" style="14" customWidth="1"/>
    <col min="7960" max="7962" width="20.7109375" style="14" customWidth="1"/>
    <col min="7963" max="7963" width="32.28515625" style="14" bestFit="1" customWidth="1"/>
    <col min="7964" max="7964" width="20.7109375" style="14" customWidth="1"/>
    <col min="7965" max="7965" width="22" style="14" customWidth="1"/>
    <col min="7966" max="7969" width="21.28515625" style="14" customWidth="1"/>
    <col min="7970" max="7970" width="22.28515625" style="14" customWidth="1"/>
    <col min="7971" max="7972" width="11.42578125" style="14"/>
    <col min="7973" max="7973" width="14.85546875" style="14" bestFit="1" customWidth="1"/>
    <col min="7974" max="8198" width="11.42578125" style="14"/>
    <col min="8199" max="8199" width="34.42578125" style="14" customWidth="1"/>
    <col min="8200" max="8201" width="19.42578125" style="14" bestFit="1" customWidth="1"/>
    <col min="8202" max="8202" width="19.7109375" style="14" customWidth="1"/>
    <col min="8203" max="8204" width="20.42578125" style="14" customWidth="1"/>
    <col min="8205" max="8206" width="19.7109375" style="14" customWidth="1"/>
    <col min="8207" max="8207" width="25.28515625" style="14" customWidth="1"/>
    <col min="8208" max="8208" width="26" style="14" customWidth="1"/>
    <col min="8209" max="8209" width="22.28515625" style="14" customWidth="1"/>
    <col min="8210" max="8210" width="24.85546875" style="14" customWidth="1"/>
    <col min="8211" max="8211" width="21.140625" style="14" customWidth="1"/>
    <col min="8212" max="8212" width="21.42578125" style="14" customWidth="1"/>
    <col min="8213" max="8213" width="27.85546875" style="14" customWidth="1"/>
    <col min="8214" max="8214" width="23.42578125" style="14" customWidth="1"/>
    <col min="8215" max="8215" width="21.42578125" style="14" customWidth="1"/>
    <col min="8216" max="8218" width="20.7109375" style="14" customWidth="1"/>
    <col min="8219" max="8219" width="32.28515625" style="14" bestFit="1" customWidth="1"/>
    <col min="8220" max="8220" width="20.7109375" style="14" customWidth="1"/>
    <col min="8221" max="8221" width="22" style="14" customWidth="1"/>
    <col min="8222" max="8225" width="21.28515625" style="14" customWidth="1"/>
    <col min="8226" max="8226" width="22.28515625" style="14" customWidth="1"/>
    <col min="8227" max="8228" width="11.42578125" style="14"/>
    <col min="8229" max="8229" width="14.85546875" style="14" bestFit="1" customWidth="1"/>
    <col min="8230" max="8454" width="11.42578125" style="14"/>
    <col min="8455" max="8455" width="34.42578125" style="14" customWidth="1"/>
    <col min="8456" max="8457" width="19.42578125" style="14" bestFit="1" customWidth="1"/>
    <col min="8458" max="8458" width="19.7109375" style="14" customWidth="1"/>
    <col min="8459" max="8460" width="20.42578125" style="14" customWidth="1"/>
    <col min="8461" max="8462" width="19.7109375" style="14" customWidth="1"/>
    <col min="8463" max="8463" width="25.28515625" style="14" customWidth="1"/>
    <col min="8464" max="8464" width="26" style="14" customWidth="1"/>
    <col min="8465" max="8465" width="22.28515625" style="14" customWidth="1"/>
    <col min="8466" max="8466" width="24.85546875" style="14" customWidth="1"/>
    <col min="8467" max="8467" width="21.140625" style="14" customWidth="1"/>
    <col min="8468" max="8468" width="21.42578125" style="14" customWidth="1"/>
    <col min="8469" max="8469" width="27.85546875" style="14" customWidth="1"/>
    <col min="8470" max="8470" width="23.42578125" style="14" customWidth="1"/>
    <col min="8471" max="8471" width="21.42578125" style="14" customWidth="1"/>
    <col min="8472" max="8474" width="20.7109375" style="14" customWidth="1"/>
    <col min="8475" max="8475" width="32.28515625" style="14" bestFit="1" customWidth="1"/>
    <col min="8476" max="8476" width="20.7109375" style="14" customWidth="1"/>
    <col min="8477" max="8477" width="22" style="14" customWidth="1"/>
    <col min="8478" max="8481" width="21.28515625" style="14" customWidth="1"/>
    <col min="8482" max="8482" width="22.28515625" style="14" customWidth="1"/>
    <col min="8483" max="8484" width="11.42578125" style="14"/>
    <col min="8485" max="8485" width="14.85546875" style="14" bestFit="1" customWidth="1"/>
    <col min="8486" max="8710" width="11.42578125" style="14"/>
    <col min="8711" max="8711" width="34.42578125" style="14" customWidth="1"/>
    <col min="8712" max="8713" width="19.42578125" style="14" bestFit="1" customWidth="1"/>
    <col min="8714" max="8714" width="19.7109375" style="14" customWidth="1"/>
    <col min="8715" max="8716" width="20.42578125" style="14" customWidth="1"/>
    <col min="8717" max="8718" width="19.7109375" style="14" customWidth="1"/>
    <col min="8719" max="8719" width="25.28515625" style="14" customWidth="1"/>
    <col min="8720" max="8720" width="26" style="14" customWidth="1"/>
    <col min="8721" max="8721" width="22.28515625" style="14" customWidth="1"/>
    <col min="8722" max="8722" width="24.85546875" style="14" customWidth="1"/>
    <col min="8723" max="8723" width="21.140625" style="14" customWidth="1"/>
    <col min="8724" max="8724" width="21.42578125" style="14" customWidth="1"/>
    <col min="8725" max="8725" width="27.85546875" style="14" customWidth="1"/>
    <col min="8726" max="8726" width="23.42578125" style="14" customWidth="1"/>
    <col min="8727" max="8727" width="21.42578125" style="14" customWidth="1"/>
    <col min="8728" max="8730" width="20.7109375" style="14" customWidth="1"/>
    <col min="8731" max="8731" width="32.28515625" style="14" bestFit="1" customWidth="1"/>
    <col min="8732" max="8732" width="20.7109375" style="14" customWidth="1"/>
    <col min="8733" max="8733" width="22" style="14" customWidth="1"/>
    <col min="8734" max="8737" width="21.28515625" style="14" customWidth="1"/>
    <col min="8738" max="8738" width="22.28515625" style="14" customWidth="1"/>
    <col min="8739" max="8740" width="11.42578125" style="14"/>
    <col min="8741" max="8741" width="14.85546875" style="14" bestFit="1" customWidth="1"/>
    <col min="8742" max="8966" width="11.42578125" style="14"/>
    <col min="8967" max="8967" width="34.42578125" style="14" customWidth="1"/>
    <col min="8968" max="8969" width="19.42578125" style="14" bestFit="1" customWidth="1"/>
    <col min="8970" max="8970" width="19.7109375" style="14" customWidth="1"/>
    <col min="8971" max="8972" width="20.42578125" style="14" customWidth="1"/>
    <col min="8973" max="8974" width="19.7109375" style="14" customWidth="1"/>
    <col min="8975" max="8975" width="25.28515625" style="14" customWidth="1"/>
    <col min="8976" max="8976" width="26" style="14" customWidth="1"/>
    <col min="8977" max="8977" width="22.28515625" style="14" customWidth="1"/>
    <col min="8978" max="8978" width="24.85546875" style="14" customWidth="1"/>
    <col min="8979" max="8979" width="21.140625" style="14" customWidth="1"/>
    <col min="8980" max="8980" width="21.42578125" style="14" customWidth="1"/>
    <col min="8981" max="8981" width="27.85546875" style="14" customWidth="1"/>
    <col min="8982" max="8982" width="23.42578125" style="14" customWidth="1"/>
    <col min="8983" max="8983" width="21.42578125" style="14" customWidth="1"/>
    <col min="8984" max="8986" width="20.7109375" style="14" customWidth="1"/>
    <col min="8987" max="8987" width="32.28515625" style="14" bestFit="1" customWidth="1"/>
    <col min="8988" max="8988" width="20.7109375" style="14" customWidth="1"/>
    <col min="8989" max="8989" width="22" style="14" customWidth="1"/>
    <col min="8990" max="8993" width="21.28515625" style="14" customWidth="1"/>
    <col min="8994" max="8994" width="22.28515625" style="14" customWidth="1"/>
    <col min="8995" max="8996" width="11.42578125" style="14"/>
    <col min="8997" max="8997" width="14.85546875" style="14" bestFit="1" customWidth="1"/>
    <col min="8998" max="9222" width="11.42578125" style="14"/>
    <col min="9223" max="9223" width="34.42578125" style="14" customWidth="1"/>
    <col min="9224" max="9225" width="19.42578125" style="14" bestFit="1" customWidth="1"/>
    <col min="9226" max="9226" width="19.7109375" style="14" customWidth="1"/>
    <col min="9227" max="9228" width="20.42578125" style="14" customWidth="1"/>
    <col min="9229" max="9230" width="19.7109375" style="14" customWidth="1"/>
    <col min="9231" max="9231" width="25.28515625" style="14" customWidth="1"/>
    <col min="9232" max="9232" width="26" style="14" customWidth="1"/>
    <col min="9233" max="9233" width="22.28515625" style="14" customWidth="1"/>
    <col min="9234" max="9234" width="24.85546875" style="14" customWidth="1"/>
    <col min="9235" max="9235" width="21.140625" style="14" customWidth="1"/>
    <col min="9236" max="9236" width="21.42578125" style="14" customWidth="1"/>
    <col min="9237" max="9237" width="27.85546875" style="14" customWidth="1"/>
    <col min="9238" max="9238" width="23.42578125" style="14" customWidth="1"/>
    <col min="9239" max="9239" width="21.42578125" style="14" customWidth="1"/>
    <col min="9240" max="9242" width="20.7109375" style="14" customWidth="1"/>
    <col min="9243" max="9243" width="32.28515625" style="14" bestFit="1" customWidth="1"/>
    <col min="9244" max="9244" width="20.7109375" style="14" customWidth="1"/>
    <col min="9245" max="9245" width="22" style="14" customWidth="1"/>
    <col min="9246" max="9249" width="21.28515625" style="14" customWidth="1"/>
    <col min="9250" max="9250" width="22.28515625" style="14" customWidth="1"/>
    <col min="9251" max="9252" width="11.42578125" style="14"/>
    <col min="9253" max="9253" width="14.85546875" style="14" bestFit="1" customWidth="1"/>
    <col min="9254" max="9478" width="11.42578125" style="14"/>
    <col min="9479" max="9479" width="34.42578125" style="14" customWidth="1"/>
    <col min="9480" max="9481" width="19.42578125" style="14" bestFit="1" customWidth="1"/>
    <col min="9482" max="9482" width="19.7109375" style="14" customWidth="1"/>
    <col min="9483" max="9484" width="20.42578125" style="14" customWidth="1"/>
    <col min="9485" max="9486" width="19.7109375" style="14" customWidth="1"/>
    <col min="9487" max="9487" width="25.28515625" style="14" customWidth="1"/>
    <col min="9488" max="9488" width="26" style="14" customWidth="1"/>
    <col min="9489" max="9489" width="22.28515625" style="14" customWidth="1"/>
    <col min="9490" max="9490" width="24.85546875" style="14" customWidth="1"/>
    <col min="9491" max="9491" width="21.140625" style="14" customWidth="1"/>
    <col min="9492" max="9492" width="21.42578125" style="14" customWidth="1"/>
    <col min="9493" max="9493" width="27.85546875" style="14" customWidth="1"/>
    <col min="9494" max="9494" width="23.42578125" style="14" customWidth="1"/>
    <col min="9495" max="9495" width="21.42578125" style="14" customWidth="1"/>
    <col min="9496" max="9498" width="20.7109375" style="14" customWidth="1"/>
    <col min="9499" max="9499" width="32.28515625" style="14" bestFit="1" customWidth="1"/>
    <col min="9500" max="9500" width="20.7109375" style="14" customWidth="1"/>
    <col min="9501" max="9501" width="22" style="14" customWidth="1"/>
    <col min="9502" max="9505" width="21.28515625" style="14" customWidth="1"/>
    <col min="9506" max="9506" width="22.28515625" style="14" customWidth="1"/>
    <col min="9507" max="9508" width="11.42578125" style="14"/>
    <col min="9509" max="9509" width="14.85546875" style="14" bestFit="1" customWidth="1"/>
    <col min="9510" max="9734" width="11.42578125" style="14"/>
    <col min="9735" max="9735" width="34.42578125" style="14" customWidth="1"/>
    <col min="9736" max="9737" width="19.42578125" style="14" bestFit="1" customWidth="1"/>
    <col min="9738" max="9738" width="19.7109375" style="14" customWidth="1"/>
    <col min="9739" max="9740" width="20.42578125" style="14" customWidth="1"/>
    <col min="9741" max="9742" width="19.7109375" style="14" customWidth="1"/>
    <col min="9743" max="9743" width="25.28515625" style="14" customWidth="1"/>
    <col min="9744" max="9744" width="26" style="14" customWidth="1"/>
    <col min="9745" max="9745" width="22.28515625" style="14" customWidth="1"/>
    <col min="9746" max="9746" width="24.85546875" style="14" customWidth="1"/>
    <col min="9747" max="9747" width="21.140625" style="14" customWidth="1"/>
    <col min="9748" max="9748" width="21.42578125" style="14" customWidth="1"/>
    <col min="9749" max="9749" width="27.85546875" style="14" customWidth="1"/>
    <col min="9750" max="9750" width="23.42578125" style="14" customWidth="1"/>
    <col min="9751" max="9751" width="21.42578125" style="14" customWidth="1"/>
    <col min="9752" max="9754" width="20.7109375" style="14" customWidth="1"/>
    <col min="9755" max="9755" width="32.28515625" style="14" bestFit="1" customWidth="1"/>
    <col min="9756" max="9756" width="20.7109375" style="14" customWidth="1"/>
    <col min="9757" max="9757" width="22" style="14" customWidth="1"/>
    <col min="9758" max="9761" width="21.28515625" style="14" customWidth="1"/>
    <col min="9762" max="9762" width="22.28515625" style="14" customWidth="1"/>
    <col min="9763" max="9764" width="11.42578125" style="14"/>
    <col min="9765" max="9765" width="14.85546875" style="14" bestFit="1" customWidth="1"/>
    <col min="9766" max="9990" width="11.42578125" style="14"/>
    <col min="9991" max="9991" width="34.42578125" style="14" customWidth="1"/>
    <col min="9992" max="9993" width="19.42578125" style="14" bestFit="1" customWidth="1"/>
    <col min="9994" max="9994" width="19.7109375" style="14" customWidth="1"/>
    <col min="9995" max="9996" width="20.42578125" style="14" customWidth="1"/>
    <col min="9997" max="9998" width="19.7109375" style="14" customWidth="1"/>
    <col min="9999" max="9999" width="25.28515625" style="14" customWidth="1"/>
    <col min="10000" max="10000" width="26" style="14" customWidth="1"/>
    <col min="10001" max="10001" width="22.28515625" style="14" customWidth="1"/>
    <col min="10002" max="10002" width="24.85546875" style="14" customWidth="1"/>
    <col min="10003" max="10003" width="21.140625" style="14" customWidth="1"/>
    <col min="10004" max="10004" width="21.42578125" style="14" customWidth="1"/>
    <col min="10005" max="10005" width="27.85546875" style="14" customWidth="1"/>
    <col min="10006" max="10006" width="23.42578125" style="14" customWidth="1"/>
    <col min="10007" max="10007" width="21.42578125" style="14" customWidth="1"/>
    <col min="10008" max="10010" width="20.7109375" style="14" customWidth="1"/>
    <col min="10011" max="10011" width="32.28515625" style="14" bestFit="1" customWidth="1"/>
    <col min="10012" max="10012" width="20.7109375" style="14" customWidth="1"/>
    <col min="10013" max="10013" width="22" style="14" customWidth="1"/>
    <col min="10014" max="10017" width="21.28515625" style="14" customWidth="1"/>
    <col min="10018" max="10018" width="22.28515625" style="14" customWidth="1"/>
    <col min="10019" max="10020" width="11.42578125" style="14"/>
    <col min="10021" max="10021" width="14.85546875" style="14" bestFit="1" customWidth="1"/>
    <col min="10022" max="10246" width="11.42578125" style="14"/>
    <col min="10247" max="10247" width="34.42578125" style="14" customWidth="1"/>
    <col min="10248" max="10249" width="19.42578125" style="14" bestFit="1" customWidth="1"/>
    <col min="10250" max="10250" width="19.7109375" style="14" customWidth="1"/>
    <col min="10251" max="10252" width="20.42578125" style="14" customWidth="1"/>
    <col min="10253" max="10254" width="19.7109375" style="14" customWidth="1"/>
    <col min="10255" max="10255" width="25.28515625" style="14" customWidth="1"/>
    <col min="10256" max="10256" width="26" style="14" customWidth="1"/>
    <col min="10257" max="10257" width="22.28515625" style="14" customWidth="1"/>
    <col min="10258" max="10258" width="24.85546875" style="14" customWidth="1"/>
    <col min="10259" max="10259" width="21.140625" style="14" customWidth="1"/>
    <col min="10260" max="10260" width="21.42578125" style="14" customWidth="1"/>
    <col min="10261" max="10261" width="27.85546875" style="14" customWidth="1"/>
    <col min="10262" max="10262" width="23.42578125" style="14" customWidth="1"/>
    <col min="10263" max="10263" width="21.42578125" style="14" customWidth="1"/>
    <col min="10264" max="10266" width="20.7109375" style="14" customWidth="1"/>
    <col min="10267" max="10267" width="32.28515625" style="14" bestFit="1" customWidth="1"/>
    <col min="10268" max="10268" width="20.7109375" style="14" customWidth="1"/>
    <col min="10269" max="10269" width="22" style="14" customWidth="1"/>
    <col min="10270" max="10273" width="21.28515625" style="14" customWidth="1"/>
    <col min="10274" max="10274" width="22.28515625" style="14" customWidth="1"/>
    <col min="10275" max="10276" width="11.42578125" style="14"/>
    <col min="10277" max="10277" width="14.85546875" style="14" bestFit="1" customWidth="1"/>
    <col min="10278" max="10502" width="11.42578125" style="14"/>
    <col min="10503" max="10503" width="34.42578125" style="14" customWidth="1"/>
    <col min="10504" max="10505" width="19.42578125" style="14" bestFit="1" customWidth="1"/>
    <col min="10506" max="10506" width="19.7109375" style="14" customWidth="1"/>
    <col min="10507" max="10508" width="20.42578125" style="14" customWidth="1"/>
    <col min="10509" max="10510" width="19.7109375" style="14" customWidth="1"/>
    <col min="10511" max="10511" width="25.28515625" style="14" customWidth="1"/>
    <col min="10512" max="10512" width="26" style="14" customWidth="1"/>
    <col min="10513" max="10513" width="22.28515625" style="14" customWidth="1"/>
    <col min="10514" max="10514" width="24.85546875" style="14" customWidth="1"/>
    <col min="10515" max="10515" width="21.140625" style="14" customWidth="1"/>
    <col min="10516" max="10516" width="21.42578125" style="14" customWidth="1"/>
    <col min="10517" max="10517" width="27.85546875" style="14" customWidth="1"/>
    <col min="10518" max="10518" width="23.42578125" style="14" customWidth="1"/>
    <col min="10519" max="10519" width="21.42578125" style="14" customWidth="1"/>
    <col min="10520" max="10522" width="20.7109375" style="14" customWidth="1"/>
    <col min="10523" max="10523" width="32.28515625" style="14" bestFit="1" customWidth="1"/>
    <col min="10524" max="10524" width="20.7109375" style="14" customWidth="1"/>
    <col min="10525" max="10525" width="22" style="14" customWidth="1"/>
    <col min="10526" max="10529" width="21.28515625" style="14" customWidth="1"/>
    <col min="10530" max="10530" width="22.28515625" style="14" customWidth="1"/>
    <col min="10531" max="10532" width="11.42578125" style="14"/>
    <col min="10533" max="10533" width="14.85546875" style="14" bestFit="1" customWidth="1"/>
    <col min="10534" max="10758" width="11.42578125" style="14"/>
    <col min="10759" max="10759" width="34.42578125" style="14" customWidth="1"/>
    <col min="10760" max="10761" width="19.42578125" style="14" bestFit="1" customWidth="1"/>
    <col min="10762" max="10762" width="19.7109375" style="14" customWidth="1"/>
    <col min="10763" max="10764" width="20.42578125" style="14" customWidth="1"/>
    <col min="10765" max="10766" width="19.7109375" style="14" customWidth="1"/>
    <col min="10767" max="10767" width="25.28515625" style="14" customWidth="1"/>
    <col min="10768" max="10768" width="26" style="14" customWidth="1"/>
    <col min="10769" max="10769" width="22.28515625" style="14" customWidth="1"/>
    <col min="10770" max="10770" width="24.85546875" style="14" customWidth="1"/>
    <col min="10771" max="10771" width="21.140625" style="14" customWidth="1"/>
    <col min="10772" max="10772" width="21.42578125" style="14" customWidth="1"/>
    <col min="10773" max="10773" width="27.85546875" style="14" customWidth="1"/>
    <col min="10774" max="10774" width="23.42578125" style="14" customWidth="1"/>
    <col min="10775" max="10775" width="21.42578125" style="14" customWidth="1"/>
    <col min="10776" max="10778" width="20.7109375" style="14" customWidth="1"/>
    <col min="10779" max="10779" width="32.28515625" style="14" bestFit="1" customWidth="1"/>
    <col min="10780" max="10780" width="20.7109375" style="14" customWidth="1"/>
    <col min="10781" max="10781" width="22" style="14" customWidth="1"/>
    <col min="10782" max="10785" width="21.28515625" style="14" customWidth="1"/>
    <col min="10786" max="10786" width="22.28515625" style="14" customWidth="1"/>
    <col min="10787" max="10788" width="11.42578125" style="14"/>
    <col min="10789" max="10789" width="14.85546875" style="14" bestFit="1" customWidth="1"/>
    <col min="10790" max="11014" width="11.42578125" style="14"/>
    <col min="11015" max="11015" width="34.42578125" style="14" customWidth="1"/>
    <col min="11016" max="11017" width="19.42578125" style="14" bestFit="1" customWidth="1"/>
    <col min="11018" max="11018" width="19.7109375" style="14" customWidth="1"/>
    <col min="11019" max="11020" width="20.42578125" style="14" customWidth="1"/>
    <col min="11021" max="11022" width="19.7109375" style="14" customWidth="1"/>
    <col min="11023" max="11023" width="25.28515625" style="14" customWidth="1"/>
    <col min="11024" max="11024" width="26" style="14" customWidth="1"/>
    <col min="11025" max="11025" width="22.28515625" style="14" customWidth="1"/>
    <col min="11026" max="11026" width="24.85546875" style="14" customWidth="1"/>
    <col min="11027" max="11027" width="21.140625" style="14" customWidth="1"/>
    <col min="11028" max="11028" width="21.42578125" style="14" customWidth="1"/>
    <col min="11029" max="11029" width="27.85546875" style="14" customWidth="1"/>
    <col min="11030" max="11030" width="23.42578125" style="14" customWidth="1"/>
    <col min="11031" max="11031" width="21.42578125" style="14" customWidth="1"/>
    <col min="11032" max="11034" width="20.7109375" style="14" customWidth="1"/>
    <col min="11035" max="11035" width="32.28515625" style="14" bestFit="1" customWidth="1"/>
    <col min="11036" max="11036" width="20.7109375" style="14" customWidth="1"/>
    <col min="11037" max="11037" width="22" style="14" customWidth="1"/>
    <col min="11038" max="11041" width="21.28515625" style="14" customWidth="1"/>
    <col min="11042" max="11042" width="22.28515625" style="14" customWidth="1"/>
    <col min="11043" max="11044" width="11.42578125" style="14"/>
    <col min="11045" max="11045" width="14.85546875" style="14" bestFit="1" customWidth="1"/>
    <col min="11046" max="11270" width="11.42578125" style="14"/>
    <col min="11271" max="11271" width="34.42578125" style="14" customWidth="1"/>
    <col min="11272" max="11273" width="19.42578125" style="14" bestFit="1" customWidth="1"/>
    <col min="11274" max="11274" width="19.7109375" style="14" customWidth="1"/>
    <col min="11275" max="11276" width="20.42578125" style="14" customWidth="1"/>
    <col min="11277" max="11278" width="19.7109375" style="14" customWidth="1"/>
    <col min="11279" max="11279" width="25.28515625" style="14" customWidth="1"/>
    <col min="11280" max="11280" width="26" style="14" customWidth="1"/>
    <col min="11281" max="11281" width="22.28515625" style="14" customWidth="1"/>
    <col min="11282" max="11282" width="24.85546875" style="14" customWidth="1"/>
    <col min="11283" max="11283" width="21.140625" style="14" customWidth="1"/>
    <col min="11284" max="11284" width="21.42578125" style="14" customWidth="1"/>
    <col min="11285" max="11285" width="27.85546875" style="14" customWidth="1"/>
    <col min="11286" max="11286" width="23.42578125" style="14" customWidth="1"/>
    <col min="11287" max="11287" width="21.42578125" style="14" customWidth="1"/>
    <col min="11288" max="11290" width="20.7109375" style="14" customWidth="1"/>
    <col min="11291" max="11291" width="32.28515625" style="14" bestFit="1" customWidth="1"/>
    <col min="11292" max="11292" width="20.7109375" style="14" customWidth="1"/>
    <col min="11293" max="11293" width="22" style="14" customWidth="1"/>
    <col min="11294" max="11297" width="21.28515625" style="14" customWidth="1"/>
    <col min="11298" max="11298" width="22.28515625" style="14" customWidth="1"/>
    <col min="11299" max="11300" width="11.42578125" style="14"/>
    <col min="11301" max="11301" width="14.85546875" style="14" bestFit="1" customWidth="1"/>
    <col min="11302" max="11526" width="11.42578125" style="14"/>
    <col min="11527" max="11527" width="34.42578125" style="14" customWidth="1"/>
    <col min="11528" max="11529" width="19.42578125" style="14" bestFit="1" customWidth="1"/>
    <col min="11530" max="11530" width="19.7109375" style="14" customWidth="1"/>
    <col min="11531" max="11532" width="20.42578125" style="14" customWidth="1"/>
    <col min="11533" max="11534" width="19.7109375" style="14" customWidth="1"/>
    <col min="11535" max="11535" width="25.28515625" style="14" customWidth="1"/>
    <col min="11536" max="11536" width="26" style="14" customWidth="1"/>
    <col min="11537" max="11537" width="22.28515625" style="14" customWidth="1"/>
    <col min="11538" max="11538" width="24.85546875" style="14" customWidth="1"/>
    <col min="11539" max="11539" width="21.140625" style="14" customWidth="1"/>
    <col min="11540" max="11540" width="21.42578125" style="14" customWidth="1"/>
    <col min="11541" max="11541" width="27.85546875" style="14" customWidth="1"/>
    <col min="11542" max="11542" width="23.42578125" style="14" customWidth="1"/>
    <col min="11543" max="11543" width="21.42578125" style="14" customWidth="1"/>
    <col min="11544" max="11546" width="20.7109375" style="14" customWidth="1"/>
    <col min="11547" max="11547" width="32.28515625" style="14" bestFit="1" customWidth="1"/>
    <col min="11548" max="11548" width="20.7109375" style="14" customWidth="1"/>
    <col min="11549" max="11549" width="22" style="14" customWidth="1"/>
    <col min="11550" max="11553" width="21.28515625" style="14" customWidth="1"/>
    <col min="11554" max="11554" width="22.28515625" style="14" customWidth="1"/>
    <col min="11555" max="11556" width="11.42578125" style="14"/>
    <col min="11557" max="11557" width="14.85546875" style="14" bestFit="1" customWidth="1"/>
    <col min="11558" max="11782" width="11.42578125" style="14"/>
    <col min="11783" max="11783" width="34.42578125" style="14" customWidth="1"/>
    <col min="11784" max="11785" width="19.42578125" style="14" bestFit="1" customWidth="1"/>
    <col min="11786" max="11786" width="19.7109375" style="14" customWidth="1"/>
    <col min="11787" max="11788" width="20.42578125" style="14" customWidth="1"/>
    <col min="11789" max="11790" width="19.7109375" style="14" customWidth="1"/>
    <col min="11791" max="11791" width="25.28515625" style="14" customWidth="1"/>
    <col min="11792" max="11792" width="26" style="14" customWidth="1"/>
    <col min="11793" max="11793" width="22.28515625" style="14" customWidth="1"/>
    <col min="11794" max="11794" width="24.85546875" style="14" customWidth="1"/>
    <col min="11795" max="11795" width="21.140625" style="14" customWidth="1"/>
    <col min="11796" max="11796" width="21.42578125" style="14" customWidth="1"/>
    <col min="11797" max="11797" width="27.85546875" style="14" customWidth="1"/>
    <col min="11798" max="11798" width="23.42578125" style="14" customWidth="1"/>
    <col min="11799" max="11799" width="21.42578125" style="14" customWidth="1"/>
    <col min="11800" max="11802" width="20.7109375" style="14" customWidth="1"/>
    <col min="11803" max="11803" width="32.28515625" style="14" bestFit="1" customWidth="1"/>
    <col min="11804" max="11804" width="20.7109375" style="14" customWidth="1"/>
    <col min="11805" max="11805" width="22" style="14" customWidth="1"/>
    <col min="11806" max="11809" width="21.28515625" style="14" customWidth="1"/>
    <col min="11810" max="11810" width="22.28515625" style="14" customWidth="1"/>
    <col min="11811" max="11812" width="11.42578125" style="14"/>
    <col min="11813" max="11813" width="14.85546875" style="14" bestFit="1" customWidth="1"/>
    <col min="11814" max="12038" width="11.42578125" style="14"/>
    <col min="12039" max="12039" width="34.42578125" style="14" customWidth="1"/>
    <col min="12040" max="12041" width="19.42578125" style="14" bestFit="1" customWidth="1"/>
    <col min="12042" max="12042" width="19.7109375" style="14" customWidth="1"/>
    <col min="12043" max="12044" width="20.42578125" style="14" customWidth="1"/>
    <col min="12045" max="12046" width="19.7109375" style="14" customWidth="1"/>
    <col min="12047" max="12047" width="25.28515625" style="14" customWidth="1"/>
    <col min="12048" max="12048" width="26" style="14" customWidth="1"/>
    <col min="12049" max="12049" width="22.28515625" style="14" customWidth="1"/>
    <col min="12050" max="12050" width="24.85546875" style="14" customWidth="1"/>
    <col min="12051" max="12051" width="21.140625" style="14" customWidth="1"/>
    <col min="12052" max="12052" width="21.42578125" style="14" customWidth="1"/>
    <col min="12053" max="12053" width="27.85546875" style="14" customWidth="1"/>
    <col min="12054" max="12054" width="23.42578125" style="14" customWidth="1"/>
    <col min="12055" max="12055" width="21.42578125" style="14" customWidth="1"/>
    <col min="12056" max="12058" width="20.7109375" style="14" customWidth="1"/>
    <col min="12059" max="12059" width="32.28515625" style="14" bestFit="1" customWidth="1"/>
    <col min="12060" max="12060" width="20.7109375" style="14" customWidth="1"/>
    <col min="12061" max="12061" width="22" style="14" customWidth="1"/>
    <col min="12062" max="12065" width="21.28515625" style="14" customWidth="1"/>
    <col min="12066" max="12066" width="22.28515625" style="14" customWidth="1"/>
    <col min="12067" max="12068" width="11.42578125" style="14"/>
    <col min="12069" max="12069" width="14.85546875" style="14" bestFit="1" customWidth="1"/>
    <col min="12070" max="12294" width="11.42578125" style="14"/>
    <col min="12295" max="12295" width="34.42578125" style="14" customWidth="1"/>
    <col min="12296" max="12297" width="19.42578125" style="14" bestFit="1" customWidth="1"/>
    <col min="12298" max="12298" width="19.7109375" style="14" customWidth="1"/>
    <col min="12299" max="12300" width="20.42578125" style="14" customWidth="1"/>
    <col min="12301" max="12302" width="19.7109375" style="14" customWidth="1"/>
    <col min="12303" max="12303" width="25.28515625" style="14" customWidth="1"/>
    <col min="12304" max="12304" width="26" style="14" customWidth="1"/>
    <col min="12305" max="12305" width="22.28515625" style="14" customWidth="1"/>
    <col min="12306" max="12306" width="24.85546875" style="14" customWidth="1"/>
    <col min="12307" max="12307" width="21.140625" style="14" customWidth="1"/>
    <col min="12308" max="12308" width="21.42578125" style="14" customWidth="1"/>
    <col min="12309" max="12309" width="27.85546875" style="14" customWidth="1"/>
    <col min="12310" max="12310" width="23.42578125" style="14" customWidth="1"/>
    <col min="12311" max="12311" width="21.42578125" style="14" customWidth="1"/>
    <col min="12312" max="12314" width="20.7109375" style="14" customWidth="1"/>
    <col min="12315" max="12315" width="32.28515625" style="14" bestFit="1" customWidth="1"/>
    <col min="12316" max="12316" width="20.7109375" style="14" customWidth="1"/>
    <col min="12317" max="12317" width="22" style="14" customWidth="1"/>
    <col min="12318" max="12321" width="21.28515625" style="14" customWidth="1"/>
    <col min="12322" max="12322" width="22.28515625" style="14" customWidth="1"/>
    <col min="12323" max="12324" width="11.42578125" style="14"/>
    <col min="12325" max="12325" width="14.85546875" style="14" bestFit="1" customWidth="1"/>
    <col min="12326" max="12550" width="11.42578125" style="14"/>
    <col min="12551" max="12551" width="34.42578125" style="14" customWidth="1"/>
    <col min="12552" max="12553" width="19.42578125" style="14" bestFit="1" customWidth="1"/>
    <col min="12554" max="12554" width="19.7109375" style="14" customWidth="1"/>
    <col min="12555" max="12556" width="20.42578125" style="14" customWidth="1"/>
    <col min="12557" max="12558" width="19.7109375" style="14" customWidth="1"/>
    <col min="12559" max="12559" width="25.28515625" style="14" customWidth="1"/>
    <col min="12560" max="12560" width="26" style="14" customWidth="1"/>
    <col min="12561" max="12561" width="22.28515625" style="14" customWidth="1"/>
    <col min="12562" max="12562" width="24.85546875" style="14" customWidth="1"/>
    <col min="12563" max="12563" width="21.140625" style="14" customWidth="1"/>
    <col min="12564" max="12564" width="21.42578125" style="14" customWidth="1"/>
    <col min="12565" max="12565" width="27.85546875" style="14" customWidth="1"/>
    <col min="12566" max="12566" width="23.42578125" style="14" customWidth="1"/>
    <col min="12567" max="12567" width="21.42578125" style="14" customWidth="1"/>
    <col min="12568" max="12570" width="20.7109375" style="14" customWidth="1"/>
    <col min="12571" max="12571" width="32.28515625" style="14" bestFit="1" customWidth="1"/>
    <col min="12572" max="12572" width="20.7109375" style="14" customWidth="1"/>
    <col min="12573" max="12573" width="22" style="14" customWidth="1"/>
    <col min="12574" max="12577" width="21.28515625" style="14" customWidth="1"/>
    <col min="12578" max="12578" width="22.28515625" style="14" customWidth="1"/>
    <col min="12579" max="12580" width="11.42578125" style="14"/>
    <col min="12581" max="12581" width="14.85546875" style="14" bestFit="1" customWidth="1"/>
    <col min="12582" max="12806" width="11.42578125" style="14"/>
    <col min="12807" max="12807" width="34.42578125" style="14" customWidth="1"/>
    <col min="12808" max="12809" width="19.42578125" style="14" bestFit="1" customWidth="1"/>
    <col min="12810" max="12810" width="19.7109375" style="14" customWidth="1"/>
    <col min="12811" max="12812" width="20.42578125" style="14" customWidth="1"/>
    <col min="12813" max="12814" width="19.7109375" style="14" customWidth="1"/>
    <col min="12815" max="12815" width="25.28515625" style="14" customWidth="1"/>
    <col min="12816" max="12816" width="26" style="14" customWidth="1"/>
    <col min="12817" max="12817" width="22.28515625" style="14" customWidth="1"/>
    <col min="12818" max="12818" width="24.85546875" style="14" customWidth="1"/>
    <col min="12819" max="12819" width="21.140625" style="14" customWidth="1"/>
    <col min="12820" max="12820" width="21.42578125" style="14" customWidth="1"/>
    <col min="12821" max="12821" width="27.85546875" style="14" customWidth="1"/>
    <col min="12822" max="12822" width="23.42578125" style="14" customWidth="1"/>
    <col min="12823" max="12823" width="21.42578125" style="14" customWidth="1"/>
    <col min="12824" max="12826" width="20.7109375" style="14" customWidth="1"/>
    <col min="12827" max="12827" width="32.28515625" style="14" bestFit="1" customWidth="1"/>
    <col min="12828" max="12828" width="20.7109375" style="14" customWidth="1"/>
    <col min="12829" max="12829" width="22" style="14" customWidth="1"/>
    <col min="12830" max="12833" width="21.28515625" style="14" customWidth="1"/>
    <col min="12834" max="12834" width="22.28515625" style="14" customWidth="1"/>
    <col min="12835" max="12836" width="11.42578125" style="14"/>
    <col min="12837" max="12837" width="14.85546875" style="14" bestFit="1" customWidth="1"/>
    <col min="12838" max="13062" width="11.42578125" style="14"/>
    <col min="13063" max="13063" width="34.42578125" style="14" customWidth="1"/>
    <col min="13064" max="13065" width="19.42578125" style="14" bestFit="1" customWidth="1"/>
    <col min="13066" max="13066" width="19.7109375" style="14" customWidth="1"/>
    <col min="13067" max="13068" width="20.42578125" style="14" customWidth="1"/>
    <col min="13069" max="13070" width="19.7109375" style="14" customWidth="1"/>
    <col min="13071" max="13071" width="25.28515625" style="14" customWidth="1"/>
    <col min="13072" max="13072" width="26" style="14" customWidth="1"/>
    <col min="13073" max="13073" width="22.28515625" style="14" customWidth="1"/>
    <col min="13074" max="13074" width="24.85546875" style="14" customWidth="1"/>
    <col min="13075" max="13075" width="21.140625" style="14" customWidth="1"/>
    <col min="13076" max="13076" width="21.42578125" style="14" customWidth="1"/>
    <col min="13077" max="13077" width="27.85546875" style="14" customWidth="1"/>
    <col min="13078" max="13078" width="23.42578125" style="14" customWidth="1"/>
    <col min="13079" max="13079" width="21.42578125" style="14" customWidth="1"/>
    <col min="13080" max="13082" width="20.7109375" style="14" customWidth="1"/>
    <col min="13083" max="13083" width="32.28515625" style="14" bestFit="1" customWidth="1"/>
    <col min="13084" max="13084" width="20.7109375" style="14" customWidth="1"/>
    <col min="13085" max="13085" width="22" style="14" customWidth="1"/>
    <col min="13086" max="13089" width="21.28515625" style="14" customWidth="1"/>
    <col min="13090" max="13090" width="22.28515625" style="14" customWidth="1"/>
    <col min="13091" max="13092" width="11.42578125" style="14"/>
    <col min="13093" max="13093" width="14.85546875" style="14" bestFit="1" customWidth="1"/>
    <col min="13094" max="13318" width="11.42578125" style="14"/>
    <col min="13319" max="13319" width="34.42578125" style="14" customWidth="1"/>
    <col min="13320" max="13321" width="19.42578125" style="14" bestFit="1" customWidth="1"/>
    <col min="13322" max="13322" width="19.7109375" style="14" customWidth="1"/>
    <col min="13323" max="13324" width="20.42578125" style="14" customWidth="1"/>
    <col min="13325" max="13326" width="19.7109375" style="14" customWidth="1"/>
    <col min="13327" max="13327" width="25.28515625" style="14" customWidth="1"/>
    <col min="13328" max="13328" width="26" style="14" customWidth="1"/>
    <col min="13329" max="13329" width="22.28515625" style="14" customWidth="1"/>
    <col min="13330" max="13330" width="24.85546875" style="14" customWidth="1"/>
    <col min="13331" max="13331" width="21.140625" style="14" customWidth="1"/>
    <col min="13332" max="13332" width="21.42578125" style="14" customWidth="1"/>
    <col min="13333" max="13333" width="27.85546875" style="14" customWidth="1"/>
    <col min="13334" max="13334" width="23.42578125" style="14" customWidth="1"/>
    <col min="13335" max="13335" width="21.42578125" style="14" customWidth="1"/>
    <col min="13336" max="13338" width="20.7109375" style="14" customWidth="1"/>
    <col min="13339" max="13339" width="32.28515625" style="14" bestFit="1" customWidth="1"/>
    <col min="13340" max="13340" width="20.7109375" style="14" customWidth="1"/>
    <col min="13341" max="13341" width="22" style="14" customWidth="1"/>
    <col min="13342" max="13345" width="21.28515625" style="14" customWidth="1"/>
    <col min="13346" max="13346" width="22.28515625" style="14" customWidth="1"/>
    <col min="13347" max="13348" width="11.42578125" style="14"/>
    <col min="13349" max="13349" width="14.85546875" style="14" bestFit="1" customWidth="1"/>
    <col min="13350" max="13574" width="11.42578125" style="14"/>
    <col min="13575" max="13575" width="34.42578125" style="14" customWidth="1"/>
    <col min="13576" max="13577" width="19.42578125" style="14" bestFit="1" customWidth="1"/>
    <col min="13578" max="13578" width="19.7109375" style="14" customWidth="1"/>
    <col min="13579" max="13580" width="20.42578125" style="14" customWidth="1"/>
    <col min="13581" max="13582" width="19.7109375" style="14" customWidth="1"/>
    <col min="13583" max="13583" width="25.28515625" style="14" customWidth="1"/>
    <col min="13584" max="13584" width="26" style="14" customWidth="1"/>
    <col min="13585" max="13585" width="22.28515625" style="14" customWidth="1"/>
    <col min="13586" max="13586" width="24.85546875" style="14" customWidth="1"/>
    <col min="13587" max="13587" width="21.140625" style="14" customWidth="1"/>
    <col min="13588" max="13588" width="21.42578125" style="14" customWidth="1"/>
    <col min="13589" max="13589" width="27.85546875" style="14" customWidth="1"/>
    <col min="13590" max="13590" width="23.42578125" style="14" customWidth="1"/>
    <col min="13591" max="13591" width="21.42578125" style="14" customWidth="1"/>
    <col min="13592" max="13594" width="20.7109375" style="14" customWidth="1"/>
    <col min="13595" max="13595" width="32.28515625" style="14" bestFit="1" customWidth="1"/>
    <col min="13596" max="13596" width="20.7109375" style="14" customWidth="1"/>
    <col min="13597" max="13597" width="22" style="14" customWidth="1"/>
    <col min="13598" max="13601" width="21.28515625" style="14" customWidth="1"/>
    <col min="13602" max="13602" width="22.28515625" style="14" customWidth="1"/>
    <col min="13603" max="13604" width="11.42578125" style="14"/>
    <col min="13605" max="13605" width="14.85546875" style="14" bestFit="1" customWidth="1"/>
    <col min="13606" max="13830" width="11.42578125" style="14"/>
    <col min="13831" max="13831" width="34.42578125" style="14" customWidth="1"/>
    <col min="13832" max="13833" width="19.42578125" style="14" bestFit="1" customWidth="1"/>
    <col min="13834" max="13834" width="19.7109375" style="14" customWidth="1"/>
    <col min="13835" max="13836" width="20.42578125" style="14" customWidth="1"/>
    <col min="13837" max="13838" width="19.7109375" style="14" customWidth="1"/>
    <col min="13839" max="13839" width="25.28515625" style="14" customWidth="1"/>
    <col min="13840" max="13840" width="26" style="14" customWidth="1"/>
    <col min="13841" max="13841" width="22.28515625" style="14" customWidth="1"/>
    <col min="13842" max="13842" width="24.85546875" style="14" customWidth="1"/>
    <col min="13843" max="13843" width="21.140625" style="14" customWidth="1"/>
    <col min="13844" max="13844" width="21.42578125" style="14" customWidth="1"/>
    <col min="13845" max="13845" width="27.85546875" style="14" customWidth="1"/>
    <col min="13846" max="13846" width="23.42578125" style="14" customWidth="1"/>
    <col min="13847" max="13847" width="21.42578125" style="14" customWidth="1"/>
    <col min="13848" max="13850" width="20.7109375" style="14" customWidth="1"/>
    <col min="13851" max="13851" width="32.28515625" style="14" bestFit="1" customWidth="1"/>
    <col min="13852" max="13852" width="20.7109375" style="14" customWidth="1"/>
    <col min="13853" max="13853" width="22" style="14" customWidth="1"/>
    <col min="13854" max="13857" width="21.28515625" style="14" customWidth="1"/>
    <col min="13858" max="13858" width="22.28515625" style="14" customWidth="1"/>
    <col min="13859" max="13860" width="11.42578125" style="14"/>
    <col min="13861" max="13861" width="14.85546875" style="14" bestFit="1" customWidth="1"/>
    <col min="13862" max="14086" width="11.42578125" style="14"/>
    <col min="14087" max="14087" width="34.42578125" style="14" customWidth="1"/>
    <col min="14088" max="14089" width="19.42578125" style="14" bestFit="1" customWidth="1"/>
    <col min="14090" max="14090" width="19.7109375" style="14" customWidth="1"/>
    <col min="14091" max="14092" width="20.42578125" style="14" customWidth="1"/>
    <col min="14093" max="14094" width="19.7109375" style="14" customWidth="1"/>
    <col min="14095" max="14095" width="25.28515625" style="14" customWidth="1"/>
    <col min="14096" max="14096" width="26" style="14" customWidth="1"/>
    <col min="14097" max="14097" width="22.28515625" style="14" customWidth="1"/>
    <col min="14098" max="14098" width="24.85546875" style="14" customWidth="1"/>
    <col min="14099" max="14099" width="21.140625" style="14" customWidth="1"/>
    <col min="14100" max="14100" width="21.42578125" style="14" customWidth="1"/>
    <col min="14101" max="14101" width="27.85546875" style="14" customWidth="1"/>
    <col min="14102" max="14102" width="23.42578125" style="14" customWidth="1"/>
    <col min="14103" max="14103" width="21.42578125" style="14" customWidth="1"/>
    <col min="14104" max="14106" width="20.7109375" style="14" customWidth="1"/>
    <col min="14107" max="14107" width="32.28515625" style="14" bestFit="1" customWidth="1"/>
    <col min="14108" max="14108" width="20.7109375" style="14" customWidth="1"/>
    <col min="14109" max="14109" width="22" style="14" customWidth="1"/>
    <col min="14110" max="14113" width="21.28515625" style="14" customWidth="1"/>
    <col min="14114" max="14114" width="22.28515625" style="14" customWidth="1"/>
    <col min="14115" max="14116" width="11.42578125" style="14"/>
    <col min="14117" max="14117" width="14.85546875" style="14" bestFit="1" customWidth="1"/>
    <col min="14118" max="14342" width="11.42578125" style="14"/>
    <col min="14343" max="14343" width="34.42578125" style="14" customWidth="1"/>
    <col min="14344" max="14345" width="19.42578125" style="14" bestFit="1" customWidth="1"/>
    <col min="14346" max="14346" width="19.7109375" style="14" customWidth="1"/>
    <col min="14347" max="14348" width="20.42578125" style="14" customWidth="1"/>
    <col min="14349" max="14350" width="19.7109375" style="14" customWidth="1"/>
    <col min="14351" max="14351" width="25.28515625" style="14" customWidth="1"/>
    <col min="14352" max="14352" width="26" style="14" customWidth="1"/>
    <col min="14353" max="14353" width="22.28515625" style="14" customWidth="1"/>
    <col min="14354" max="14354" width="24.85546875" style="14" customWidth="1"/>
    <col min="14355" max="14355" width="21.140625" style="14" customWidth="1"/>
    <col min="14356" max="14356" width="21.42578125" style="14" customWidth="1"/>
    <col min="14357" max="14357" width="27.85546875" style="14" customWidth="1"/>
    <col min="14358" max="14358" width="23.42578125" style="14" customWidth="1"/>
    <col min="14359" max="14359" width="21.42578125" style="14" customWidth="1"/>
    <col min="14360" max="14362" width="20.7109375" style="14" customWidth="1"/>
    <col min="14363" max="14363" width="32.28515625" style="14" bestFit="1" customWidth="1"/>
    <col min="14364" max="14364" width="20.7109375" style="14" customWidth="1"/>
    <col min="14365" max="14365" width="22" style="14" customWidth="1"/>
    <col min="14366" max="14369" width="21.28515625" style="14" customWidth="1"/>
    <col min="14370" max="14370" width="22.28515625" style="14" customWidth="1"/>
    <col min="14371" max="14372" width="11.42578125" style="14"/>
    <col min="14373" max="14373" width="14.85546875" style="14" bestFit="1" customWidth="1"/>
    <col min="14374" max="14598" width="11.42578125" style="14"/>
    <col min="14599" max="14599" width="34.42578125" style="14" customWidth="1"/>
    <col min="14600" max="14601" width="19.42578125" style="14" bestFit="1" customWidth="1"/>
    <col min="14602" max="14602" width="19.7109375" style="14" customWidth="1"/>
    <col min="14603" max="14604" width="20.42578125" style="14" customWidth="1"/>
    <col min="14605" max="14606" width="19.7109375" style="14" customWidth="1"/>
    <col min="14607" max="14607" width="25.28515625" style="14" customWidth="1"/>
    <col min="14608" max="14608" width="26" style="14" customWidth="1"/>
    <col min="14609" max="14609" width="22.28515625" style="14" customWidth="1"/>
    <col min="14610" max="14610" width="24.85546875" style="14" customWidth="1"/>
    <col min="14611" max="14611" width="21.140625" style="14" customWidth="1"/>
    <col min="14612" max="14612" width="21.42578125" style="14" customWidth="1"/>
    <col min="14613" max="14613" width="27.85546875" style="14" customWidth="1"/>
    <col min="14614" max="14614" width="23.42578125" style="14" customWidth="1"/>
    <col min="14615" max="14615" width="21.42578125" style="14" customWidth="1"/>
    <col min="14616" max="14618" width="20.7109375" style="14" customWidth="1"/>
    <col min="14619" max="14619" width="32.28515625" style="14" bestFit="1" customWidth="1"/>
    <col min="14620" max="14620" width="20.7109375" style="14" customWidth="1"/>
    <col min="14621" max="14621" width="22" style="14" customWidth="1"/>
    <col min="14622" max="14625" width="21.28515625" style="14" customWidth="1"/>
    <col min="14626" max="14626" width="22.28515625" style="14" customWidth="1"/>
    <col min="14627" max="14628" width="11.42578125" style="14"/>
    <col min="14629" max="14629" width="14.85546875" style="14" bestFit="1" customWidth="1"/>
    <col min="14630" max="14854" width="11.42578125" style="14"/>
    <col min="14855" max="14855" width="34.42578125" style="14" customWidth="1"/>
    <col min="14856" max="14857" width="19.42578125" style="14" bestFit="1" customWidth="1"/>
    <col min="14858" max="14858" width="19.7109375" style="14" customWidth="1"/>
    <col min="14859" max="14860" width="20.42578125" style="14" customWidth="1"/>
    <col min="14861" max="14862" width="19.7109375" style="14" customWidth="1"/>
    <col min="14863" max="14863" width="25.28515625" style="14" customWidth="1"/>
    <col min="14864" max="14864" width="26" style="14" customWidth="1"/>
    <col min="14865" max="14865" width="22.28515625" style="14" customWidth="1"/>
    <col min="14866" max="14866" width="24.85546875" style="14" customWidth="1"/>
    <col min="14867" max="14867" width="21.140625" style="14" customWidth="1"/>
    <col min="14868" max="14868" width="21.42578125" style="14" customWidth="1"/>
    <col min="14869" max="14869" width="27.85546875" style="14" customWidth="1"/>
    <col min="14870" max="14870" width="23.42578125" style="14" customWidth="1"/>
    <col min="14871" max="14871" width="21.42578125" style="14" customWidth="1"/>
    <col min="14872" max="14874" width="20.7109375" style="14" customWidth="1"/>
    <col min="14875" max="14875" width="32.28515625" style="14" bestFit="1" customWidth="1"/>
    <col min="14876" max="14876" width="20.7109375" style="14" customWidth="1"/>
    <col min="14877" max="14877" width="22" style="14" customWidth="1"/>
    <col min="14878" max="14881" width="21.28515625" style="14" customWidth="1"/>
    <col min="14882" max="14882" width="22.28515625" style="14" customWidth="1"/>
    <col min="14883" max="14884" width="11.42578125" style="14"/>
    <col min="14885" max="14885" width="14.85546875" style="14" bestFit="1" customWidth="1"/>
    <col min="14886" max="15110" width="11.42578125" style="14"/>
    <col min="15111" max="15111" width="34.42578125" style="14" customWidth="1"/>
    <col min="15112" max="15113" width="19.42578125" style="14" bestFit="1" customWidth="1"/>
    <col min="15114" max="15114" width="19.7109375" style="14" customWidth="1"/>
    <col min="15115" max="15116" width="20.42578125" style="14" customWidth="1"/>
    <col min="15117" max="15118" width="19.7109375" style="14" customWidth="1"/>
    <col min="15119" max="15119" width="25.28515625" style="14" customWidth="1"/>
    <col min="15120" max="15120" width="26" style="14" customWidth="1"/>
    <col min="15121" max="15121" width="22.28515625" style="14" customWidth="1"/>
    <col min="15122" max="15122" width="24.85546875" style="14" customWidth="1"/>
    <col min="15123" max="15123" width="21.140625" style="14" customWidth="1"/>
    <col min="15124" max="15124" width="21.42578125" style="14" customWidth="1"/>
    <col min="15125" max="15125" width="27.85546875" style="14" customWidth="1"/>
    <col min="15126" max="15126" width="23.42578125" style="14" customWidth="1"/>
    <col min="15127" max="15127" width="21.42578125" style="14" customWidth="1"/>
    <col min="15128" max="15130" width="20.7109375" style="14" customWidth="1"/>
    <col min="15131" max="15131" width="32.28515625" style="14" bestFit="1" customWidth="1"/>
    <col min="15132" max="15132" width="20.7109375" style="14" customWidth="1"/>
    <col min="15133" max="15133" width="22" style="14" customWidth="1"/>
    <col min="15134" max="15137" width="21.28515625" style="14" customWidth="1"/>
    <col min="15138" max="15138" width="22.28515625" style="14" customWidth="1"/>
    <col min="15139" max="15140" width="11.42578125" style="14"/>
    <col min="15141" max="15141" width="14.85546875" style="14" bestFit="1" customWidth="1"/>
    <col min="15142" max="15366" width="11.42578125" style="14"/>
    <col min="15367" max="15367" width="34.42578125" style="14" customWidth="1"/>
    <col min="15368" max="15369" width="19.42578125" style="14" bestFit="1" customWidth="1"/>
    <col min="15370" max="15370" width="19.7109375" style="14" customWidth="1"/>
    <col min="15371" max="15372" width="20.42578125" style="14" customWidth="1"/>
    <col min="15373" max="15374" width="19.7109375" style="14" customWidth="1"/>
    <col min="15375" max="15375" width="25.28515625" style="14" customWidth="1"/>
    <col min="15376" max="15376" width="26" style="14" customWidth="1"/>
    <col min="15377" max="15377" width="22.28515625" style="14" customWidth="1"/>
    <col min="15378" max="15378" width="24.85546875" style="14" customWidth="1"/>
    <col min="15379" max="15379" width="21.140625" style="14" customWidth="1"/>
    <col min="15380" max="15380" width="21.42578125" style="14" customWidth="1"/>
    <col min="15381" max="15381" width="27.85546875" style="14" customWidth="1"/>
    <col min="15382" max="15382" width="23.42578125" style="14" customWidth="1"/>
    <col min="15383" max="15383" width="21.42578125" style="14" customWidth="1"/>
    <col min="15384" max="15386" width="20.7109375" style="14" customWidth="1"/>
    <col min="15387" max="15387" width="32.28515625" style="14" bestFit="1" customWidth="1"/>
    <col min="15388" max="15388" width="20.7109375" style="14" customWidth="1"/>
    <col min="15389" max="15389" width="22" style="14" customWidth="1"/>
    <col min="15390" max="15393" width="21.28515625" style="14" customWidth="1"/>
    <col min="15394" max="15394" width="22.28515625" style="14" customWidth="1"/>
    <col min="15395" max="15396" width="11.42578125" style="14"/>
    <col min="15397" max="15397" width="14.85546875" style="14" bestFit="1" customWidth="1"/>
    <col min="15398" max="15622" width="11.42578125" style="14"/>
    <col min="15623" max="15623" width="34.42578125" style="14" customWidth="1"/>
    <col min="15624" max="15625" width="19.42578125" style="14" bestFit="1" customWidth="1"/>
    <col min="15626" max="15626" width="19.7109375" style="14" customWidth="1"/>
    <col min="15627" max="15628" width="20.42578125" style="14" customWidth="1"/>
    <col min="15629" max="15630" width="19.7109375" style="14" customWidth="1"/>
    <col min="15631" max="15631" width="25.28515625" style="14" customWidth="1"/>
    <col min="15632" max="15632" width="26" style="14" customWidth="1"/>
    <col min="15633" max="15633" width="22.28515625" style="14" customWidth="1"/>
    <col min="15634" max="15634" width="24.85546875" style="14" customWidth="1"/>
    <col min="15635" max="15635" width="21.140625" style="14" customWidth="1"/>
    <col min="15636" max="15636" width="21.42578125" style="14" customWidth="1"/>
    <col min="15637" max="15637" width="27.85546875" style="14" customWidth="1"/>
    <col min="15638" max="15638" width="23.42578125" style="14" customWidth="1"/>
    <col min="15639" max="15639" width="21.42578125" style="14" customWidth="1"/>
    <col min="15640" max="15642" width="20.7109375" style="14" customWidth="1"/>
    <col min="15643" max="15643" width="32.28515625" style="14" bestFit="1" customWidth="1"/>
    <col min="15644" max="15644" width="20.7109375" style="14" customWidth="1"/>
    <col min="15645" max="15645" width="22" style="14" customWidth="1"/>
    <col min="15646" max="15649" width="21.28515625" style="14" customWidth="1"/>
    <col min="15650" max="15650" width="22.28515625" style="14" customWidth="1"/>
    <col min="15651" max="15652" width="11.42578125" style="14"/>
    <col min="15653" max="15653" width="14.85546875" style="14" bestFit="1" customWidth="1"/>
    <col min="15654" max="15878" width="11.42578125" style="14"/>
    <col min="15879" max="15879" width="34.42578125" style="14" customWidth="1"/>
    <col min="15880" max="15881" width="19.42578125" style="14" bestFit="1" customWidth="1"/>
    <col min="15882" max="15882" width="19.7109375" style="14" customWidth="1"/>
    <col min="15883" max="15884" width="20.42578125" style="14" customWidth="1"/>
    <col min="15885" max="15886" width="19.7109375" style="14" customWidth="1"/>
    <col min="15887" max="15887" width="25.28515625" style="14" customWidth="1"/>
    <col min="15888" max="15888" width="26" style="14" customWidth="1"/>
    <col min="15889" max="15889" width="22.28515625" style="14" customWidth="1"/>
    <col min="15890" max="15890" width="24.85546875" style="14" customWidth="1"/>
    <col min="15891" max="15891" width="21.140625" style="14" customWidth="1"/>
    <col min="15892" max="15892" width="21.42578125" style="14" customWidth="1"/>
    <col min="15893" max="15893" width="27.85546875" style="14" customWidth="1"/>
    <col min="15894" max="15894" width="23.42578125" style="14" customWidth="1"/>
    <col min="15895" max="15895" width="21.42578125" style="14" customWidth="1"/>
    <col min="15896" max="15898" width="20.7109375" style="14" customWidth="1"/>
    <col min="15899" max="15899" width="32.28515625" style="14" bestFit="1" customWidth="1"/>
    <col min="15900" max="15900" width="20.7109375" style="14" customWidth="1"/>
    <col min="15901" max="15901" width="22" style="14" customWidth="1"/>
    <col min="15902" max="15905" width="21.28515625" style="14" customWidth="1"/>
    <col min="15906" max="15906" width="22.28515625" style="14" customWidth="1"/>
    <col min="15907" max="15908" width="11.42578125" style="14"/>
    <col min="15909" max="15909" width="14.85546875" style="14" bestFit="1" customWidth="1"/>
    <col min="15910" max="16134" width="11.42578125" style="14"/>
    <col min="16135" max="16135" width="34.42578125" style="14" customWidth="1"/>
    <col min="16136" max="16137" width="19.42578125" style="14" bestFit="1" customWidth="1"/>
    <col min="16138" max="16138" width="19.7109375" style="14" customWidth="1"/>
    <col min="16139" max="16140" width="20.42578125" style="14" customWidth="1"/>
    <col min="16141" max="16142" width="19.7109375" style="14" customWidth="1"/>
    <col min="16143" max="16143" width="25.28515625" style="14" customWidth="1"/>
    <col min="16144" max="16144" width="26" style="14" customWidth="1"/>
    <col min="16145" max="16145" width="22.28515625" style="14" customWidth="1"/>
    <col min="16146" max="16146" width="24.85546875" style="14" customWidth="1"/>
    <col min="16147" max="16147" width="21.140625" style="14" customWidth="1"/>
    <col min="16148" max="16148" width="21.42578125" style="14" customWidth="1"/>
    <col min="16149" max="16149" width="27.85546875" style="14" customWidth="1"/>
    <col min="16150" max="16150" width="23.42578125" style="14" customWidth="1"/>
    <col min="16151" max="16151" width="21.42578125" style="14" customWidth="1"/>
    <col min="16152" max="16154" width="20.7109375" style="14" customWidth="1"/>
    <col min="16155" max="16155" width="32.28515625" style="14" bestFit="1" customWidth="1"/>
    <col min="16156" max="16156" width="20.7109375" style="14" customWidth="1"/>
    <col min="16157" max="16157" width="22" style="14" customWidth="1"/>
    <col min="16158" max="16161" width="21.28515625" style="14" customWidth="1"/>
    <col min="16162" max="16162" width="22.28515625" style="14" customWidth="1"/>
    <col min="16163" max="16164" width="11.42578125" style="14"/>
    <col min="16165" max="16165" width="14.85546875" style="14" bestFit="1" customWidth="1"/>
    <col min="16166" max="16384" width="11.42578125" style="14"/>
  </cols>
  <sheetData>
    <row r="1" spans="1:34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2"/>
      <c r="AD1" s="2"/>
      <c r="AE1" s="2"/>
      <c r="AF1" s="2"/>
      <c r="AG1" s="2"/>
      <c r="AH1" s="1"/>
    </row>
    <row r="2" spans="1:34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2"/>
      <c r="AD2" s="2"/>
      <c r="AE2" s="2"/>
      <c r="AF2" s="2"/>
      <c r="AG2" s="2"/>
      <c r="AH2" s="1"/>
    </row>
    <row r="3" spans="1:34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2"/>
      <c r="AD3" s="2"/>
      <c r="AE3" s="2"/>
      <c r="AF3" s="2"/>
      <c r="AG3" s="2"/>
      <c r="AH3" s="4"/>
    </row>
    <row r="4" spans="1:34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2"/>
      <c r="AD4" s="2"/>
      <c r="AE4" s="2"/>
      <c r="AF4" s="2"/>
      <c r="AG4" s="2"/>
      <c r="AH4" s="1"/>
    </row>
    <row r="5" spans="1:34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2"/>
      <c r="AD5" s="2"/>
      <c r="AE5" s="2"/>
      <c r="AF5" s="2"/>
      <c r="AG5" s="2"/>
      <c r="AH5" s="1"/>
    </row>
    <row r="6" spans="1:34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2"/>
      <c r="AD6" s="2"/>
      <c r="AE6" s="2"/>
      <c r="AF6" s="2"/>
      <c r="AG6" s="2"/>
      <c r="AH6" s="1"/>
    </row>
    <row r="7" spans="1:34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2"/>
      <c r="AD7" s="2"/>
      <c r="AE7" s="2"/>
      <c r="AF7" s="2"/>
      <c r="AG7" s="2"/>
      <c r="AH7" s="1"/>
    </row>
    <row r="8" spans="1:34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2"/>
      <c r="AD8" s="2"/>
      <c r="AE8" s="2"/>
      <c r="AF8" s="2"/>
      <c r="AG8" s="2"/>
      <c r="AH8" s="1"/>
    </row>
    <row r="9" spans="1:34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 t="s">
        <v>3</v>
      </c>
      <c r="V9" s="960" t="s">
        <v>35</v>
      </c>
      <c r="W9" s="960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</row>
    <row r="10" spans="1:3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</row>
    <row r="11" spans="1:34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965" t="s">
        <v>62</v>
      </c>
      <c r="O11" s="965"/>
      <c r="P11" s="6"/>
      <c r="Q11" s="6"/>
      <c r="R11" s="6"/>
      <c r="S11" s="1"/>
      <c r="T11" s="1"/>
      <c r="U11" s="1" t="s">
        <v>6</v>
      </c>
      <c r="V11" s="95">
        <v>45371</v>
      </c>
      <c r="W11" s="6"/>
      <c r="X11" s="6"/>
      <c r="Y11" s="6"/>
      <c r="Z11" s="6"/>
      <c r="AA11" s="6"/>
      <c r="AB11" s="6"/>
      <c r="AC11" s="1"/>
      <c r="AD11" s="1"/>
      <c r="AE11" s="1"/>
      <c r="AF11" s="1"/>
      <c r="AG11" s="1"/>
      <c r="AH11" s="1"/>
    </row>
    <row r="12" spans="1:3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6"/>
      <c r="O12" s="6"/>
      <c r="P12" s="6"/>
      <c r="Q12" s="6"/>
      <c r="R12" s="6"/>
      <c r="S12" s="1"/>
      <c r="T12" s="1"/>
      <c r="U12" s="1"/>
      <c r="V12" s="1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"/>
    </row>
    <row r="13" spans="1:3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"/>
      <c r="AB13" s="1"/>
      <c r="AC13" s="1"/>
    </row>
    <row r="14" spans="1:34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1"/>
      <c r="AC14" s="1"/>
      <c r="AD14" s="1"/>
    </row>
    <row r="15" spans="1:34" s="10" customFormat="1" ht="36" thickBot="1" x14ac:dyDescent="0.3">
      <c r="A15" s="69" t="s">
        <v>7</v>
      </c>
      <c r="B15" s="971" t="s">
        <v>8</v>
      </c>
      <c r="C15" s="968"/>
      <c r="D15" s="968"/>
      <c r="E15" s="968"/>
      <c r="F15" s="968"/>
      <c r="G15" s="968"/>
      <c r="H15" s="968"/>
      <c r="I15" s="968"/>
      <c r="J15" s="968"/>
      <c r="K15" s="969"/>
      <c r="L15" s="971" t="s">
        <v>29</v>
      </c>
      <c r="M15" s="968"/>
      <c r="N15" s="968"/>
      <c r="O15" s="968"/>
      <c r="P15" s="968"/>
      <c r="Q15" s="969"/>
      <c r="R15" s="962" t="s">
        <v>31</v>
      </c>
      <c r="S15" s="963"/>
      <c r="T15" s="963"/>
      <c r="U15" s="963"/>
      <c r="V15" s="963"/>
      <c r="W15" s="964"/>
      <c r="X15" s="9"/>
    </row>
    <row r="16" spans="1:34" ht="39.950000000000003" customHeight="1" x14ac:dyDescent="0.25">
      <c r="A16" s="80" t="s">
        <v>34</v>
      </c>
      <c r="B16" s="117"/>
      <c r="C16" s="118"/>
      <c r="D16" s="150"/>
      <c r="E16" s="118"/>
      <c r="F16" s="118"/>
      <c r="G16" s="118"/>
      <c r="H16" s="150"/>
      <c r="I16" s="150"/>
      <c r="J16" s="151"/>
      <c r="K16" s="152"/>
      <c r="L16" s="117"/>
      <c r="M16" s="118"/>
      <c r="N16" s="118"/>
      <c r="O16" s="118"/>
      <c r="P16" s="118"/>
      <c r="Q16" s="119"/>
      <c r="R16" s="149"/>
      <c r="S16" s="118"/>
      <c r="T16" s="118"/>
      <c r="U16" s="118"/>
      <c r="V16" s="118"/>
      <c r="W16" s="118"/>
      <c r="X16" s="13" t="s">
        <v>9</v>
      </c>
      <c r="Z16" s="15"/>
      <c r="AA16" s="15"/>
    </row>
    <row r="17" spans="1:34" ht="39.950000000000003" customHeight="1" x14ac:dyDescent="0.25">
      <c r="A17" s="80" t="s">
        <v>10</v>
      </c>
      <c r="B17" s="11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7">
        <v>9</v>
      </c>
      <c r="K17" s="17">
        <v>10</v>
      </c>
      <c r="L17" s="11">
        <v>1</v>
      </c>
      <c r="M17" s="16">
        <v>2</v>
      </c>
      <c r="N17" s="16">
        <v>3</v>
      </c>
      <c r="O17" s="16">
        <v>4</v>
      </c>
      <c r="P17" s="16">
        <v>5</v>
      </c>
      <c r="Q17" s="17">
        <v>6</v>
      </c>
      <c r="R17" s="60">
        <v>1</v>
      </c>
      <c r="S17" s="16">
        <v>2</v>
      </c>
      <c r="T17" s="16">
        <v>3</v>
      </c>
      <c r="U17" s="16">
        <v>4</v>
      </c>
      <c r="V17" s="16">
        <v>5</v>
      </c>
      <c r="W17" s="16">
        <v>6</v>
      </c>
      <c r="X17" s="13"/>
      <c r="Z17" s="2"/>
      <c r="AA17" s="15"/>
    </row>
    <row r="18" spans="1:34" ht="39.950000000000003" customHeight="1" x14ac:dyDescent="0.25">
      <c r="A18" s="96" t="s">
        <v>53</v>
      </c>
      <c r="B18" s="18">
        <f>(($B$27*$B$26)/1000)</f>
        <v>23.895</v>
      </c>
      <c r="C18" s="19">
        <f>(($C$27*$C$26)/1000)</f>
        <v>18.27</v>
      </c>
      <c r="D18" s="19">
        <f>(($D$27*$D$26)/1000)</f>
        <v>22.4025</v>
      </c>
      <c r="E18" s="19">
        <f>(($E$27*$E$26)/1000)</f>
        <v>22.4025</v>
      </c>
      <c r="F18" s="19">
        <f>(($F$27*$F$26)/1000)</f>
        <v>17.286000000000001</v>
      </c>
      <c r="G18" s="19">
        <f>(($G$27*$G$26)/1000)</f>
        <v>17.242999999999999</v>
      </c>
      <c r="H18" s="19">
        <f>(($H$27*$H$26)/1000)</f>
        <v>22.355</v>
      </c>
      <c r="I18" s="19">
        <f>(($I$27*$I$26)/1000)</f>
        <v>22.397500000000001</v>
      </c>
      <c r="J18" s="19">
        <f>(($J$27*$J$26)/1000)</f>
        <v>21.21</v>
      </c>
      <c r="K18" s="20">
        <f>(($K$27*$K$26)/1000)</f>
        <v>8.5905000000000005</v>
      </c>
      <c r="L18" s="18">
        <f>(($L$27*$L$26)/1000)</f>
        <v>21.465</v>
      </c>
      <c r="M18" s="19">
        <f>(($M$27*$M$26)/1000)</f>
        <v>20.401499999999999</v>
      </c>
      <c r="N18" s="19">
        <f>(($N$27*$N$26)/1000)</f>
        <v>23.011500000000002</v>
      </c>
      <c r="O18" s="19">
        <f>(($O$27*$O$26)/1000)</f>
        <v>19.521999999999998</v>
      </c>
      <c r="P18" s="19">
        <f>(($P$27*$P$26)/1000)</f>
        <v>19.5075</v>
      </c>
      <c r="Q18" s="20">
        <f>(($Q$27*$Q$26)/1000)</f>
        <v>12.726000000000001</v>
      </c>
      <c r="R18" s="61">
        <f>(($R$27*$R$26)/1000)</f>
        <v>10.813499999999999</v>
      </c>
      <c r="S18" s="19">
        <f>(($S$27*$S$26)/1000)</f>
        <v>25.317</v>
      </c>
      <c r="T18" s="19">
        <f>(($T$27*$T$26)/1000)</f>
        <v>21.93</v>
      </c>
      <c r="U18" s="19">
        <f>(($U$27*$U$26)/1000)</f>
        <v>22.524999999999999</v>
      </c>
      <c r="V18" s="19">
        <f>(($V$27*$V$26)/1000)</f>
        <v>19.878499999999999</v>
      </c>
      <c r="W18" s="19">
        <f>(($W$27*$W$26)/1000)</f>
        <v>11.786</v>
      </c>
      <c r="X18" s="98">
        <f>SUM(B18:W18)</f>
        <v>424.93549999999993</v>
      </c>
      <c r="Z18" s="2"/>
      <c r="AA18" s="15"/>
    </row>
    <row r="19" spans="1:34" ht="39.950000000000003" customHeight="1" x14ac:dyDescent="0.25">
      <c r="A19" s="96" t="s">
        <v>24</v>
      </c>
      <c r="B19" s="18">
        <f t="shared" ref="B19:B24" si="0">(($B$27*$B$26)/1000)</f>
        <v>23.895</v>
      </c>
      <c r="C19" s="19">
        <f t="shared" ref="C19:C24" si="1">(($C$27*$C$26)/1000)</f>
        <v>18.27</v>
      </c>
      <c r="D19" s="19">
        <f t="shared" ref="D19:D24" si="2">(($D$27*$D$26)/1000)</f>
        <v>22.4025</v>
      </c>
      <c r="E19" s="19">
        <f t="shared" ref="E19:E24" si="3">(($E$27*$E$26)/1000)</f>
        <v>22.4025</v>
      </c>
      <c r="F19" s="19">
        <f t="shared" ref="F19:F24" si="4">(($F$27*$F$26)/1000)</f>
        <v>17.286000000000001</v>
      </c>
      <c r="G19" s="19">
        <f t="shared" ref="G19:G24" si="5">(($G$27*$G$26)/1000)</f>
        <v>17.242999999999999</v>
      </c>
      <c r="H19" s="19">
        <f t="shared" ref="H19:H24" si="6">(($H$27*$H$26)/1000)</f>
        <v>22.355</v>
      </c>
      <c r="I19" s="19">
        <f t="shared" ref="I19:I24" si="7">(($I$27*$I$26)/1000)</f>
        <v>22.397500000000001</v>
      </c>
      <c r="J19" s="19">
        <f t="shared" ref="J19:J24" si="8">(($J$27*$J$26)/1000)</f>
        <v>21.21</v>
      </c>
      <c r="K19" s="20">
        <f t="shared" ref="K19:K24" si="9">(($K$27*$K$26)/1000)</f>
        <v>8.5905000000000005</v>
      </c>
      <c r="L19" s="18">
        <f t="shared" ref="L19:L24" si="10">(($L$27*$L$26)/1000)</f>
        <v>21.465</v>
      </c>
      <c r="M19" s="19">
        <f t="shared" ref="M19:M24" si="11">(($M$27*$M$26)/1000)</f>
        <v>20.401499999999999</v>
      </c>
      <c r="N19" s="19">
        <f t="shared" ref="N19:N24" si="12">(($N$27*$N$26)/1000)</f>
        <v>23.011500000000002</v>
      </c>
      <c r="O19" s="19">
        <f t="shared" ref="O19:O24" si="13">(($O$27*$O$26)/1000)</f>
        <v>19.521999999999998</v>
      </c>
      <c r="P19" s="19">
        <f t="shared" ref="P19:P24" si="14">(($P$27*$P$26)/1000)</f>
        <v>19.5075</v>
      </c>
      <c r="Q19" s="20">
        <f t="shared" ref="Q19:Q24" si="15">(($Q$27*$Q$26)/1000)</f>
        <v>12.726000000000001</v>
      </c>
      <c r="R19" s="61">
        <f t="shared" ref="R19:R24" si="16">(($R$27*$R$26)/1000)</f>
        <v>10.813499999999999</v>
      </c>
      <c r="S19" s="19">
        <f t="shared" ref="S19:S24" si="17">(($S$27*$S$26)/1000)</f>
        <v>25.317</v>
      </c>
      <c r="T19" s="19">
        <f t="shared" ref="T19:T24" si="18">(($T$27*$T$26)/1000)</f>
        <v>21.93</v>
      </c>
      <c r="U19" s="19">
        <f t="shared" ref="U19:U24" si="19">(($U$27*$U$26)/1000)</f>
        <v>22.524999999999999</v>
      </c>
      <c r="V19" s="19">
        <f t="shared" ref="V19:V24" si="20">(($V$27*$V$26)/1000)</f>
        <v>19.878499999999999</v>
      </c>
      <c r="W19" s="19">
        <f t="shared" ref="W19:W24" si="21">(($W$27*$W$26)/1000)</f>
        <v>11.786</v>
      </c>
      <c r="X19" s="98">
        <f>SUM(B19:W19)</f>
        <v>424.93549999999993</v>
      </c>
      <c r="Z19" s="2"/>
      <c r="AA19" s="15"/>
    </row>
    <row r="20" spans="1:34" ht="39.75" customHeight="1" x14ac:dyDescent="0.25">
      <c r="A20" s="96" t="s">
        <v>20</v>
      </c>
      <c r="B20" s="18">
        <f t="shared" si="0"/>
        <v>23.895</v>
      </c>
      <c r="C20" s="19">
        <f t="shared" si="1"/>
        <v>18.27</v>
      </c>
      <c r="D20" s="19">
        <f t="shared" si="2"/>
        <v>22.4025</v>
      </c>
      <c r="E20" s="19">
        <f t="shared" si="3"/>
        <v>22.4025</v>
      </c>
      <c r="F20" s="19">
        <f t="shared" si="4"/>
        <v>17.286000000000001</v>
      </c>
      <c r="G20" s="19">
        <f t="shared" si="5"/>
        <v>17.242999999999999</v>
      </c>
      <c r="H20" s="19">
        <f t="shared" si="6"/>
        <v>22.355</v>
      </c>
      <c r="I20" s="19">
        <f t="shared" si="7"/>
        <v>22.397500000000001</v>
      </c>
      <c r="J20" s="19">
        <f t="shared" si="8"/>
        <v>21.21</v>
      </c>
      <c r="K20" s="20">
        <f t="shared" si="9"/>
        <v>8.5905000000000005</v>
      </c>
      <c r="L20" s="18">
        <f t="shared" si="10"/>
        <v>21.465</v>
      </c>
      <c r="M20" s="19">
        <f t="shared" si="11"/>
        <v>20.401499999999999</v>
      </c>
      <c r="N20" s="19">
        <f t="shared" si="12"/>
        <v>23.011500000000002</v>
      </c>
      <c r="O20" s="19">
        <f t="shared" si="13"/>
        <v>19.521999999999998</v>
      </c>
      <c r="P20" s="19">
        <f t="shared" si="14"/>
        <v>19.5075</v>
      </c>
      <c r="Q20" s="20">
        <f t="shared" si="15"/>
        <v>12.726000000000001</v>
      </c>
      <c r="R20" s="61">
        <f t="shared" si="16"/>
        <v>10.813499999999999</v>
      </c>
      <c r="S20" s="19">
        <f t="shared" si="17"/>
        <v>25.317</v>
      </c>
      <c r="T20" s="19">
        <f t="shared" si="18"/>
        <v>21.93</v>
      </c>
      <c r="U20" s="19">
        <f t="shared" si="19"/>
        <v>22.524999999999999</v>
      </c>
      <c r="V20" s="19">
        <f t="shared" si="20"/>
        <v>19.878499999999999</v>
      </c>
      <c r="W20" s="19">
        <f t="shared" si="21"/>
        <v>11.786</v>
      </c>
      <c r="X20" s="98">
        <f>SUM(B20:W20)</f>
        <v>424.93549999999993</v>
      </c>
      <c r="Z20" s="2"/>
      <c r="AA20" s="15"/>
    </row>
    <row r="21" spans="1:34" ht="39.950000000000003" customHeight="1" x14ac:dyDescent="0.25">
      <c r="A21" s="96" t="s">
        <v>28</v>
      </c>
      <c r="B21" s="18">
        <f t="shared" si="0"/>
        <v>23.895</v>
      </c>
      <c r="C21" s="19">
        <f t="shared" si="1"/>
        <v>18.27</v>
      </c>
      <c r="D21" s="19">
        <f t="shared" si="2"/>
        <v>22.4025</v>
      </c>
      <c r="E21" s="19">
        <f t="shared" si="3"/>
        <v>22.4025</v>
      </c>
      <c r="F21" s="19">
        <f t="shared" si="4"/>
        <v>17.286000000000001</v>
      </c>
      <c r="G21" s="19">
        <f t="shared" si="5"/>
        <v>17.242999999999999</v>
      </c>
      <c r="H21" s="19">
        <f t="shared" si="6"/>
        <v>22.355</v>
      </c>
      <c r="I21" s="19">
        <f t="shared" si="7"/>
        <v>22.397500000000001</v>
      </c>
      <c r="J21" s="19">
        <f t="shared" si="8"/>
        <v>21.21</v>
      </c>
      <c r="K21" s="20">
        <f t="shared" si="9"/>
        <v>8.5905000000000005</v>
      </c>
      <c r="L21" s="18">
        <f t="shared" si="10"/>
        <v>21.465</v>
      </c>
      <c r="M21" s="19">
        <f t="shared" si="11"/>
        <v>20.401499999999999</v>
      </c>
      <c r="N21" s="19">
        <f t="shared" si="12"/>
        <v>23.011500000000002</v>
      </c>
      <c r="O21" s="19">
        <f t="shared" si="13"/>
        <v>19.521999999999998</v>
      </c>
      <c r="P21" s="19">
        <f t="shared" si="14"/>
        <v>19.5075</v>
      </c>
      <c r="Q21" s="20">
        <f t="shared" si="15"/>
        <v>12.726000000000001</v>
      </c>
      <c r="R21" s="61">
        <f t="shared" si="16"/>
        <v>10.813499999999999</v>
      </c>
      <c r="S21" s="19">
        <f t="shared" si="17"/>
        <v>25.317</v>
      </c>
      <c r="T21" s="19">
        <f t="shared" si="18"/>
        <v>21.93</v>
      </c>
      <c r="U21" s="19">
        <f t="shared" si="19"/>
        <v>22.524999999999999</v>
      </c>
      <c r="V21" s="19">
        <f t="shared" si="20"/>
        <v>19.878499999999999</v>
      </c>
      <c r="W21" s="19">
        <f t="shared" si="21"/>
        <v>11.786</v>
      </c>
      <c r="X21" s="98">
        <f>SUM(B21:W21)</f>
        <v>424.93549999999993</v>
      </c>
      <c r="Z21" s="2"/>
      <c r="AA21" s="15"/>
    </row>
    <row r="22" spans="1:34" ht="39.950000000000003" customHeight="1" x14ac:dyDescent="0.25">
      <c r="A22" s="96" t="s">
        <v>21</v>
      </c>
      <c r="B22" s="18">
        <f t="shared" si="0"/>
        <v>23.895</v>
      </c>
      <c r="C22" s="19">
        <f t="shared" si="1"/>
        <v>18.27</v>
      </c>
      <c r="D22" s="19">
        <f t="shared" si="2"/>
        <v>22.4025</v>
      </c>
      <c r="E22" s="19">
        <f t="shared" si="3"/>
        <v>22.4025</v>
      </c>
      <c r="F22" s="19">
        <f t="shared" si="4"/>
        <v>17.286000000000001</v>
      </c>
      <c r="G22" s="19">
        <f t="shared" si="5"/>
        <v>17.242999999999999</v>
      </c>
      <c r="H22" s="19">
        <f t="shared" si="6"/>
        <v>22.355</v>
      </c>
      <c r="I22" s="19">
        <f t="shared" si="7"/>
        <v>22.397500000000001</v>
      </c>
      <c r="J22" s="19">
        <f t="shared" si="8"/>
        <v>21.21</v>
      </c>
      <c r="K22" s="20">
        <f t="shared" si="9"/>
        <v>8.5905000000000005</v>
      </c>
      <c r="L22" s="18">
        <f t="shared" si="10"/>
        <v>21.465</v>
      </c>
      <c r="M22" s="19">
        <f t="shared" si="11"/>
        <v>20.401499999999999</v>
      </c>
      <c r="N22" s="19">
        <f t="shared" si="12"/>
        <v>23.011500000000002</v>
      </c>
      <c r="O22" s="19">
        <f t="shared" si="13"/>
        <v>19.521999999999998</v>
      </c>
      <c r="P22" s="19">
        <f t="shared" si="14"/>
        <v>19.5075</v>
      </c>
      <c r="Q22" s="20">
        <f t="shared" si="15"/>
        <v>12.726000000000001</v>
      </c>
      <c r="R22" s="61">
        <f t="shared" si="16"/>
        <v>10.813499999999999</v>
      </c>
      <c r="S22" s="19">
        <f t="shared" si="17"/>
        <v>25.317</v>
      </c>
      <c r="T22" s="19">
        <f t="shared" si="18"/>
        <v>21.93</v>
      </c>
      <c r="U22" s="19">
        <f t="shared" si="19"/>
        <v>22.524999999999999</v>
      </c>
      <c r="V22" s="19">
        <f t="shared" si="20"/>
        <v>19.878499999999999</v>
      </c>
      <c r="W22" s="19">
        <f t="shared" si="21"/>
        <v>11.786</v>
      </c>
      <c r="X22" s="98">
        <f>SUM(B22:V22)</f>
        <v>413.14949999999993</v>
      </c>
      <c r="Z22" s="2"/>
      <c r="AA22" s="15"/>
    </row>
    <row r="23" spans="1:34" ht="39.950000000000003" customHeight="1" x14ac:dyDescent="0.25">
      <c r="A23" s="96" t="s">
        <v>22</v>
      </c>
      <c r="B23" s="18">
        <f t="shared" si="0"/>
        <v>23.895</v>
      </c>
      <c r="C23" s="19">
        <f t="shared" si="1"/>
        <v>18.27</v>
      </c>
      <c r="D23" s="19">
        <f t="shared" si="2"/>
        <v>22.4025</v>
      </c>
      <c r="E23" s="19">
        <f t="shared" si="3"/>
        <v>22.4025</v>
      </c>
      <c r="F23" s="19">
        <f t="shared" si="4"/>
        <v>17.286000000000001</v>
      </c>
      <c r="G23" s="19">
        <f t="shared" si="5"/>
        <v>17.242999999999999</v>
      </c>
      <c r="H23" s="19">
        <f t="shared" si="6"/>
        <v>22.355</v>
      </c>
      <c r="I23" s="19">
        <f t="shared" si="7"/>
        <v>22.397500000000001</v>
      </c>
      <c r="J23" s="19">
        <f t="shared" si="8"/>
        <v>21.21</v>
      </c>
      <c r="K23" s="20">
        <f t="shared" si="9"/>
        <v>8.5905000000000005</v>
      </c>
      <c r="L23" s="18">
        <f t="shared" si="10"/>
        <v>21.465</v>
      </c>
      <c r="M23" s="19">
        <f t="shared" si="11"/>
        <v>20.401499999999999</v>
      </c>
      <c r="N23" s="19">
        <f t="shared" si="12"/>
        <v>23.011500000000002</v>
      </c>
      <c r="O23" s="19">
        <f t="shared" si="13"/>
        <v>19.521999999999998</v>
      </c>
      <c r="P23" s="19">
        <f t="shared" si="14"/>
        <v>19.5075</v>
      </c>
      <c r="Q23" s="20">
        <f t="shared" si="15"/>
        <v>12.726000000000001</v>
      </c>
      <c r="R23" s="61">
        <f t="shared" si="16"/>
        <v>10.813499999999999</v>
      </c>
      <c r="S23" s="19">
        <f t="shared" si="17"/>
        <v>25.317</v>
      </c>
      <c r="T23" s="19">
        <f t="shared" si="18"/>
        <v>21.93</v>
      </c>
      <c r="U23" s="19">
        <f t="shared" si="19"/>
        <v>22.524999999999999</v>
      </c>
      <c r="V23" s="19">
        <f t="shared" si="20"/>
        <v>19.878499999999999</v>
      </c>
      <c r="W23" s="19">
        <f t="shared" si="21"/>
        <v>11.786</v>
      </c>
      <c r="X23" s="98">
        <f>SUM(B23:W23)</f>
        <v>424.93549999999993</v>
      </c>
      <c r="Z23" s="2"/>
      <c r="AA23" s="15"/>
    </row>
    <row r="24" spans="1:34" ht="39.950000000000003" customHeight="1" thickBot="1" x14ac:dyDescent="0.3">
      <c r="A24" s="96" t="s">
        <v>23</v>
      </c>
      <c r="B24" s="153">
        <f t="shared" si="0"/>
        <v>23.895</v>
      </c>
      <c r="C24" s="154">
        <f t="shared" si="1"/>
        <v>18.27</v>
      </c>
      <c r="D24" s="154">
        <f t="shared" si="2"/>
        <v>22.4025</v>
      </c>
      <c r="E24" s="154">
        <f t="shared" si="3"/>
        <v>22.4025</v>
      </c>
      <c r="F24" s="154">
        <f t="shared" si="4"/>
        <v>17.286000000000001</v>
      </c>
      <c r="G24" s="154">
        <f t="shared" si="5"/>
        <v>17.242999999999999</v>
      </c>
      <c r="H24" s="154">
        <f t="shared" si="6"/>
        <v>22.355</v>
      </c>
      <c r="I24" s="154">
        <f t="shared" si="7"/>
        <v>22.397500000000001</v>
      </c>
      <c r="J24" s="154">
        <f t="shared" si="8"/>
        <v>21.21</v>
      </c>
      <c r="K24" s="20">
        <f t="shared" si="9"/>
        <v>8.5905000000000005</v>
      </c>
      <c r="L24" s="153">
        <f t="shared" si="10"/>
        <v>21.465</v>
      </c>
      <c r="M24" s="154">
        <f t="shared" si="11"/>
        <v>20.401499999999999</v>
      </c>
      <c r="N24" s="154">
        <f t="shared" si="12"/>
        <v>23.011500000000002</v>
      </c>
      <c r="O24" s="154">
        <f t="shared" si="13"/>
        <v>19.521999999999998</v>
      </c>
      <c r="P24" s="19">
        <f t="shared" si="14"/>
        <v>19.5075</v>
      </c>
      <c r="Q24" s="20">
        <f t="shared" si="15"/>
        <v>12.726000000000001</v>
      </c>
      <c r="R24" s="61">
        <f t="shared" si="16"/>
        <v>10.813499999999999</v>
      </c>
      <c r="S24" s="19">
        <f t="shared" si="17"/>
        <v>25.317</v>
      </c>
      <c r="T24" s="19">
        <f t="shared" si="18"/>
        <v>21.93</v>
      </c>
      <c r="U24" s="19">
        <f t="shared" si="19"/>
        <v>22.524999999999999</v>
      </c>
      <c r="V24" s="19">
        <f t="shared" si="20"/>
        <v>19.878499999999999</v>
      </c>
      <c r="W24" s="19">
        <f t="shared" si="21"/>
        <v>11.786</v>
      </c>
      <c r="X24" s="98">
        <f>SUM(B24:W24)</f>
        <v>424.93549999999993</v>
      </c>
      <c r="Z24" s="2"/>
    </row>
    <row r="25" spans="1:34" ht="41.45" customHeight="1" x14ac:dyDescent="0.25">
      <c r="A25" s="126" t="s">
        <v>9</v>
      </c>
      <c r="B25" s="131">
        <f t="shared" ref="B25:I25" si="22">SUM(B18:B24)</f>
        <v>167.26500000000001</v>
      </c>
      <c r="C25" s="128">
        <f t="shared" si="22"/>
        <v>127.88999999999999</v>
      </c>
      <c r="D25" s="128">
        <f t="shared" si="22"/>
        <v>156.8175</v>
      </c>
      <c r="E25" s="128">
        <f t="shared" si="22"/>
        <v>156.8175</v>
      </c>
      <c r="F25" s="128">
        <f t="shared" si="22"/>
        <v>121.00200000000001</v>
      </c>
      <c r="G25" s="128">
        <f>SUM(G18:G24)</f>
        <v>120.70099999999998</v>
      </c>
      <c r="H25" s="128">
        <f t="shared" si="22"/>
        <v>156.48499999999999</v>
      </c>
      <c r="I25" s="128">
        <f t="shared" si="22"/>
        <v>156.78250000000003</v>
      </c>
      <c r="J25" s="129">
        <f t="shared" ref="J25:W25" si="23">SUM(J18:J24)</f>
        <v>148.47000000000003</v>
      </c>
      <c r="K25" s="129">
        <f t="shared" si="23"/>
        <v>60.133499999999998</v>
      </c>
      <c r="L25" s="131">
        <f t="shared" si="23"/>
        <v>150.255</v>
      </c>
      <c r="M25" s="128">
        <f t="shared" si="23"/>
        <v>142.81049999999999</v>
      </c>
      <c r="N25" s="128">
        <f t="shared" si="23"/>
        <v>161.08050000000003</v>
      </c>
      <c r="O25" s="128">
        <f t="shared" si="23"/>
        <v>136.65399999999997</v>
      </c>
      <c r="P25" s="128">
        <f t="shared" si="23"/>
        <v>136.55249999999998</v>
      </c>
      <c r="Q25" s="129">
        <f t="shared" si="23"/>
        <v>89.082000000000008</v>
      </c>
      <c r="R25" s="133">
        <f t="shared" si="23"/>
        <v>75.694500000000005</v>
      </c>
      <c r="S25" s="134">
        <f t="shared" si="23"/>
        <v>177.21900000000002</v>
      </c>
      <c r="T25" s="134">
        <f t="shared" si="23"/>
        <v>153.51000000000002</v>
      </c>
      <c r="U25" s="134">
        <f t="shared" si="23"/>
        <v>157.67500000000001</v>
      </c>
      <c r="V25" s="134">
        <f t="shared" si="23"/>
        <v>139.14949999999999</v>
      </c>
      <c r="W25" s="156">
        <f t="shared" si="23"/>
        <v>82.501999999999995</v>
      </c>
      <c r="X25" s="98">
        <f>SUM(B25:W25)</f>
        <v>2974.5484999999999</v>
      </c>
    </row>
    <row r="26" spans="1:34" s="2" customFormat="1" ht="36.75" customHeight="1" x14ac:dyDescent="0.25">
      <c r="A26" s="70" t="s">
        <v>11</v>
      </c>
      <c r="B26" s="23">
        <v>45</v>
      </c>
      <c r="C26" s="63">
        <v>43.5</v>
      </c>
      <c r="D26" s="63">
        <v>43.5</v>
      </c>
      <c r="E26" s="63">
        <v>43.5</v>
      </c>
      <c r="F26" s="63">
        <v>43</v>
      </c>
      <c r="G26" s="63">
        <v>43</v>
      </c>
      <c r="H26" s="63">
        <v>42.5</v>
      </c>
      <c r="I26" s="63">
        <v>42.5</v>
      </c>
      <c r="J26" s="63">
        <v>42</v>
      </c>
      <c r="K26" s="155">
        <v>41.5</v>
      </c>
      <c r="L26" s="23">
        <v>45</v>
      </c>
      <c r="M26" s="63">
        <v>43.5</v>
      </c>
      <c r="N26" s="63">
        <v>43.5</v>
      </c>
      <c r="O26" s="63">
        <v>43</v>
      </c>
      <c r="P26" s="63">
        <v>42.5</v>
      </c>
      <c r="Q26" s="155">
        <v>42</v>
      </c>
      <c r="R26" s="23">
        <v>44.5</v>
      </c>
      <c r="S26" s="63">
        <v>43.5</v>
      </c>
      <c r="T26" s="63">
        <v>43</v>
      </c>
      <c r="U26" s="63">
        <v>42.5</v>
      </c>
      <c r="V26" s="63">
        <v>41.5</v>
      </c>
      <c r="W26" s="155">
        <v>41.5</v>
      </c>
      <c r="X26" s="99">
        <f>((X25/X27)/7)*1000</f>
        <v>43.061967977300363</v>
      </c>
    </row>
    <row r="27" spans="1:34" s="2" customFormat="1" ht="33" customHeight="1" x14ac:dyDescent="0.25">
      <c r="A27" s="71" t="s">
        <v>12</v>
      </c>
      <c r="B27" s="26">
        <v>531</v>
      </c>
      <c r="C27" s="27">
        <v>420</v>
      </c>
      <c r="D27" s="27">
        <v>515</v>
      </c>
      <c r="E27" s="27">
        <v>515</v>
      </c>
      <c r="F27" s="27">
        <v>402</v>
      </c>
      <c r="G27" s="27">
        <v>401</v>
      </c>
      <c r="H27" s="27">
        <v>526</v>
      </c>
      <c r="I27" s="27">
        <v>527</v>
      </c>
      <c r="J27" s="28">
        <v>505</v>
      </c>
      <c r="K27" s="28">
        <v>207</v>
      </c>
      <c r="L27" s="26">
        <v>477</v>
      </c>
      <c r="M27" s="27">
        <v>469</v>
      </c>
      <c r="N27" s="27">
        <v>529</v>
      </c>
      <c r="O27" s="27">
        <v>454</v>
      </c>
      <c r="P27" s="27">
        <v>459</v>
      </c>
      <c r="Q27" s="28">
        <v>303</v>
      </c>
      <c r="R27" s="26">
        <v>243</v>
      </c>
      <c r="S27" s="27">
        <v>582</v>
      </c>
      <c r="T27" s="27">
        <v>510</v>
      </c>
      <c r="U27" s="27">
        <v>530</v>
      </c>
      <c r="V27" s="27">
        <v>479</v>
      </c>
      <c r="W27" s="28">
        <v>284</v>
      </c>
      <c r="X27" s="29">
        <f>SUM(B27,C27,D27,E27,F27,G27,H27,I27,J27,K27,L27,M27,N27,O27,P27,Q27,R27,S27,T27,U27,V27,W27)</f>
        <v>9868</v>
      </c>
      <c r="Y27" s="2">
        <f>((X25*1000)/X27)/7</f>
        <v>43.061967977300363</v>
      </c>
    </row>
    <row r="28" spans="1:34" s="2" customFormat="1" ht="33" customHeight="1" x14ac:dyDescent="0.25">
      <c r="A28" s="72" t="s">
        <v>13</v>
      </c>
      <c r="B28" s="30">
        <f>(B27*B26)/1000</f>
        <v>23.895</v>
      </c>
      <c r="C28" s="31">
        <f>(C27*C26)/1000</f>
        <v>18.27</v>
      </c>
      <c r="D28" s="31">
        <f>(D27*D26)/1000</f>
        <v>22.4025</v>
      </c>
      <c r="E28" s="31">
        <f>(E27*E26)/1000</f>
        <v>22.4025</v>
      </c>
      <c r="F28" s="31">
        <f>(F27*F26)/1000</f>
        <v>17.286000000000001</v>
      </c>
      <c r="G28" s="31">
        <f t="shared" ref="G28:W28" si="24">(G27*G26)/1000</f>
        <v>17.242999999999999</v>
      </c>
      <c r="H28" s="31">
        <f t="shared" si="24"/>
        <v>22.355</v>
      </c>
      <c r="I28" s="31">
        <f t="shared" si="24"/>
        <v>22.397500000000001</v>
      </c>
      <c r="J28" s="32">
        <f t="shared" si="24"/>
        <v>21.21</v>
      </c>
      <c r="K28" s="32">
        <f t="shared" si="24"/>
        <v>8.5905000000000005</v>
      </c>
      <c r="L28" s="30">
        <f t="shared" si="24"/>
        <v>21.465</v>
      </c>
      <c r="M28" s="31">
        <f t="shared" si="24"/>
        <v>20.401499999999999</v>
      </c>
      <c r="N28" s="31">
        <f t="shared" si="24"/>
        <v>23.011500000000002</v>
      </c>
      <c r="O28" s="31">
        <f t="shared" si="24"/>
        <v>19.521999999999998</v>
      </c>
      <c r="P28" s="31">
        <f t="shared" si="24"/>
        <v>19.5075</v>
      </c>
      <c r="Q28" s="32">
        <f t="shared" si="24"/>
        <v>12.726000000000001</v>
      </c>
      <c r="R28" s="30">
        <f t="shared" si="24"/>
        <v>10.813499999999999</v>
      </c>
      <c r="S28" s="31">
        <f t="shared" si="24"/>
        <v>25.317</v>
      </c>
      <c r="T28" s="31">
        <f t="shared" si="24"/>
        <v>21.93</v>
      </c>
      <c r="U28" s="31">
        <f t="shared" si="24"/>
        <v>22.524999999999999</v>
      </c>
      <c r="V28" s="31">
        <f t="shared" si="24"/>
        <v>19.878499999999999</v>
      </c>
      <c r="W28" s="32">
        <f t="shared" si="24"/>
        <v>11.786</v>
      </c>
      <c r="X28" s="33"/>
    </row>
    <row r="29" spans="1:34" ht="33.75" customHeight="1" x14ac:dyDescent="0.25">
      <c r="A29" s="73" t="s">
        <v>14</v>
      </c>
      <c r="B29" s="34">
        <f t="shared" ref="B29:K29" si="25">((B27*B26)*7)/1000</f>
        <v>167.26499999999999</v>
      </c>
      <c r="C29" s="35">
        <f t="shared" si="25"/>
        <v>127.89</v>
      </c>
      <c r="D29" s="35">
        <f t="shared" si="25"/>
        <v>156.8175</v>
      </c>
      <c r="E29" s="35">
        <f t="shared" si="25"/>
        <v>156.8175</v>
      </c>
      <c r="F29" s="35">
        <f t="shared" si="25"/>
        <v>121.002</v>
      </c>
      <c r="G29" s="35">
        <f t="shared" si="25"/>
        <v>120.70099999999999</v>
      </c>
      <c r="H29" s="35">
        <f t="shared" si="25"/>
        <v>156.48500000000001</v>
      </c>
      <c r="I29" s="35">
        <f t="shared" si="25"/>
        <v>156.7825</v>
      </c>
      <c r="J29" s="68">
        <f t="shared" si="25"/>
        <v>148.47</v>
      </c>
      <c r="K29" s="68">
        <f t="shared" si="25"/>
        <v>60.133499999999998</v>
      </c>
      <c r="L29" s="34">
        <f t="shared" ref="L29:W29" si="26">((L27*L26)*7)/1000</f>
        <v>150.255</v>
      </c>
      <c r="M29" s="35">
        <f t="shared" si="26"/>
        <v>142.81049999999999</v>
      </c>
      <c r="N29" s="35">
        <f t="shared" si="26"/>
        <v>161.0805</v>
      </c>
      <c r="O29" s="35">
        <f t="shared" si="26"/>
        <v>136.654</v>
      </c>
      <c r="P29" s="35">
        <f t="shared" si="26"/>
        <v>136.55250000000001</v>
      </c>
      <c r="Q29" s="68">
        <f t="shared" si="26"/>
        <v>89.081999999999994</v>
      </c>
      <c r="R29" s="34">
        <f t="shared" si="26"/>
        <v>75.694500000000005</v>
      </c>
      <c r="S29" s="35">
        <f t="shared" si="26"/>
        <v>177.21899999999999</v>
      </c>
      <c r="T29" s="35">
        <f t="shared" si="26"/>
        <v>153.51</v>
      </c>
      <c r="U29" s="35">
        <f t="shared" si="26"/>
        <v>157.67500000000001</v>
      </c>
      <c r="V29" s="35">
        <f t="shared" si="26"/>
        <v>139.14949999999999</v>
      </c>
      <c r="W29" s="68">
        <f t="shared" si="26"/>
        <v>82.501999999999995</v>
      </c>
      <c r="X29" s="36"/>
    </row>
    <row r="30" spans="1:34" ht="33.75" customHeight="1" thickBot="1" x14ac:dyDescent="0.3">
      <c r="A30" s="74" t="s">
        <v>15</v>
      </c>
      <c r="B30" s="37">
        <f t="shared" ref="B30:K30" si="27">+(B25/B27)/7*1000</f>
        <v>45</v>
      </c>
      <c r="C30" s="38">
        <f t="shared" si="27"/>
        <v>43.5</v>
      </c>
      <c r="D30" s="38">
        <f t="shared" si="27"/>
        <v>43.5</v>
      </c>
      <c r="E30" s="38">
        <f t="shared" si="27"/>
        <v>43.5</v>
      </c>
      <c r="F30" s="38">
        <f t="shared" si="27"/>
        <v>43</v>
      </c>
      <c r="G30" s="38">
        <f t="shared" si="27"/>
        <v>42.999999999999993</v>
      </c>
      <c r="H30" s="38">
        <f t="shared" si="27"/>
        <v>42.499999999999993</v>
      </c>
      <c r="I30" s="38">
        <f t="shared" si="27"/>
        <v>42.5</v>
      </c>
      <c r="J30" s="39">
        <f t="shared" si="27"/>
        <v>42</v>
      </c>
      <c r="K30" s="39">
        <f t="shared" si="27"/>
        <v>41.499999999999993</v>
      </c>
      <c r="L30" s="37">
        <f t="shared" ref="L30:W30" si="28">+(L25/L27)/7*1000</f>
        <v>45</v>
      </c>
      <c r="M30" s="38">
        <f t="shared" si="28"/>
        <v>43.5</v>
      </c>
      <c r="N30" s="38">
        <f t="shared" si="28"/>
        <v>43.500000000000007</v>
      </c>
      <c r="O30" s="38">
        <f t="shared" si="28"/>
        <v>42.999999999999993</v>
      </c>
      <c r="P30" s="38">
        <f t="shared" si="28"/>
        <v>42.499999999999986</v>
      </c>
      <c r="Q30" s="39">
        <f t="shared" si="28"/>
        <v>42</v>
      </c>
      <c r="R30" s="37">
        <f t="shared" si="28"/>
        <v>44.5</v>
      </c>
      <c r="S30" s="38">
        <f t="shared" si="28"/>
        <v>43.500000000000007</v>
      </c>
      <c r="T30" s="38">
        <f t="shared" si="28"/>
        <v>43</v>
      </c>
      <c r="U30" s="38">
        <f t="shared" si="28"/>
        <v>42.5</v>
      </c>
      <c r="V30" s="38">
        <f t="shared" si="28"/>
        <v>41.499999999999993</v>
      </c>
      <c r="W30" s="39">
        <f t="shared" si="28"/>
        <v>41.499999999999993</v>
      </c>
      <c r="X30" s="40"/>
    </row>
    <row r="31" spans="1:34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>
        <v>41.5</v>
      </c>
      <c r="AA32" s="42"/>
      <c r="AB32" s="42"/>
      <c r="AC32" s="42"/>
      <c r="AD32" s="42"/>
      <c r="AE32" s="42"/>
      <c r="AF32" s="42"/>
      <c r="AG32" s="42"/>
      <c r="AH32" s="41"/>
    </row>
    <row r="33" spans="1:34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>
        <v>41</v>
      </c>
      <c r="AA33" s="42"/>
      <c r="AB33" s="42"/>
      <c r="AC33" s="42"/>
      <c r="AD33" s="42"/>
      <c r="AE33" s="42"/>
      <c r="AF33" s="42"/>
      <c r="AG33" s="42"/>
      <c r="AH33" s="41"/>
    </row>
    <row r="34" spans="1:34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>
        <v>40.5</v>
      </c>
      <c r="AA34" s="42"/>
      <c r="AB34" s="42"/>
      <c r="AC34" s="42"/>
      <c r="AD34" s="42"/>
      <c r="AE34" s="42"/>
      <c r="AF34" s="41"/>
    </row>
    <row r="35" spans="1:34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>
        <v>40</v>
      </c>
      <c r="AA35" s="43"/>
      <c r="AB35" s="43"/>
      <c r="AC35" s="43"/>
      <c r="AD35" s="43"/>
      <c r="AE35" s="43"/>
      <c r="AF35" s="3"/>
    </row>
    <row r="36" spans="1:34" ht="33.75" customHeight="1" thickBot="1" x14ac:dyDescent="0.3">
      <c r="A36" s="69" t="s">
        <v>16</v>
      </c>
      <c r="B36" s="966" t="s">
        <v>17</v>
      </c>
      <c r="C36" s="967"/>
      <c r="D36" s="967"/>
      <c r="E36" s="967"/>
      <c r="F36" s="967"/>
      <c r="G36" s="967"/>
      <c r="H36" s="75"/>
      <c r="M36" s="44"/>
      <c r="N36" s="88" t="s">
        <v>18</v>
      </c>
      <c r="O36" s="956" t="s">
        <v>17</v>
      </c>
      <c r="P36" s="956"/>
      <c r="Q36" s="956"/>
      <c r="R36" s="956"/>
      <c r="S36" s="956"/>
      <c r="T36" s="957"/>
      <c r="U36" s="81"/>
      <c r="V36" s="45"/>
      <c r="W36" s="45"/>
      <c r="X36" s="46"/>
      <c r="Y36" s="3"/>
      <c r="Z36" s="45">
        <v>39.5</v>
      </c>
      <c r="AA36" s="45"/>
      <c r="AB36" s="45"/>
      <c r="AC36" s="3"/>
    </row>
    <row r="37" spans="1:34" ht="33.75" customHeight="1" x14ac:dyDescent="0.25">
      <c r="A37" s="80" t="s">
        <v>34</v>
      </c>
      <c r="B37" s="141"/>
      <c r="C37" s="118"/>
      <c r="D37" s="118"/>
      <c r="E37" s="118"/>
      <c r="F37" s="118"/>
      <c r="G37" s="119"/>
      <c r="H37" s="13" t="s">
        <v>9</v>
      </c>
      <c r="I37" s="47"/>
      <c r="J37" s="47"/>
      <c r="K37" s="47"/>
      <c r="L37" s="970"/>
      <c r="M37" s="970"/>
      <c r="N37" s="97" t="s">
        <v>33</v>
      </c>
      <c r="O37" s="60"/>
      <c r="P37" s="12"/>
      <c r="Q37" s="12"/>
      <c r="R37" s="12"/>
      <c r="S37" s="12"/>
      <c r="T37" s="12"/>
      <c r="U37" s="76" t="s">
        <v>9</v>
      </c>
      <c r="V37" s="47"/>
      <c r="W37" s="47"/>
      <c r="X37" s="3"/>
      <c r="Y37" s="46"/>
      <c r="Z37" s="3">
        <v>39.5</v>
      </c>
      <c r="AA37" s="45"/>
      <c r="AB37" s="45"/>
      <c r="AC37" s="45"/>
    </row>
    <row r="38" spans="1:34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6">
        <v>6</v>
      </c>
      <c r="H38" s="13"/>
      <c r="I38" s="47"/>
      <c r="J38" s="47"/>
      <c r="K38" s="47"/>
      <c r="L38" s="144"/>
      <c r="M38" s="145"/>
      <c r="N38" s="80" t="s">
        <v>10</v>
      </c>
      <c r="O38" s="60">
        <v>1</v>
      </c>
      <c r="P38" s="16">
        <v>2</v>
      </c>
      <c r="Q38" s="16">
        <v>3</v>
      </c>
      <c r="R38" s="16" t="s">
        <v>57</v>
      </c>
      <c r="S38" s="16"/>
      <c r="T38" s="16"/>
      <c r="U38" s="76"/>
      <c r="V38" s="47"/>
      <c r="W38" s="47"/>
      <c r="X38" s="48"/>
      <c r="Y38" s="48"/>
      <c r="Z38" s="2"/>
      <c r="AA38" s="2"/>
      <c r="AB38" s="2"/>
      <c r="AC38" s="2"/>
    </row>
    <row r="39" spans="1:34" ht="33.75" customHeight="1" x14ac:dyDescent="0.25">
      <c r="A39" s="96" t="s">
        <v>32</v>
      </c>
      <c r="B39" s="18">
        <f>(($B$48*$B$47)/1000)</f>
        <v>15.471500000000001</v>
      </c>
      <c r="C39" s="61">
        <f>(($C$48*$C$47)/1000)</f>
        <v>23.037500000000001</v>
      </c>
      <c r="D39" s="61">
        <f>(($D$48*$D$47)/1000)</f>
        <v>33.851999999999997</v>
      </c>
      <c r="E39" s="61">
        <f>(($E$48*$E$47)/1000)</f>
        <v>33.015000000000001</v>
      </c>
      <c r="F39" s="61">
        <f t="shared" ref="F39:F45" si="29">(($F$48*$F$47)/1000)</f>
        <v>17.927</v>
      </c>
      <c r="G39" s="61">
        <f>(($G$48*$G$47)/1000)</f>
        <v>14.7875</v>
      </c>
      <c r="H39" s="136">
        <f t="shared" ref="H39:H46" si="30">SUM(B39:G39)</f>
        <v>138.09049999999999</v>
      </c>
      <c r="I39" s="49"/>
      <c r="J39" s="49"/>
      <c r="K39" s="49"/>
      <c r="L39" s="144"/>
      <c r="M39" s="145"/>
      <c r="N39" s="96" t="s">
        <v>53</v>
      </c>
      <c r="O39" s="61">
        <f>(($O$48*$O$47)/1000)</f>
        <v>5.7949999999999999</v>
      </c>
      <c r="P39" s="61">
        <f>(($P$47*$P$48)/1000)</f>
        <v>9.8819999999999997</v>
      </c>
      <c r="Q39" s="61">
        <f>(($Q$47*$Q$48)/1000)</f>
        <v>11.59</v>
      </c>
      <c r="R39" s="61">
        <f>(($R$47*$R$48)/1000)</f>
        <v>83.68</v>
      </c>
      <c r="S39" s="61"/>
      <c r="T39" s="61"/>
      <c r="U39" s="77">
        <f t="shared" ref="U39:U46" si="31">SUM(O39:T39)</f>
        <v>110.947</v>
      </c>
      <c r="V39" s="2">
        <v>138</v>
      </c>
      <c r="W39" s="49"/>
      <c r="X39" s="48"/>
      <c r="Y39" s="48"/>
      <c r="Z39" s="2"/>
      <c r="AA39" s="2"/>
      <c r="AB39" s="2"/>
      <c r="AC39" s="2"/>
    </row>
    <row r="40" spans="1:34" ht="33.75" customHeight="1" x14ac:dyDescent="0.25">
      <c r="A40" s="96" t="s">
        <v>24</v>
      </c>
      <c r="B40" s="18">
        <f t="shared" ref="B40:B45" si="32">(($B$48*$B$47)/1000)</f>
        <v>15.471500000000001</v>
      </c>
      <c r="C40" s="61">
        <f t="shared" ref="C40:C45" si="33">(($C$48*$C$47)/1000)</f>
        <v>23.037500000000001</v>
      </c>
      <c r="D40" s="61">
        <f t="shared" ref="D40:D45" si="34">(($D$48*$D$47)/1000)</f>
        <v>33.851999999999997</v>
      </c>
      <c r="E40" s="61">
        <f t="shared" ref="E40:E45" si="35">(($E$48*$E$47)/1000)</f>
        <v>33.015000000000001</v>
      </c>
      <c r="F40" s="61">
        <f t="shared" si="29"/>
        <v>17.927</v>
      </c>
      <c r="G40" s="61">
        <f t="shared" ref="G40:G45" si="36">(($G$48*$G$47)/1000)</f>
        <v>14.7875</v>
      </c>
      <c r="H40" s="136">
        <f t="shared" si="30"/>
        <v>138.09049999999999</v>
      </c>
      <c r="I40" s="49"/>
      <c r="J40" s="49"/>
      <c r="K40" s="49"/>
      <c r="L40" s="144"/>
      <c r="M40" s="145"/>
      <c r="N40" s="96" t="s">
        <v>24</v>
      </c>
      <c r="O40" s="61">
        <f t="shared" ref="O40:O45" si="37">(($O$48*$O$47)/1000)</f>
        <v>5.7949999999999999</v>
      </c>
      <c r="P40" s="61">
        <f t="shared" ref="P40:P45" si="38">(($P$47*$P$48)/1000)</f>
        <v>9.8819999999999997</v>
      </c>
      <c r="Q40" s="61">
        <f t="shared" ref="Q40:Q45" si="39">(($Q$47*$Q$48)/1000)</f>
        <v>11.59</v>
      </c>
      <c r="R40" s="61">
        <f t="shared" ref="R40:R45" si="40">(($R$47*$R$48)/1000)</f>
        <v>83.68</v>
      </c>
      <c r="S40" s="61"/>
      <c r="T40" s="61"/>
      <c r="U40" s="77">
        <f t="shared" si="31"/>
        <v>110.947</v>
      </c>
      <c r="V40" s="2">
        <v>138</v>
      </c>
      <c r="W40" s="49"/>
      <c r="X40" s="48"/>
      <c r="Y40" s="48"/>
      <c r="Z40" s="2"/>
      <c r="AA40" s="2"/>
      <c r="AB40" s="2"/>
      <c r="AC40" s="2"/>
    </row>
    <row r="41" spans="1:34" ht="33.75" customHeight="1" x14ac:dyDescent="0.25">
      <c r="A41" s="96" t="s">
        <v>20</v>
      </c>
      <c r="B41" s="18">
        <f t="shared" si="32"/>
        <v>15.471500000000001</v>
      </c>
      <c r="C41" s="61">
        <f t="shared" si="33"/>
        <v>23.037500000000001</v>
      </c>
      <c r="D41" s="61">
        <f t="shared" si="34"/>
        <v>33.851999999999997</v>
      </c>
      <c r="E41" s="61">
        <f t="shared" si="35"/>
        <v>33.015000000000001</v>
      </c>
      <c r="F41" s="61">
        <f t="shared" si="29"/>
        <v>17.927</v>
      </c>
      <c r="G41" s="61">
        <f t="shared" si="36"/>
        <v>14.7875</v>
      </c>
      <c r="H41" s="136">
        <f t="shared" si="30"/>
        <v>138.09049999999999</v>
      </c>
      <c r="I41" s="49"/>
      <c r="J41" s="49"/>
      <c r="K41" s="49"/>
      <c r="L41" s="144"/>
      <c r="M41" s="145"/>
      <c r="N41" s="96" t="s">
        <v>20</v>
      </c>
      <c r="O41" s="61">
        <f t="shared" si="37"/>
        <v>5.7949999999999999</v>
      </c>
      <c r="P41" s="61">
        <f t="shared" si="38"/>
        <v>9.8819999999999997</v>
      </c>
      <c r="Q41" s="61">
        <f t="shared" si="39"/>
        <v>11.59</v>
      </c>
      <c r="R41" s="61">
        <f t="shared" si="40"/>
        <v>83.68</v>
      </c>
      <c r="S41" s="61"/>
      <c r="T41" s="19"/>
      <c r="U41" s="77">
        <f t="shared" si="31"/>
        <v>110.947</v>
      </c>
      <c r="V41" s="90">
        <v>57</v>
      </c>
      <c r="W41" s="147">
        <v>571.20000000000005</v>
      </c>
      <c r="X41" s="48"/>
      <c r="Y41" s="48"/>
      <c r="Z41" s="2"/>
      <c r="AA41" s="2"/>
      <c r="AB41" s="2"/>
      <c r="AC41" s="2"/>
    </row>
    <row r="42" spans="1:34" ht="33.75" customHeight="1" x14ac:dyDescent="0.25">
      <c r="A42" s="96" t="s">
        <v>28</v>
      </c>
      <c r="B42" s="18">
        <f t="shared" si="32"/>
        <v>15.471500000000001</v>
      </c>
      <c r="C42" s="61">
        <f t="shared" si="33"/>
        <v>23.037500000000001</v>
      </c>
      <c r="D42" s="61">
        <f t="shared" si="34"/>
        <v>33.851999999999997</v>
      </c>
      <c r="E42" s="61">
        <f t="shared" si="35"/>
        <v>33.015000000000001</v>
      </c>
      <c r="F42" s="61">
        <f t="shared" si="29"/>
        <v>17.927</v>
      </c>
      <c r="G42" s="61">
        <f t="shared" si="36"/>
        <v>14.7875</v>
      </c>
      <c r="H42" s="136">
        <f t="shared" si="30"/>
        <v>138.09049999999999</v>
      </c>
      <c r="I42" s="49"/>
      <c r="J42" s="49"/>
      <c r="K42" s="49"/>
      <c r="L42" s="144"/>
      <c r="M42" s="145"/>
      <c r="N42" s="96" t="s">
        <v>28</v>
      </c>
      <c r="O42" s="61">
        <f t="shared" si="37"/>
        <v>5.7949999999999999</v>
      </c>
      <c r="P42" s="61">
        <f t="shared" si="38"/>
        <v>9.8819999999999997</v>
      </c>
      <c r="Q42" s="61">
        <f t="shared" si="39"/>
        <v>11.59</v>
      </c>
      <c r="R42" s="61">
        <f t="shared" si="40"/>
        <v>83.68</v>
      </c>
      <c r="S42" s="61"/>
      <c r="T42" s="61"/>
      <c r="U42" s="77">
        <f t="shared" si="31"/>
        <v>110.947</v>
      </c>
      <c r="V42" s="90">
        <v>58</v>
      </c>
      <c r="W42" s="147"/>
      <c r="X42" s="48"/>
      <c r="Y42" s="48"/>
      <c r="Z42" s="2"/>
      <c r="AA42" s="2"/>
      <c r="AB42" s="2"/>
      <c r="AC42" s="2"/>
    </row>
    <row r="43" spans="1:34" ht="33.75" customHeight="1" x14ac:dyDescent="0.25">
      <c r="A43" s="96" t="s">
        <v>21</v>
      </c>
      <c r="B43" s="18">
        <f t="shared" si="32"/>
        <v>15.471500000000001</v>
      </c>
      <c r="C43" s="61">
        <f t="shared" si="33"/>
        <v>23.037500000000001</v>
      </c>
      <c r="D43" s="61">
        <f t="shared" si="34"/>
        <v>33.851999999999997</v>
      </c>
      <c r="E43" s="61">
        <f t="shared" si="35"/>
        <v>33.015000000000001</v>
      </c>
      <c r="F43" s="61">
        <f t="shared" si="29"/>
        <v>17.927</v>
      </c>
      <c r="G43" s="61">
        <f t="shared" si="36"/>
        <v>14.7875</v>
      </c>
      <c r="H43" s="136">
        <f t="shared" si="30"/>
        <v>138.09049999999999</v>
      </c>
      <c r="I43" s="49"/>
      <c r="J43" s="49"/>
      <c r="K43" s="49"/>
      <c r="L43" s="144"/>
      <c r="M43" s="145"/>
      <c r="N43" s="96" t="s">
        <v>21</v>
      </c>
      <c r="O43" s="61">
        <f t="shared" si="37"/>
        <v>5.7949999999999999</v>
      </c>
      <c r="P43" s="61">
        <f t="shared" si="38"/>
        <v>9.8819999999999997</v>
      </c>
      <c r="Q43" s="61">
        <f t="shared" si="39"/>
        <v>11.59</v>
      </c>
      <c r="R43" s="61">
        <f t="shared" si="40"/>
        <v>83.68</v>
      </c>
      <c r="S43" s="61"/>
      <c r="T43" s="61"/>
      <c r="U43" s="77">
        <f t="shared" si="31"/>
        <v>110.947</v>
      </c>
      <c r="V43" s="90">
        <v>58.5</v>
      </c>
      <c r="W43" s="147"/>
      <c r="X43" s="48"/>
      <c r="Y43" s="48"/>
      <c r="Z43" s="2"/>
      <c r="AA43" s="2"/>
      <c r="AB43" s="2"/>
      <c r="AC43" s="2"/>
    </row>
    <row r="44" spans="1:34" ht="33.75" customHeight="1" x14ac:dyDescent="0.25">
      <c r="A44" s="96" t="s">
        <v>22</v>
      </c>
      <c r="B44" s="18">
        <f t="shared" si="32"/>
        <v>15.471500000000001</v>
      </c>
      <c r="C44" s="61">
        <f t="shared" si="33"/>
        <v>23.037500000000001</v>
      </c>
      <c r="D44" s="61">
        <f t="shared" si="34"/>
        <v>33.851999999999997</v>
      </c>
      <c r="E44" s="61">
        <f t="shared" si="35"/>
        <v>33.015000000000001</v>
      </c>
      <c r="F44" s="61">
        <f t="shared" si="29"/>
        <v>17.927</v>
      </c>
      <c r="G44" s="61">
        <f t="shared" si="36"/>
        <v>14.7875</v>
      </c>
      <c r="H44" s="136">
        <f t="shared" si="30"/>
        <v>138.09049999999999</v>
      </c>
      <c r="I44" s="49"/>
      <c r="J44" s="49"/>
      <c r="K44" s="49"/>
      <c r="L44" s="144"/>
      <c r="M44" s="145"/>
      <c r="N44" s="96" t="s">
        <v>22</v>
      </c>
      <c r="O44" s="61">
        <f t="shared" si="37"/>
        <v>5.7949999999999999</v>
      </c>
      <c r="P44" s="61">
        <f t="shared" si="38"/>
        <v>9.8819999999999997</v>
      </c>
      <c r="Q44" s="61">
        <f t="shared" si="39"/>
        <v>11.59</v>
      </c>
      <c r="R44" s="61">
        <f t="shared" si="40"/>
        <v>83.68</v>
      </c>
      <c r="S44" s="61"/>
      <c r="T44" s="61"/>
      <c r="U44" s="77">
        <f t="shared" si="31"/>
        <v>110.947</v>
      </c>
      <c r="V44" s="90">
        <v>60</v>
      </c>
      <c r="W44" s="147"/>
      <c r="X44" s="48"/>
      <c r="Y44" s="48"/>
      <c r="Z44" s="2"/>
      <c r="AA44" s="2"/>
      <c r="AB44" s="2"/>
      <c r="AC44" s="2"/>
    </row>
    <row r="45" spans="1:34" ht="33.75" customHeight="1" x14ac:dyDescent="0.25">
      <c r="A45" s="96" t="s">
        <v>32</v>
      </c>
      <c r="B45" s="18">
        <f t="shared" si="32"/>
        <v>15.471500000000001</v>
      </c>
      <c r="C45" s="61">
        <f t="shared" si="33"/>
        <v>23.037500000000001</v>
      </c>
      <c r="D45" s="61">
        <f t="shared" si="34"/>
        <v>33.851999999999997</v>
      </c>
      <c r="E45" s="61">
        <f t="shared" si="35"/>
        <v>33.015000000000001</v>
      </c>
      <c r="F45" s="61">
        <f t="shared" si="29"/>
        <v>17.927</v>
      </c>
      <c r="G45" s="61">
        <f t="shared" si="36"/>
        <v>14.7875</v>
      </c>
      <c r="H45" s="136">
        <f t="shared" si="30"/>
        <v>138.09049999999999</v>
      </c>
      <c r="I45" s="49"/>
      <c r="J45" s="49"/>
      <c r="K45" s="49"/>
      <c r="L45" s="144"/>
      <c r="M45" s="145"/>
      <c r="N45" s="96" t="s">
        <v>23</v>
      </c>
      <c r="O45" s="61">
        <f t="shared" si="37"/>
        <v>5.7949999999999999</v>
      </c>
      <c r="P45" s="61">
        <f t="shared" si="38"/>
        <v>9.8819999999999997</v>
      </c>
      <c r="Q45" s="61">
        <f t="shared" si="39"/>
        <v>11.59</v>
      </c>
      <c r="R45" s="61">
        <f t="shared" si="40"/>
        <v>83.68</v>
      </c>
      <c r="S45" s="61"/>
      <c r="T45" s="61"/>
      <c r="U45" s="77">
        <f t="shared" si="31"/>
        <v>110.947</v>
      </c>
      <c r="V45" s="90">
        <v>62</v>
      </c>
      <c r="W45" s="147"/>
      <c r="X45" s="48"/>
      <c r="Y45" s="48"/>
      <c r="Z45" s="48"/>
      <c r="AA45" s="48"/>
      <c r="AB45" s="2"/>
      <c r="AC45" s="2"/>
      <c r="AD45" s="2"/>
      <c r="AE45" s="2"/>
    </row>
    <row r="46" spans="1:34" ht="33.75" customHeight="1" x14ac:dyDescent="0.25">
      <c r="A46" s="80" t="s">
        <v>9</v>
      </c>
      <c r="B46" s="21">
        <f t="shared" ref="B46:G46" si="41">SUM(B39:B45)</f>
        <v>108.30050000000001</v>
      </c>
      <c r="C46" s="22">
        <f t="shared" si="41"/>
        <v>161.26249999999999</v>
      </c>
      <c r="D46" s="22">
        <f t="shared" si="41"/>
        <v>236.964</v>
      </c>
      <c r="E46" s="22">
        <f t="shared" si="41"/>
        <v>231.10499999999996</v>
      </c>
      <c r="F46" s="22">
        <f t="shared" si="41"/>
        <v>125.48899999999998</v>
      </c>
      <c r="G46" s="22">
        <f t="shared" si="41"/>
        <v>103.51249999999999</v>
      </c>
      <c r="H46" s="136">
        <f t="shared" si="30"/>
        <v>966.63349999999991</v>
      </c>
      <c r="I46" s="49"/>
      <c r="J46" s="49"/>
      <c r="K46" s="49"/>
      <c r="L46" s="49"/>
      <c r="N46" s="80" t="s">
        <v>9</v>
      </c>
      <c r="O46" s="61">
        <f>SUM(O39:O45)</f>
        <v>40.565000000000005</v>
      </c>
      <c r="P46" s="61">
        <f>SUM(P39:P45)</f>
        <v>69.173999999999992</v>
      </c>
      <c r="Q46" s="61">
        <f>SUM(Q39:Q45)</f>
        <v>81.13000000000001</v>
      </c>
      <c r="R46" s="61">
        <f>SUM(R39:R45)</f>
        <v>585.76</v>
      </c>
      <c r="S46" s="22"/>
      <c r="T46" s="22"/>
      <c r="U46" s="77">
        <f t="shared" si="31"/>
        <v>776.62900000000002</v>
      </c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4" ht="33.75" customHeight="1" x14ac:dyDescent="0.25">
      <c r="A47" s="70" t="s">
        <v>11</v>
      </c>
      <c r="B47" s="23">
        <v>48.5</v>
      </c>
      <c r="C47" s="24">
        <v>47.5</v>
      </c>
      <c r="D47" s="24">
        <v>46.5</v>
      </c>
      <c r="E47" s="24">
        <v>46.5</v>
      </c>
      <c r="F47" s="24">
        <v>45.5</v>
      </c>
      <c r="G47" s="24">
        <v>45.5</v>
      </c>
      <c r="H47" s="137">
        <f>+((H46/H48)/7)*1000</f>
        <v>46.636440391759535</v>
      </c>
      <c r="I47" s="109"/>
      <c r="J47" s="109"/>
      <c r="K47" s="109"/>
      <c r="L47" s="49"/>
      <c r="N47" s="93" t="s">
        <v>11</v>
      </c>
      <c r="O47" s="63">
        <v>61</v>
      </c>
      <c r="P47" s="24">
        <v>61</v>
      </c>
      <c r="Q47" s="24">
        <v>61</v>
      </c>
      <c r="R47" s="24">
        <v>40</v>
      </c>
      <c r="S47" s="24"/>
      <c r="T47" s="24"/>
      <c r="U47" s="78">
        <f>+((U46/U48)/7)*1000</f>
        <v>43.697124852304057</v>
      </c>
      <c r="V47" s="50"/>
      <c r="W47" s="50"/>
    </row>
    <row r="48" spans="1:34" ht="33.75" customHeight="1" x14ac:dyDescent="0.25">
      <c r="A48" s="71" t="s">
        <v>12</v>
      </c>
      <c r="B48" s="26">
        <v>319</v>
      </c>
      <c r="C48" s="27">
        <v>485</v>
      </c>
      <c r="D48" s="27">
        <v>728</v>
      </c>
      <c r="E48" s="27">
        <v>710</v>
      </c>
      <c r="F48" s="27">
        <v>394</v>
      </c>
      <c r="G48" s="27">
        <v>325</v>
      </c>
      <c r="H48" s="138">
        <f>SUM(B48:G48)</f>
        <v>2961</v>
      </c>
      <c r="I48" s="110"/>
      <c r="J48" s="110"/>
      <c r="K48" s="110"/>
      <c r="L48" s="49"/>
      <c r="M48" s="51"/>
      <c r="N48" s="71" t="s">
        <v>12</v>
      </c>
      <c r="O48" s="79">
        <v>95</v>
      </c>
      <c r="P48" s="79">
        <v>162</v>
      </c>
      <c r="Q48" s="79">
        <v>190</v>
      </c>
      <c r="R48" s="79">
        <v>2092</v>
      </c>
      <c r="S48" s="79"/>
      <c r="T48" s="79"/>
      <c r="U48" s="82">
        <f>SUM(O48:S48)</f>
        <v>2539</v>
      </c>
      <c r="V48" s="52"/>
      <c r="W48" s="52"/>
    </row>
    <row r="49" spans="1:35" ht="33.75" customHeight="1" x14ac:dyDescent="0.25">
      <c r="A49" s="72" t="s">
        <v>13</v>
      </c>
      <c r="B49" s="30">
        <f t="shared" ref="B49:G49" si="42">(B48*B47)/1000</f>
        <v>15.471500000000001</v>
      </c>
      <c r="C49" s="31">
        <f t="shared" si="42"/>
        <v>23.037500000000001</v>
      </c>
      <c r="D49" s="31">
        <f t="shared" si="42"/>
        <v>33.851999999999997</v>
      </c>
      <c r="E49" s="31">
        <f t="shared" si="42"/>
        <v>33.015000000000001</v>
      </c>
      <c r="F49" s="31">
        <f t="shared" si="42"/>
        <v>17.927</v>
      </c>
      <c r="G49" s="31">
        <f t="shared" si="42"/>
        <v>14.7875</v>
      </c>
      <c r="H49" s="139">
        <f>((H46*1000)/H48)/7</f>
        <v>46.636440391759535</v>
      </c>
      <c r="I49" s="111"/>
      <c r="J49" s="111"/>
      <c r="K49" s="111"/>
      <c r="L49" s="49"/>
      <c r="N49" s="72" t="s">
        <v>13</v>
      </c>
      <c r="O49" s="65">
        <v>81.569999999999993</v>
      </c>
      <c r="P49" s="65">
        <v>81.569999999999993</v>
      </c>
      <c r="Q49" s="65">
        <v>81.569999999999993</v>
      </c>
      <c r="R49" s="65">
        <v>81.569999999999993</v>
      </c>
      <c r="S49" s="31"/>
      <c r="T49" s="31"/>
      <c r="U49" s="83">
        <f>((U46*1000)/U48)/7</f>
        <v>43.697124852304057</v>
      </c>
      <c r="V49" s="52"/>
      <c r="W49" s="52"/>
    </row>
    <row r="50" spans="1:35" ht="33.75" customHeight="1" x14ac:dyDescent="0.25">
      <c r="A50" s="73" t="s">
        <v>14</v>
      </c>
      <c r="B50" s="34">
        <f t="shared" ref="B50:G50" si="43">((B48*B47)*7)/1000</f>
        <v>108.3005</v>
      </c>
      <c r="C50" s="35">
        <f t="shared" si="43"/>
        <v>161.26249999999999</v>
      </c>
      <c r="D50" s="35">
        <f t="shared" si="43"/>
        <v>236.964</v>
      </c>
      <c r="E50" s="35">
        <f t="shared" si="43"/>
        <v>231.10499999999999</v>
      </c>
      <c r="F50" s="35">
        <f t="shared" si="43"/>
        <v>125.489</v>
      </c>
      <c r="G50" s="35">
        <f t="shared" si="43"/>
        <v>103.5125</v>
      </c>
      <c r="H50" s="112"/>
      <c r="I50" s="41"/>
      <c r="J50" s="41"/>
      <c r="K50" s="41"/>
      <c r="L50" s="49"/>
      <c r="N50" s="73" t="s">
        <v>14</v>
      </c>
      <c r="O50" s="66">
        <f>((O48*O47)*7)/1000</f>
        <v>40.564999999999998</v>
      </c>
      <c r="P50" s="66">
        <f>((P48*P47)*7)/1000</f>
        <v>69.174000000000007</v>
      </c>
      <c r="Q50" s="66">
        <f>((Q48*Q47)*7)/1000</f>
        <v>81.13</v>
      </c>
      <c r="R50" s="66">
        <f>((R48*R47)*7)/1000</f>
        <v>585.76</v>
      </c>
      <c r="S50" s="35"/>
      <c r="T50" s="35"/>
      <c r="U50" s="84"/>
    </row>
    <row r="51" spans="1:35" ht="33.75" customHeight="1" thickBot="1" x14ac:dyDescent="0.3">
      <c r="A51" s="74" t="s">
        <v>15</v>
      </c>
      <c r="B51" s="37">
        <f t="shared" ref="B51:G51" si="44">+(B46/B48)/7*1000</f>
        <v>48.5</v>
      </c>
      <c r="C51" s="38">
        <f t="shared" si="44"/>
        <v>47.499999999999993</v>
      </c>
      <c r="D51" s="38">
        <f t="shared" si="44"/>
        <v>46.5</v>
      </c>
      <c r="E51" s="38">
        <f t="shared" si="44"/>
        <v>46.499999999999993</v>
      </c>
      <c r="F51" s="38">
        <f t="shared" si="44"/>
        <v>45.499999999999993</v>
      </c>
      <c r="G51" s="38">
        <f t="shared" si="44"/>
        <v>45.499999999999993</v>
      </c>
      <c r="H51" s="140"/>
      <c r="I51" s="41"/>
      <c r="J51" s="41"/>
      <c r="K51" s="41"/>
      <c r="L51" s="49"/>
      <c r="M51" s="41"/>
      <c r="N51" s="74" t="s">
        <v>15</v>
      </c>
      <c r="O51" s="67">
        <f>+(O46/O48)/7*1000</f>
        <v>61.000000000000007</v>
      </c>
      <c r="P51" s="67">
        <f>+(P46/P48)/7*1000</f>
        <v>60.999999999999993</v>
      </c>
      <c r="Q51" s="67">
        <f>+(Q46/Q48)/7*1000</f>
        <v>61.000000000000007</v>
      </c>
      <c r="R51" s="67">
        <f>+(R46/R48)/7*1000</f>
        <v>39.999999999999993</v>
      </c>
      <c r="S51" s="38"/>
      <c r="T51" s="38"/>
      <c r="U51" s="39"/>
      <c r="V51" s="42"/>
      <c r="W51" s="42"/>
    </row>
    <row r="52" spans="1:35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1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2"/>
      <c r="Z52" s="2"/>
      <c r="AA52" s="2"/>
      <c r="AB52" s="2"/>
      <c r="AC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1"/>
      <c r="M53" s="42"/>
      <c r="N53" s="42"/>
      <c r="O53" s="42"/>
      <c r="P53" s="42"/>
      <c r="Q53" s="42"/>
      <c r="R53" s="42"/>
      <c r="S53" s="42"/>
      <c r="T53" s="42"/>
      <c r="U53" s="42"/>
      <c r="V53" s="43"/>
      <c r="W53" s="43"/>
      <c r="X53" s="43"/>
      <c r="Y53" s="2"/>
      <c r="Z53" s="2"/>
      <c r="AA53" s="2"/>
      <c r="AB53" s="2"/>
      <c r="AF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958"/>
      <c r="N54" s="958"/>
      <c r="O54" s="54"/>
      <c r="P54" s="54"/>
      <c r="Q54" s="54"/>
      <c r="R54" s="54"/>
      <c r="S54" s="55"/>
      <c r="X54" s="43"/>
      <c r="Y54" s="43"/>
      <c r="Z54" s="43"/>
      <c r="AA54" s="2"/>
      <c r="AB54" s="2"/>
      <c r="AC54" s="2"/>
      <c r="AD54" s="2"/>
      <c r="AF54" s="2"/>
      <c r="AG54" s="2"/>
      <c r="AH54" s="2"/>
    </row>
    <row r="55" spans="1:35" ht="33.75" customHeight="1" x14ac:dyDescent="0.25">
      <c r="A55" s="88" t="s">
        <v>19</v>
      </c>
      <c r="B55" s="956" t="s">
        <v>30</v>
      </c>
      <c r="C55" s="956"/>
      <c r="D55" s="956"/>
      <c r="E55" s="956"/>
      <c r="F55" s="957"/>
      <c r="G55" s="158"/>
      <c r="H55" s="85"/>
      <c r="I55" s="56"/>
      <c r="J55" s="56"/>
      <c r="K55" s="56"/>
      <c r="L55" s="56"/>
      <c r="M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159"/>
      <c r="H56" s="76" t="s">
        <v>9</v>
      </c>
      <c r="M56" s="45"/>
      <c r="N56" s="45"/>
      <c r="O56" s="45"/>
      <c r="P56" s="45"/>
      <c r="Q56" s="57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107" t="s">
        <v>56</v>
      </c>
      <c r="H57" s="76"/>
      <c r="I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53</v>
      </c>
      <c r="B58" s="61">
        <f>(($B$67*M58)/1000)</f>
        <v>14.234999999999999</v>
      </c>
      <c r="C58" s="61">
        <f>(($C$66*$C$67)/1000)</f>
        <v>21.254999999999999</v>
      </c>
      <c r="D58" s="61">
        <f>(($D$66*$D$67)/1000)</f>
        <v>24.895</v>
      </c>
      <c r="E58" s="61">
        <f>(($E$66*$E$67)/1000)</f>
        <v>20.344999999999999</v>
      </c>
      <c r="F58" s="61">
        <f>(($F$66*$F$67)/1000)</f>
        <v>15.21</v>
      </c>
      <c r="G58" s="160">
        <f>(($G$67*$G$66)/1000)</f>
        <v>47.16</v>
      </c>
      <c r="H58" s="77">
        <f t="shared" ref="H58:H65" si="45">SUM(B58:F58)</f>
        <v>95.94</v>
      </c>
      <c r="I58" s="42"/>
      <c r="J58" s="42"/>
      <c r="K58" s="42"/>
      <c r="L58" s="42"/>
      <c r="M58" s="2">
        <v>65</v>
      </c>
      <c r="N58" s="45"/>
      <c r="O58" s="45"/>
      <c r="P58" s="45"/>
      <c r="Q58" s="57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46">(($B$67*M59)/1000)</f>
        <v>14.234999999999999</v>
      </c>
      <c r="C59" s="61">
        <f t="shared" ref="C59:C64" si="47">(($C$66*$C$67)/1000)</f>
        <v>21.254999999999999</v>
      </c>
      <c r="D59" s="61">
        <f t="shared" ref="D59:D64" si="48">(($D$66*$D$67)/1000)</f>
        <v>24.895</v>
      </c>
      <c r="E59" s="61">
        <f t="shared" ref="E59:E64" si="49">(($E$66*$E$67)/1000)</f>
        <v>20.344999999999999</v>
      </c>
      <c r="F59" s="61">
        <f t="shared" ref="F59:F64" si="50">(($F$66*$F$67)/1000)</f>
        <v>15.21</v>
      </c>
      <c r="G59" s="160">
        <f t="shared" ref="G59:G64" si="51">(($G$67*$G$66)/1000)</f>
        <v>47.16</v>
      </c>
      <c r="H59" s="77">
        <f t="shared" si="45"/>
        <v>95.94</v>
      </c>
      <c r="I59" s="42"/>
      <c r="J59" s="42"/>
      <c r="K59" s="42"/>
      <c r="L59" s="42"/>
      <c r="M59" s="2">
        <v>65</v>
      </c>
      <c r="N59" s="45"/>
      <c r="O59" s="45"/>
      <c r="P59" s="45"/>
      <c r="Q59" s="57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(($B$67*M60)/1000)</f>
        <v>14.234999999999999</v>
      </c>
      <c r="C60" s="61">
        <f t="shared" si="47"/>
        <v>21.254999999999999</v>
      </c>
      <c r="D60" s="61">
        <f t="shared" si="48"/>
        <v>24.895</v>
      </c>
      <c r="E60" s="61">
        <f t="shared" si="49"/>
        <v>20.344999999999999</v>
      </c>
      <c r="F60" s="61">
        <f t="shared" si="50"/>
        <v>15.21</v>
      </c>
      <c r="G60" s="160">
        <f t="shared" si="51"/>
        <v>47.16</v>
      </c>
      <c r="H60" s="77">
        <f t="shared" si="45"/>
        <v>95.94</v>
      </c>
      <c r="I60" s="42"/>
      <c r="J60" s="42"/>
      <c r="K60" s="42"/>
      <c r="L60" s="42"/>
      <c r="M60" s="2">
        <v>65</v>
      </c>
      <c r="N60" s="146"/>
      <c r="O60" s="45"/>
      <c r="P60" s="45"/>
      <c r="Q60" s="57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46"/>
        <v>14.234999999999999</v>
      </c>
      <c r="C61" s="61">
        <f t="shared" si="47"/>
        <v>21.254999999999999</v>
      </c>
      <c r="D61" s="61">
        <f t="shared" si="48"/>
        <v>24.895</v>
      </c>
      <c r="E61" s="61">
        <f t="shared" si="49"/>
        <v>20.344999999999999</v>
      </c>
      <c r="F61" s="61">
        <f t="shared" si="50"/>
        <v>15.21</v>
      </c>
      <c r="G61" s="160">
        <f t="shared" si="51"/>
        <v>47.16</v>
      </c>
      <c r="H61" s="77">
        <f t="shared" si="45"/>
        <v>95.94</v>
      </c>
      <c r="I61" s="42"/>
      <c r="J61" s="42"/>
      <c r="K61" s="42"/>
      <c r="L61" s="42"/>
      <c r="M61" s="2">
        <v>65</v>
      </c>
      <c r="N61" s="45"/>
      <c r="O61" s="45"/>
      <c r="P61" s="45"/>
      <c r="Q61" s="57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46"/>
        <v>14.234999999999999</v>
      </c>
      <c r="C62" s="61">
        <f t="shared" si="47"/>
        <v>21.254999999999999</v>
      </c>
      <c r="D62" s="61">
        <f t="shared" si="48"/>
        <v>24.895</v>
      </c>
      <c r="E62" s="61">
        <f t="shared" si="49"/>
        <v>20.344999999999999</v>
      </c>
      <c r="F62" s="61">
        <f t="shared" si="50"/>
        <v>15.21</v>
      </c>
      <c r="G62" s="160">
        <f t="shared" si="51"/>
        <v>47.16</v>
      </c>
      <c r="H62" s="77">
        <f t="shared" si="45"/>
        <v>95.94</v>
      </c>
      <c r="I62" s="42"/>
      <c r="J62" s="42"/>
      <c r="K62" s="42"/>
      <c r="L62" s="42"/>
      <c r="M62" s="2">
        <v>65</v>
      </c>
      <c r="N62" s="45"/>
      <c r="O62" s="45"/>
      <c r="P62" s="45"/>
      <c r="Q62" s="57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46"/>
        <v>14.234999999999999</v>
      </c>
      <c r="C63" s="61">
        <f t="shared" si="47"/>
        <v>21.254999999999999</v>
      </c>
      <c r="D63" s="61">
        <f t="shared" si="48"/>
        <v>24.895</v>
      </c>
      <c r="E63" s="61">
        <f t="shared" si="49"/>
        <v>20.344999999999999</v>
      </c>
      <c r="F63" s="61">
        <f t="shared" si="50"/>
        <v>15.21</v>
      </c>
      <c r="G63" s="160">
        <f t="shared" si="51"/>
        <v>47.16</v>
      </c>
      <c r="H63" s="77">
        <f t="shared" si="45"/>
        <v>95.94</v>
      </c>
      <c r="I63" s="42"/>
      <c r="J63" s="42"/>
      <c r="K63" s="42"/>
      <c r="L63" s="42"/>
      <c r="M63" s="2">
        <v>65</v>
      </c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46"/>
        <v>14.234999999999999</v>
      </c>
      <c r="C64" s="61">
        <f t="shared" si="47"/>
        <v>21.254999999999999</v>
      </c>
      <c r="D64" s="61">
        <f t="shared" si="48"/>
        <v>24.895</v>
      </c>
      <c r="E64" s="61">
        <f t="shared" si="49"/>
        <v>20.344999999999999</v>
      </c>
      <c r="F64" s="61">
        <f t="shared" si="50"/>
        <v>15.21</v>
      </c>
      <c r="G64" s="160">
        <f t="shared" si="51"/>
        <v>47.16</v>
      </c>
      <c r="H64" s="77">
        <f t="shared" si="45"/>
        <v>95.94</v>
      </c>
      <c r="I64" s="42"/>
      <c r="J64" s="42"/>
      <c r="K64" s="42"/>
      <c r="L64" s="42"/>
      <c r="M64" s="2">
        <v>65</v>
      </c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 t="shared" ref="B65:G65" si="52">SUM(B58:B64)</f>
        <v>99.644999999999996</v>
      </c>
      <c r="C65" s="62">
        <f t="shared" si="52"/>
        <v>148.785</v>
      </c>
      <c r="D65" s="62">
        <f t="shared" si="52"/>
        <v>174.26500000000001</v>
      </c>
      <c r="E65" s="62">
        <f t="shared" si="52"/>
        <v>142.41499999999999</v>
      </c>
      <c r="F65" s="62">
        <f t="shared" si="52"/>
        <v>106.47000000000003</v>
      </c>
      <c r="G65" s="62">
        <f t="shared" si="52"/>
        <v>330.12</v>
      </c>
      <c r="H65" s="77">
        <f t="shared" si="45"/>
        <v>671.58</v>
      </c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63">
        <v>65</v>
      </c>
      <c r="D66" s="63">
        <v>65</v>
      </c>
      <c r="E66" s="63">
        <v>65</v>
      </c>
      <c r="F66" s="63">
        <v>65</v>
      </c>
      <c r="G66" s="161">
        <v>45</v>
      </c>
      <c r="H66" s="78">
        <f>+((H65/H67)/7)*1000</f>
        <v>91.545801526717554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219</v>
      </c>
      <c r="C67" s="79">
        <v>327</v>
      </c>
      <c r="D67" s="79">
        <v>383</v>
      </c>
      <c r="E67" s="79">
        <v>313</v>
      </c>
      <c r="F67" s="79">
        <v>234</v>
      </c>
      <c r="G67" s="162">
        <v>1048</v>
      </c>
      <c r="H67" s="82">
        <v>1048</v>
      </c>
      <c r="M67" s="59"/>
      <c r="Q67" s="3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v>83.71</v>
      </c>
      <c r="C68" s="31">
        <f>(C67*C66)/1000</f>
        <v>21.254999999999999</v>
      </c>
      <c r="D68" s="31">
        <f>(D67*D66)/1000</f>
        <v>24.895</v>
      </c>
      <c r="E68" s="31">
        <f>(E67*E66)/1000</f>
        <v>20.344999999999999</v>
      </c>
      <c r="F68" s="31">
        <f>(F67*F66)/1000</f>
        <v>15.21</v>
      </c>
      <c r="G68" s="163"/>
      <c r="H68" s="86">
        <f>((H65*1000)/H67)/7</f>
        <v>91.545801526717554</v>
      </c>
      <c r="Q68" s="3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 t="shared" ref="B69:G69" si="53">((B67*B66)*7)/1000</f>
        <v>99.644999999999996</v>
      </c>
      <c r="C69" s="35">
        <f t="shared" si="53"/>
        <v>148.785</v>
      </c>
      <c r="D69" s="35">
        <f t="shared" si="53"/>
        <v>174.26499999999999</v>
      </c>
      <c r="E69" s="35">
        <f t="shared" si="53"/>
        <v>142.41499999999999</v>
      </c>
      <c r="F69" s="35">
        <f t="shared" si="53"/>
        <v>106.47</v>
      </c>
      <c r="G69" s="35">
        <f t="shared" si="53"/>
        <v>330.12</v>
      </c>
      <c r="H69" s="68"/>
      <c r="I69" s="41"/>
      <c r="J69" s="41"/>
      <c r="K69" s="41"/>
      <c r="L69" s="41"/>
      <c r="V69" s="3"/>
    </row>
    <row r="70" spans="1:33" ht="33.75" customHeight="1" thickBot="1" x14ac:dyDescent="0.3">
      <c r="A70" s="74" t="s">
        <v>15</v>
      </c>
      <c r="B70" s="67">
        <f t="shared" ref="B70:G70" si="54">+(B65/B67)/7*1000</f>
        <v>64.999999999999986</v>
      </c>
      <c r="C70" s="67">
        <f t="shared" si="54"/>
        <v>65</v>
      </c>
      <c r="D70" s="67">
        <f t="shared" si="54"/>
        <v>65</v>
      </c>
      <c r="E70" s="67">
        <f t="shared" si="54"/>
        <v>64.999999999999986</v>
      </c>
      <c r="F70" s="67">
        <f t="shared" si="54"/>
        <v>65.000000000000014</v>
      </c>
      <c r="G70" s="67">
        <f t="shared" si="54"/>
        <v>45</v>
      </c>
      <c r="H70" s="87"/>
      <c r="V70" s="3"/>
    </row>
    <row r="71" spans="1:33" ht="33.75" customHeight="1" x14ac:dyDescent="0.25">
      <c r="B71" s="148">
        <v>125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  <c r="M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G36"/>
    <mergeCell ref="O36:T36"/>
    <mergeCell ref="L37:M37"/>
    <mergeCell ref="M54:N54"/>
    <mergeCell ref="B55:F55"/>
    <mergeCell ref="A3:C3"/>
    <mergeCell ref="E9:G9"/>
    <mergeCell ref="V9:W9"/>
    <mergeCell ref="N11:O11"/>
    <mergeCell ref="B15:K15"/>
    <mergeCell ref="L15:Q15"/>
    <mergeCell ref="R15:W1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I239"/>
  <sheetViews>
    <sheetView workbookViewId="0"/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1" width="20.140625" style="14" customWidth="1"/>
    <col min="12" max="12" width="28.28515625" style="14" bestFit="1" customWidth="1"/>
    <col min="13" max="14" width="33.42578125" style="14" bestFit="1" customWidth="1"/>
    <col min="15" max="15" width="22.7109375" style="14" customWidth="1"/>
    <col min="16" max="18" width="21.28515625" style="14" customWidth="1"/>
    <col min="19" max="19" width="21.28515625" style="14" bestFit="1" customWidth="1"/>
    <col min="20" max="20" width="21.28515625" style="14" customWidth="1"/>
    <col min="21" max="21" width="27.85546875" style="14" customWidth="1"/>
    <col min="22" max="22" width="25.28515625" style="14" customWidth="1"/>
    <col min="23" max="23" width="21.42578125" style="14" customWidth="1"/>
    <col min="24" max="24" width="25.42578125" style="14" customWidth="1"/>
    <col min="25" max="26" width="20.7109375" style="14" customWidth="1"/>
    <col min="27" max="27" width="32.28515625" style="14" bestFit="1" customWidth="1"/>
    <col min="28" max="28" width="20.7109375" style="14" customWidth="1"/>
    <col min="29" max="29" width="22" style="14" customWidth="1"/>
    <col min="30" max="33" width="21.28515625" style="14" customWidth="1"/>
    <col min="34" max="34" width="22.28515625" style="14" customWidth="1"/>
    <col min="35" max="36" width="11.42578125" style="14"/>
    <col min="37" max="37" width="14.85546875" style="14" bestFit="1" customWidth="1"/>
    <col min="38" max="262" width="11.42578125" style="14"/>
    <col min="263" max="263" width="34.42578125" style="14" customWidth="1"/>
    <col min="264" max="265" width="19.42578125" style="14" bestFit="1" customWidth="1"/>
    <col min="266" max="266" width="19.7109375" style="14" customWidth="1"/>
    <col min="267" max="268" width="20.42578125" style="14" customWidth="1"/>
    <col min="269" max="270" width="19.7109375" style="14" customWidth="1"/>
    <col min="271" max="271" width="25.28515625" style="14" customWidth="1"/>
    <col min="272" max="272" width="26" style="14" customWidth="1"/>
    <col min="273" max="273" width="22.28515625" style="14" customWidth="1"/>
    <col min="274" max="274" width="24.85546875" style="14" customWidth="1"/>
    <col min="275" max="275" width="21.140625" style="14" customWidth="1"/>
    <col min="276" max="276" width="21.42578125" style="14" customWidth="1"/>
    <col min="277" max="277" width="27.85546875" style="14" customWidth="1"/>
    <col min="278" max="278" width="23.42578125" style="14" customWidth="1"/>
    <col min="279" max="279" width="21.42578125" style="14" customWidth="1"/>
    <col min="280" max="282" width="20.7109375" style="14" customWidth="1"/>
    <col min="283" max="283" width="32.28515625" style="14" bestFit="1" customWidth="1"/>
    <col min="284" max="284" width="20.7109375" style="14" customWidth="1"/>
    <col min="285" max="285" width="22" style="14" customWidth="1"/>
    <col min="286" max="289" width="21.28515625" style="14" customWidth="1"/>
    <col min="290" max="290" width="22.28515625" style="14" customWidth="1"/>
    <col min="291" max="292" width="11.42578125" style="14"/>
    <col min="293" max="293" width="14.85546875" style="14" bestFit="1" customWidth="1"/>
    <col min="294" max="518" width="11.42578125" style="14"/>
    <col min="519" max="519" width="34.42578125" style="14" customWidth="1"/>
    <col min="520" max="521" width="19.42578125" style="14" bestFit="1" customWidth="1"/>
    <col min="522" max="522" width="19.7109375" style="14" customWidth="1"/>
    <col min="523" max="524" width="20.42578125" style="14" customWidth="1"/>
    <col min="525" max="526" width="19.7109375" style="14" customWidth="1"/>
    <col min="527" max="527" width="25.28515625" style="14" customWidth="1"/>
    <col min="528" max="528" width="26" style="14" customWidth="1"/>
    <col min="529" max="529" width="22.28515625" style="14" customWidth="1"/>
    <col min="530" max="530" width="24.85546875" style="14" customWidth="1"/>
    <col min="531" max="531" width="21.140625" style="14" customWidth="1"/>
    <col min="532" max="532" width="21.42578125" style="14" customWidth="1"/>
    <col min="533" max="533" width="27.85546875" style="14" customWidth="1"/>
    <col min="534" max="534" width="23.42578125" style="14" customWidth="1"/>
    <col min="535" max="535" width="21.42578125" style="14" customWidth="1"/>
    <col min="536" max="538" width="20.7109375" style="14" customWidth="1"/>
    <col min="539" max="539" width="32.28515625" style="14" bestFit="1" customWidth="1"/>
    <col min="540" max="540" width="20.7109375" style="14" customWidth="1"/>
    <col min="541" max="541" width="22" style="14" customWidth="1"/>
    <col min="542" max="545" width="21.28515625" style="14" customWidth="1"/>
    <col min="546" max="546" width="22.28515625" style="14" customWidth="1"/>
    <col min="547" max="548" width="11.42578125" style="14"/>
    <col min="549" max="549" width="14.85546875" style="14" bestFit="1" customWidth="1"/>
    <col min="550" max="774" width="11.42578125" style="14"/>
    <col min="775" max="775" width="34.42578125" style="14" customWidth="1"/>
    <col min="776" max="777" width="19.42578125" style="14" bestFit="1" customWidth="1"/>
    <col min="778" max="778" width="19.7109375" style="14" customWidth="1"/>
    <col min="779" max="780" width="20.42578125" style="14" customWidth="1"/>
    <col min="781" max="782" width="19.7109375" style="14" customWidth="1"/>
    <col min="783" max="783" width="25.28515625" style="14" customWidth="1"/>
    <col min="784" max="784" width="26" style="14" customWidth="1"/>
    <col min="785" max="785" width="22.28515625" style="14" customWidth="1"/>
    <col min="786" max="786" width="24.85546875" style="14" customWidth="1"/>
    <col min="787" max="787" width="21.140625" style="14" customWidth="1"/>
    <col min="788" max="788" width="21.42578125" style="14" customWidth="1"/>
    <col min="789" max="789" width="27.85546875" style="14" customWidth="1"/>
    <col min="790" max="790" width="23.42578125" style="14" customWidth="1"/>
    <col min="791" max="791" width="21.42578125" style="14" customWidth="1"/>
    <col min="792" max="794" width="20.7109375" style="14" customWidth="1"/>
    <col min="795" max="795" width="32.28515625" style="14" bestFit="1" customWidth="1"/>
    <col min="796" max="796" width="20.7109375" style="14" customWidth="1"/>
    <col min="797" max="797" width="22" style="14" customWidth="1"/>
    <col min="798" max="801" width="21.28515625" style="14" customWidth="1"/>
    <col min="802" max="802" width="22.28515625" style="14" customWidth="1"/>
    <col min="803" max="804" width="11.42578125" style="14"/>
    <col min="805" max="805" width="14.85546875" style="14" bestFit="1" customWidth="1"/>
    <col min="806" max="1030" width="11.42578125" style="14"/>
    <col min="1031" max="1031" width="34.42578125" style="14" customWidth="1"/>
    <col min="1032" max="1033" width="19.42578125" style="14" bestFit="1" customWidth="1"/>
    <col min="1034" max="1034" width="19.7109375" style="14" customWidth="1"/>
    <col min="1035" max="1036" width="20.42578125" style="14" customWidth="1"/>
    <col min="1037" max="1038" width="19.7109375" style="14" customWidth="1"/>
    <col min="1039" max="1039" width="25.28515625" style="14" customWidth="1"/>
    <col min="1040" max="1040" width="26" style="14" customWidth="1"/>
    <col min="1041" max="1041" width="22.28515625" style="14" customWidth="1"/>
    <col min="1042" max="1042" width="24.85546875" style="14" customWidth="1"/>
    <col min="1043" max="1043" width="21.140625" style="14" customWidth="1"/>
    <col min="1044" max="1044" width="21.42578125" style="14" customWidth="1"/>
    <col min="1045" max="1045" width="27.85546875" style="14" customWidth="1"/>
    <col min="1046" max="1046" width="23.42578125" style="14" customWidth="1"/>
    <col min="1047" max="1047" width="21.42578125" style="14" customWidth="1"/>
    <col min="1048" max="1050" width="20.7109375" style="14" customWidth="1"/>
    <col min="1051" max="1051" width="32.28515625" style="14" bestFit="1" customWidth="1"/>
    <col min="1052" max="1052" width="20.7109375" style="14" customWidth="1"/>
    <col min="1053" max="1053" width="22" style="14" customWidth="1"/>
    <col min="1054" max="1057" width="21.28515625" style="14" customWidth="1"/>
    <col min="1058" max="1058" width="22.28515625" style="14" customWidth="1"/>
    <col min="1059" max="1060" width="11.42578125" style="14"/>
    <col min="1061" max="1061" width="14.85546875" style="14" bestFit="1" customWidth="1"/>
    <col min="1062" max="1286" width="11.42578125" style="14"/>
    <col min="1287" max="1287" width="34.42578125" style="14" customWidth="1"/>
    <col min="1288" max="1289" width="19.42578125" style="14" bestFit="1" customWidth="1"/>
    <col min="1290" max="1290" width="19.7109375" style="14" customWidth="1"/>
    <col min="1291" max="1292" width="20.42578125" style="14" customWidth="1"/>
    <col min="1293" max="1294" width="19.7109375" style="14" customWidth="1"/>
    <col min="1295" max="1295" width="25.28515625" style="14" customWidth="1"/>
    <col min="1296" max="1296" width="26" style="14" customWidth="1"/>
    <col min="1297" max="1297" width="22.28515625" style="14" customWidth="1"/>
    <col min="1298" max="1298" width="24.85546875" style="14" customWidth="1"/>
    <col min="1299" max="1299" width="21.140625" style="14" customWidth="1"/>
    <col min="1300" max="1300" width="21.42578125" style="14" customWidth="1"/>
    <col min="1301" max="1301" width="27.85546875" style="14" customWidth="1"/>
    <col min="1302" max="1302" width="23.42578125" style="14" customWidth="1"/>
    <col min="1303" max="1303" width="21.42578125" style="14" customWidth="1"/>
    <col min="1304" max="1306" width="20.7109375" style="14" customWidth="1"/>
    <col min="1307" max="1307" width="32.28515625" style="14" bestFit="1" customWidth="1"/>
    <col min="1308" max="1308" width="20.7109375" style="14" customWidth="1"/>
    <col min="1309" max="1309" width="22" style="14" customWidth="1"/>
    <col min="1310" max="1313" width="21.28515625" style="14" customWidth="1"/>
    <col min="1314" max="1314" width="22.28515625" style="14" customWidth="1"/>
    <col min="1315" max="1316" width="11.42578125" style="14"/>
    <col min="1317" max="1317" width="14.85546875" style="14" bestFit="1" customWidth="1"/>
    <col min="1318" max="1542" width="11.42578125" style="14"/>
    <col min="1543" max="1543" width="34.42578125" style="14" customWidth="1"/>
    <col min="1544" max="1545" width="19.42578125" style="14" bestFit="1" customWidth="1"/>
    <col min="1546" max="1546" width="19.7109375" style="14" customWidth="1"/>
    <col min="1547" max="1548" width="20.42578125" style="14" customWidth="1"/>
    <col min="1549" max="1550" width="19.7109375" style="14" customWidth="1"/>
    <col min="1551" max="1551" width="25.28515625" style="14" customWidth="1"/>
    <col min="1552" max="1552" width="26" style="14" customWidth="1"/>
    <col min="1553" max="1553" width="22.28515625" style="14" customWidth="1"/>
    <col min="1554" max="1554" width="24.85546875" style="14" customWidth="1"/>
    <col min="1555" max="1555" width="21.140625" style="14" customWidth="1"/>
    <col min="1556" max="1556" width="21.42578125" style="14" customWidth="1"/>
    <col min="1557" max="1557" width="27.85546875" style="14" customWidth="1"/>
    <col min="1558" max="1558" width="23.42578125" style="14" customWidth="1"/>
    <col min="1559" max="1559" width="21.42578125" style="14" customWidth="1"/>
    <col min="1560" max="1562" width="20.7109375" style="14" customWidth="1"/>
    <col min="1563" max="1563" width="32.28515625" style="14" bestFit="1" customWidth="1"/>
    <col min="1564" max="1564" width="20.7109375" style="14" customWidth="1"/>
    <col min="1565" max="1565" width="22" style="14" customWidth="1"/>
    <col min="1566" max="1569" width="21.28515625" style="14" customWidth="1"/>
    <col min="1570" max="1570" width="22.28515625" style="14" customWidth="1"/>
    <col min="1571" max="1572" width="11.42578125" style="14"/>
    <col min="1573" max="1573" width="14.85546875" style="14" bestFit="1" customWidth="1"/>
    <col min="1574" max="1798" width="11.42578125" style="14"/>
    <col min="1799" max="1799" width="34.42578125" style="14" customWidth="1"/>
    <col min="1800" max="1801" width="19.42578125" style="14" bestFit="1" customWidth="1"/>
    <col min="1802" max="1802" width="19.7109375" style="14" customWidth="1"/>
    <col min="1803" max="1804" width="20.42578125" style="14" customWidth="1"/>
    <col min="1805" max="1806" width="19.7109375" style="14" customWidth="1"/>
    <col min="1807" max="1807" width="25.28515625" style="14" customWidth="1"/>
    <col min="1808" max="1808" width="26" style="14" customWidth="1"/>
    <col min="1809" max="1809" width="22.28515625" style="14" customWidth="1"/>
    <col min="1810" max="1810" width="24.85546875" style="14" customWidth="1"/>
    <col min="1811" max="1811" width="21.140625" style="14" customWidth="1"/>
    <col min="1812" max="1812" width="21.42578125" style="14" customWidth="1"/>
    <col min="1813" max="1813" width="27.85546875" style="14" customWidth="1"/>
    <col min="1814" max="1814" width="23.42578125" style="14" customWidth="1"/>
    <col min="1815" max="1815" width="21.42578125" style="14" customWidth="1"/>
    <col min="1816" max="1818" width="20.7109375" style="14" customWidth="1"/>
    <col min="1819" max="1819" width="32.28515625" style="14" bestFit="1" customWidth="1"/>
    <col min="1820" max="1820" width="20.7109375" style="14" customWidth="1"/>
    <col min="1821" max="1821" width="22" style="14" customWidth="1"/>
    <col min="1822" max="1825" width="21.28515625" style="14" customWidth="1"/>
    <col min="1826" max="1826" width="22.28515625" style="14" customWidth="1"/>
    <col min="1827" max="1828" width="11.42578125" style="14"/>
    <col min="1829" max="1829" width="14.85546875" style="14" bestFit="1" customWidth="1"/>
    <col min="1830" max="2054" width="11.42578125" style="14"/>
    <col min="2055" max="2055" width="34.42578125" style="14" customWidth="1"/>
    <col min="2056" max="2057" width="19.42578125" style="14" bestFit="1" customWidth="1"/>
    <col min="2058" max="2058" width="19.7109375" style="14" customWidth="1"/>
    <col min="2059" max="2060" width="20.42578125" style="14" customWidth="1"/>
    <col min="2061" max="2062" width="19.7109375" style="14" customWidth="1"/>
    <col min="2063" max="2063" width="25.28515625" style="14" customWidth="1"/>
    <col min="2064" max="2064" width="26" style="14" customWidth="1"/>
    <col min="2065" max="2065" width="22.28515625" style="14" customWidth="1"/>
    <col min="2066" max="2066" width="24.85546875" style="14" customWidth="1"/>
    <col min="2067" max="2067" width="21.140625" style="14" customWidth="1"/>
    <col min="2068" max="2068" width="21.42578125" style="14" customWidth="1"/>
    <col min="2069" max="2069" width="27.85546875" style="14" customWidth="1"/>
    <col min="2070" max="2070" width="23.42578125" style="14" customWidth="1"/>
    <col min="2071" max="2071" width="21.42578125" style="14" customWidth="1"/>
    <col min="2072" max="2074" width="20.7109375" style="14" customWidth="1"/>
    <col min="2075" max="2075" width="32.28515625" style="14" bestFit="1" customWidth="1"/>
    <col min="2076" max="2076" width="20.7109375" style="14" customWidth="1"/>
    <col min="2077" max="2077" width="22" style="14" customWidth="1"/>
    <col min="2078" max="2081" width="21.28515625" style="14" customWidth="1"/>
    <col min="2082" max="2082" width="22.28515625" style="14" customWidth="1"/>
    <col min="2083" max="2084" width="11.42578125" style="14"/>
    <col min="2085" max="2085" width="14.85546875" style="14" bestFit="1" customWidth="1"/>
    <col min="2086" max="2310" width="11.42578125" style="14"/>
    <col min="2311" max="2311" width="34.42578125" style="14" customWidth="1"/>
    <col min="2312" max="2313" width="19.42578125" style="14" bestFit="1" customWidth="1"/>
    <col min="2314" max="2314" width="19.7109375" style="14" customWidth="1"/>
    <col min="2315" max="2316" width="20.42578125" style="14" customWidth="1"/>
    <col min="2317" max="2318" width="19.7109375" style="14" customWidth="1"/>
    <col min="2319" max="2319" width="25.28515625" style="14" customWidth="1"/>
    <col min="2320" max="2320" width="26" style="14" customWidth="1"/>
    <col min="2321" max="2321" width="22.28515625" style="14" customWidth="1"/>
    <col min="2322" max="2322" width="24.85546875" style="14" customWidth="1"/>
    <col min="2323" max="2323" width="21.140625" style="14" customWidth="1"/>
    <col min="2324" max="2324" width="21.42578125" style="14" customWidth="1"/>
    <col min="2325" max="2325" width="27.85546875" style="14" customWidth="1"/>
    <col min="2326" max="2326" width="23.42578125" style="14" customWidth="1"/>
    <col min="2327" max="2327" width="21.42578125" style="14" customWidth="1"/>
    <col min="2328" max="2330" width="20.7109375" style="14" customWidth="1"/>
    <col min="2331" max="2331" width="32.28515625" style="14" bestFit="1" customWidth="1"/>
    <col min="2332" max="2332" width="20.7109375" style="14" customWidth="1"/>
    <col min="2333" max="2333" width="22" style="14" customWidth="1"/>
    <col min="2334" max="2337" width="21.28515625" style="14" customWidth="1"/>
    <col min="2338" max="2338" width="22.28515625" style="14" customWidth="1"/>
    <col min="2339" max="2340" width="11.42578125" style="14"/>
    <col min="2341" max="2341" width="14.85546875" style="14" bestFit="1" customWidth="1"/>
    <col min="2342" max="2566" width="11.42578125" style="14"/>
    <col min="2567" max="2567" width="34.42578125" style="14" customWidth="1"/>
    <col min="2568" max="2569" width="19.42578125" style="14" bestFit="1" customWidth="1"/>
    <col min="2570" max="2570" width="19.7109375" style="14" customWidth="1"/>
    <col min="2571" max="2572" width="20.42578125" style="14" customWidth="1"/>
    <col min="2573" max="2574" width="19.7109375" style="14" customWidth="1"/>
    <col min="2575" max="2575" width="25.28515625" style="14" customWidth="1"/>
    <col min="2576" max="2576" width="26" style="14" customWidth="1"/>
    <col min="2577" max="2577" width="22.28515625" style="14" customWidth="1"/>
    <col min="2578" max="2578" width="24.85546875" style="14" customWidth="1"/>
    <col min="2579" max="2579" width="21.140625" style="14" customWidth="1"/>
    <col min="2580" max="2580" width="21.42578125" style="14" customWidth="1"/>
    <col min="2581" max="2581" width="27.85546875" style="14" customWidth="1"/>
    <col min="2582" max="2582" width="23.42578125" style="14" customWidth="1"/>
    <col min="2583" max="2583" width="21.42578125" style="14" customWidth="1"/>
    <col min="2584" max="2586" width="20.7109375" style="14" customWidth="1"/>
    <col min="2587" max="2587" width="32.28515625" style="14" bestFit="1" customWidth="1"/>
    <col min="2588" max="2588" width="20.7109375" style="14" customWidth="1"/>
    <col min="2589" max="2589" width="22" style="14" customWidth="1"/>
    <col min="2590" max="2593" width="21.28515625" style="14" customWidth="1"/>
    <col min="2594" max="2594" width="22.28515625" style="14" customWidth="1"/>
    <col min="2595" max="2596" width="11.42578125" style="14"/>
    <col min="2597" max="2597" width="14.85546875" style="14" bestFit="1" customWidth="1"/>
    <col min="2598" max="2822" width="11.42578125" style="14"/>
    <col min="2823" max="2823" width="34.42578125" style="14" customWidth="1"/>
    <col min="2824" max="2825" width="19.42578125" style="14" bestFit="1" customWidth="1"/>
    <col min="2826" max="2826" width="19.7109375" style="14" customWidth="1"/>
    <col min="2827" max="2828" width="20.42578125" style="14" customWidth="1"/>
    <col min="2829" max="2830" width="19.7109375" style="14" customWidth="1"/>
    <col min="2831" max="2831" width="25.28515625" style="14" customWidth="1"/>
    <col min="2832" max="2832" width="26" style="14" customWidth="1"/>
    <col min="2833" max="2833" width="22.28515625" style="14" customWidth="1"/>
    <col min="2834" max="2834" width="24.85546875" style="14" customWidth="1"/>
    <col min="2835" max="2835" width="21.140625" style="14" customWidth="1"/>
    <col min="2836" max="2836" width="21.42578125" style="14" customWidth="1"/>
    <col min="2837" max="2837" width="27.85546875" style="14" customWidth="1"/>
    <col min="2838" max="2838" width="23.42578125" style="14" customWidth="1"/>
    <col min="2839" max="2839" width="21.42578125" style="14" customWidth="1"/>
    <col min="2840" max="2842" width="20.7109375" style="14" customWidth="1"/>
    <col min="2843" max="2843" width="32.28515625" style="14" bestFit="1" customWidth="1"/>
    <col min="2844" max="2844" width="20.7109375" style="14" customWidth="1"/>
    <col min="2845" max="2845" width="22" style="14" customWidth="1"/>
    <col min="2846" max="2849" width="21.28515625" style="14" customWidth="1"/>
    <col min="2850" max="2850" width="22.28515625" style="14" customWidth="1"/>
    <col min="2851" max="2852" width="11.42578125" style="14"/>
    <col min="2853" max="2853" width="14.85546875" style="14" bestFit="1" customWidth="1"/>
    <col min="2854" max="3078" width="11.42578125" style="14"/>
    <col min="3079" max="3079" width="34.42578125" style="14" customWidth="1"/>
    <col min="3080" max="3081" width="19.42578125" style="14" bestFit="1" customWidth="1"/>
    <col min="3082" max="3082" width="19.7109375" style="14" customWidth="1"/>
    <col min="3083" max="3084" width="20.42578125" style="14" customWidth="1"/>
    <col min="3085" max="3086" width="19.7109375" style="14" customWidth="1"/>
    <col min="3087" max="3087" width="25.28515625" style="14" customWidth="1"/>
    <col min="3088" max="3088" width="26" style="14" customWidth="1"/>
    <col min="3089" max="3089" width="22.28515625" style="14" customWidth="1"/>
    <col min="3090" max="3090" width="24.85546875" style="14" customWidth="1"/>
    <col min="3091" max="3091" width="21.140625" style="14" customWidth="1"/>
    <col min="3092" max="3092" width="21.42578125" style="14" customWidth="1"/>
    <col min="3093" max="3093" width="27.85546875" style="14" customWidth="1"/>
    <col min="3094" max="3094" width="23.42578125" style="14" customWidth="1"/>
    <col min="3095" max="3095" width="21.42578125" style="14" customWidth="1"/>
    <col min="3096" max="3098" width="20.7109375" style="14" customWidth="1"/>
    <col min="3099" max="3099" width="32.28515625" style="14" bestFit="1" customWidth="1"/>
    <col min="3100" max="3100" width="20.7109375" style="14" customWidth="1"/>
    <col min="3101" max="3101" width="22" style="14" customWidth="1"/>
    <col min="3102" max="3105" width="21.28515625" style="14" customWidth="1"/>
    <col min="3106" max="3106" width="22.28515625" style="14" customWidth="1"/>
    <col min="3107" max="3108" width="11.42578125" style="14"/>
    <col min="3109" max="3109" width="14.85546875" style="14" bestFit="1" customWidth="1"/>
    <col min="3110" max="3334" width="11.42578125" style="14"/>
    <col min="3335" max="3335" width="34.42578125" style="14" customWidth="1"/>
    <col min="3336" max="3337" width="19.42578125" style="14" bestFit="1" customWidth="1"/>
    <col min="3338" max="3338" width="19.7109375" style="14" customWidth="1"/>
    <col min="3339" max="3340" width="20.42578125" style="14" customWidth="1"/>
    <col min="3341" max="3342" width="19.7109375" style="14" customWidth="1"/>
    <col min="3343" max="3343" width="25.28515625" style="14" customWidth="1"/>
    <col min="3344" max="3344" width="26" style="14" customWidth="1"/>
    <col min="3345" max="3345" width="22.28515625" style="14" customWidth="1"/>
    <col min="3346" max="3346" width="24.85546875" style="14" customWidth="1"/>
    <col min="3347" max="3347" width="21.140625" style="14" customWidth="1"/>
    <col min="3348" max="3348" width="21.42578125" style="14" customWidth="1"/>
    <col min="3349" max="3349" width="27.85546875" style="14" customWidth="1"/>
    <col min="3350" max="3350" width="23.42578125" style="14" customWidth="1"/>
    <col min="3351" max="3351" width="21.42578125" style="14" customWidth="1"/>
    <col min="3352" max="3354" width="20.7109375" style="14" customWidth="1"/>
    <col min="3355" max="3355" width="32.28515625" style="14" bestFit="1" customWidth="1"/>
    <col min="3356" max="3356" width="20.7109375" style="14" customWidth="1"/>
    <col min="3357" max="3357" width="22" style="14" customWidth="1"/>
    <col min="3358" max="3361" width="21.28515625" style="14" customWidth="1"/>
    <col min="3362" max="3362" width="22.28515625" style="14" customWidth="1"/>
    <col min="3363" max="3364" width="11.42578125" style="14"/>
    <col min="3365" max="3365" width="14.85546875" style="14" bestFit="1" customWidth="1"/>
    <col min="3366" max="3590" width="11.42578125" style="14"/>
    <col min="3591" max="3591" width="34.42578125" style="14" customWidth="1"/>
    <col min="3592" max="3593" width="19.42578125" style="14" bestFit="1" customWidth="1"/>
    <col min="3594" max="3594" width="19.7109375" style="14" customWidth="1"/>
    <col min="3595" max="3596" width="20.42578125" style="14" customWidth="1"/>
    <col min="3597" max="3598" width="19.7109375" style="14" customWidth="1"/>
    <col min="3599" max="3599" width="25.28515625" style="14" customWidth="1"/>
    <col min="3600" max="3600" width="26" style="14" customWidth="1"/>
    <col min="3601" max="3601" width="22.28515625" style="14" customWidth="1"/>
    <col min="3602" max="3602" width="24.85546875" style="14" customWidth="1"/>
    <col min="3603" max="3603" width="21.140625" style="14" customWidth="1"/>
    <col min="3604" max="3604" width="21.42578125" style="14" customWidth="1"/>
    <col min="3605" max="3605" width="27.85546875" style="14" customWidth="1"/>
    <col min="3606" max="3606" width="23.42578125" style="14" customWidth="1"/>
    <col min="3607" max="3607" width="21.42578125" style="14" customWidth="1"/>
    <col min="3608" max="3610" width="20.7109375" style="14" customWidth="1"/>
    <col min="3611" max="3611" width="32.28515625" style="14" bestFit="1" customWidth="1"/>
    <col min="3612" max="3612" width="20.7109375" style="14" customWidth="1"/>
    <col min="3613" max="3613" width="22" style="14" customWidth="1"/>
    <col min="3614" max="3617" width="21.28515625" style="14" customWidth="1"/>
    <col min="3618" max="3618" width="22.28515625" style="14" customWidth="1"/>
    <col min="3619" max="3620" width="11.42578125" style="14"/>
    <col min="3621" max="3621" width="14.85546875" style="14" bestFit="1" customWidth="1"/>
    <col min="3622" max="3846" width="11.42578125" style="14"/>
    <col min="3847" max="3847" width="34.42578125" style="14" customWidth="1"/>
    <col min="3848" max="3849" width="19.42578125" style="14" bestFit="1" customWidth="1"/>
    <col min="3850" max="3850" width="19.7109375" style="14" customWidth="1"/>
    <col min="3851" max="3852" width="20.42578125" style="14" customWidth="1"/>
    <col min="3853" max="3854" width="19.7109375" style="14" customWidth="1"/>
    <col min="3855" max="3855" width="25.28515625" style="14" customWidth="1"/>
    <col min="3856" max="3856" width="26" style="14" customWidth="1"/>
    <col min="3857" max="3857" width="22.28515625" style="14" customWidth="1"/>
    <col min="3858" max="3858" width="24.85546875" style="14" customWidth="1"/>
    <col min="3859" max="3859" width="21.140625" style="14" customWidth="1"/>
    <col min="3860" max="3860" width="21.42578125" style="14" customWidth="1"/>
    <col min="3861" max="3861" width="27.85546875" style="14" customWidth="1"/>
    <col min="3862" max="3862" width="23.42578125" style="14" customWidth="1"/>
    <col min="3863" max="3863" width="21.42578125" style="14" customWidth="1"/>
    <col min="3864" max="3866" width="20.7109375" style="14" customWidth="1"/>
    <col min="3867" max="3867" width="32.28515625" style="14" bestFit="1" customWidth="1"/>
    <col min="3868" max="3868" width="20.7109375" style="14" customWidth="1"/>
    <col min="3869" max="3869" width="22" style="14" customWidth="1"/>
    <col min="3870" max="3873" width="21.28515625" style="14" customWidth="1"/>
    <col min="3874" max="3874" width="22.28515625" style="14" customWidth="1"/>
    <col min="3875" max="3876" width="11.42578125" style="14"/>
    <col min="3877" max="3877" width="14.85546875" style="14" bestFit="1" customWidth="1"/>
    <col min="3878" max="4102" width="11.42578125" style="14"/>
    <col min="4103" max="4103" width="34.42578125" style="14" customWidth="1"/>
    <col min="4104" max="4105" width="19.42578125" style="14" bestFit="1" customWidth="1"/>
    <col min="4106" max="4106" width="19.7109375" style="14" customWidth="1"/>
    <col min="4107" max="4108" width="20.42578125" style="14" customWidth="1"/>
    <col min="4109" max="4110" width="19.7109375" style="14" customWidth="1"/>
    <col min="4111" max="4111" width="25.28515625" style="14" customWidth="1"/>
    <col min="4112" max="4112" width="26" style="14" customWidth="1"/>
    <col min="4113" max="4113" width="22.28515625" style="14" customWidth="1"/>
    <col min="4114" max="4114" width="24.85546875" style="14" customWidth="1"/>
    <col min="4115" max="4115" width="21.140625" style="14" customWidth="1"/>
    <col min="4116" max="4116" width="21.42578125" style="14" customWidth="1"/>
    <col min="4117" max="4117" width="27.85546875" style="14" customWidth="1"/>
    <col min="4118" max="4118" width="23.42578125" style="14" customWidth="1"/>
    <col min="4119" max="4119" width="21.42578125" style="14" customWidth="1"/>
    <col min="4120" max="4122" width="20.7109375" style="14" customWidth="1"/>
    <col min="4123" max="4123" width="32.28515625" style="14" bestFit="1" customWidth="1"/>
    <col min="4124" max="4124" width="20.7109375" style="14" customWidth="1"/>
    <col min="4125" max="4125" width="22" style="14" customWidth="1"/>
    <col min="4126" max="4129" width="21.28515625" style="14" customWidth="1"/>
    <col min="4130" max="4130" width="22.28515625" style="14" customWidth="1"/>
    <col min="4131" max="4132" width="11.42578125" style="14"/>
    <col min="4133" max="4133" width="14.85546875" style="14" bestFit="1" customWidth="1"/>
    <col min="4134" max="4358" width="11.42578125" style="14"/>
    <col min="4359" max="4359" width="34.42578125" style="14" customWidth="1"/>
    <col min="4360" max="4361" width="19.42578125" style="14" bestFit="1" customWidth="1"/>
    <col min="4362" max="4362" width="19.7109375" style="14" customWidth="1"/>
    <col min="4363" max="4364" width="20.42578125" style="14" customWidth="1"/>
    <col min="4365" max="4366" width="19.7109375" style="14" customWidth="1"/>
    <col min="4367" max="4367" width="25.28515625" style="14" customWidth="1"/>
    <col min="4368" max="4368" width="26" style="14" customWidth="1"/>
    <col min="4369" max="4369" width="22.28515625" style="14" customWidth="1"/>
    <col min="4370" max="4370" width="24.85546875" style="14" customWidth="1"/>
    <col min="4371" max="4371" width="21.140625" style="14" customWidth="1"/>
    <col min="4372" max="4372" width="21.42578125" style="14" customWidth="1"/>
    <col min="4373" max="4373" width="27.85546875" style="14" customWidth="1"/>
    <col min="4374" max="4374" width="23.42578125" style="14" customWidth="1"/>
    <col min="4375" max="4375" width="21.42578125" style="14" customWidth="1"/>
    <col min="4376" max="4378" width="20.7109375" style="14" customWidth="1"/>
    <col min="4379" max="4379" width="32.28515625" style="14" bestFit="1" customWidth="1"/>
    <col min="4380" max="4380" width="20.7109375" style="14" customWidth="1"/>
    <col min="4381" max="4381" width="22" style="14" customWidth="1"/>
    <col min="4382" max="4385" width="21.28515625" style="14" customWidth="1"/>
    <col min="4386" max="4386" width="22.28515625" style="14" customWidth="1"/>
    <col min="4387" max="4388" width="11.42578125" style="14"/>
    <col min="4389" max="4389" width="14.85546875" style="14" bestFit="1" customWidth="1"/>
    <col min="4390" max="4614" width="11.42578125" style="14"/>
    <col min="4615" max="4615" width="34.42578125" style="14" customWidth="1"/>
    <col min="4616" max="4617" width="19.42578125" style="14" bestFit="1" customWidth="1"/>
    <col min="4618" max="4618" width="19.7109375" style="14" customWidth="1"/>
    <col min="4619" max="4620" width="20.42578125" style="14" customWidth="1"/>
    <col min="4621" max="4622" width="19.7109375" style="14" customWidth="1"/>
    <col min="4623" max="4623" width="25.28515625" style="14" customWidth="1"/>
    <col min="4624" max="4624" width="26" style="14" customWidth="1"/>
    <col min="4625" max="4625" width="22.28515625" style="14" customWidth="1"/>
    <col min="4626" max="4626" width="24.85546875" style="14" customWidth="1"/>
    <col min="4627" max="4627" width="21.140625" style="14" customWidth="1"/>
    <col min="4628" max="4628" width="21.42578125" style="14" customWidth="1"/>
    <col min="4629" max="4629" width="27.85546875" style="14" customWidth="1"/>
    <col min="4630" max="4630" width="23.42578125" style="14" customWidth="1"/>
    <col min="4631" max="4631" width="21.42578125" style="14" customWidth="1"/>
    <col min="4632" max="4634" width="20.7109375" style="14" customWidth="1"/>
    <col min="4635" max="4635" width="32.28515625" style="14" bestFit="1" customWidth="1"/>
    <col min="4636" max="4636" width="20.7109375" style="14" customWidth="1"/>
    <col min="4637" max="4637" width="22" style="14" customWidth="1"/>
    <col min="4638" max="4641" width="21.28515625" style="14" customWidth="1"/>
    <col min="4642" max="4642" width="22.28515625" style="14" customWidth="1"/>
    <col min="4643" max="4644" width="11.42578125" style="14"/>
    <col min="4645" max="4645" width="14.85546875" style="14" bestFit="1" customWidth="1"/>
    <col min="4646" max="4870" width="11.42578125" style="14"/>
    <col min="4871" max="4871" width="34.42578125" style="14" customWidth="1"/>
    <col min="4872" max="4873" width="19.42578125" style="14" bestFit="1" customWidth="1"/>
    <col min="4874" max="4874" width="19.7109375" style="14" customWidth="1"/>
    <col min="4875" max="4876" width="20.42578125" style="14" customWidth="1"/>
    <col min="4877" max="4878" width="19.7109375" style="14" customWidth="1"/>
    <col min="4879" max="4879" width="25.28515625" style="14" customWidth="1"/>
    <col min="4880" max="4880" width="26" style="14" customWidth="1"/>
    <col min="4881" max="4881" width="22.28515625" style="14" customWidth="1"/>
    <col min="4882" max="4882" width="24.85546875" style="14" customWidth="1"/>
    <col min="4883" max="4883" width="21.140625" style="14" customWidth="1"/>
    <col min="4884" max="4884" width="21.42578125" style="14" customWidth="1"/>
    <col min="4885" max="4885" width="27.85546875" style="14" customWidth="1"/>
    <col min="4886" max="4886" width="23.42578125" style="14" customWidth="1"/>
    <col min="4887" max="4887" width="21.42578125" style="14" customWidth="1"/>
    <col min="4888" max="4890" width="20.7109375" style="14" customWidth="1"/>
    <col min="4891" max="4891" width="32.28515625" style="14" bestFit="1" customWidth="1"/>
    <col min="4892" max="4892" width="20.7109375" style="14" customWidth="1"/>
    <col min="4893" max="4893" width="22" style="14" customWidth="1"/>
    <col min="4894" max="4897" width="21.28515625" style="14" customWidth="1"/>
    <col min="4898" max="4898" width="22.28515625" style="14" customWidth="1"/>
    <col min="4899" max="4900" width="11.42578125" style="14"/>
    <col min="4901" max="4901" width="14.85546875" style="14" bestFit="1" customWidth="1"/>
    <col min="4902" max="5126" width="11.42578125" style="14"/>
    <col min="5127" max="5127" width="34.42578125" style="14" customWidth="1"/>
    <col min="5128" max="5129" width="19.42578125" style="14" bestFit="1" customWidth="1"/>
    <col min="5130" max="5130" width="19.7109375" style="14" customWidth="1"/>
    <col min="5131" max="5132" width="20.42578125" style="14" customWidth="1"/>
    <col min="5133" max="5134" width="19.7109375" style="14" customWidth="1"/>
    <col min="5135" max="5135" width="25.28515625" style="14" customWidth="1"/>
    <col min="5136" max="5136" width="26" style="14" customWidth="1"/>
    <col min="5137" max="5137" width="22.28515625" style="14" customWidth="1"/>
    <col min="5138" max="5138" width="24.85546875" style="14" customWidth="1"/>
    <col min="5139" max="5139" width="21.140625" style="14" customWidth="1"/>
    <col min="5140" max="5140" width="21.42578125" style="14" customWidth="1"/>
    <col min="5141" max="5141" width="27.85546875" style="14" customWidth="1"/>
    <col min="5142" max="5142" width="23.42578125" style="14" customWidth="1"/>
    <col min="5143" max="5143" width="21.42578125" style="14" customWidth="1"/>
    <col min="5144" max="5146" width="20.7109375" style="14" customWidth="1"/>
    <col min="5147" max="5147" width="32.28515625" style="14" bestFit="1" customWidth="1"/>
    <col min="5148" max="5148" width="20.7109375" style="14" customWidth="1"/>
    <col min="5149" max="5149" width="22" style="14" customWidth="1"/>
    <col min="5150" max="5153" width="21.28515625" style="14" customWidth="1"/>
    <col min="5154" max="5154" width="22.28515625" style="14" customWidth="1"/>
    <col min="5155" max="5156" width="11.42578125" style="14"/>
    <col min="5157" max="5157" width="14.85546875" style="14" bestFit="1" customWidth="1"/>
    <col min="5158" max="5382" width="11.42578125" style="14"/>
    <col min="5383" max="5383" width="34.42578125" style="14" customWidth="1"/>
    <col min="5384" max="5385" width="19.42578125" style="14" bestFit="1" customWidth="1"/>
    <col min="5386" max="5386" width="19.7109375" style="14" customWidth="1"/>
    <col min="5387" max="5388" width="20.42578125" style="14" customWidth="1"/>
    <col min="5389" max="5390" width="19.7109375" style="14" customWidth="1"/>
    <col min="5391" max="5391" width="25.28515625" style="14" customWidth="1"/>
    <col min="5392" max="5392" width="26" style="14" customWidth="1"/>
    <col min="5393" max="5393" width="22.28515625" style="14" customWidth="1"/>
    <col min="5394" max="5394" width="24.85546875" style="14" customWidth="1"/>
    <col min="5395" max="5395" width="21.140625" style="14" customWidth="1"/>
    <col min="5396" max="5396" width="21.42578125" style="14" customWidth="1"/>
    <col min="5397" max="5397" width="27.85546875" style="14" customWidth="1"/>
    <col min="5398" max="5398" width="23.42578125" style="14" customWidth="1"/>
    <col min="5399" max="5399" width="21.42578125" style="14" customWidth="1"/>
    <col min="5400" max="5402" width="20.7109375" style="14" customWidth="1"/>
    <col min="5403" max="5403" width="32.28515625" style="14" bestFit="1" customWidth="1"/>
    <col min="5404" max="5404" width="20.7109375" style="14" customWidth="1"/>
    <col min="5405" max="5405" width="22" style="14" customWidth="1"/>
    <col min="5406" max="5409" width="21.28515625" style="14" customWidth="1"/>
    <col min="5410" max="5410" width="22.28515625" style="14" customWidth="1"/>
    <col min="5411" max="5412" width="11.42578125" style="14"/>
    <col min="5413" max="5413" width="14.85546875" style="14" bestFit="1" customWidth="1"/>
    <col min="5414" max="5638" width="11.42578125" style="14"/>
    <col min="5639" max="5639" width="34.42578125" style="14" customWidth="1"/>
    <col min="5640" max="5641" width="19.42578125" style="14" bestFit="1" customWidth="1"/>
    <col min="5642" max="5642" width="19.7109375" style="14" customWidth="1"/>
    <col min="5643" max="5644" width="20.42578125" style="14" customWidth="1"/>
    <col min="5645" max="5646" width="19.7109375" style="14" customWidth="1"/>
    <col min="5647" max="5647" width="25.28515625" style="14" customWidth="1"/>
    <col min="5648" max="5648" width="26" style="14" customWidth="1"/>
    <col min="5649" max="5649" width="22.28515625" style="14" customWidth="1"/>
    <col min="5650" max="5650" width="24.85546875" style="14" customWidth="1"/>
    <col min="5651" max="5651" width="21.140625" style="14" customWidth="1"/>
    <col min="5652" max="5652" width="21.42578125" style="14" customWidth="1"/>
    <col min="5653" max="5653" width="27.85546875" style="14" customWidth="1"/>
    <col min="5654" max="5654" width="23.42578125" style="14" customWidth="1"/>
    <col min="5655" max="5655" width="21.42578125" style="14" customWidth="1"/>
    <col min="5656" max="5658" width="20.7109375" style="14" customWidth="1"/>
    <col min="5659" max="5659" width="32.28515625" style="14" bestFit="1" customWidth="1"/>
    <col min="5660" max="5660" width="20.7109375" style="14" customWidth="1"/>
    <col min="5661" max="5661" width="22" style="14" customWidth="1"/>
    <col min="5662" max="5665" width="21.28515625" style="14" customWidth="1"/>
    <col min="5666" max="5666" width="22.28515625" style="14" customWidth="1"/>
    <col min="5667" max="5668" width="11.42578125" style="14"/>
    <col min="5669" max="5669" width="14.85546875" style="14" bestFit="1" customWidth="1"/>
    <col min="5670" max="5894" width="11.42578125" style="14"/>
    <col min="5895" max="5895" width="34.42578125" style="14" customWidth="1"/>
    <col min="5896" max="5897" width="19.42578125" style="14" bestFit="1" customWidth="1"/>
    <col min="5898" max="5898" width="19.7109375" style="14" customWidth="1"/>
    <col min="5899" max="5900" width="20.42578125" style="14" customWidth="1"/>
    <col min="5901" max="5902" width="19.7109375" style="14" customWidth="1"/>
    <col min="5903" max="5903" width="25.28515625" style="14" customWidth="1"/>
    <col min="5904" max="5904" width="26" style="14" customWidth="1"/>
    <col min="5905" max="5905" width="22.28515625" style="14" customWidth="1"/>
    <col min="5906" max="5906" width="24.85546875" style="14" customWidth="1"/>
    <col min="5907" max="5907" width="21.140625" style="14" customWidth="1"/>
    <col min="5908" max="5908" width="21.42578125" style="14" customWidth="1"/>
    <col min="5909" max="5909" width="27.85546875" style="14" customWidth="1"/>
    <col min="5910" max="5910" width="23.42578125" style="14" customWidth="1"/>
    <col min="5911" max="5911" width="21.42578125" style="14" customWidth="1"/>
    <col min="5912" max="5914" width="20.7109375" style="14" customWidth="1"/>
    <col min="5915" max="5915" width="32.28515625" style="14" bestFit="1" customWidth="1"/>
    <col min="5916" max="5916" width="20.7109375" style="14" customWidth="1"/>
    <col min="5917" max="5917" width="22" style="14" customWidth="1"/>
    <col min="5918" max="5921" width="21.28515625" style="14" customWidth="1"/>
    <col min="5922" max="5922" width="22.28515625" style="14" customWidth="1"/>
    <col min="5923" max="5924" width="11.42578125" style="14"/>
    <col min="5925" max="5925" width="14.85546875" style="14" bestFit="1" customWidth="1"/>
    <col min="5926" max="6150" width="11.42578125" style="14"/>
    <col min="6151" max="6151" width="34.42578125" style="14" customWidth="1"/>
    <col min="6152" max="6153" width="19.42578125" style="14" bestFit="1" customWidth="1"/>
    <col min="6154" max="6154" width="19.7109375" style="14" customWidth="1"/>
    <col min="6155" max="6156" width="20.42578125" style="14" customWidth="1"/>
    <col min="6157" max="6158" width="19.7109375" style="14" customWidth="1"/>
    <col min="6159" max="6159" width="25.28515625" style="14" customWidth="1"/>
    <col min="6160" max="6160" width="26" style="14" customWidth="1"/>
    <col min="6161" max="6161" width="22.28515625" style="14" customWidth="1"/>
    <col min="6162" max="6162" width="24.85546875" style="14" customWidth="1"/>
    <col min="6163" max="6163" width="21.140625" style="14" customWidth="1"/>
    <col min="6164" max="6164" width="21.42578125" style="14" customWidth="1"/>
    <col min="6165" max="6165" width="27.85546875" style="14" customWidth="1"/>
    <col min="6166" max="6166" width="23.42578125" style="14" customWidth="1"/>
    <col min="6167" max="6167" width="21.42578125" style="14" customWidth="1"/>
    <col min="6168" max="6170" width="20.7109375" style="14" customWidth="1"/>
    <col min="6171" max="6171" width="32.28515625" style="14" bestFit="1" customWidth="1"/>
    <col min="6172" max="6172" width="20.7109375" style="14" customWidth="1"/>
    <col min="6173" max="6173" width="22" style="14" customWidth="1"/>
    <col min="6174" max="6177" width="21.28515625" style="14" customWidth="1"/>
    <col min="6178" max="6178" width="22.28515625" style="14" customWidth="1"/>
    <col min="6179" max="6180" width="11.42578125" style="14"/>
    <col min="6181" max="6181" width="14.85546875" style="14" bestFit="1" customWidth="1"/>
    <col min="6182" max="6406" width="11.42578125" style="14"/>
    <col min="6407" max="6407" width="34.42578125" style="14" customWidth="1"/>
    <col min="6408" max="6409" width="19.42578125" style="14" bestFit="1" customWidth="1"/>
    <col min="6410" max="6410" width="19.7109375" style="14" customWidth="1"/>
    <col min="6411" max="6412" width="20.42578125" style="14" customWidth="1"/>
    <col min="6413" max="6414" width="19.7109375" style="14" customWidth="1"/>
    <col min="6415" max="6415" width="25.28515625" style="14" customWidth="1"/>
    <col min="6416" max="6416" width="26" style="14" customWidth="1"/>
    <col min="6417" max="6417" width="22.28515625" style="14" customWidth="1"/>
    <col min="6418" max="6418" width="24.85546875" style="14" customWidth="1"/>
    <col min="6419" max="6419" width="21.140625" style="14" customWidth="1"/>
    <col min="6420" max="6420" width="21.42578125" style="14" customWidth="1"/>
    <col min="6421" max="6421" width="27.85546875" style="14" customWidth="1"/>
    <col min="6422" max="6422" width="23.42578125" style="14" customWidth="1"/>
    <col min="6423" max="6423" width="21.42578125" style="14" customWidth="1"/>
    <col min="6424" max="6426" width="20.7109375" style="14" customWidth="1"/>
    <col min="6427" max="6427" width="32.28515625" style="14" bestFit="1" customWidth="1"/>
    <col min="6428" max="6428" width="20.7109375" style="14" customWidth="1"/>
    <col min="6429" max="6429" width="22" style="14" customWidth="1"/>
    <col min="6430" max="6433" width="21.28515625" style="14" customWidth="1"/>
    <col min="6434" max="6434" width="22.28515625" style="14" customWidth="1"/>
    <col min="6435" max="6436" width="11.42578125" style="14"/>
    <col min="6437" max="6437" width="14.85546875" style="14" bestFit="1" customWidth="1"/>
    <col min="6438" max="6662" width="11.42578125" style="14"/>
    <col min="6663" max="6663" width="34.42578125" style="14" customWidth="1"/>
    <col min="6664" max="6665" width="19.42578125" style="14" bestFit="1" customWidth="1"/>
    <col min="6666" max="6666" width="19.7109375" style="14" customWidth="1"/>
    <col min="6667" max="6668" width="20.42578125" style="14" customWidth="1"/>
    <col min="6669" max="6670" width="19.7109375" style="14" customWidth="1"/>
    <col min="6671" max="6671" width="25.28515625" style="14" customWidth="1"/>
    <col min="6672" max="6672" width="26" style="14" customWidth="1"/>
    <col min="6673" max="6673" width="22.28515625" style="14" customWidth="1"/>
    <col min="6674" max="6674" width="24.85546875" style="14" customWidth="1"/>
    <col min="6675" max="6675" width="21.140625" style="14" customWidth="1"/>
    <col min="6676" max="6676" width="21.42578125" style="14" customWidth="1"/>
    <col min="6677" max="6677" width="27.85546875" style="14" customWidth="1"/>
    <col min="6678" max="6678" width="23.42578125" style="14" customWidth="1"/>
    <col min="6679" max="6679" width="21.42578125" style="14" customWidth="1"/>
    <col min="6680" max="6682" width="20.7109375" style="14" customWidth="1"/>
    <col min="6683" max="6683" width="32.28515625" style="14" bestFit="1" customWidth="1"/>
    <col min="6684" max="6684" width="20.7109375" style="14" customWidth="1"/>
    <col min="6685" max="6685" width="22" style="14" customWidth="1"/>
    <col min="6686" max="6689" width="21.28515625" style="14" customWidth="1"/>
    <col min="6690" max="6690" width="22.28515625" style="14" customWidth="1"/>
    <col min="6691" max="6692" width="11.42578125" style="14"/>
    <col min="6693" max="6693" width="14.85546875" style="14" bestFit="1" customWidth="1"/>
    <col min="6694" max="6918" width="11.42578125" style="14"/>
    <col min="6919" max="6919" width="34.42578125" style="14" customWidth="1"/>
    <col min="6920" max="6921" width="19.42578125" style="14" bestFit="1" customWidth="1"/>
    <col min="6922" max="6922" width="19.7109375" style="14" customWidth="1"/>
    <col min="6923" max="6924" width="20.42578125" style="14" customWidth="1"/>
    <col min="6925" max="6926" width="19.7109375" style="14" customWidth="1"/>
    <col min="6927" max="6927" width="25.28515625" style="14" customWidth="1"/>
    <col min="6928" max="6928" width="26" style="14" customWidth="1"/>
    <col min="6929" max="6929" width="22.28515625" style="14" customWidth="1"/>
    <col min="6930" max="6930" width="24.85546875" style="14" customWidth="1"/>
    <col min="6931" max="6931" width="21.140625" style="14" customWidth="1"/>
    <col min="6932" max="6932" width="21.42578125" style="14" customWidth="1"/>
    <col min="6933" max="6933" width="27.85546875" style="14" customWidth="1"/>
    <col min="6934" max="6934" width="23.42578125" style="14" customWidth="1"/>
    <col min="6935" max="6935" width="21.42578125" style="14" customWidth="1"/>
    <col min="6936" max="6938" width="20.7109375" style="14" customWidth="1"/>
    <col min="6939" max="6939" width="32.28515625" style="14" bestFit="1" customWidth="1"/>
    <col min="6940" max="6940" width="20.7109375" style="14" customWidth="1"/>
    <col min="6941" max="6941" width="22" style="14" customWidth="1"/>
    <col min="6942" max="6945" width="21.28515625" style="14" customWidth="1"/>
    <col min="6946" max="6946" width="22.28515625" style="14" customWidth="1"/>
    <col min="6947" max="6948" width="11.42578125" style="14"/>
    <col min="6949" max="6949" width="14.85546875" style="14" bestFit="1" customWidth="1"/>
    <col min="6950" max="7174" width="11.42578125" style="14"/>
    <col min="7175" max="7175" width="34.42578125" style="14" customWidth="1"/>
    <col min="7176" max="7177" width="19.42578125" style="14" bestFit="1" customWidth="1"/>
    <col min="7178" max="7178" width="19.7109375" style="14" customWidth="1"/>
    <col min="7179" max="7180" width="20.42578125" style="14" customWidth="1"/>
    <col min="7181" max="7182" width="19.7109375" style="14" customWidth="1"/>
    <col min="7183" max="7183" width="25.28515625" style="14" customWidth="1"/>
    <col min="7184" max="7184" width="26" style="14" customWidth="1"/>
    <col min="7185" max="7185" width="22.28515625" style="14" customWidth="1"/>
    <col min="7186" max="7186" width="24.85546875" style="14" customWidth="1"/>
    <col min="7187" max="7187" width="21.140625" style="14" customWidth="1"/>
    <col min="7188" max="7188" width="21.42578125" style="14" customWidth="1"/>
    <col min="7189" max="7189" width="27.85546875" style="14" customWidth="1"/>
    <col min="7190" max="7190" width="23.42578125" style="14" customWidth="1"/>
    <col min="7191" max="7191" width="21.42578125" style="14" customWidth="1"/>
    <col min="7192" max="7194" width="20.7109375" style="14" customWidth="1"/>
    <col min="7195" max="7195" width="32.28515625" style="14" bestFit="1" customWidth="1"/>
    <col min="7196" max="7196" width="20.7109375" style="14" customWidth="1"/>
    <col min="7197" max="7197" width="22" style="14" customWidth="1"/>
    <col min="7198" max="7201" width="21.28515625" style="14" customWidth="1"/>
    <col min="7202" max="7202" width="22.28515625" style="14" customWidth="1"/>
    <col min="7203" max="7204" width="11.42578125" style="14"/>
    <col min="7205" max="7205" width="14.85546875" style="14" bestFit="1" customWidth="1"/>
    <col min="7206" max="7430" width="11.42578125" style="14"/>
    <col min="7431" max="7431" width="34.42578125" style="14" customWidth="1"/>
    <col min="7432" max="7433" width="19.42578125" style="14" bestFit="1" customWidth="1"/>
    <col min="7434" max="7434" width="19.7109375" style="14" customWidth="1"/>
    <col min="7435" max="7436" width="20.42578125" style="14" customWidth="1"/>
    <col min="7437" max="7438" width="19.7109375" style="14" customWidth="1"/>
    <col min="7439" max="7439" width="25.28515625" style="14" customWidth="1"/>
    <col min="7440" max="7440" width="26" style="14" customWidth="1"/>
    <col min="7441" max="7441" width="22.28515625" style="14" customWidth="1"/>
    <col min="7442" max="7442" width="24.85546875" style="14" customWidth="1"/>
    <col min="7443" max="7443" width="21.140625" style="14" customWidth="1"/>
    <col min="7444" max="7444" width="21.42578125" style="14" customWidth="1"/>
    <col min="7445" max="7445" width="27.85546875" style="14" customWidth="1"/>
    <col min="7446" max="7446" width="23.42578125" style="14" customWidth="1"/>
    <col min="7447" max="7447" width="21.42578125" style="14" customWidth="1"/>
    <col min="7448" max="7450" width="20.7109375" style="14" customWidth="1"/>
    <col min="7451" max="7451" width="32.28515625" style="14" bestFit="1" customWidth="1"/>
    <col min="7452" max="7452" width="20.7109375" style="14" customWidth="1"/>
    <col min="7453" max="7453" width="22" style="14" customWidth="1"/>
    <col min="7454" max="7457" width="21.28515625" style="14" customWidth="1"/>
    <col min="7458" max="7458" width="22.28515625" style="14" customWidth="1"/>
    <col min="7459" max="7460" width="11.42578125" style="14"/>
    <col min="7461" max="7461" width="14.85546875" style="14" bestFit="1" customWidth="1"/>
    <col min="7462" max="7686" width="11.42578125" style="14"/>
    <col min="7687" max="7687" width="34.42578125" style="14" customWidth="1"/>
    <col min="7688" max="7689" width="19.42578125" style="14" bestFit="1" customWidth="1"/>
    <col min="7690" max="7690" width="19.7109375" style="14" customWidth="1"/>
    <col min="7691" max="7692" width="20.42578125" style="14" customWidth="1"/>
    <col min="7693" max="7694" width="19.7109375" style="14" customWidth="1"/>
    <col min="7695" max="7695" width="25.28515625" style="14" customWidth="1"/>
    <col min="7696" max="7696" width="26" style="14" customWidth="1"/>
    <col min="7697" max="7697" width="22.28515625" style="14" customWidth="1"/>
    <col min="7698" max="7698" width="24.85546875" style="14" customWidth="1"/>
    <col min="7699" max="7699" width="21.140625" style="14" customWidth="1"/>
    <col min="7700" max="7700" width="21.42578125" style="14" customWidth="1"/>
    <col min="7701" max="7701" width="27.85546875" style="14" customWidth="1"/>
    <col min="7702" max="7702" width="23.42578125" style="14" customWidth="1"/>
    <col min="7703" max="7703" width="21.42578125" style="14" customWidth="1"/>
    <col min="7704" max="7706" width="20.7109375" style="14" customWidth="1"/>
    <col min="7707" max="7707" width="32.28515625" style="14" bestFit="1" customWidth="1"/>
    <col min="7708" max="7708" width="20.7109375" style="14" customWidth="1"/>
    <col min="7709" max="7709" width="22" style="14" customWidth="1"/>
    <col min="7710" max="7713" width="21.28515625" style="14" customWidth="1"/>
    <col min="7714" max="7714" width="22.28515625" style="14" customWidth="1"/>
    <col min="7715" max="7716" width="11.42578125" style="14"/>
    <col min="7717" max="7717" width="14.85546875" style="14" bestFit="1" customWidth="1"/>
    <col min="7718" max="7942" width="11.42578125" style="14"/>
    <col min="7943" max="7943" width="34.42578125" style="14" customWidth="1"/>
    <col min="7944" max="7945" width="19.42578125" style="14" bestFit="1" customWidth="1"/>
    <col min="7946" max="7946" width="19.7109375" style="14" customWidth="1"/>
    <col min="7947" max="7948" width="20.42578125" style="14" customWidth="1"/>
    <col min="7949" max="7950" width="19.7109375" style="14" customWidth="1"/>
    <col min="7951" max="7951" width="25.28515625" style="14" customWidth="1"/>
    <col min="7952" max="7952" width="26" style="14" customWidth="1"/>
    <col min="7953" max="7953" width="22.28515625" style="14" customWidth="1"/>
    <col min="7954" max="7954" width="24.85546875" style="14" customWidth="1"/>
    <col min="7955" max="7955" width="21.140625" style="14" customWidth="1"/>
    <col min="7956" max="7956" width="21.42578125" style="14" customWidth="1"/>
    <col min="7957" max="7957" width="27.85546875" style="14" customWidth="1"/>
    <col min="7958" max="7958" width="23.42578125" style="14" customWidth="1"/>
    <col min="7959" max="7959" width="21.42578125" style="14" customWidth="1"/>
    <col min="7960" max="7962" width="20.7109375" style="14" customWidth="1"/>
    <col min="7963" max="7963" width="32.28515625" style="14" bestFit="1" customWidth="1"/>
    <col min="7964" max="7964" width="20.7109375" style="14" customWidth="1"/>
    <col min="7965" max="7965" width="22" style="14" customWidth="1"/>
    <col min="7966" max="7969" width="21.28515625" style="14" customWidth="1"/>
    <col min="7970" max="7970" width="22.28515625" style="14" customWidth="1"/>
    <col min="7971" max="7972" width="11.42578125" style="14"/>
    <col min="7973" max="7973" width="14.85546875" style="14" bestFit="1" customWidth="1"/>
    <col min="7974" max="8198" width="11.42578125" style="14"/>
    <col min="8199" max="8199" width="34.42578125" style="14" customWidth="1"/>
    <col min="8200" max="8201" width="19.42578125" style="14" bestFit="1" customWidth="1"/>
    <col min="8202" max="8202" width="19.7109375" style="14" customWidth="1"/>
    <col min="8203" max="8204" width="20.42578125" style="14" customWidth="1"/>
    <col min="8205" max="8206" width="19.7109375" style="14" customWidth="1"/>
    <col min="8207" max="8207" width="25.28515625" style="14" customWidth="1"/>
    <col min="8208" max="8208" width="26" style="14" customWidth="1"/>
    <col min="8209" max="8209" width="22.28515625" style="14" customWidth="1"/>
    <col min="8210" max="8210" width="24.85546875" style="14" customWidth="1"/>
    <col min="8211" max="8211" width="21.140625" style="14" customWidth="1"/>
    <col min="8212" max="8212" width="21.42578125" style="14" customWidth="1"/>
    <col min="8213" max="8213" width="27.85546875" style="14" customWidth="1"/>
    <col min="8214" max="8214" width="23.42578125" style="14" customWidth="1"/>
    <col min="8215" max="8215" width="21.42578125" style="14" customWidth="1"/>
    <col min="8216" max="8218" width="20.7109375" style="14" customWidth="1"/>
    <col min="8219" max="8219" width="32.28515625" style="14" bestFit="1" customWidth="1"/>
    <col min="8220" max="8220" width="20.7109375" style="14" customWidth="1"/>
    <col min="8221" max="8221" width="22" style="14" customWidth="1"/>
    <col min="8222" max="8225" width="21.28515625" style="14" customWidth="1"/>
    <col min="8226" max="8226" width="22.28515625" style="14" customWidth="1"/>
    <col min="8227" max="8228" width="11.42578125" style="14"/>
    <col min="8229" max="8229" width="14.85546875" style="14" bestFit="1" customWidth="1"/>
    <col min="8230" max="8454" width="11.42578125" style="14"/>
    <col min="8455" max="8455" width="34.42578125" style="14" customWidth="1"/>
    <col min="8456" max="8457" width="19.42578125" style="14" bestFit="1" customWidth="1"/>
    <col min="8458" max="8458" width="19.7109375" style="14" customWidth="1"/>
    <col min="8459" max="8460" width="20.42578125" style="14" customWidth="1"/>
    <col min="8461" max="8462" width="19.7109375" style="14" customWidth="1"/>
    <col min="8463" max="8463" width="25.28515625" style="14" customWidth="1"/>
    <col min="8464" max="8464" width="26" style="14" customWidth="1"/>
    <col min="8465" max="8465" width="22.28515625" style="14" customWidth="1"/>
    <col min="8466" max="8466" width="24.85546875" style="14" customWidth="1"/>
    <col min="8467" max="8467" width="21.140625" style="14" customWidth="1"/>
    <col min="8468" max="8468" width="21.42578125" style="14" customWidth="1"/>
    <col min="8469" max="8469" width="27.85546875" style="14" customWidth="1"/>
    <col min="8470" max="8470" width="23.42578125" style="14" customWidth="1"/>
    <col min="8471" max="8471" width="21.42578125" style="14" customWidth="1"/>
    <col min="8472" max="8474" width="20.7109375" style="14" customWidth="1"/>
    <col min="8475" max="8475" width="32.28515625" style="14" bestFit="1" customWidth="1"/>
    <col min="8476" max="8476" width="20.7109375" style="14" customWidth="1"/>
    <col min="8477" max="8477" width="22" style="14" customWidth="1"/>
    <col min="8478" max="8481" width="21.28515625" style="14" customWidth="1"/>
    <col min="8482" max="8482" width="22.28515625" style="14" customWidth="1"/>
    <col min="8483" max="8484" width="11.42578125" style="14"/>
    <col min="8485" max="8485" width="14.85546875" style="14" bestFit="1" customWidth="1"/>
    <col min="8486" max="8710" width="11.42578125" style="14"/>
    <col min="8711" max="8711" width="34.42578125" style="14" customWidth="1"/>
    <col min="8712" max="8713" width="19.42578125" style="14" bestFit="1" customWidth="1"/>
    <col min="8714" max="8714" width="19.7109375" style="14" customWidth="1"/>
    <col min="8715" max="8716" width="20.42578125" style="14" customWidth="1"/>
    <col min="8717" max="8718" width="19.7109375" style="14" customWidth="1"/>
    <col min="8719" max="8719" width="25.28515625" style="14" customWidth="1"/>
    <col min="8720" max="8720" width="26" style="14" customWidth="1"/>
    <col min="8721" max="8721" width="22.28515625" style="14" customWidth="1"/>
    <col min="8722" max="8722" width="24.85546875" style="14" customWidth="1"/>
    <col min="8723" max="8723" width="21.140625" style="14" customWidth="1"/>
    <col min="8724" max="8724" width="21.42578125" style="14" customWidth="1"/>
    <col min="8725" max="8725" width="27.85546875" style="14" customWidth="1"/>
    <col min="8726" max="8726" width="23.42578125" style="14" customWidth="1"/>
    <col min="8727" max="8727" width="21.42578125" style="14" customWidth="1"/>
    <col min="8728" max="8730" width="20.7109375" style="14" customWidth="1"/>
    <col min="8731" max="8731" width="32.28515625" style="14" bestFit="1" customWidth="1"/>
    <col min="8732" max="8732" width="20.7109375" style="14" customWidth="1"/>
    <col min="8733" max="8733" width="22" style="14" customWidth="1"/>
    <col min="8734" max="8737" width="21.28515625" style="14" customWidth="1"/>
    <col min="8738" max="8738" width="22.28515625" style="14" customWidth="1"/>
    <col min="8739" max="8740" width="11.42578125" style="14"/>
    <col min="8741" max="8741" width="14.85546875" style="14" bestFit="1" customWidth="1"/>
    <col min="8742" max="8966" width="11.42578125" style="14"/>
    <col min="8967" max="8967" width="34.42578125" style="14" customWidth="1"/>
    <col min="8968" max="8969" width="19.42578125" style="14" bestFit="1" customWidth="1"/>
    <col min="8970" max="8970" width="19.7109375" style="14" customWidth="1"/>
    <col min="8971" max="8972" width="20.42578125" style="14" customWidth="1"/>
    <col min="8973" max="8974" width="19.7109375" style="14" customWidth="1"/>
    <col min="8975" max="8975" width="25.28515625" style="14" customWidth="1"/>
    <col min="8976" max="8976" width="26" style="14" customWidth="1"/>
    <col min="8977" max="8977" width="22.28515625" style="14" customWidth="1"/>
    <col min="8978" max="8978" width="24.85546875" style="14" customWidth="1"/>
    <col min="8979" max="8979" width="21.140625" style="14" customWidth="1"/>
    <col min="8980" max="8980" width="21.42578125" style="14" customWidth="1"/>
    <col min="8981" max="8981" width="27.85546875" style="14" customWidth="1"/>
    <col min="8982" max="8982" width="23.42578125" style="14" customWidth="1"/>
    <col min="8983" max="8983" width="21.42578125" style="14" customWidth="1"/>
    <col min="8984" max="8986" width="20.7109375" style="14" customWidth="1"/>
    <col min="8987" max="8987" width="32.28515625" style="14" bestFit="1" customWidth="1"/>
    <col min="8988" max="8988" width="20.7109375" style="14" customWidth="1"/>
    <col min="8989" max="8989" width="22" style="14" customWidth="1"/>
    <col min="8990" max="8993" width="21.28515625" style="14" customWidth="1"/>
    <col min="8994" max="8994" width="22.28515625" style="14" customWidth="1"/>
    <col min="8995" max="8996" width="11.42578125" style="14"/>
    <col min="8997" max="8997" width="14.85546875" style="14" bestFit="1" customWidth="1"/>
    <col min="8998" max="9222" width="11.42578125" style="14"/>
    <col min="9223" max="9223" width="34.42578125" style="14" customWidth="1"/>
    <col min="9224" max="9225" width="19.42578125" style="14" bestFit="1" customWidth="1"/>
    <col min="9226" max="9226" width="19.7109375" style="14" customWidth="1"/>
    <col min="9227" max="9228" width="20.42578125" style="14" customWidth="1"/>
    <col min="9229" max="9230" width="19.7109375" style="14" customWidth="1"/>
    <col min="9231" max="9231" width="25.28515625" style="14" customWidth="1"/>
    <col min="9232" max="9232" width="26" style="14" customWidth="1"/>
    <col min="9233" max="9233" width="22.28515625" style="14" customWidth="1"/>
    <col min="9234" max="9234" width="24.85546875" style="14" customWidth="1"/>
    <col min="9235" max="9235" width="21.140625" style="14" customWidth="1"/>
    <col min="9236" max="9236" width="21.42578125" style="14" customWidth="1"/>
    <col min="9237" max="9237" width="27.85546875" style="14" customWidth="1"/>
    <col min="9238" max="9238" width="23.42578125" style="14" customWidth="1"/>
    <col min="9239" max="9239" width="21.42578125" style="14" customWidth="1"/>
    <col min="9240" max="9242" width="20.7109375" style="14" customWidth="1"/>
    <col min="9243" max="9243" width="32.28515625" style="14" bestFit="1" customWidth="1"/>
    <col min="9244" max="9244" width="20.7109375" style="14" customWidth="1"/>
    <col min="9245" max="9245" width="22" style="14" customWidth="1"/>
    <col min="9246" max="9249" width="21.28515625" style="14" customWidth="1"/>
    <col min="9250" max="9250" width="22.28515625" style="14" customWidth="1"/>
    <col min="9251" max="9252" width="11.42578125" style="14"/>
    <col min="9253" max="9253" width="14.85546875" style="14" bestFit="1" customWidth="1"/>
    <col min="9254" max="9478" width="11.42578125" style="14"/>
    <col min="9479" max="9479" width="34.42578125" style="14" customWidth="1"/>
    <col min="9480" max="9481" width="19.42578125" style="14" bestFit="1" customWidth="1"/>
    <col min="9482" max="9482" width="19.7109375" style="14" customWidth="1"/>
    <col min="9483" max="9484" width="20.42578125" style="14" customWidth="1"/>
    <col min="9485" max="9486" width="19.7109375" style="14" customWidth="1"/>
    <col min="9487" max="9487" width="25.28515625" style="14" customWidth="1"/>
    <col min="9488" max="9488" width="26" style="14" customWidth="1"/>
    <col min="9489" max="9489" width="22.28515625" style="14" customWidth="1"/>
    <col min="9490" max="9490" width="24.85546875" style="14" customWidth="1"/>
    <col min="9491" max="9491" width="21.140625" style="14" customWidth="1"/>
    <col min="9492" max="9492" width="21.42578125" style="14" customWidth="1"/>
    <col min="9493" max="9493" width="27.85546875" style="14" customWidth="1"/>
    <col min="9494" max="9494" width="23.42578125" style="14" customWidth="1"/>
    <col min="9495" max="9495" width="21.42578125" style="14" customWidth="1"/>
    <col min="9496" max="9498" width="20.7109375" style="14" customWidth="1"/>
    <col min="9499" max="9499" width="32.28515625" style="14" bestFit="1" customWidth="1"/>
    <col min="9500" max="9500" width="20.7109375" style="14" customWidth="1"/>
    <col min="9501" max="9501" width="22" style="14" customWidth="1"/>
    <col min="9502" max="9505" width="21.28515625" style="14" customWidth="1"/>
    <col min="9506" max="9506" width="22.28515625" style="14" customWidth="1"/>
    <col min="9507" max="9508" width="11.42578125" style="14"/>
    <col min="9509" max="9509" width="14.85546875" style="14" bestFit="1" customWidth="1"/>
    <col min="9510" max="9734" width="11.42578125" style="14"/>
    <col min="9735" max="9735" width="34.42578125" style="14" customWidth="1"/>
    <col min="9736" max="9737" width="19.42578125" style="14" bestFit="1" customWidth="1"/>
    <col min="9738" max="9738" width="19.7109375" style="14" customWidth="1"/>
    <col min="9739" max="9740" width="20.42578125" style="14" customWidth="1"/>
    <col min="9741" max="9742" width="19.7109375" style="14" customWidth="1"/>
    <col min="9743" max="9743" width="25.28515625" style="14" customWidth="1"/>
    <col min="9744" max="9744" width="26" style="14" customWidth="1"/>
    <col min="9745" max="9745" width="22.28515625" style="14" customWidth="1"/>
    <col min="9746" max="9746" width="24.85546875" style="14" customWidth="1"/>
    <col min="9747" max="9747" width="21.140625" style="14" customWidth="1"/>
    <col min="9748" max="9748" width="21.42578125" style="14" customWidth="1"/>
    <col min="9749" max="9749" width="27.85546875" style="14" customWidth="1"/>
    <col min="9750" max="9750" width="23.42578125" style="14" customWidth="1"/>
    <col min="9751" max="9751" width="21.42578125" style="14" customWidth="1"/>
    <col min="9752" max="9754" width="20.7109375" style="14" customWidth="1"/>
    <col min="9755" max="9755" width="32.28515625" style="14" bestFit="1" customWidth="1"/>
    <col min="9756" max="9756" width="20.7109375" style="14" customWidth="1"/>
    <col min="9757" max="9757" width="22" style="14" customWidth="1"/>
    <col min="9758" max="9761" width="21.28515625" style="14" customWidth="1"/>
    <col min="9762" max="9762" width="22.28515625" style="14" customWidth="1"/>
    <col min="9763" max="9764" width="11.42578125" style="14"/>
    <col min="9765" max="9765" width="14.85546875" style="14" bestFit="1" customWidth="1"/>
    <col min="9766" max="9990" width="11.42578125" style="14"/>
    <col min="9991" max="9991" width="34.42578125" style="14" customWidth="1"/>
    <col min="9992" max="9993" width="19.42578125" style="14" bestFit="1" customWidth="1"/>
    <col min="9994" max="9994" width="19.7109375" style="14" customWidth="1"/>
    <col min="9995" max="9996" width="20.42578125" style="14" customWidth="1"/>
    <col min="9997" max="9998" width="19.7109375" style="14" customWidth="1"/>
    <col min="9999" max="9999" width="25.28515625" style="14" customWidth="1"/>
    <col min="10000" max="10000" width="26" style="14" customWidth="1"/>
    <col min="10001" max="10001" width="22.28515625" style="14" customWidth="1"/>
    <col min="10002" max="10002" width="24.85546875" style="14" customWidth="1"/>
    <col min="10003" max="10003" width="21.140625" style="14" customWidth="1"/>
    <col min="10004" max="10004" width="21.42578125" style="14" customWidth="1"/>
    <col min="10005" max="10005" width="27.85546875" style="14" customWidth="1"/>
    <col min="10006" max="10006" width="23.42578125" style="14" customWidth="1"/>
    <col min="10007" max="10007" width="21.42578125" style="14" customWidth="1"/>
    <col min="10008" max="10010" width="20.7109375" style="14" customWidth="1"/>
    <col min="10011" max="10011" width="32.28515625" style="14" bestFit="1" customWidth="1"/>
    <col min="10012" max="10012" width="20.7109375" style="14" customWidth="1"/>
    <col min="10013" max="10013" width="22" style="14" customWidth="1"/>
    <col min="10014" max="10017" width="21.28515625" style="14" customWidth="1"/>
    <col min="10018" max="10018" width="22.28515625" style="14" customWidth="1"/>
    <col min="10019" max="10020" width="11.42578125" style="14"/>
    <col min="10021" max="10021" width="14.85546875" style="14" bestFit="1" customWidth="1"/>
    <col min="10022" max="10246" width="11.42578125" style="14"/>
    <col min="10247" max="10247" width="34.42578125" style="14" customWidth="1"/>
    <col min="10248" max="10249" width="19.42578125" style="14" bestFit="1" customWidth="1"/>
    <col min="10250" max="10250" width="19.7109375" style="14" customWidth="1"/>
    <col min="10251" max="10252" width="20.42578125" style="14" customWidth="1"/>
    <col min="10253" max="10254" width="19.7109375" style="14" customWidth="1"/>
    <col min="10255" max="10255" width="25.28515625" style="14" customWidth="1"/>
    <col min="10256" max="10256" width="26" style="14" customWidth="1"/>
    <col min="10257" max="10257" width="22.28515625" style="14" customWidth="1"/>
    <col min="10258" max="10258" width="24.85546875" style="14" customWidth="1"/>
    <col min="10259" max="10259" width="21.140625" style="14" customWidth="1"/>
    <col min="10260" max="10260" width="21.42578125" style="14" customWidth="1"/>
    <col min="10261" max="10261" width="27.85546875" style="14" customWidth="1"/>
    <col min="10262" max="10262" width="23.42578125" style="14" customWidth="1"/>
    <col min="10263" max="10263" width="21.42578125" style="14" customWidth="1"/>
    <col min="10264" max="10266" width="20.7109375" style="14" customWidth="1"/>
    <col min="10267" max="10267" width="32.28515625" style="14" bestFit="1" customWidth="1"/>
    <col min="10268" max="10268" width="20.7109375" style="14" customWidth="1"/>
    <col min="10269" max="10269" width="22" style="14" customWidth="1"/>
    <col min="10270" max="10273" width="21.28515625" style="14" customWidth="1"/>
    <col min="10274" max="10274" width="22.28515625" style="14" customWidth="1"/>
    <col min="10275" max="10276" width="11.42578125" style="14"/>
    <col min="10277" max="10277" width="14.85546875" style="14" bestFit="1" customWidth="1"/>
    <col min="10278" max="10502" width="11.42578125" style="14"/>
    <col min="10503" max="10503" width="34.42578125" style="14" customWidth="1"/>
    <col min="10504" max="10505" width="19.42578125" style="14" bestFit="1" customWidth="1"/>
    <col min="10506" max="10506" width="19.7109375" style="14" customWidth="1"/>
    <col min="10507" max="10508" width="20.42578125" style="14" customWidth="1"/>
    <col min="10509" max="10510" width="19.7109375" style="14" customWidth="1"/>
    <col min="10511" max="10511" width="25.28515625" style="14" customWidth="1"/>
    <col min="10512" max="10512" width="26" style="14" customWidth="1"/>
    <col min="10513" max="10513" width="22.28515625" style="14" customWidth="1"/>
    <col min="10514" max="10514" width="24.85546875" style="14" customWidth="1"/>
    <col min="10515" max="10515" width="21.140625" style="14" customWidth="1"/>
    <col min="10516" max="10516" width="21.42578125" style="14" customWidth="1"/>
    <col min="10517" max="10517" width="27.85546875" style="14" customWidth="1"/>
    <col min="10518" max="10518" width="23.42578125" style="14" customWidth="1"/>
    <col min="10519" max="10519" width="21.42578125" style="14" customWidth="1"/>
    <col min="10520" max="10522" width="20.7109375" style="14" customWidth="1"/>
    <col min="10523" max="10523" width="32.28515625" style="14" bestFit="1" customWidth="1"/>
    <col min="10524" max="10524" width="20.7109375" style="14" customWidth="1"/>
    <col min="10525" max="10525" width="22" style="14" customWidth="1"/>
    <col min="10526" max="10529" width="21.28515625" style="14" customWidth="1"/>
    <col min="10530" max="10530" width="22.28515625" style="14" customWidth="1"/>
    <col min="10531" max="10532" width="11.42578125" style="14"/>
    <col min="10533" max="10533" width="14.85546875" style="14" bestFit="1" customWidth="1"/>
    <col min="10534" max="10758" width="11.42578125" style="14"/>
    <col min="10759" max="10759" width="34.42578125" style="14" customWidth="1"/>
    <col min="10760" max="10761" width="19.42578125" style="14" bestFit="1" customWidth="1"/>
    <col min="10762" max="10762" width="19.7109375" style="14" customWidth="1"/>
    <col min="10763" max="10764" width="20.42578125" style="14" customWidth="1"/>
    <col min="10765" max="10766" width="19.7109375" style="14" customWidth="1"/>
    <col min="10767" max="10767" width="25.28515625" style="14" customWidth="1"/>
    <col min="10768" max="10768" width="26" style="14" customWidth="1"/>
    <col min="10769" max="10769" width="22.28515625" style="14" customWidth="1"/>
    <col min="10770" max="10770" width="24.85546875" style="14" customWidth="1"/>
    <col min="10771" max="10771" width="21.140625" style="14" customWidth="1"/>
    <col min="10772" max="10772" width="21.42578125" style="14" customWidth="1"/>
    <col min="10773" max="10773" width="27.85546875" style="14" customWidth="1"/>
    <col min="10774" max="10774" width="23.42578125" style="14" customWidth="1"/>
    <col min="10775" max="10775" width="21.42578125" style="14" customWidth="1"/>
    <col min="10776" max="10778" width="20.7109375" style="14" customWidth="1"/>
    <col min="10779" max="10779" width="32.28515625" style="14" bestFit="1" customWidth="1"/>
    <col min="10780" max="10780" width="20.7109375" style="14" customWidth="1"/>
    <col min="10781" max="10781" width="22" style="14" customWidth="1"/>
    <col min="10782" max="10785" width="21.28515625" style="14" customWidth="1"/>
    <col min="10786" max="10786" width="22.28515625" style="14" customWidth="1"/>
    <col min="10787" max="10788" width="11.42578125" style="14"/>
    <col min="10789" max="10789" width="14.85546875" style="14" bestFit="1" customWidth="1"/>
    <col min="10790" max="11014" width="11.42578125" style="14"/>
    <col min="11015" max="11015" width="34.42578125" style="14" customWidth="1"/>
    <col min="11016" max="11017" width="19.42578125" style="14" bestFit="1" customWidth="1"/>
    <col min="11018" max="11018" width="19.7109375" style="14" customWidth="1"/>
    <col min="11019" max="11020" width="20.42578125" style="14" customWidth="1"/>
    <col min="11021" max="11022" width="19.7109375" style="14" customWidth="1"/>
    <col min="11023" max="11023" width="25.28515625" style="14" customWidth="1"/>
    <col min="11024" max="11024" width="26" style="14" customWidth="1"/>
    <col min="11025" max="11025" width="22.28515625" style="14" customWidth="1"/>
    <col min="11026" max="11026" width="24.85546875" style="14" customWidth="1"/>
    <col min="11027" max="11027" width="21.140625" style="14" customWidth="1"/>
    <col min="11028" max="11028" width="21.42578125" style="14" customWidth="1"/>
    <col min="11029" max="11029" width="27.85546875" style="14" customWidth="1"/>
    <col min="11030" max="11030" width="23.42578125" style="14" customWidth="1"/>
    <col min="11031" max="11031" width="21.42578125" style="14" customWidth="1"/>
    <col min="11032" max="11034" width="20.7109375" style="14" customWidth="1"/>
    <col min="11035" max="11035" width="32.28515625" style="14" bestFit="1" customWidth="1"/>
    <col min="11036" max="11036" width="20.7109375" style="14" customWidth="1"/>
    <col min="11037" max="11037" width="22" style="14" customWidth="1"/>
    <col min="11038" max="11041" width="21.28515625" style="14" customWidth="1"/>
    <col min="11042" max="11042" width="22.28515625" style="14" customWidth="1"/>
    <col min="11043" max="11044" width="11.42578125" style="14"/>
    <col min="11045" max="11045" width="14.85546875" style="14" bestFit="1" customWidth="1"/>
    <col min="11046" max="11270" width="11.42578125" style="14"/>
    <col min="11271" max="11271" width="34.42578125" style="14" customWidth="1"/>
    <col min="11272" max="11273" width="19.42578125" style="14" bestFit="1" customWidth="1"/>
    <col min="11274" max="11274" width="19.7109375" style="14" customWidth="1"/>
    <col min="11275" max="11276" width="20.42578125" style="14" customWidth="1"/>
    <col min="11277" max="11278" width="19.7109375" style="14" customWidth="1"/>
    <col min="11279" max="11279" width="25.28515625" style="14" customWidth="1"/>
    <col min="11280" max="11280" width="26" style="14" customWidth="1"/>
    <col min="11281" max="11281" width="22.28515625" style="14" customWidth="1"/>
    <col min="11282" max="11282" width="24.85546875" style="14" customWidth="1"/>
    <col min="11283" max="11283" width="21.140625" style="14" customWidth="1"/>
    <col min="11284" max="11284" width="21.42578125" style="14" customWidth="1"/>
    <col min="11285" max="11285" width="27.85546875" style="14" customWidth="1"/>
    <col min="11286" max="11286" width="23.42578125" style="14" customWidth="1"/>
    <col min="11287" max="11287" width="21.42578125" style="14" customWidth="1"/>
    <col min="11288" max="11290" width="20.7109375" style="14" customWidth="1"/>
    <col min="11291" max="11291" width="32.28515625" style="14" bestFit="1" customWidth="1"/>
    <col min="11292" max="11292" width="20.7109375" style="14" customWidth="1"/>
    <col min="11293" max="11293" width="22" style="14" customWidth="1"/>
    <col min="11294" max="11297" width="21.28515625" style="14" customWidth="1"/>
    <col min="11298" max="11298" width="22.28515625" style="14" customWidth="1"/>
    <col min="11299" max="11300" width="11.42578125" style="14"/>
    <col min="11301" max="11301" width="14.85546875" style="14" bestFit="1" customWidth="1"/>
    <col min="11302" max="11526" width="11.42578125" style="14"/>
    <col min="11527" max="11527" width="34.42578125" style="14" customWidth="1"/>
    <col min="11528" max="11529" width="19.42578125" style="14" bestFit="1" customWidth="1"/>
    <col min="11530" max="11530" width="19.7109375" style="14" customWidth="1"/>
    <col min="11531" max="11532" width="20.42578125" style="14" customWidth="1"/>
    <col min="11533" max="11534" width="19.7109375" style="14" customWidth="1"/>
    <col min="11535" max="11535" width="25.28515625" style="14" customWidth="1"/>
    <col min="11536" max="11536" width="26" style="14" customWidth="1"/>
    <col min="11537" max="11537" width="22.28515625" style="14" customWidth="1"/>
    <col min="11538" max="11538" width="24.85546875" style="14" customWidth="1"/>
    <col min="11539" max="11539" width="21.140625" style="14" customWidth="1"/>
    <col min="11540" max="11540" width="21.42578125" style="14" customWidth="1"/>
    <col min="11541" max="11541" width="27.85546875" style="14" customWidth="1"/>
    <col min="11542" max="11542" width="23.42578125" style="14" customWidth="1"/>
    <col min="11543" max="11543" width="21.42578125" style="14" customWidth="1"/>
    <col min="11544" max="11546" width="20.7109375" style="14" customWidth="1"/>
    <col min="11547" max="11547" width="32.28515625" style="14" bestFit="1" customWidth="1"/>
    <col min="11548" max="11548" width="20.7109375" style="14" customWidth="1"/>
    <col min="11549" max="11549" width="22" style="14" customWidth="1"/>
    <col min="11550" max="11553" width="21.28515625" style="14" customWidth="1"/>
    <col min="11554" max="11554" width="22.28515625" style="14" customWidth="1"/>
    <col min="11555" max="11556" width="11.42578125" style="14"/>
    <col min="11557" max="11557" width="14.85546875" style="14" bestFit="1" customWidth="1"/>
    <col min="11558" max="11782" width="11.42578125" style="14"/>
    <col min="11783" max="11783" width="34.42578125" style="14" customWidth="1"/>
    <col min="11784" max="11785" width="19.42578125" style="14" bestFit="1" customWidth="1"/>
    <col min="11786" max="11786" width="19.7109375" style="14" customWidth="1"/>
    <col min="11787" max="11788" width="20.42578125" style="14" customWidth="1"/>
    <col min="11789" max="11790" width="19.7109375" style="14" customWidth="1"/>
    <col min="11791" max="11791" width="25.28515625" style="14" customWidth="1"/>
    <col min="11792" max="11792" width="26" style="14" customWidth="1"/>
    <col min="11793" max="11793" width="22.28515625" style="14" customWidth="1"/>
    <col min="11794" max="11794" width="24.85546875" style="14" customWidth="1"/>
    <col min="11795" max="11795" width="21.140625" style="14" customWidth="1"/>
    <col min="11796" max="11796" width="21.42578125" style="14" customWidth="1"/>
    <col min="11797" max="11797" width="27.85546875" style="14" customWidth="1"/>
    <col min="11798" max="11798" width="23.42578125" style="14" customWidth="1"/>
    <col min="11799" max="11799" width="21.42578125" style="14" customWidth="1"/>
    <col min="11800" max="11802" width="20.7109375" style="14" customWidth="1"/>
    <col min="11803" max="11803" width="32.28515625" style="14" bestFit="1" customWidth="1"/>
    <col min="11804" max="11804" width="20.7109375" style="14" customWidth="1"/>
    <col min="11805" max="11805" width="22" style="14" customWidth="1"/>
    <col min="11806" max="11809" width="21.28515625" style="14" customWidth="1"/>
    <col min="11810" max="11810" width="22.28515625" style="14" customWidth="1"/>
    <col min="11811" max="11812" width="11.42578125" style="14"/>
    <col min="11813" max="11813" width="14.85546875" style="14" bestFit="1" customWidth="1"/>
    <col min="11814" max="12038" width="11.42578125" style="14"/>
    <col min="12039" max="12039" width="34.42578125" style="14" customWidth="1"/>
    <col min="12040" max="12041" width="19.42578125" style="14" bestFit="1" customWidth="1"/>
    <col min="12042" max="12042" width="19.7109375" style="14" customWidth="1"/>
    <col min="12043" max="12044" width="20.42578125" style="14" customWidth="1"/>
    <col min="12045" max="12046" width="19.7109375" style="14" customWidth="1"/>
    <col min="12047" max="12047" width="25.28515625" style="14" customWidth="1"/>
    <col min="12048" max="12048" width="26" style="14" customWidth="1"/>
    <col min="12049" max="12049" width="22.28515625" style="14" customWidth="1"/>
    <col min="12050" max="12050" width="24.85546875" style="14" customWidth="1"/>
    <col min="12051" max="12051" width="21.140625" style="14" customWidth="1"/>
    <col min="12052" max="12052" width="21.42578125" style="14" customWidth="1"/>
    <col min="12053" max="12053" width="27.85546875" style="14" customWidth="1"/>
    <col min="12054" max="12054" width="23.42578125" style="14" customWidth="1"/>
    <col min="12055" max="12055" width="21.42578125" style="14" customWidth="1"/>
    <col min="12056" max="12058" width="20.7109375" style="14" customWidth="1"/>
    <col min="12059" max="12059" width="32.28515625" style="14" bestFit="1" customWidth="1"/>
    <col min="12060" max="12060" width="20.7109375" style="14" customWidth="1"/>
    <col min="12061" max="12061" width="22" style="14" customWidth="1"/>
    <col min="12062" max="12065" width="21.28515625" style="14" customWidth="1"/>
    <col min="12066" max="12066" width="22.28515625" style="14" customWidth="1"/>
    <col min="12067" max="12068" width="11.42578125" style="14"/>
    <col min="12069" max="12069" width="14.85546875" style="14" bestFit="1" customWidth="1"/>
    <col min="12070" max="12294" width="11.42578125" style="14"/>
    <col min="12295" max="12295" width="34.42578125" style="14" customWidth="1"/>
    <col min="12296" max="12297" width="19.42578125" style="14" bestFit="1" customWidth="1"/>
    <col min="12298" max="12298" width="19.7109375" style="14" customWidth="1"/>
    <col min="12299" max="12300" width="20.42578125" style="14" customWidth="1"/>
    <col min="12301" max="12302" width="19.7109375" style="14" customWidth="1"/>
    <col min="12303" max="12303" width="25.28515625" style="14" customWidth="1"/>
    <col min="12304" max="12304" width="26" style="14" customWidth="1"/>
    <col min="12305" max="12305" width="22.28515625" style="14" customWidth="1"/>
    <col min="12306" max="12306" width="24.85546875" style="14" customWidth="1"/>
    <col min="12307" max="12307" width="21.140625" style="14" customWidth="1"/>
    <col min="12308" max="12308" width="21.42578125" style="14" customWidth="1"/>
    <col min="12309" max="12309" width="27.85546875" style="14" customWidth="1"/>
    <col min="12310" max="12310" width="23.42578125" style="14" customWidth="1"/>
    <col min="12311" max="12311" width="21.42578125" style="14" customWidth="1"/>
    <col min="12312" max="12314" width="20.7109375" style="14" customWidth="1"/>
    <col min="12315" max="12315" width="32.28515625" style="14" bestFit="1" customWidth="1"/>
    <col min="12316" max="12316" width="20.7109375" style="14" customWidth="1"/>
    <col min="12317" max="12317" width="22" style="14" customWidth="1"/>
    <col min="12318" max="12321" width="21.28515625" style="14" customWidth="1"/>
    <col min="12322" max="12322" width="22.28515625" style="14" customWidth="1"/>
    <col min="12323" max="12324" width="11.42578125" style="14"/>
    <col min="12325" max="12325" width="14.85546875" style="14" bestFit="1" customWidth="1"/>
    <col min="12326" max="12550" width="11.42578125" style="14"/>
    <col min="12551" max="12551" width="34.42578125" style="14" customWidth="1"/>
    <col min="12552" max="12553" width="19.42578125" style="14" bestFit="1" customWidth="1"/>
    <col min="12554" max="12554" width="19.7109375" style="14" customWidth="1"/>
    <col min="12555" max="12556" width="20.42578125" style="14" customWidth="1"/>
    <col min="12557" max="12558" width="19.7109375" style="14" customWidth="1"/>
    <col min="12559" max="12559" width="25.28515625" style="14" customWidth="1"/>
    <col min="12560" max="12560" width="26" style="14" customWidth="1"/>
    <col min="12561" max="12561" width="22.28515625" style="14" customWidth="1"/>
    <col min="12562" max="12562" width="24.85546875" style="14" customWidth="1"/>
    <col min="12563" max="12563" width="21.140625" style="14" customWidth="1"/>
    <col min="12564" max="12564" width="21.42578125" style="14" customWidth="1"/>
    <col min="12565" max="12565" width="27.85546875" style="14" customWidth="1"/>
    <col min="12566" max="12566" width="23.42578125" style="14" customWidth="1"/>
    <col min="12567" max="12567" width="21.42578125" style="14" customWidth="1"/>
    <col min="12568" max="12570" width="20.7109375" style="14" customWidth="1"/>
    <col min="12571" max="12571" width="32.28515625" style="14" bestFit="1" customWidth="1"/>
    <col min="12572" max="12572" width="20.7109375" style="14" customWidth="1"/>
    <col min="12573" max="12573" width="22" style="14" customWidth="1"/>
    <col min="12574" max="12577" width="21.28515625" style="14" customWidth="1"/>
    <col min="12578" max="12578" width="22.28515625" style="14" customWidth="1"/>
    <col min="12579" max="12580" width="11.42578125" style="14"/>
    <col min="12581" max="12581" width="14.85546875" style="14" bestFit="1" customWidth="1"/>
    <col min="12582" max="12806" width="11.42578125" style="14"/>
    <col min="12807" max="12807" width="34.42578125" style="14" customWidth="1"/>
    <col min="12808" max="12809" width="19.42578125" style="14" bestFit="1" customWidth="1"/>
    <col min="12810" max="12810" width="19.7109375" style="14" customWidth="1"/>
    <col min="12811" max="12812" width="20.42578125" style="14" customWidth="1"/>
    <col min="12813" max="12814" width="19.7109375" style="14" customWidth="1"/>
    <col min="12815" max="12815" width="25.28515625" style="14" customWidth="1"/>
    <col min="12816" max="12816" width="26" style="14" customWidth="1"/>
    <col min="12817" max="12817" width="22.28515625" style="14" customWidth="1"/>
    <col min="12818" max="12818" width="24.85546875" style="14" customWidth="1"/>
    <col min="12819" max="12819" width="21.140625" style="14" customWidth="1"/>
    <col min="12820" max="12820" width="21.42578125" style="14" customWidth="1"/>
    <col min="12821" max="12821" width="27.85546875" style="14" customWidth="1"/>
    <col min="12822" max="12822" width="23.42578125" style="14" customWidth="1"/>
    <col min="12823" max="12823" width="21.42578125" style="14" customWidth="1"/>
    <col min="12824" max="12826" width="20.7109375" style="14" customWidth="1"/>
    <col min="12827" max="12827" width="32.28515625" style="14" bestFit="1" customWidth="1"/>
    <col min="12828" max="12828" width="20.7109375" style="14" customWidth="1"/>
    <col min="12829" max="12829" width="22" style="14" customWidth="1"/>
    <col min="12830" max="12833" width="21.28515625" style="14" customWidth="1"/>
    <col min="12834" max="12834" width="22.28515625" style="14" customWidth="1"/>
    <col min="12835" max="12836" width="11.42578125" style="14"/>
    <col min="12837" max="12837" width="14.85546875" style="14" bestFit="1" customWidth="1"/>
    <col min="12838" max="13062" width="11.42578125" style="14"/>
    <col min="13063" max="13063" width="34.42578125" style="14" customWidth="1"/>
    <col min="13064" max="13065" width="19.42578125" style="14" bestFit="1" customWidth="1"/>
    <col min="13066" max="13066" width="19.7109375" style="14" customWidth="1"/>
    <col min="13067" max="13068" width="20.42578125" style="14" customWidth="1"/>
    <col min="13069" max="13070" width="19.7109375" style="14" customWidth="1"/>
    <col min="13071" max="13071" width="25.28515625" style="14" customWidth="1"/>
    <col min="13072" max="13072" width="26" style="14" customWidth="1"/>
    <col min="13073" max="13073" width="22.28515625" style="14" customWidth="1"/>
    <col min="13074" max="13074" width="24.85546875" style="14" customWidth="1"/>
    <col min="13075" max="13075" width="21.140625" style="14" customWidth="1"/>
    <col min="13076" max="13076" width="21.42578125" style="14" customWidth="1"/>
    <col min="13077" max="13077" width="27.85546875" style="14" customWidth="1"/>
    <col min="13078" max="13078" width="23.42578125" style="14" customWidth="1"/>
    <col min="13079" max="13079" width="21.42578125" style="14" customWidth="1"/>
    <col min="13080" max="13082" width="20.7109375" style="14" customWidth="1"/>
    <col min="13083" max="13083" width="32.28515625" style="14" bestFit="1" customWidth="1"/>
    <col min="13084" max="13084" width="20.7109375" style="14" customWidth="1"/>
    <col min="13085" max="13085" width="22" style="14" customWidth="1"/>
    <col min="13086" max="13089" width="21.28515625" style="14" customWidth="1"/>
    <col min="13090" max="13090" width="22.28515625" style="14" customWidth="1"/>
    <col min="13091" max="13092" width="11.42578125" style="14"/>
    <col min="13093" max="13093" width="14.85546875" style="14" bestFit="1" customWidth="1"/>
    <col min="13094" max="13318" width="11.42578125" style="14"/>
    <col min="13319" max="13319" width="34.42578125" style="14" customWidth="1"/>
    <col min="13320" max="13321" width="19.42578125" style="14" bestFit="1" customWidth="1"/>
    <col min="13322" max="13322" width="19.7109375" style="14" customWidth="1"/>
    <col min="13323" max="13324" width="20.42578125" style="14" customWidth="1"/>
    <col min="13325" max="13326" width="19.7109375" style="14" customWidth="1"/>
    <col min="13327" max="13327" width="25.28515625" style="14" customWidth="1"/>
    <col min="13328" max="13328" width="26" style="14" customWidth="1"/>
    <col min="13329" max="13329" width="22.28515625" style="14" customWidth="1"/>
    <col min="13330" max="13330" width="24.85546875" style="14" customWidth="1"/>
    <col min="13331" max="13331" width="21.140625" style="14" customWidth="1"/>
    <col min="13332" max="13332" width="21.42578125" style="14" customWidth="1"/>
    <col min="13333" max="13333" width="27.85546875" style="14" customWidth="1"/>
    <col min="13334" max="13334" width="23.42578125" style="14" customWidth="1"/>
    <col min="13335" max="13335" width="21.42578125" style="14" customWidth="1"/>
    <col min="13336" max="13338" width="20.7109375" style="14" customWidth="1"/>
    <col min="13339" max="13339" width="32.28515625" style="14" bestFit="1" customWidth="1"/>
    <col min="13340" max="13340" width="20.7109375" style="14" customWidth="1"/>
    <col min="13341" max="13341" width="22" style="14" customWidth="1"/>
    <col min="13342" max="13345" width="21.28515625" style="14" customWidth="1"/>
    <col min="13346" max="13346" width="22.28515625" style="14" customWidth="1"/>
    <col min="13347" max="13348" width="11.42578125" style="14"/>
    <col min="13349" max="13349" width="14.85546875" style="14" bestFit="1" customWidth="1"/>
    <col min="13350" max="13574" width="11.42578125" style="14"/>
    <col min="13575" max="13575" width="34.42578125" style="14" customWidth="1"/>
    <col min="13576" max="13577" width="19.42578125" style="14" bestFit="1" customWidth="1"/>
    <col min="13578" max="13578" width="19.7109375" style="14" customWidth="1"/>
    <col min="13579" max="13580" width="20.42578125" style="14" customWidth="1"/>
    <col min="13581" max="13582" width="19.7109375" style="14" customWidth="1"/>
    <col min="13583" max="13583" width="25.28515625" style="14" customWidth="1"/>
    <col min="13584" max="13584" width="26" style="14" customWidth="1"/>
    <col min="13585" max="13585" width="22.28515625" style="14" customWidth="1"/>
    <col min="13586" max="13586" width="24.85546875" style="14" customWidth="1"/>
    <col min="13587" max="13587" width="21.140625" style="14" customWidth="1"/>
    <col min="13588" max="13588" width="21.42578125" style="14" customWidth="1"/>
    <col min="13589" max="13589" width="27.85546875" style="14" customWidth="1"/>
    <col min="13590" max="13590" width="23.42578125" style="14" customWidth="1"/>
    <col min="13591" max="13591" width="21.42578125" style="14" customWidth="1"/>
    <col min="13592" max="13594" width="20.7109375" style="14" customWidth="1"/>
    <col min="13595" max="13595" width="32.28515625" style="14" bestFit="1" customWidth="1"/>
    <col min="13596" max="13596" width="20.7109375" style="14" customWidth="1"/>
    <col min="13597" max="13597" width="22" style="14" customWidth="1"/>
    <col min="13598" max="13601" width="21.28515625" style="14" customWidth="1"/>
    <col min="13602" max="13602" width="22.28515625" style="14" customWidth="1"/>
    <col min="13603" max="13604" width="11.42578125" style="14"/>
    <col min="13605" max="13605" width="14.85546875" style="14" bestFit="1" customWidth="1"/>
    <col min="13606" max="13830" width="11.42578125" style="14"/>
    <col min="13831" max="13831" width="34.42578125" style="14" customWidth="1"/>
    <col min="13832" max="13833" width="19.42578125" style="14" bestFit="1" customWidth="1"/>
    <col min="13834" max="13834" width="19.7109375" style="14" customWidth="1"/>
    <col min="13835" max="13836" width="20.42578125" style="14" customWidth="1"/>
    <col min="13837" max="13838" width="19.7109375" style="14" customWidth="1"/>
    <col min="13839" max="13839" width="25.28515625" style="14" customWidth="1"/>
    <col min="13840" max="13840" width="26" style="14" customWidth="1"/>
    <col min="13841" max="13841" width="22.28515625" style="14" customWidth="1"/>
    <col min="13842" max="13842" width="24.85546875" style="14" customWidth="1"/>
    <col min="13843" max="13843" width="21.140625" style="14" customWidth="1"/>
    <col min="13844" max="13844" width="21.42578125" style="14" customWidth="1"/>
    <col min="13845" max="13845" width="27.85546875" style="14" customWidth="1"/>
    <col min="13846" max="13846" width="23.42578125" style="14" customWidth="1"/>
    <col min="13847" max="13847" width="21.42578125" style="14" customWidth="1"/>
    <col min="13848" max="13850" width="20.7109375" style="14" customWidth="1"/>
    <col min="13851" max="13851" width="32.28515625" style="14" bestFit="1" customWidth="1"/>
    <col min="13852" max="13852" width="20.7109375" style="14" customWidth="1"/>
    <col min="13853" max="13853" width="22" style="14" customWidth="1"/>
    <col min="13854" max="13857" width="21.28515625" style="14" customWidth="1"/>
    <col min="13858" max="13858" width="22.28515625" style="14" customWidth="1"/>
    <col min="13859" max="13860" width="11.42578125" style="14"/>
    <col min="13861" max="13861" width="14.85546875" style="14" bestFit="1" customWidth="1"/>
    <col min="13862" max="14086" width="11.42578125" style="14"/>
    <col min="14087" max="14087" width="34.42578125" style="14" customWidth="1"/>
    <col min="14088" max="14089" width="19.42578125" style="14" bestFit="1" customWidth="1"/>
    <col min="14090" max="14090" width="19.7109375" style="14" customWidth="1"/>
    <col min="14091" max="14092" width="20.42578125" style="14" customWidth="1"/>
    <col min="14093" max="14094" width="19.7109375" style="14" customWidth="1"/>
    <col min="14095" max="14095" width="25.28515625" style="14" customWidth="1"/>
    <col min="14096" max="14096" width="26" style="14" customWidth="1"/>
    <col min="14097" max="14097" width="22.28515625" style="14" customWidth="1"/>
    <col min="14098" max="14098" width="24.85546875" style="14" customWidth="1"/>
    <col min="14099" max="14099" width="21.140625" style="14" customWidth="1"/>
    <col min="14100" max="14100" width="21.42578125" style="14" customWidth="1"/>
    <col min="14101" max="14101" width="27.85546875" style="14" customWidth="1"/>
    <col min="14102" max="14102" width="23.42578125" style="14" customWidth="1"/>
    <col min="14103" max="14103" width="21.42578125" style="14" customWidth="1"/>
    <col min="14104" max="14106" width="20.7109375" style="14" customWidth="1"/>
    <col min="14107" max="14107" width="32.28515625" style="14" bestFit="1" customWidth="1"/>
    <col min="14108" max="14108" width="20.7109375" style="14" customWidth="1"/>
    <col min="14109" max="14109" width="22" style="14" customWidth="1"/>
    <col min="14110" max="14113" width="21.28515625" style="14" customWidth="1"/>
    <col min="14114" max="14114" width="22.28515625" style="14" customWidth="1"/>
    <col min="14115" max="14116" width="11.42578125" style="14"/>
    <col min="14117" max="14117" width="14.85546875" style="14" bestFit="1" customWidth="1"/>
    <col min="14118" max="14342" width="11.42578125" style="14"/>
    <col min="14343" max="14343" width="34.42578125" style="14" customWidth="1"/>
    <col min="14344" max="14345" width="19.42578125" style="14" bestFit="1" customWidth="1"/>
    <col min="14346" max="14346" width="19.7109375" style="14" customWidth="1"/>
    <col min="14347" max="14348" width="20.42578125" style="14" customWidth="1"/>
    <col min="14349" max="14350" width="19.7109375" style="14" customWidth="1"/>
    <col min="14351" max="14351" width="25.28515625" style="14" customWidth="1"/>
    <col min="14352" max="14352" width="26" style="14" customWidth="1"/>
    <col min="14353" max="14353" width="22.28515625" style="14" customWidth="1"/>
    <col min="14354" max="14354" width="24.85546875" style="14" customWidth="1"/>
    <col min="14355" max="14355" width="21.140625" style="14" customWidth="1"/>
    <col min="14356" max="14356" width="21.42578125" style="14" customWidth="1"/>
    <col min="14357" max="14357" width="27.85546875" style="14" customWidth="1"/>
    <col min="14358" max="14358" width="23.42578125" style="14" customWidth="1"/>
    <col min="14359" max="14359" width="21.42578125" style="14" customWidth="1"/>
    <col min="14360" max="14362" width="20.7109375" style="14" customWidth="1"/>
    <col min="14363" max="14363" width="32.28515625" style="14" bestFit="1" customWidth="1"/>
    <col min="14364" max="14364" width="20.7109375" style="14" customWidth="1"/>
    <col min="14365" max="14365" width="22" style="14" customWidth="1"/>
    <col min="14366" max="14369" width="21.28515625" style="14" customWidth="1"/>
    <col min="14370" max="14370" width="22.28515625" style="14" customWidth="1"/>
    <col min="14371" max="14372" width="11.42578125" style="14"/>
    <col min="14373" max="14373" width="14.85546875" style="14" bestFit="1" customWidth="1"/>
    <col min="14374" max="14598" width="11.42578125" style="14"/>
    <col min="14599" max="14599" width="34.42578125" style="14" customWidth="1"/>
    <col min="14600" max="14601" width="19.42578125" style="14" bestFit="1" customWidth="1"/>
    <col min="14602" max="14602" width="19.7109375" style="14" customWidth="1"/>
    <col min="14603" max="14604" width="20.42578125" style="14" customWidth="1"/>
    <col min="14605" max="14606" width="19.7109375" style="14" customWidth="1"/>
    <col min="14607" max="14607" width="25.28515625" style="14" customWidth="1"/>
    <col min="14608" max="14608" width="26" style="14" customWidth="1"/>
    <col min="14609" max="14609" width="22.28515625" style="14" customWidth="1"/>
    <col min="14610" max="14610" width="24.85546875" style="14" customWidth="1"/>
    <col min="14611" max="14611" width="21.140625" style="14" customWidth="1"/>
    <col min="14612" max="14612" width="21.42578125" style="14" customWidth="1"/>
    <col min="14613" max="14613" width="27.85546875" style="14" customWidth="1"/>
    <col min="14614" max="14614" width="23.42578125" style="14" customWidth="1"/>
    <col min="14615" max="14615" width="21.42578125" style="14" customWidth="1"/>
    <col min="14616" max="14618" width="20.7109375" style="14" customWidth="1"/>
    <col min="14619" max="14619" width="32.28515625" style="14" bestFit="1" customWidth="1"/>
    <col min="14620" max="14620" width="20.7109375" style="14" customWidth="1"/>
    <col min="14621" max="14621" width="22" style="14" customWidth="1"/>
    <col min="14622" max="14625" width="21.28515625" style="14" customWidth="1"/>
    <col min="14626" max="14626" width="22.28515625" style="14" customWidth="1"/>
    <col min="14627" max="14628" width="11.42578125" style="14"/>
    <col min="14629" max="14629" width="14.85546875" style="14" bestFit="1" customWidth="1"/>
    <col min="14630" max="14854" width="11.42578125" style="14"/>
    <col min="14855" max="14855" width="34.42578125" style="14" customWidth="1"/>
    <col min="14856" max="14857" width="19.42578125" style="14" bestFit="1" customWidth="1"/>
    <col min="14858" max="14858" width="19.7109375" style="14" customWidth="1"/>
    <col min="14859" max="14860" width="20.42578125" style="14" customWidth="1"/>
    <col min="14861" max="14862" width="19.7109375" style="14" customWidth="1"/>
    <col min="14863" max="14863" width="25.28515625" style="14" customWidth="1"/>
    <col min="14864" max="14864" width="26" style="14" customWidth="1"/>
    <col min="14865" max="14865" width="22.28515625" style="14" customWidth="1"/>
    <col min="14866" max="14866" width="24.85546875" style="14" customWidth="1"/>
    <col min="14867" max="14867" width="21.140625" style="14" customWidth="1"/>
    <col min="14868" max="14868" width="21.42578125" style="14" customWidth="1"/>
    <col min="14869" max="14869" width="27.85546875" style="14" customWidth="1"/>
    <col min="14870" max="14870" width="23.42578125" style="14" customWidth="1"/>
    <col min="14871" max="14871" width="21.42578125" style="14" customWidth="1"/>
    <col min="14872" max="14874" width="20.7109375" style="14" customWidth="1"/>
    <col min="14875" max="14875" width="32.28515625" style="14" bestFit="1" customWidth="1"/>
    <col min="14876" max="14876" width="20.7109375" style="14" customWidth="1"/>
    <col min="14877" max="14877" width="22" style="14" customWidth="1"/>
    <col min="14878" max="14881" width="21.28515625" style="14" customWidth="1"/>
    <col min="14882" max="14882" width="22.28515625" style="14" customWidth="1"/>
    <col min="14883" max="14884" width="11.42578125" style="14"/>
    <col min="14885" max="14885" width="14.85546875" style="14" bestFit="1" customWidth="1"/>
    <col min="14886" max="15110" width="11.42578125" style="14"/>
    <col min="15111" max="15111" width="34.42578125" style="14" customWidth="1"/>
    <col min="15112" max="15113" width="19.42578125" style="14" bestFit="1" customWidth="1"/>
    <col min="15114" max="15114" width="19.7109375" style="14" customWidth="1"/>
    <col min="15115" max="15116" width="20.42578125" style="14" customWidth="1"/>
    <col min="15117" max="15118" width="19.7109375" style="14" customWidth="1"/>
    <col min="15119" max="15119" width="25.28515625" style="14" customWidth="1"/>
    <col min="15120" max="15120" width="26" style="14" customWidth="1"/>
    <col min="15121" max="15121" width="22.28515625" style="14" customWidth="1"/>
    <col min="15122" max="15122" width="24.85546875" style="14" customWidth="1"/>
    <col min="15123" max="15123" width="21.140625" style="14" customWidth="1"/>
    <col min="15124" max="15124" width="21.42578125" style="14" customWidth="1"/>
    <col min="15125" max="15125" width="27.85546875" style="14" customWidth="1"/>
    <col min="15126" max="15126" width="23.42578125" style="14" customWidth="1"/>
    <col min="15127" max="15127" width="21.42578125" style="14" customWidth="1"/>
    <col min="15128" max="15130" width="20.7109375" style="14" customWidth="1"/>
    <col min="15131" max="15131" width="32.28515625" style="14" bestFit="1" customWidth="1"/>
    <col min="15132" max="15132" width="20.7109375" style="14" customWidth="1"/>
    <col min="15133" max="15133" width="22" style="14" customWidth="1"/>
    <col min="15134" max="15137" width="21.28515625" style="14" customWidth="1"/>
    <col min="15138" max="15138" width="22.28515625" style="14" customWidth="1"/>
    <col min="15139" max="15140" width="11.42578125" style="14"/>
    <col min="15141" max="15141" width="14.85546875" style="14" bestFit="1" customWidth="1"/>
    <col min="15142" max="15366" width="11.42578125" style="14"/>
    <col min="15367" max="15367" width="34.42578125" style="14" customWidth="1"/>
    <col min="15368" max="15369" width="19.42578125" style="14" bestFit="1" customWidth="1"/>
    <col min="15370" max="15370" width="19.7109375" style="14" customWidth="1"/>
    <col min="15371" max="15372" width="20.42578125" style="14" customWidth="1"/>
    <col min="15373" max="15374" width="19.7109375" style="14" customWidth="1"/>
    <col min="15375" max="15375" width="25.28515625" style="14" customWidth="1"/>
    <col min="15376" max="15376" width="26" style="14" customWidth="1"/>
    <col min="15377" max="15377" width="22.28515625" style="14" customWidth="1"/>
    <col min="15378" max="15378" width="24.85546875" style="14" customWidth="1"/>
    <col min="15379" max="15379" width="21.140625" style="14" customWidth="1"/>
    <col min="15380" max="15380" width="21.42578125" style="14" customWidth="1"/>
    <col min="15381" max="15381" width="27.85546875" style="14" customWidth="1"/>
    <col min="15382" max="15382" width="23.42578125" style="14" customWidth="1"/>
    <col min="15383" max="15383" width="21.42578125" style="14" customWidth="1"/>
    <col min="15384" max="15386" width="20.7109375" style="14" customWidth="1"/>
    <col min="15387" max="15387" width="32.28515625" style="14" bestFit="1" customWidth="1"/>
    <col min="15388" max="15388" width="20.7109375" style="14" customWidth="1"/>
    <col min="15389" max="15389" width="22" style="14" customWidth="1"/>
    <col min="15390" max="15393" width="21.28515625" style="14" customWidth="1"/>
    <col min="15394" max="15394" width="22.28515625" style="14" customWidth="1"/>
    <col min="15395" max="15396" width="11.42578125" style="14"/>
    <col min="15397" max="15397" width="14.85546875" style="14" bestFit="1" customWidth="1"/>
    <col min="15398" max="15622" width="11.42578125" style="14"/>
    <col min="15623" max="15623" width="34.42578125" style="14" customWidth="1"/>
    <col min="15624" max="15625" width="19.42578125" style="14" bestFit="1" customWidth="1"/>
    <col min="15626" max="15626" width="19.7109375" style="14" customWidth="1"/>
    <col min="15627" max="15628" width="20.42578125" style="14" customWidth="1"/>
    <col min="15629" max="15630" width="19.7109375" style="14" customWidth="1"/>
    <col min="15631" max="15631" width="25.28515625" style="14" customWidth="1"/>
    <col min="15632" max="15632" width="26" style="14" customWidth="1"/>
    <col min="15633" max="15633" width="22.28515625" style="14" customWidth="1"/>
    <col min="15634" max="15634" width="24.85546875" style="14" customWidth="1"/>
    <col min="15635" max="15635" width="21.140625" style="14" customWidth="1"/>
    <col min="15636" max="15636" width="21.42578125" style="14" customWidth="1"/>
    <col min="15637" max="15637" width="27.85546875" style="14" customWidth="1"/>
    <col min="15638" max="15638" width="23.42578125" style="14" customWidth="1"/>
    <col min="15639" max="15639" width="21.42578125" style="14" customWidth="1"/>
    <col min="15640" max="15642" width="20.7109375" style="14" customWidth="1"/>
    <col min="15643" max="15643" width="32.28515625" style="14" bestFit="1" customWidth="1"/>
    <col min="15644" max="15644" width="20.7109375" style="14" customWidth="1"/>
    <col min="15645" max="15645" width="22" style="14" customWidth="1"/>
    <col min="15646" max="15649" width="21.28515625" style="14" customWidth="1"/>
    <col min="15650" max="15650" width="22.28515625" style="14" customWidth="1"/>
    <col min="15651" max="15652" width="11.42578125" style="14"/>
    <col min="15653" max="15653" width="14.85546875" style="14" bestFit="1" customWidth="1"/>
    <col min="15654" max="15878" width="11.42578125" style="14"/>
    <col min="15879" max="15879" width="34.42578125" style="14" customWidth="1"/>
    <col min="15880" max="15881" width="19.42578125" style="14" bestFit="1" customWidth="1"/>
    <col min="15882" max="15882" width="19.7109375" style="14" customWidth="1"/>
    <col min="15883" max="15884" width="20.42578125" style="14" customWidth="1"/>
    <col min="15885" max="15886" width="19.7109375" style="14" customWidth="1"/>
    <col min="15887" max="15887" width="25.28515625" style="14" customWidth="1"/>
    <col min="15888" max="15888" width="26" style="14" customWidth="1"/>
    <col min="15889" max="15889" width="22.28515625" style="14" customWidth="1"/>
    <col min="15890" max="15890" width="24.85546875" style="14" customWidth="1"/>
    <col min="15891" max="15891" width="21.140625" style="14" customWidth="1"/>
    <col min="15892" max="15892" width="21.42578125" style="14" customWidth="1"/>
    <col min="15893" max="15893" width="27.85546875" style="14" customWidth="1"/>
    <col min="15894" max="15894" width="23.42578125" style="14" customWidth="1"/>
    <col min="15895" max="15895" width="21.42578125" style="14" customWidth="1"/>
    <col min="15896" max="15898" width="20.7109375" style="14" customWidth="1"/>
    <col min="15899" max="15899" width="32.28515625" style="14" bestFit="1" customWidth="1"/>
    <col min="15900" max="15900" width="20.7109375" style="14" customWidth="1"/>
    <col min="15901" max="15901" width="22" style="14" customWidth="1"/>
    <col min="15902" max="15905" width="21.28515625" style="14" customWidth="1"/>
    <col min="15906" max="15906" width="22.28515625" style="14" customWidth="1"/>
    <col min="15907" max="15908" width="11.42578125" style="14"/>
    <col min="15909" max="15909" width="14.85546875" style="14" bestFit="1" customWidth="1"/>
    <col min="15910" max="16134" width="11.42578125" style="14"/>
    <col min="16135" max="16135" width="34.42578125" style="14" customWidth="1"/>
    <col min="16136" max="16137" width="19.42578125" style="14" bestFit="1" customWidth="1"/>
    <col min="16138" max="16138" width="19.7109375" style="14" customWidth="1"/>
    <col min="16139" max="16140" width="20.42578125" style="14" customWidth="1"/>
    <col min="16141" max="16142" width="19.7109375" style="14" customWidth="1"/>
    <col min="16143" max="16143" width="25.28515625" style="14" customWidth="1"/>
    <col min="16144" max="16144" width="26" style="14" customWidth="1"/>
    <col min="16145" max="16145" width="22.28515625" style="14" customWidth="1"/>
    <col min="16146" max="16146" width="24.85546875" style="14" customWidth="1"/>
    <col min="16147" max="16147" width="21.140625" style="14" customWidth="1"/>
    <col min="16148" max="16148" width="21.42578125" style="14" customWidth="1"/>
    <col min="16149" max="16149" width="27.85546875" style="14" customWidth="1"/>
    <col min="16150" max="16150" width="23.42578125" style="14" customWidth="1"/>
    <col min="16151" max="16151" width="21.42578125" style="14" customWidth="1"/>
    <col min="16152" max="16154" width="20.7109375" style="14" customWidth="1"/>
    <col min="16155" max="16155" width="32.28515625" style="14" bestFit="1" customWidth="1"/>
    <col min="16156" max="16156" width="20.7109375" style="14" customWidth="1"/>
    <col min="16157" max="16157" width="22" style="14" customWidth="1"/>
    <col min="16158" max="16161" width="21.28515625" style="14" customWidth="1"/>
    <col min="16162" max="16162" width="22.28515625" style="14" customWidth="1"/>
    <col min="16163" max="16164" width="11.42578125" style="14"/>
    <col min="16165" max="16165" width="14.85546875" style="14" bestFit="1" customWidth="1"/>
    <col min="16166" max="16384" width="11.42578125" style="14"/>
  </cols>
  <sheetData>
    <row r="1" spans="1:34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2"/>
      <c r="AD1" s="2"/>
      <c r="AE1" s="2"/>
      <c r="AF1" s="2"/>
      <c r="AG1" s="2"/>
      <c r="AH1" s="1"/>
    </row>
    <row r="2" spans="1:34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2"/>
      <c r="AD2" s="2"/>
      <c r="AE2" s="2"/>
      <c r="AF2" s="2"/>
      <c r="AG2" s="2"/>
      <c r="AH2" s="1"/>
    </row>
    <row r="3" spans="1:34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2"/>
      <c r="AD3" s="2"/>
      <c r="AE3" s="2"/>
      <c r="AF3" s="2"/>
      <c r="AG3" s="2"/>
      <c r="AH3" s="4"/>
    </row>
    <row r="4" spans="1:34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2"/>
      <c r="AD4" s="2"/>
      <c r="AE4" s="2"/>
      <c r="AF4" s="2"/>
      <c r="AG4" s="2"/>
      <c r="AH4" s="1"/>
    </row>
    <row r="5" spans="1:34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2"/>
      <c r="AD5" s="2"/>
      <c r="AE5" s="2"/>
      <c r="AF5" s="2"/>
      <c r="AG5" s="2"/>
      <c r="AH5" s="1"/>
    </row>
    <row r="6" spans="1:34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2"/>
      <c r="AD6" s="2"/>
      <c r="AE6" s="2"/>
      <c r="AF6" s="2"/>
      <c r="AG6" s="2"/>
      <c r="AH6" s="1"/>
    </row>
    <row r="7" spans="1:34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2"/>
      <c r="AD7" s="2"/>
      <c r="AE7" s="2"/>
      <c r="AF7" s="2"/>
      <c r="AG7" s="2"/>
      <c r="AH7" s="1"/>
    </row>
    <row r="8" spans="1:34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2"/>
      <c r="AD8" s="2"/>
      <c r="AE8" s="2"/>
      <c r="AF8" s="2"/>
      <c r="AG8" s="2"/>
      <c r="AH8" s="1"/>
    </row>
    <row r="9" spans="1:34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 t="s">
        <v>3</v>
      </c>
      <c r="V9" s="960" t="s">
        <v>35</v>
      </c>
      <c r="W9" s="960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</row>
    <row r="10" spans="1:3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</row>
    <row r="11" spans="1:34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965" t="s">
        <v>63</v>
      </c>
      <c r="O11" s="965"/>
      <c r="P11" s="6"/>
      <c r="Q11" s="6"/>
      <c r="R11" s="6"/>
      <c r="S11" s="1"/>
      <c r="T11" s="1"/>
      <c r="U11" s="1" t="s">
        <v>6</v>
      </c>
      <c r="V11" s="95">
        <v>45378</v>
      </c>
      <c r="W11" s="6"/>
      <c r="X11" s="6"/>
      <c r="Y11" s="6"/>
      <c r="Z11" s="6"/>
      <c r="AA11" s="6"/>
      <c r="AB11" s="6"/>
      <c r="AC11" s="1"/>
      <c r="AD11" s="1"/>
      <c r="AE11" s="1"/>
      <c r="AF11" s="1"/>
      <c r="AG11" s="1"/>
      <c r="AH11" s="1"/>
    </row>
    <row r="12" spans="1:3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6"/>
      <c r="O12" s="6"/>
      <c r="P12" s="6"/>
      <c r="Q12" s="6"/>
      <c r="R12" s="6"/>
      <c r="S12" s="1"/>
      <c r="T12" s="1"/>
      <c r="U12" s="1"/>
      <c r="V12" s="1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"/>
    </row>
    <row r="13" spans="1:3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"/>
      <c r="AB13" s="1"/>
      <c r="AC13" s="1"/>
    </row>
    <row r="14" spans="1:34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1"/>
      <c r="AC14" s="1"/>
      <c r="AD14" s="1"/>
    </row>
    <row r="15" spans="1:34" s="10" customFormat="1" ht="36" thickBot="1" x14ac:dyDescent="0.3">
      <c r="A15" s="69" t="s">
        <v>7</v>
      </c>
      <c r="B15" s="971" t="s">
        <v>8</v>
      </c>
      <c r="C15" s="968"/>
      <c r="D15" s="968"/>
      <c r="E15" s="968"/>
      <c r="F15" s="968"/>
      <c r="G15" s="968"/>
      <c r="H15" s="968"/>
      <c r="I15" s="968"/>
      <c r="J15" s="968"/>
      <c r="K15" s="969"/>
      <c r="L15" s="971" t="s">
        <v>29</v>
      </c>
      <c r="M15" s="968"/>
      <c r="N15" s="968"/>
      <c r="O15" s="968"/>
      <c r="P15" s="968"/>
      <c r="Q15" s="969"/>
      <c r="R15" s="962" t="s">
        <v>31</v>
      </c>
      <c r="S15" s="963"/>
      <c r="T15" s="963"/>
      <c r="U15" s="963"/>
      <c r="V15" s="963"/>
      <c r="W15" s="964"/>
      <c r="X15" s="9"/>
    </row>
    <row r="16" spans="1:34" ht="39.950000000000003" customHeight="1" x14ac:dyDescent="0.25">
      <c r="A16" s="80" t="s">
        <v>34</v>
      </c>
      <c r="B16" s="117"/>
      <c r="C16" s="118"/>
      <c r="D16" s="150"/>
      <c r="E16" s="118"/>
      <c r="F16" s="118"/>
      <c r="G16" s="118"/>
      <c r="H16" s="150"/>
      <c r="I16" s="150"/>
      <c r="J16" s="151"/>
      <c r="K16" s="152"/>
      <c r="L16" s="117"/>
      <c r="M16" s="118"/>
      <c r="N16" s="118"/>
      <c r="O16" s="118"/>
      <c r="P16" s="118"/>
      <c r="Q16" s="119"/>
      <c r="R16" s="149"/>
      <c r="S16" s="118"/>
      <c r="T16" s="118"/>
      <c r="U16" s="118"/>
      <c r="V16" s="118"/>
      <c r="W16" s="118"/>
      <c r="X16" s="13" t="s">
        <v>9</v>
      </c>
      <c r="Z16" s="15"/>
      <c r="AA16" s="15"/>
    </row>
    <row r="17" spans="1:34" ht="39.950000000000003" customHeight="1" x14ac:dyDescent="0.25">
      <c r="A17" s="80" t="s">
        <v>10</v>
      </c>
      <c r="B17" s="11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7">
        <v>9</v>
      </c>
      <c r="K17" s="17">
        <v>10</v>
      </c>
      <c r="L17" s="11">
        <v>1</v>
      </c>
      <c r="M17" s="16">
        <v>2</v>
      </c>
      <c r="N17" s="16">
        <v>3</v>
      </c>
      <c r="O17" s="16">
        <v>4</v>
      </c>
      <c r="P17" s="16">
        <v>5</v>
      </c>
      <c r="Q17" s="17">
        <v>6</v>
      </c>
      <c r="R17" s="60">
        <v>1</v>
      </c>
      <c r="S17" s="16">
        <v>2</v>
      </c>
      <c r="T17" s="16">
        <v>3</v>
      </c>
      <c r="U17" s="16">
        <v>4</v>
      </c>
      <c r="V17" s="16">
        <v>5</v>
      </c>
      <c r="W17" s="16">
        <v>6</v>
      </c>
      <c r="X17" s="13"/>
      <c r="Z17" s="2"/>
      <c r="AA17" s="15"/>
    </row>
    <row r="18" spans="1:34" ht="39.950000000000003" customHeight="1" x14ac:dyDescent="0.25">
      <c r="A18" s="96" t="s">
        <v>53</v>
      </c>
      <c r="B18" s="18"/>
      <c r="C18" s="19"/>
      <c r="D18" s="19"/>
      <c r="E18" s="19"/>
      <c r="F18" s="19"/>
      <c r="G18" s="19"/>
      <c r="H18" s="19"/>
      <c r="I18" s="19"/>
      <c r="J18" s="19"/>
      <c r="K18" s="20"/>
      <c r="L18" s="18"/>
      <c r="M18" s="19"/>
      <c r="N18" s="19"/>
      <c r="O18" s="19"/>
      <c r="P18" s="19"/>
      <c r="Q18" s="20"/>
      <c r="R18" s="61"/>
      <c r="S18" s="19"/>
      <c r="T18" s="19"/>
      <c r="U18" s="19"/>
      <c r="V18" s="19"/>
      <c r="W18" s="19"/>
      <c r="X18" s="98">
        <f>SUM(B18:W18)</f>
        <v>0</v>
      </c>
      <c r="Z18" s="2"/>
      <c r="AA18" s="15"/>
    </row>
    <row r="19" spans="1:34" ht="39.950000000000003" customHeight="1" x14ac:dyDescent="0.25">
      <c r="A19" s="96" t="s">
        <v>24</v>
      </c>
      <c r="B19" s="18">
        <v>32.299999999999997</v>
      </c>
      <c r="C19" s="19">
        <v>24.6</v>
      </c>
      <c r="D19" s="19">
        <v>30.1</v>
      </c>
      <c r="E19" s="19">
        <v>30.1</v>
      </c>
      <c r="F19" s="19">
        <v>23.3</v>
      </c>
      <c r="G19" s="19">
        <v>23.2</v>
      </c>
      <c r="H19" s="19">
        <v>30.1</v>
      </c>
      <c r="I19" s="19">
        <v>30.1</v>
      </c>
      <c r="J19" s="19">
        <v>28.5</v>
      </c>
      <c r="K19" s="20">
        <v>11.6</v>
      </c>
      <c r="L19" s="18">
        <v>28.9</v>
      </c>
      <c r="M19" s="19">
        <v>27.4</v>
      </c>
      <c r="N19" s="19">
        <v>31.1</v>
      </c>
      <c r="O19" s="19">
        <v>26.3</v>
      </c>
      <c r="P19" s="19">
        <v>26.2</v>
      </c>
      <c r="Q19" s="20">
        <v>17.3</v>
      </c>
      <c r="R19" s="61">
        <v>14.4</v>
      </c>
      <c r="S19" s="19">
        <v>33.799999999999997</v>
      </c>
      <c r="T19" s="19">
        <v>29.3</v>
      </c>
      <c r="U19" s="19">
        <v>30.1</v>
      </c>
      <c r="V19" s="19">
        <v>26.4</v>
      </c>
      <c r="W19" s="19">
        <v>15.7</v>
      </c>
      <c r="X19" s="98">
        <f>SUM(B19:W19)</f>
        <v>570.79999999999995</v>
      </c>
      <c r="Z19" s="2"/>
      <c r="AA19" s="15"/>
    </row>
    <row r="20" spans="1:34" ht="39.75" customHeight="1" x14ac:dyDescent="0.25">
      <c r="A20" s="96" t="s">
        <v>20</v>
      </c>
      <c r="B20" s="18">
        <f>(((($B$27*$B$26)/1000)*7)-$B$19)/4</f>
        <v>35.517499999999998</v>
      </c>
      <c r="C20" s="19">
        <f>(((($C$27*$C$26)/1000)*7)-$C$19)/4</f>
        <v>27.292499999999997</v>
      </c>
      <c r="D20" s="19">
        <f>(((($D$27*$D$26)/1000)*7)-$D$19)/4</f>
        <v>33.481875000000002</v>
      </c>
      <c r="E20" s="19">
        <f>(((($E$27*$E$26)/1000)*7)-$E$19)/4</f>
        <v>33.481875000000002</v>
      </c>
      <c r="F20" s="19">
        <f>(((($F$27*$F$26)/1000)*7)-$F$19)/4</f>
        <v>25.753750000000004</v>
      </c>
      <c r="G20" s="19">
        <f>(((($G$27*$G$26)/1000)*7)-$G$19)/4</f>
        <v>25.778750000000002</v>
      </c>
      <c r="H20" s="19">
        <f>(((($H$27*$H$26)/1000)*7)-$H$19)/4</f>
        <v>32.900000000000006</v>
      </c>
      <c r="I20" s="19">
        <f>(((($I$27*$I$26)/1000)*7)-$I$19)/4</f>
        <v>33.515124999999998</v>
      </c>
      <c r="J20" s="19">
        <f>(((($J$27*$J$26)/1000)*7)-$J$19)/4</f>
        <v>31.318125000000002</v>
      </c>
      <c r="K20" s="20">
        <f>(((($K$27*$K$26)/1000)*7)-$K$19)/4</f>
        <v>12.67675</v>
      </c>
      <c r="L20" s="18">
        <f>(((($L$27*$L$26)/1000)*7)-$L$19)/4</f>
        <v>32.008249999999997</v>
      </c>
      <c r="M20" s="19">
        <f>(((($M$27*$M$26)/1000)*7)-$M$19)/4</f>
        <v>30.494125000000004</v>
      </c>
      <c r="N20" s="19">
        <f>(((($N$27*$N$26)/1000)*7)-$N$19)/4</f>
        <v>33.883749999999999</v>
      </c>
      <c r="O20" s="19">
        <f>(((($O$27*$O$26)/1000)*7)-$O$19)/4</f>
        <v>28.382999999999999</v>
      </c>
      <c r="P20" s="19">
        <f>(((($P$27*$P$26)/1000)*7)-$P$19)/4</f>
        <v>28.793000000000003</v>
      </c>
      <c r="Q20" s="20">
        <f>(((($Q$27*$Q$26)/1000)*7)-$Q$19)/4</f>
        <v>18.740875000000003</v>
      </c>
      <c r="R20" s="61">
        <f>(((($R$27*$R$26)/1000)*7)-$R$19)/4</f>
        <v>16.174125</v>
      </c>
      <c r="S20" s="19">
        <f>(((($S$27*$S$26)/1000)*7)-$S$19)/4</f>
        <v>37.891750000000002</v>
      </c>
      <c r="T20" s="19">
        <f>(((($T$27*$T$26)/1000)*7)-$T$19)/4</f>
        <v>32.837499999999999</v>
      </c>
      <c r="U20" s="19">
        <f>(((($U$27*$U$26)/1000)*7)-$U$19)/4</f>
        <v>33.285000000000004</v>
      </c>
      <c r="V20" s="19">
        <f>(((($V$27*$V$26)/1000)*7)-$V$19)/4</f>
        <v>29.444749999999999</v>
      </c>
      <c r="W20" s="19">
        <f>(((($W$27*$W$26)/1000)*7)-$W$19)/4</f>
        <v>17.445999999999998</v>
      </c>
      <c r="X20" s="98">
        <f>SUM(B20:W20)</f>
        <v>631.09837500000003</v>
      </c>
      <c r="Z20" s="2"/>
      <c r="AA20" s="15"/>
    </row>
    <row r="21" spans="1:34" ht="39.950000000000003" customHeight="1" x14ac:dyDescent="0.25">
      <c r="A21" s="96" t="s">
        <v>28</v>
      </c>
      <c r="B21" s="18">
        <f>(((($B$27*$B$26)/1000)*7)-$B$19)/4</f>
        <v>35.517499999999998</v>
      </c>
      <c r="C21" s="19">
        <f>(((($C$27*$C$26)/1000)*7)-$C$19)/4</f>
        <v>27.292499999999997</v>
      </c>
      <c r="D21" s="19">
        <f>(((($D$27*$D$26)/1000)*7)-$D$19)/4</f>
        <v>33.481875000000002</v>
      </c>
      <c r="E21" s="19">
        <f>(((($E$27*$E$26)/1000)*7)-$E$19)/4</f>
        <v>33.481875000000002</v>
      </c>
      <c r="F21" s="19">
        <f>(((($F$27*$F$26)/1000)*7)-$F$19)/4</f>
        <v>25.753750000000004</v>
      </c>
      <c r="G21" s="19">
        <f>(((($G$27*$G$26)/1000)*7)-$G$19)/4</f>
        <v>25.778750000000002</v>
      </c>
      <c r="H21" s="19">
        <f>(((($H$27*$H$26)/1000)*7)-$H$19)/4</f>
        <v>32.900000000000006</v>
      </c>
      <c r="I21" s="19">
        <f>(((($I$27*$I$26)/1000)*7)-$I$19)/4</f>
        <v>33.515124999999998</v>
      </c>
      <c r="J21" s="19">
        <f>(((($J$27*$J$26)/1000)*7)-$J$19)/4</f>
        <v>31.318125000000002</v>
      </c>
      <c r="K21" s="20">
        <f>(((($K$27*$K$26)/1000)*7)-$K$19)/4</f>
        <v>12.67675</v>
      </c>
      <c r="L21" s="18">
        <f>(((($L$27*$L$26)/1000)*7)-$L$19)/4</f>
        <v>32.008249999999997</v>
      </c>
      <c r="M21" s="19">
        <f>(((($M$27*$M$26)/1000)*7)-$M$19)/4</f>
        <v>30.494125000000004</v>
      </c>
      <c r="N21" s="19">
        <f>(((($N$27*$N$26)/1000)*7)-$N$19)/4</f>
        <v>33.883749999999999</v>
      </c>
      <c r="O21" s="19">
        <f>(((($O$27*$O$26)/1000)*7)-$O$19)/4</f>
        <v>28.382999999999999</v>
      </c>
      <c r="P21" s="19">
        <f>(((($P$27*$P$26)/1000)*7)-$P$19)/4</f>
        <v>28.793000000000003</v>
      </c>
      <c r="Q21" s="20">
        <f>(((($Q$27*$Q$26)/1000)*7)-$Q$19)/4</f>
        <v>18.740875000000003</v>
      </c>
      <c r="R21" s="61">
        <f>(((($R$27*$R$26)/1000)*7)-$R$19)/4</f>
        <v>16.174125</v>
      </c>
      <c r="S21" s="19">
        <f>(((($S$27*$S$26)/1000)*7)-$S$19)/4</f>
        <v>37.891750000000002</v>
      </c>
      <c r="T21" s="19">
        <f>(((($T$27*$T$26)/1000)*7)-$T$19)/4</f>
        <v>32.837499999999999</v>
      </c>
      <c r="U21" s="19">
        <f>(((($U$27*$U$26)/1000)*7)-$U$19)/4</f>
        <v>33.285000000000004</v>
      </c>
      <c r="V21" s="19">
        <f>(((($V$27*$V$26)/1000)*7)-$V$19)/4</f>
        <v>29.444749999999999</v>
      </c>
      <c r="W21" s="19">
        <f>(((($W$27*$W$26)/1000)*7)-$W$19)/4</f>
        <v>17.445999999999998</v>
      </c>
      <c r="X21" s="98">
        <f>SUM(B21:W21)</f>
        <v>631.09837500000003</v>
      </c>
      <c r="Z21" s="2"/>
      <c r="AA21" s="15"/>
    </row>
    <row r="22" spans="1:34" ht="39.950000000000003" customHeight="1" x14ac:dyDescent="0.25">
      <c r="A22" s="9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19"/>
      <c r="P22" s="19"/>
      <c r="Q22" s="20"/>
      <c r="R22" s="61"/>
      <c r="S22" s="19"/>
      <c r="T22" s="19"/>
      <c r="U22" s="19"/>
      <c r="V22" s="19"/>
      <c r="W22" s="19"/>
      <c r="X22" s="98">
        <f>SUM(B22:V22)</f>
        <v>0</v>
      </c>
      <c r="Z22" s="2"/>
      <c r="AA22" s="15"/>
    </row>
    <row r="23" spans="1:34" ht="39.950000000000003" customHeight="1" x14ac:dyDescent="0.25">
      <c r="A23" s="96" t="s">
        <v>22</v>
      </c>
      <c r="B23" s="18">
        <f>(((($B$27*$B$26)/1000)*7)-$B$19)/4</f>
        <v>35.517499999999998</v>
      </c>
      <c r="C23" s="19">
        <f>(((($C$27*$C$26)/1000)*7)-$C$19)/4</f>
        <v>27.292499999999997</v>
      </c>
      <c r="D23" s="19">
        <f>(((($D$27*$D$26)/1000)*7)-$D$19)/4</f>
        <v>33.481875000000002</v>
      </c>
      <c r="E23" s="19">
        <f>(((($E$27*$E$26)/1000)*7)-$E$19)/4</f>
        <v>33.481875000000002</v>
      </c>
      <c r="F23" s="19">
        <f>(((($F$27*$F$26)/1000)*7)-$F$19)/4</f>
        <v>25.753750000000004</v>
      </c>
      <c r="G23" s="19">
        <f>(((($G$27*$G$26)/1000)*7)-$G$19)/4</f>
        <v>25.778750000000002</v>
      </c>
      <c r="H23" s="19">
        <f>(((($H$27*$H$26)/1000)*7)-$H$19)/4</f>
        <v>32.900000000000006</v>
      </c>
      <c r="I23" s="19">
        <f>(((($I$27*$I$26)/1000)*7)-$I$19)/4</f>
        <v>33.515124999999998</v>
      </c>
      <c r="J23" s="19">
        <f>(((($J$27*$J$26)/1000)*7)-$J$19)/4</f>
        <v>31.318125000000002</v>
      </c>
      <c r="K23" s="20">
        <f>(((($K$27*$K$26)/1000)*7)-$K$19)/4</f>
        <v>12.67675</v>
      </c>
      <c r="L23" s="18">
        <f>(((($L$27*$L$26)/1000)*7)-$L$19)/4</f>
        <v>32.008249999999997</v>
      </c>
      <c r="M23" s="19">
        <f>(((($M$27*$M$26)/1000)*7)-$M$19)/4</f>
        <v>30.494125000000004</v>
      </c>
      <c r="N23" s="19">
        <f>(((($N$27*$N$26)/1000)*7)-$N$19)/4</f>
        <v>33.883749999999999</v>
      </c>
      <c r="O23" s="19">
        <f>(((($O$27*$O$26)/1000)*7)-$O$19)/4</f>
        <v>28.382999999999999</v>
      </c>
      <c r="P23" s="19">
        <f>(((($P$27*$P$26)/1000)*7)-$P$19)/4</f>
        <v>28.793000000000003</v>
      </c>
      <c r="Q23" s="20">
        <f>(((($Q$27*$Q$26)/1000)*7)-$Q$19)/4</f>
        <v>18.740875000000003</v>
      </c>
      <c r="R23" s="61">
        <f>(((($R$27*$R$26)/1000)*7)-$R$19)/4</f>
        <v>16.174125</v>
      </c>
      <c r="S23" s="19">
        <f>(((($S$27*$S$26)/1000)*7)-$S$19)/4</f>
        <v>37.891750000000002</v>
      </c>
      <c r="T23" s="19">
        <f>(((($T$27*$T$26)/1000)*7)-$T$19)/4</f>
        <v>32.837499999999999</v>
      </c>
      <c r="U23" s="19">
        <f>(((($U$27*$U$26)/1000)*7)-$U$19)/4</f>
        <v>33.285000000000004</v>
      </c>
      <c r="V23" s="19">
        <f>(((($V$27*$V$26)/1000)*7)-$V$19)/4</f>
        <v>29.444749999999999</v>
      </c>
      <c r="W23" s="19">
        <f>(((($W$27*$W$26)/1000)*7)-$W$19)/4</f>
        <v>17.445999999999998</v>
      </c>
      <c r="X23" s="98">
        <f>SUM(B23:W23)</f>
        <v>631.09837500000003</v>
      </c>
      <c r="Z23" s="2"/>
      <c r="AA23" s="15"/>
    </row>
    <row r="24" spans="1:34" ht="39.950000000000003" customHeight="1" thickBot="1" x14ac:dyDescent="0.3">
      <c r="A24" s="96" t="s">
        <v>23</v>
      </c>
      <c r="B24" s="18">
        <f>(((($B$27*$B$26)/1000)*7)-$B$19)/4</f>
        <v>35.517499999999998</v>
      </c>
      <c r="C24" s="19">
        <f>(((($C$27*$C$26)/1000)*7)-$C$19)/4</f>
        <v>27.292499999999997</v>
      </c>
      <c r="D24" s="19">
        <f>(((($D$27*$D$26)/1000)*7)-$D$19)/4</f>
        <v>33.481875000000002</v>
      </c>
      <c r="E24" s="19">
        <f>(((($E$27*$E$26)/1000)*7)-$E$19)/4</f>
        <v>33.481875000000002</v>
      </c>
      <c r="F24" s="19">
        <f>(((($F$27*$F$26)/1000)*7)-$F$19)/4</f>
        <v>25.753750000000004</v>
      </c>
      <c r="G24" s="19">
        <f>(((($G$27*$G$26)/1000)*7)-$G$19)/4</f>
        <v>25.778750000000002</v>
      </c>
      <c r="H24" s="19">
        <f>(((($H$27*$H$26)/1000)*7)-$H$19)/4</f>
        <v>32.900000000000006</v>
      </c>
      <c r="I24" s="19">
        <f>(((($I$27*$I$26)/1000)*7)-$I$19)/4</f>
        <v>33.515124999999998</v>
      </c>
      <c r="J24" s="19">
        <f>(((($J$27*$J$26)/1000)*7)-$J$19)/4</f>
        <v>31.318125000000002</v>
      </c>
      <c r="K24" s="20">
        <f>(((($K$27*$K$26)/1000)*7)-$K$19)/4</f>
        <v>12.67675</v>
      </c>
      <c r="L24" s="18">
        <f>(((($L$27*$L$26)/1000)*7)-$L$19)/4</f>
        <v>32.008249999999997</v>
      </c>
      <c r="M24" s="19">
        <f>(((($M$27*$M$26)/1000)*7)-$M$19)/4</f>
        <v>30.494125000000004</v>
      </c>
      <c r="N24" s="19">
        <f>(((($N$27*$N$26)/1000)*7)-$N$19)/4</f>
        <v>33.883749999999999</v>
      </c>
      <c r="O24" s="19">
        <f>(((($O$27*$O$26)/1000)*7)-$O$19)/4</f>
        <v>28.382999999999999</v>
      </c>
      <c r="P24" s="19">
        <f>(((($P$27*$P$26)/1000)*7)-$P$19)/4</f>
        <v>28.793000000000003</v>
      </c>
      <c r="Q24" s="20">
        <f>(((($Q$27*$Q$26)/1000)*7)-$Q$19)/4</f>
        <v>18.740875000000003</v>
      </c>
      <c r="R24" s="61">
        <f>(((($R$27*$R$26)/1000)*7)-$R$19)/4</f>
        <v>16.174125</v>
      </c>
      <c r="S24" s="19">
        <f>(((($S$27*$S$26)/1000)*7)-$S$19)/4</f>
        <v>37.891750000000002</v>
      </c>
      <c r="T24" s="19">
        <f>(((($T$27*$T$26)/1000)*7)-$T$19)/4</f>
        <v>32.837499999999999</v>
      </c>
      <c r="U24" s="19">
        <f>(((($U$27*$U$26)/1000)*7)-$U$19)/4</f>
        <v>33.285000000000004</v>
      </c>
      <c r="V24" s="19">
        <f>(((($V$27*$V$26)/1000)*7)-$V$19)/4</f>
        <v>29.444749999999999</v>
      </c>
      <c r="W24" s="19">
        <f>(((($W$27*$W$26)/1000)*7)-$W$19)/4</f>
        <v>17.445999999999998</v>
      </c>
      <c r="X24" s="98">
        <f>SUM(B24:W24)</f>
        <v>631.09837500000003</v>
      </c>
      <c r="Z24" s="2"/>
    </row>
    <row r="25" spans="1:34" ht="41.45" customHeight="1" x14ac:dyDescent="0.25">
      <c r="A25" s="126" t="s">
        <v>9</v>
      </c>
      <c r="B25" s="131">
        <f t="shared" ref="B25:I25" si="0">SUM(B18:B24)</f>
        <v>174.37</v>
      </c>
      <c r="C25" s="128">
        <f t="shared" si="0"/>
        <v>133.76999999999998</v>
      </c>
      <c r="D25" s="128">
        <f t="shared" si="0"/>
        <v>164.0275</v>
      </c>
      <c r="E25" s="128">
        <f t="shared" si="0"/>
        <v>164.0275</v>
      </c>
      <c r="F25" s="128">
        <f t="shared" si="0"/>
        <v>126.315</v>
      </c>
      <c r="G25" s="128">
        <f>SUM(G18:G24)</f>
        <v>126.31500000000001</v>
      </c>
      <c r="H25" s="128">
        <f t="shared" si="0"/>
        <v>161.70000000000002</v>
      </c>
      <c r="I25" s="128">
        <f t="shared" si="0"/>
        <v>164.16050000000001</v>
      </c>
      <c r="J25" s="129">
        <f t="shared" ref="J25:W25" si="1">SUM(J18:J24)</f>
        <v>153.77250000000001</v>
      </c>
      <c r="K25" s="129">
        <f t="shared" si="1"/>
        <v>62.306999999999995</v>
      </c>
      <c r="L25" s="131">
        <f t="shared" si="1"/>
        <v>156.93299999999999</v>
      </c>
      <c r="M25" s="128">
        <f t="shared" si="1"/>
        <v>149.37649999999999</v>
      </c>
      <c r="N25" s="128">
        <f t="shared" si="1"/>
        <v>166.63499999999999</v>
      </c>
      <c r="O25" s="128">
        <f t="shared" si="1"/>
        <v>139.83199999999999</v>
      </c>
      <c r="P25" s="128">
        <f t="shared" si="1"/>
        <v>141.37200000000001</v>
      </c>
      <c r="Q25" s="129">
        <f t="shared" si="1"/>
        <v>92.263500000000008</v>
      </c>
      <c r="R25" s="133">
        <f t="shared" si="1"/>
        <v>79.096500000000006</v>
      </c>
      <c r="S25" s="134">
        <f t="shared" si="1"/>
        <v>185.36700000000002</v>
      </c>
      <c r="T25" s="134">
        <f t="shared" si="1"/>
        <v>160.65</v>
      </c>
      <c r="U25" s="134">
        <f t="shared" si="1"/>
        <v>163.24</v>
      </c>
      <c r="V25" s="134">
        <f t="shared" si="1"/>
        <v>144.179</v>
      </c>
      <c r="W25" s="156">
        <f t="shared" si="1"/>
        <v>85.483999999999995</v>
      </c>
      <c r="X25" s="98">
        <f>SUM(B25:W25)</f>
        <v>3095.1935000000008</v>
      </c>
    </row>
    <row r="26" spans="1:34" s="2" customFormat="1" ht="36.75" customHeight="1" x14ac:dyDescent="0.25">
      <c r="A26" s="70" t="s">
        <v>11</v>
      </c>
      <c r="B26" s="23">
        <v>47</v>
      </c>
      <c r="C26" s="63">
        <v>45.5</v>
      </c>
      <c r="D26" s="63">
        <v>45.5</v>
      </c>
      <c r="E26" s="63">
        <v>45.5</v>
      </c>
      <c r="F26" s="63">
        <v>45</v>
      </c>
      <c r="G26" s="63">
        <v>45</v>
      </c>
      <c r="H26" s="63">
        <v>44</v>
      </c>
      <c r="I26" s="63">
        <v>44.5</v>
      </c>
      <c r="J26" s="63">
        <v>43.5</v>
      </c>
      <c r="K26" s="155">
        <v>43</v>
      </c>
      <c r="L26" s="23">
        <v>47</v>
      </c>
      <c r="M26" s="63">
        <v>45.5</v>
      </c>
      <c r="N26" s="63">
        <v>45</v>
      </c>
      <c r="O26" s="63">
        <v>44</v>
      </c>
      <c r="P26" s="63">
        <v>44</v>
      </c>
      <c r="Q26" s="155">
        <v>43.5</v>
      </c>
      <c r="R26" s="23">
        <v>46.5</v>
      </c>
      <c r="S26" s="63">
        <v>45.5</v>
      </c>
      <c r="T26" s="63">
        <v>45</v>
      </c>
      <c r="U26" s="63">
        <v>44</v>
      </c>
      <c r="V26" s="63">
        <v>43</v>
      </c>
      <c r="W26" s="155">
        <v>43</v>
      </c>
      <c r="X26" s="99">
        <f>((X25/X27)/7)*1000</f>
        <v>44.82214901165738</v>
      </c>
    </row>
    <row r="27" spans="1:34" s="2" customFormat="1" ht="33" customHeight="1" x14ac:dyDescent="0.25">
      <c r="A27" s="71" t="s">
        <v>12</v>
      </c>
      <c r="B27" s="26">
        <v>530</v>
      </c>
      <c r="C27" s="27">
        <v>420</v>
      </c>
      <c r="D27" s="27">
        <v>515</v>
      </c>
      <c r="E27" s="27">
        <v>515</v>
      </c>
      <c r="F27" s="27">
        <v>401</v>
      </c>
      <c r="G27" s="27">
        <v>401</v>
      </c>
      <c r="H27" s="27">
        <v>525</v>
      </c>
      <c r="I27" s="27">
        <v>527</v>
      </c>
      <c r="J27" s="28">
        <v>505</v>
      </c>
      <c r="K27" s="28">
        <v>207</v>
      </c>
      <c r="L27" s="26">
        <v>477</v>
      </c>
      <c r="M27" s="27">
        <v>469</v>
      </c>
      <c r="N27" s="27">
        <v>529</v>
      </c>
      <c r="O27" s="27">
        <v>454</v>
      </c>
      <c r="P27" s="27">
        <v>459</v>
      </c>
      <c r="Q27" s="28">
        <v>303</v>
      </c>
      <c r="R27" s="26">
        <v>243</v>
      </c>
      <c r="S27" s="27">
        <v>582</v>
      </c>
      <c r="T27" s="27">
        <v>510</v>
      </c>
      <c r="U27" s="27">
        <v>530</v>
      </c>
      <c r="V27" s="27">
        <v>479</v>
      </c>
      <c r="W27" s="28">
        <v>284</v>
      </c>
      <c r="X27" s="29">
        <f>SUM(B27,C27,D27,E27,F27,G27,H27,I27,J27,K27,L27,M27,N27,O27,P27,Q27,R27,S27,T27,U27,V27,W27)</f>
        <v>9865</v>
      </c>
      <c r="Y27" s="2">
        <f>((X25*1000)/X27)/7</f>
        <v>44.822149011657395</v>
      </c>
    </row>
    <row r="28" spans="1:34" s="2" customFormat="1" ht="33" customHeight="1" x14ac:dyDescent="0.25">
      <c r="A28" s="72" t="s">
        <v>13</v>
      </c>
      <c r="B28" s="30">
        <f>(B27*B26)/1000</f>
        <v>24.91</v>
      </c>
      <c r="C28" s="31">
        <f>(C27*C26)/1000</f>
        <v>19.11</v>
      </c>
      <c r="D28" s="31">
        <f>(D27*D26)/1000</f>
        <v>23.432500000000001</v>
      </c>
      <c r="E28" s="31">
        <f>(E27*E26)/1000</f>
        <v>23.432500000000001</v>
      </c>
      <c r="F28" s="31">
        <f>(F27*F26)/1000</f>
        <v>18.045000000000002</v>
      </c>
      <c r="G28" s="31">
        <f t="shared" ref="G28:W28" si="2">(G27*G26)/1000</f>
        <v>18.045000000000002</v>
      </c>
      <c r="H28" s="31">
        <f t="shared" si="2"/>
        <v>23.1</v>
      </c>
      <c r="I28" s="31">
        <f t="shared" si="2"/>
        <v>23.451499999999999</v>
      </c>
      <c r="J28" s="32">
        <f t="shared" si="2"/>
        <v>21.967500000000001</v>
      </c>
      <c r="K28" s="32">
        <f t="shared" si="2"/>
        <v>8.9009999999999998</v>
      </c>
      <c r="L28" s="30">
        <f t="shared" si="2"/>
        <v>22.419</v>
      </c>
      <c r="M28" s="31">
        <f t="shared" si="2"/>
        <v>21.339500000000001</v>
      </c>
      <c r="N28" s="31">
        <f t="shared" si="2"/>
        <v>23.805</v>
      </c>
      <c r="O28" s="31">
        <f t="shared" si="2"/>
        <v>19.975999999999999</v>
      </c>
      <c r="P28" s="31">
        <f t="shared" si="2"/>
        <v>20.196000000000002</v>
      </c>
      <c r="Q28" s="32">
        <f t="shared" si="2"/>
        <v>13.1805</v>
      </c>
      <c r="R28" s="30">
        <f t="shared" si="2"/>
        <v>11.2995</v>
      </c>
      <c r="S28" s="31">
        <f t="shared" si="2"/>
        <v>26.481000000000002</v>
      </c>
      <c r="T28" s="31">
        <f t="shared" si="2"/>
        <v>22.95</v>
      </c>
      <c r="U28" s="31">
        <f t="shared" si="2"/>
        <v>23.32</v>
      </c>
      <c r="V28" s="31">
        <f t="shared" si="2"/>
        <v>20.597000000000001</v>
      </c>
      <c r="W28" s="32">
        <f t="shared" si="2"/>
        <v>12.212</v>
      </c>
      <c r="X28" s="33"/>
    </row>
    <row r="29" spans="1:34" ht="33.75" customHeight="1" x14ac:dyDescent="0.25">
      <c r="A29" s="73" t="s">
        <v>14</v>
      </c>
      <c r="B29" s="34">
        <f t="shared" ref="B29:K29" si="3">((B27*B26)*7)/1000</f>
        <v>174.37</v>
      </c>
      <c r="C29" s="35">
        <f t="shared" si="3"/>
        <v>133.77000000000001</v>
      </c>
      <c r="D29" s="35">
        <f t="shared" si="3"/>
        <v>164.0275</v>
      </c>
      <c r="E29" s="35">
        <f t="shared" si="3"/>
        <v>164.0275</v>
      </c>
      <c r="F29" s="35">
        <f t="shared" si="3"/>
        <v>126.315</v>
      </c>
      <c r="G29" s="35">
        <f t="shared" si="3"/>
        <v>126.315</v>
      </c>
      <c r="H29" s="35">
        <f t="shared" si="3"/>
        <v>161.69999999999999</v>
      </c>
      <c r="I29" s="35">
        <f t="shared" si="3"/>
        <v>164.16050000000001</v>
      </c>
      <c r="J29" s="68">
        <f t="shared" si="3"/>
        <v>153.77250000000001</v>
      </c>
      <c r="K29" s="68">
        <f t="shared" si="3"/>
        <v>62.307000000000002</v>
      </c>
      <c r="L29" s="34">
        <f t="shared" ref="L29:W29" si="4">((L27*L26)*7)/1000</f>
        <v>156.93299999999999</v>
      </c>
      <c r="M29" s="35">
        <f t="shared" si="4"/>
        <v>149.37649999999999</v>
      </c>
      <c r="N29" s="35">
        <f t="shared" si="4"/>
        <v>166.63499999999999</v>
      </c>
      <c r="O29" s="35">
        <f t="shared" si="4"/>
        <v>139.83199999999999</v>
      </c>
      <c r="P29" s="35">
        <f t="shared" si="4"/>
        <v>141.37200000000001</v>
      </c>
      <c r="Q29" s="68">
        <f t="shared" si="4"/>
        <v>92.263499999999993</v>
      </c>
      <c r="R29" s="34">
        <f t="shared" si="4"/>
        <v>79.096500000000006</v>
      </c>
      <c r="S29" s="35">
        <f t="shared" si="4"/>
        <v>185.36699999999999</v>
      </c>
      <c r="T29" s="35">
        <f t="shared" si="4"/>
        <v>160.65</v>
      </c>
      <c r="U29" s="35">
        <f t="shared" si="4"/>
        <v>163.24</v>
      </c>
      <c r="V29" s="35">
        <f t="shared" si="4"/>
        <v>144.179</v>
      </c>
      <c r="W29" s="68">
        <f t="shared" si="4"/>
        <v>85.483999999999995</v>
      </c>
      <c r="X29" s="36"/>
    </row>
    <row r="30" spans="1:34" ht="33.75" customHeight="1" thickBot="1" x14ac:dyDescent="0.3">
      <c r="A30" s="74" t="s">
        <v>15</v>
      </c>
      <c r="B30" s="37">
        <f t="shared" ref="B30:K30" si="5">+(B25/B27)/7*1000</f>
        <v>47</v>
      </c>
      <c r="C30" s="38">
        <f t="shared" si="5"/>
        <v>45.499999999999993</v>
      </c>
      <c r="D30" s="38">
        <f t="shared" si="5"/>
        <v>45.5</v>
      </c>
      <c r="E30" s="38">
        <f t="shared" si="5"/>
        <v>45.5</v>
      </c>
      <c r="F30" s="38">
        <f t="shared" si="5"/>
        <v>45</v>
      </c>
      <c r="G30" s="38">
        <f t="shared" si="5"/>
        <v>45</v>
      </c>
      <c r="H30" s="38">
        <f t="shared" si="5"/>
        <v>44.000000000000007</v>
      </c>
      <c r="I30" s="38">
        <f t="shared" si="5"/>
        <v>44.5</v>
      </c>
      <c r="J30" s="39">
        <f t="shared" si="5"/>
        <v>43.5</v>
      </c>
      <c r="K30" s="39">
        <f t="shared" si="5"/>
        <v>43</v>
      </c>
      <c r="L30" s="37">
        <f t="shared" ref="L30:W30" si="6">+(L25/L27)/7*1000</f>
        <v>46.999999999999993</v>
      </c>
      <c r="M30" s="38">
        <f t="shared" si="6"/>
        <v>45.5</v>
      </c>
      <c r="N30" s="38">
        <f t="shared" si="6"/>
        <v>45</v>
      </c>
      <c r="O30" s="38">
        <f t="shared" si="6"/>
        <v>44</v>
      </c>
      <c r="P30" s="38">
        <f t="shared" si="6"/>
        <v>44.000000000000007</v>
      </c>
      <c r="Q30" s="39">
        <f t="shared" si="6"/>
        <v>43.500000000000007</v>
      </c>
      <c r="R30" s="37">
        <f t="shared" si="6"/>
        <v>46.5</v>
      </c>
      <c r="S30" s="38">
        <f t="shared" si="6"/>
        <v>45.5</v>
      </c>
      <c r="T30" s="38">
        <f t="shared" si="6"/>
        <v>45</v>
      </c>
      <c r="U30" s="38">
        <f t="shared" si="6"/>
        <v>44</v>
      </c>
      <c r="V30" s="38">
        <f t="shared" si="6"/>
        <v>43</v>
      </c>
      <c r="W30" s="39">
        <f t="shared" si="6"/>
        <v>43</v>
      </c>
      <c r="X30" s="40"/>
    </row>
    <row r="31" spans="1:34" ht="33.75" customHeight="1" x14ac:dyDescent="0.25">
      <c r="A31" s="41"/>
      <c r="B31" s="42">
        <v>47</v>
      </c>
      <c r="C31" s="42">
        <v>45.5</v>
      </c>
      <c r="D31" s="42">
        <v>45.5</v>
      </c>
      <c r="E31" s="42">
        <v>45.5</v>
      </c>
      <c r="F31" s="42">
        <v>45</v>
      </c>
      <c r="G31" s="42">
        <v>45</v>
      </c>
      <c r="H31" s="42">
        <v>44</v>
      </c>
      <c r="I31" s="42">
        <v>44.5</v>
      </c>
      <c r="J31" s="42">
        <v>43.5</v>
      </c>
      <c r="K31" s="42">
        <v>43</v>
      </c>
      <c r="L31" s="42">
        <v>47</v>
      </c>
      <c r="M31" s="42">
        <v>45.5</v>
      </c>
      <c r="N31" s="42">
        <v>45</v>
      </c>
      <c r="O31" s="42">
        <v>44</v>
      </c>
      <c r="P31" s="42">
        <v>44</v>
      </c>
      <c r="Q31" s="42">
        <v>43.5</v>
      </c>
      <c r="R31" s="42">
        <v>46.5</v>
      </c>
      <c r="S31" s="42">
        <v>45.5</v>
      </c>
      <c r="T31" s="42">
        <v>45</v>
      </c>
      <c r="U31" s="42">
        <v>44</v>
      </c>
      <c r="V31" s="42">
        <v>43</v>
      </c>
      <c r="W31" s="42">
        <v>43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>
        <v>41.5</v>
      </c>
      <c r="AA32" s="42"/>
      <c r="AB32" s="42"/>
      <c r="AC32" s="42"/>
      <c r="AD32" s="42"/>
      <c r="AE32" s="42"/>
      <c r="AF32" s="42"/>
      <c r="AG32" s="42"/>
      <c r="AH32" s="41"/>
    </row>
    <row r="33" spans="1:34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>
        <v>41</v>
      </c>
      <c r="AA33" s="42"/>
      <c r="AB33" s="42"/>
      <c r="AC33" s="42"/>
      <c r="AD33" s="42"/>
      <c r="AE33" s="42"/>
      <c r="AF33" s="42"/>
      <c r="AG33" s="42"/>
      <c r="AH33" s="41"/>
    </row>
    <row r="34" spans="1:34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>
        <v>40.5</v>
      </c>
      <c r="AA34" s="42"/>
      <c r="AB34" s="42"/>
      <c r="AC34" s="42"/>
      <c r="AD34" s="42"/>
      <c r="AE34" s="42"/>
      <c r="AF34" s="41"/>
    </row>
    <row r="35" spans="1:34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>
        <v>40</v>
      </c>
      <c r="AA35" s="43"/>
      <c r="AB35" s="43"/>
      <c r="AC35" s="43"/>
      <c r="AD35" s="43"/>
      <c r="AE35" s="43"/>
      <c r="AF35" s="3"/>
    </row>
    <row r="36" spans="1:34" ht="33.75" customHeight="1" thickBot="1" x14ac:dyDescent="0.3">
      <c r="A36" s="69" t="s">
        <v>16</v>
      </c>
      <c r="B36" s="966" t="s">
        <v>17</v>
      </c>
      <c r="C36" s="967"/>
      <c r="D36" s="967"/>
      <c r="E36" s="967"/>
      <c r="F36" s="967"/>
      <c r="G36" s="967"/>
      <c r="H36" s="75"/>
      <c r="M36" s="44"/>
      <c r="N36" s="88" t="s">
        <v>18</v>
      </c>
      <c r="O36" s="956" t="s">
        <v>17</v>
      </c>
      <c r="P36" s="956"/>
      <c r="Q36" s="956"/>
      <c r="R36" s="956"/>
      <c r="S36" s="956"/>
      <c r="T36" s="957"/>
      <c r="U36" s="81"/>
      <c r="V36" s="45"/>
      <c r="W36" s="45"/>
      <c r="X36" s="46"/>
      <c r="Y36" s="3"/>
      <c r="Z36" s="45">
        <v>39.5</v>
      </c>
      <c r="AA36" s="45"/>
      <c r="AB36" s="45"/>
      <c r="AC36" s="3"/>
    </row>
    <row r="37" spans="1:34" ht="33.75" customHeight="1" x14ac:dyDescent="0.25">
      <c r="A37" s="80" t="s">
        <v>34</v>
      </c>
      <c r="B37" s="141"/>
      <c r="C37" s="118"/>
      <c r="D37" s="118"/>
      <c r="E37" s="118"/>
      <c r="F37" s="118"/>
      <c r="G37" s="119"/>
      <c r="H37" s="13" t="s">
        <v>9</v>
      </c>
      <c r="I37" s="47"/>
      <c r="J37" s="47"/>
      <c r="K37" s="47"/>
      <c r="L37" s="970"/>
      <c r="M37" s="970"/>
      <c r="N37" s="97" t="s">
        <v>33</v>
      </c>
      <c r="O37" s="60"/>
      <c r="P37" s="12"/>
      <c r="Q37" s="12"/>
      <c r="R37" s="12"/>
      <c r="S37" s="12"/>
      <c r="T37" s="12"/>
      <c r="U37" s="76" t="s">
        <v>9</v>
      </c>
      <c r="V37" s="47"/>
      <c r="W37" s="47"/>
      <c r="X37" s="3"/>
      <c r="Y37" s="46"/>
      <c r="Z37" s="3">
        <v>39.5</v>
      </c>
      <c r="AA37" s="45"/>
      <c r="AB37" s="45"/>
      <c r="AC37" s="45"/>
    </row>
    <row r="38" spans="1:34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6">
        <v>6</v>
      </c>
      <c r="H38" s="13"/>
      <c r="I38" s="47"/>
      <c r="J38" s="47"/>
      <c r="K38" s="47"/>
      <c r="L38" s="144"/>
      <c r="M38" s="145"/>
      <c r="N38" s="80" t="s">
        <v>10</v>
      </c>
      <c r="O38" s="60">
        <v>1</v>
      </c>
      <c r="P38" s="16">
        <v>2</v>
      </c>
      <c r="Q38" s="16">
        <v>3</v>
      </c>
      <c r="R38" s="16"/>
      <c r="S38" s="16"/>
      <c r="T38" s="16"/>
      <c r="U38" s="76"/>
      <c r="V38" s="47"/>
      <c r="W38" s="47"/>
      <c r="X38" s="48"/>
      <c r="Y38" s="48"/>
      <c r="Z38" s="2"/>
      <c r="AA38" s="2"/>
      <c r="AB38" s="2"/>
      <c r="AC38" s="2"/>
    </row>
    <row r="39" spans="1:34" ht="33.75" customHeight="1" x14ac:dyDescent="0.25">
      <c r="A39" s="96" t="s">
        <v>32</v>
      </c>
      <c r="B39" s="18"/>
      <c r="C39" s="61"/>
      <c r="D39" s="61"/>
      <c r="E39" s="61"/>
      <c r="F39" s="61"/>
      <c r="G39" s="61"/>
      <c r="H39" s="136">
        <f t="shared" ref="H39:H46" si="7">SUM(B39:G39)</f>
        <v>0</v>
      </c>
      <c r="I39" s="49"/>
      <c r="J39" s="49"/>
      <c r="K39" s="49"/>
      <c r="L39" s="144"/>
      <c r="M39" s="145"/>
      <c r="N39" s="96" t="s">
        <v>53</v>
      </c>
      <c r="O39" s="61"/>
      <c r="P39" s="61"/>
      <c r="Q39" s="61"/>
      <c r="R39" s="61"/>
      <c r="S39" s="61"/>
      <c r="T39" s="61"/>
      <c r="U39" s="77">
        <f t="shared" ref="U39:U46" si="8">SUM(O39:T39)</f>
        <v>0</v>
      </c>
      <c r="V39" s="2">
        <v>138</v>
      </c>
      <c r="W39" s="49"/>
      <c r="X39" s="48"/>
      <c r="Y39" s="48"/>
      <c r="Z39" s="2"/>
      <c r="AA39" s="2"/>
      <c r="AB39" s="2"/>
      <c r="AC39" s="2"/>
    </row>
    <row r="40" spans="1:34" ht="33.75" customHeight="1" x14ac:dyDescent="0.25">
      <c r="A40" s="96" t="s">
        <v>24</v>
      </c>
      <c r="B40" s="18">
        <v>21.1</v>
      </c>
      <c r="C40" s="61">
        <v>31.5</v>
      </c>
      <c r="D40" s="61">
        <v>46.1</v>
      </c>
      <c r="E40" s="61">
        <v>45.1</v>
      </c>
      <c r="F40" s="61">
        <v>24.5</v>
      </c>
      <c r="G40" s="61">
        <v>20.2</v>
      </c>
      <c r="H40" s="136">
        <f t="shared" si="7"/>
        <v>188.5</v>
      </c>
      <c r="I40" s="49"/>
      <c r="J40" s="49"/>
      <c r="K40" s="49"/>
      <c r="L40" s="144"/>
      <c r="M40" s="145"/>
      <c r="N40" s="96" t="s">
        <v>24</v>
      </c>
      <c r="O40" s="61">
        <v>7.2</v>
      </c>
      <c r="P40" s="61">
        <v>12.5</v>
      </c>
      <c r="Q40" s="61">
        <v>14.7</v>
      </c>
      <c r="R40" s="61"/>
      <c r="S40" s="61"/>
      <c r="T40" s="61"/>
      <c r="U40" s="77">
        <f t="shared" si="8"/>
        <v>34.4</v>
      </c>
      <c r="V40" s="2">
        <v>138</v>
      </c>
      <c r="W40" s="49"/>
      <c r="X40" s="48"/>
      <c r="Y40" s="48"/>
      <c r="Z40" s="2"/>
      <c r="AA40" s="2"/>
      <c r="AB40" s="2"/>
      <c r="AC40" s="2"/>
    </row>
    <row r="41" spans="1:34" ht="33.75" customHeight="1" x14ac:dyDescent="0.25">
      <c r="A41" s="96" t="s">
        <v>20</v>
      </c>
      <c r="B41" s="18">
        <f>(((($B$48*$B$47)/1000)*7)-$B$40)/4</f>
        <v>23.384749999999997</v>
      </c>
      <c r="C41" s="61">
        <f>(((($C$47*$C$48)/1000)*7)-$C$40)/4</f>
        <v>34.986874999999998</v>
      </c>
      <c r="D41" s="61">
        <f>(((($D$47*$D$48)/1000)*7)-$D$40)/4</f>
        <v>50.900999999999996</v>
      </c>
      <c r="E41" s="61">
        <f>(((($E$47*$E$48)/1000)*7)-$E$40)/4</f>
        <v>49.607500000000002</v>
      </c>
      <c r="F41" s="61">
        <f>(((($F$47*$F$48)/1000)*7)-$F$40)/4</f>
        <v>26.970999999999997</v>
      </c>
      <c r="G41" s="61">
        <f>(((($G$47*$G$48)/1000)*7)-$G$40)/4</f>
        <v>22.25</v>
      </c>
      <c r="H41" s="136">
        <f t="shared" si="7"/>
        <v>208.101125</v>
      </c>
      <c r="I41" s="49"/>
      <c r="J41" s="49"/>
      <c r="K41" s="49"/>
      <c r="L41" s="144"/>
      <c r="M41" s="145"/>
      <c r="N41" s="96" t="s">
        <v>20</v>
      </c>
      <c r="O41" s="61">
        <f>(((($O$48*$O$47)/1000)*7)-$O$40)/4</f>
        <v>8.5906249999999993</v>
      </c>
      <c r="P41" s="61">
        <f>(((($P$47*$P$48)/1000)*7)-$P$40)/4</f>
        <v>14.59375</v>
      </c>
      <c r="Q41" s="61">
        <f>(((($Q$47*$Q$48)/1000)*7)-$Q$40)/4</f>
        <v>17.106249999999999</v>
      </c>
      <c r="R41" s="61"/>
      <c r="S41" s="61"/>
      <c r="T41" s="19"/>
      <c r="U41" s="77">
        <f t="shared" si="8"/>
        <v>40.290624999999999</v>
      </c>
      <c r="V41" s="90">
        <v>57</v>
      </c>
      <c r="W41" s="147">
        <v>571.20000000000005</v>
      </c>
      <c r="X41" s="48"/>
      <c r="Y41" s="48"/>
      <c r="Z41" s="2"/>
      <c r="AA41" s="2"/>
      <c r="AB41" s="2"/>
      <c r="AC41" s="2"/>
    </row>
    <row r="42" spans="1:34" ht="33.75" customHeight="1" x14ac:dyDescent="0.25">
      <c r="A42" s="96" t="s">
        <v>28</v>
      </c>
      <c r="B42" s="18">
        <f>(((($B$48*$B$47)/1000)*7)-$B$40)/4</f>
        <v>23.384749999999997</v>
      </c>
      <c r="C42" s="61">
        <f>(((($C$47*$C$48)/1000)*7)-$C$40)/4</f>
        <v>34.986874999999998</v>
      </c>
      <c r="D42" s="61">
        <f>(((($D$47*$D$48)/1000)*7)-$D$40)/4</f>
        <v>50.900999999999996</v>
      </c>
      <c r="E42" s="61">
        <f>(((($E$47*$E$48)/1000)*7)-$E$40)/4</f>
        <v>49.607500000000002</v>
      </c>
      <c r="F42" s="61">
        <f>(((($F$47*$F$48)/1000)*7)-$F$40)/4</f>
        <v>26.970999999999997</v>
      </c>
      <c r="G42" s="61">
        <f>(((($G$47*$G$48)/1000)*7)-$G$40)/4</f>
        <v>22.25</v>
      </c>
      <c r="H42" s="136">
        <f t="shared" si="7"/>
        <v>208.101125</v>
      </c>
      <c r="I42" s="49"/>
      <c r="J42" s="49"/>
      <c r="K42" s="49"/>
      <c r="L42" s="144"/>
      <c r="M42" s="145"/>
      <c r="N42" s="96" t="s">
        <v>28</v>
      </c>
      <c r="O42" s="61">
        <f>(((($O$48*$O$47)/1000)*7)-$O$40)/4</f>
        <v>8.5906249999999993</v>
      </c>
      <c r="P42" s="61">
        <f>(((($P$47*$P$48)/1000)*7)-$P$40)/4</f>
        <v>14.59375</v>
      </c>
      <c r="Q42" s="61">
        <f>(((($Q$47*$Q$48)/1000)*7)-$Q$40)/4</f>
        <v>17.106249999999999</v>
      </c>
      <c r="R42" s="61"/>
      <c r="S42" s="61"/>
      <c r="T42" s="61"/>
      <c r="U42" s="77">
        <f t="shared" si="8"/>
        <v>40.290624999999999</v>
      </c>
      <c r="V42" s="90">
        <v>58</v>
      </c>
      <c r="W42" s="147"/>
      <c r="X42" s="48"/>
      <c r="Y42" s="48"/>
      <c r="Z42" s="2"/>
      <c r="AA42" s="2"/>
      <c r="AB42" s="2"/>
      <c r="AC42" s="2"/>
    </row>
    <row r="43" spans="1:34" ht="33.75" customHeight="1" x14ac:dyDescent="0.25">
      <c r="A43" s="96" t="s">
        <v>21</v>
      </c>
      <c r="B43" s="18"/>
      <c r="C43" s="61"/>
      <c r="D43" s="61"/>
      <c r="E43" s="61"/>
      <c r="F43" s="61"/>
      <c r="G43" s="61"/>
      <c r="H43" s="136">
        <f t="shared" si="7"/>
        <v>0</v>
      </c>
      <c r="I43" s="49"/>
      <c r="J43" s="49"/>
      <c r="K43" s="49"/>
      <c r="L43" s="144"/>
      <c r="M43" s="145"/>
      <c r="N43" s="96" t="s">
        <v>21</v>
      </c>
      <c r="O43" s="61"/>
      <c r="P43" s="61"/>
      <c r="Q43" s="61"/>
      <c r="R43" s="61"/>
      <c r="S43" s="61"/>
      <c r="T43" s="61"/>
      <c r="U43" s="77">
        <f t="shared" si="8"/>
        <v>0</v>
      </c>
      <c r="V43" s="90">
        <v>58.5</v>
      </c>
      <c r="W43" s="147"/>
      <c r="X43" s="48"/>
      <c r="Y43" s="48"/>
      <c r="Z43" s="2"/>
      <c r="AA43" s="2"/>
      <c r="AB43" s="2"/>
      <c r="AC43" s="2"/>
    </row>
    <row r="44" spans="1:34" ht="33.75" customHeight="1" x14ac:dyDescent="0.25">
      <c r="A44" s="96" t="s">
        <v>22</v>
      </c>
      <c r="B44" s="18">
        <f>(((($B$48*$B$47)/1000)*7)-$B$40)/4</f>
        <v>23.384749999999997</v>
      </c>
      <c r="C44" s="61">
        <f>(((($C$47*$C$48)/1000)*7)-$C$40)/4</f>
        <v>34.986874999999998</v>
      </c>
      <c r="D44" s="61">
        <f>(((($D$47*$D$48)/1000)*7)-$D$40)/4</f>
        <v>50.900999999999996</v>
      </c>
      <c r="E44" s="61">
        <f>(((($E$47*$E$48)/1000)*7)-$E$40)/4</f>
        <v>49.607500000000002</v>
      </c>
      <c r="F44" s="61">
        <f>(((($F$47*$F$48)/1000)*7)-$F$40)/4</f>
        <v>26.970999999999997</v>
      </c>
      <c r="G44" s="61">
        <f>(((($G$47*$G$48)/1000)*7)-$G$40)/4</f>
        <v>22.25</v>
      </c>
      <c r="H44" s="136">
        <f t="shared" si="7"/>
        <v>208.101125</v>
      </c>
      <c r="I44" s="49"/>
      <c r="J44" s="49"/>
      <c r="K44" s="49"/>
      <c r="L44" s="144"/>
      <c r="M44" s="145"/>
      <c r="N44" s="96" t="s">
        <v>22</v>
      </c>
      <c r="O44" s="61">
        <f>(((($O$48*$O$47)/1000)*7)-$O$40)/4</f>
        <v>8.5906249999999993</v>
      </c>
      <c r="P44" s="61">
        <f>(((($P$47*$P$48)/1000)*7)-$P$40)/4</f>
        <v>14.59375</v>
      </c>
      <c r="Q44" s="61">
        <f>(((($Q$47*$Q$48)/1000)*7)-$Q$40)/4</f>
        <v>17.106249999999999</v>
      </c>
      <c r="R44" s="61"/>
      <c r="S44" s="61"/>
      <c r="T44" s="61"/>
      <c r="U44" s="77">
        <f t="shared" si="8"/>
        <v>40.290624999999999</v>
      </c>
      <c r="V44" s="90">
        <v>60</v>
      </c>
      <c r="W44" s="147"/>
      <c r="X44" s="48"/>
      <c r="Y44" s="48"/>
      <c r="Z44" s="2"/>
      <c r="AA44" s="2"/>
      <c r="AB44" s="2"/>
      <c r="AC44" s="2"/>
    </row>
    <row r="45" spans="1:34" ht="33.75" customHeight="1" x14ac:dyDescent="0.25">
      <c r="A45" s="96" t="s">
        <v>32</v>
      </c>
      <c r="B45" s="18">
        <f>(((($B$48*$B$47)/1000)*7)-$B$40)/4</f>
        <v>23.384749999999997</v>
      </c>
      <c r="C45" s="61">
        <f>(((($C$47*$C$48)/1000)*7)-$C$40)/4</f>
        <v>34.986874999999998</v>
      </c>
      <c r="D45" s="61">
        <f>(((($D$47*$D$48)/1000)*7)-$D$40)/4</f>
        <v>50.900999999999996</v>
      </c>
      <c r="E45" s="61">
        <f>(((($E$47*$E$48)/1000)*7)-$E$40)/4</f>
        <v>49.607500000000002</v>
      </c>
      <c r="F45" s="61">
        <f>(((($F$47*$F$48)/1000)*7)-$F$40)/4</f>
        <v>26.970999999999997</v>
      </c>
      <c r="G45" s="61">
        <f>(((($G$47*$G$48)/1000)*7)-$G$40)/4</f>
        <v>22.25</v>
      </c>
      <c r="H45" s="136">
        <f t="shared" si="7"/>
        <v>208.101125</v>
      </c>
      <c r="I45" s="49"/>
      <c r="J45" s="49"/>
      <c r="K45" s="49"/>
      <c r="L45" s="144"/>
      <c r="M45" s="145"/>
      <c r="N45" s="96" t="s">
        <v>23</v>
      </c>
      <c r="O45" s="61">
        <f>(((($O$48*$O$47)/1000)*7)-$O$40)/4</f>
        <v>8.5906249999999993</v>
      </c>
      <c r="P45" s="61">
        <f>(((($P$47*$P$48)/1000)*7)-$P$40)/4</f>
        <v>14.59375</v>
      </c>
      <c r="Q45" s="61">
        <f>(((($Q$47*$Q$48)/1000)*7)-$Q$40)/4</f>
        <v>17.106249999999999</v>
      </c>
      <c r="R45" s="61"/>
      <c r="S45" s="61"/>
      <c r="T45" s="61"/>
      <c r="U45" s="77">
        <f t="shared" si="8"/>
        <v>40.290624999999999</v>
      </c>
      <c r="V45" s="90">
        <v>62</v>
      </c>
      <c r="W45" s="147"/>
      <c r="X45" s="48"/>
      <c r="Y45" s="48"/>
      <c r="Z45" s="48"/>
      <c r="AA45" s="48"/>
      <c r="AB45" s="2"/>
      <c r="AC45" s="2"/>
      <c r="AD45" s="2"/>
      <c r="AE45" s="2"/>
    </row>
    <row r="46" spans="1:34" ht="33.75" customHeight="1" x14ac:dyDescent="0.25">
      <c r="A46" s="80" t="s">
        <v>9</v>
      </c>
      <c r="B46" s="21">
        <f t="shared" ref="B46:G46" si="9">SUM(B39:B45)</f>
        <v>114.63899999999998</v>
      </c>
      <c r="C46" s="22">
        <f t="shared" si="9"/>
        <v>171.44749999999999</v>
      </c>
      <c r="D46" s="22">
        <f t="shared" si="9"/>
        <v>249.70400000000001</v>
      </c>
      <c r="E46" s="22">
        <f t="shared" si="9"/>
        <v>243.53000000000003</v>
      </c>
      <c r="F46" s="22">
        <f t="shared" si="9"/>
        <v>132.38399999999999</v>
      </c>
      <c r="G46" s="22">
        <f t="shared" si="9"/>
        <v>109.2</v>
      </c>
      <c r="H46" s="136">
        <f t="shared" si="7"/>
        <v>1020.9045000000001</v>
      </c>
      <c r="I46" s="49"/>
      <c r="J46" s="49"/>
      <c r="K46" s="49"/>
      <c r="L46" s="49"/>
      <c r="N46" s="80" t="s">
        <v>9</v>
      </c>
      <c r="O46" s="61">
        <f>SUM(O39:O45)</f>
        <v>41.5625</v>
      </c>
      <c r="P46" s="61">
        <f>SUM(P39:P45)</f>
        <v>70.875</v>
      </c>
      <c r="Q46" s="61">
        <f>SUM(Q39:Q45)</f>
        <v>83.125</v>
      </c>
      <c r="R46" s="61"/>
      <c r="S46" s="22"/>
      <c r="T46" s="22"/>
      <c r="U46" s="77">
        <f t="shared" si="8"/>
        <v>195.5625</v>
      </c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4" ht="33.75" customHeight="1" x14ac:dyDescent="0.25">
      <c r="A47" s="70" t="s">
        <v>11</v>
      </c>
      <c r="B47" s="23">
        <v>51.5</v>
      </c>
      <c r="C47" s="24">
        <v>50.5</v>
      </c>
      <c r="D47" s="24">
        <v>49</v>
      </c>
      <c r="E47" s="24">
        <v>49</v>
      </c>
      <c r="F47" s="24">
        <v>48</v>
      </c>
      <c r="G47" s="24">
        <v>48</v>
      </c>
      <c r="H47" s="137">
        <f>+((H46/H48)/7)*1000</f>
        <v>49.27145270270271</v>
      </c>
      <c r="I47" s="109"/>
      <c r="J47" s="109"/>
      <c r="K47" s="109"/>
      <c r="L47" s="49"/>
      <c r="N47" s="93" t="s">
        <v>11</v>
      </c>
      <c r="O47" s="63">
        <v>62.5</v>
      </c>
      <c r="P47" s="24">
        <v>62.5</v>
      </c>
      <c r="Q47" s="24">
        <v>62.5</v>
      </c>
      <c r="R47" s="24"/>
      <c r="S47" s="24"/>
      <c r="T47" s="24"/>
      <c r="U47" s="78">
        <f>+((U46/U48)/7)*1000</f>
        <v>62.5</v>
      </c>
      <c r="V47" s="50"/>
      <c r="W47" s="50"/>
    </row>
    <row r="48" spans="1:34" ht="33.75" customHeight="1" x14ac:dyDescent="0.25">
      <c r="A48" s="71" t="s">
        <v>12</v>
      </c>
      <c r="B48" s="26">
        <v>318</v>
      </c>
      <c r="C48" s="27">
        <v>485</v>
      </c>
      <c r="D48" s="27">
        <v>728</v>
      </c>
      <c r="E48" s="27">
        <v>710</v>
      </c>
      <c r="F48" s="27">
        <v>394</v>
      </c>
      <c r="G48" s="27">
        <v>325</v>
      </c>
      <c r="H48" s="138">
        <f>SUM(B48:G48)</f>
        <v>2960</v>
      </c>
      <c r="I48" s="110"/>
      <c r="J48" s="110"/>
      <c r="K48" s="110"/>
      <c r="L48" s="49"/>
      <c r="M48" s="51"/>
      <c r="N48" s="71" t="s">
        <v>12</v>
      </c>
      <c r="O48" s="79">
        <v>95</v>
      </c>
      <c r="P48" s="79">
        <v>162</v>
      </c>
      <c r="Q48" s="79">
        <v>190</v>
      </c>
      <c r="R48" s="79"/>
      <c r="S48" s="79"/>
      <c r="T48" s="79"/>
      <c r="U48" s="82">
        <f>SUM(O48:S48)</f>
        <v>447</v>
      </c>
      <c r="V48" s="52"/>
      <c r="W48" s="52"/>
    </row>
    <row r="49" spans="1:35" ht="33.75" customHeight="1" x14ac:dyDescent="0.25">
      <c r="A49" s="72" t="s">
        <v>13</v>
      </c>
      <c r="B49" s="30">
        <f t="shared" ref="B49:G49" si="10">(B48*B47)/1000</f>
        <v>16.376999999999999</v>
      </c>
      <c r="C49" s="31">
        <f t="shared" si="10"/>
        <v>24.4925</v>
      </c>
      <c r="D49" s="31">
        <f t="shared" si="10"/>
        <v>35.671999999999997</v>
      </c>
      <c r="E49" s="31">
        <f t="shared" si="10"/>
        <v>34.79</v>
      </c>
      <c r="F49" s="31">
        <f t="shared" si="10"/>
        <v>18.911999999999999</v>
      </c>
      <c r="G49" s="31">
        <f t="shared" si="10"/>
        <v>15.6</v>
      </c>
      <c r="H49" s="139">
        <f>((H46*1000)/H48)/7</f>
        <v>49.27145270270271</v>
      </c>
      <c r="I49" s="111"/>
      <c r="J49" s="111"/>
      <c r="K49" s="111"/>
      <c r="L49" s="49"/>
      <c r="N49" s="72" t="s">
        <v>13</v>
      </c>
      <c r="O49" s="65">
        <v>81.569999999999993</v>
      </c>
      <c r="P49" s="65">
        <v>81.569999999999993</v>
      </c>
      <c r="Q49" s="65">
        <v>81.569999999999993</v>
      </c>
      <c r="R49" s="65"/>
      <c r="S49" s="31"/>
      <c r="T49" s="31"/>
      <c r="U49" s="83">
        <f>((U46*1000)/U48)/7</f>
        <v>62.5</v>
      </c>
      <c r="V49" s="52"/>
      <c r="W49" s="52"/>
    </row>
    <row r="50" spans="1:35" ht="33.75" customHeight="1" x14ac:dyDescent="0.25">
      <c r="A50" s="73" t="s">
        <v>14</v>
      </c>
      <c r="B50" s="34">
        <f t="shared" ref="B50:G50" si="11">((B48*B47)*7)/1000</f>
        <v>114.639</v>
      </c>
      <c r="C50" s="35">
        <f t="shared" si="11"/>
        <v>171.44749999999999</v>
      </c>
      <c r="D50" s="35">
        <f t="shared" si="11"/>
        <v>249.70400000000001</v>
      </c>
      <c r="E50" s="35">
        <f t="shared" si="11"/>
        <v>243.53</v>
      </c>
      <c r="F50" s="35">
        <f t="shared" si="11"/>
        <v>132.38399999999999</v>
      </c>
      <c r="G50" s="35">
        <f t="shared" si="11"/>
        <v>109.2</v>
      </c>
      <c r="H50" s="112"/>
      <c r="I50" s="41"/>
      <c r="J50" s="41"/>
      <c r="K50" s="41"/>
      <c r="L50" s="49"/>
      <c r="N50" s="73" t="s">
        <v>14</v>
      </c>
      <c r="O50" s="66">
        <f>((O48*O47)*7)/1000</f>
        <v>41.5625</v>
      </c>
      <c r="P50" s="66">
        <f>((P48*P47)*7)/1000</f>
        <v>70.875</v>
      </c>
      <c r="Q50" s="66">
        <f>((Q48*Q47)*7)/1000</f>
        <v>83.125</v>
      </c>
      <c r="R50" s="66"/>
      <c r="S50" s="35"/>
      <c r="T50" s="35"/>
      <c r="U50" s="84"/>
    </row>
    <row r="51" spans="1:35" ht="33.75" customHeight="1" thickBot="1" x14ac:dyDescent="0.3">
      <c r="A51" s="74" t="s">
        <v>15</v>
      </c>
      <c r="B51" s="37">
        <f t="shared" ref="B51:G51" si="12">+(B46/B48)/7*1000</f>
        <v>51.499999999999993</v>
      </c>
      <c r="C51" s="38">
        <f t="shared" si="12"/>
        <v>50.499999999999993</v>
      </c>
      <c r="D51" s="38">
        <f t="shared" si="12"/>
        <v>49</v>
      </c>
      <c r="E51" s="38">
        <f t="shared" si="12"/>
        <v>49</v>
      </c>
      <c r="F51" s="38">
        <f t="shared" si="12"/>
        <v>47.999999999999993</v>
      </c>
      <c r="G51" s="38">
        <f t="shared" si="12"/>
        <v>48</v>
      </c>
      <c r="H51" s="140"/>
      <c r="I51" s="41"/>
      <c r="J51" s="41"/>
      <c r="K51" s="41"/>
      <c r="L51" s="49"/>
      <c r="M51" s="41"/>
      <c r="N51" s="74" t="s">
        <v>15</v>
      </c>
      <c r="O51" s="67">
        <f>+(O46/O48)/7*1000</f>
        <v>62.5</v>
      </c>
      <c r="P51" s="67">
        <f>+(P46/P48)/7*1000</f>
        <v>62.5</v>
      </c>
      <c r="Q51" s="67">
        <f>+(Q46/Q48)/7*1000</f>
        <v>62.5</v>
      </c>
      <c r="R51" s="67" t="e">
        <f>+(R46/R48)/7*1000</f>
        <v>#DIV/0!</v>
      </c>
      <c r="S51" s="38"/>
      <c r="T51" s="38"/>
      <c r="U51" s="39"/>
      <c r="V51" s="42"/>
      <c r="W51" s="42"/>
    </row>
    <row r="52" spans="1:35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1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2"/>
      <c r="Z52" s="2"/>
      <c r="AA52" s="2"/>
      <c r="AB52" s="2"/>
      <c r="AC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1"/>
      <c r="M53" s="42"/>
      <c r="N53" s="42"/>
      <c r="O53" s="42"/>
      <c r="P53" s="42"/>
      <c r="Q53" s="42"/>
      <c r="R53" s="42"/>
      <c r="S53" s="42"/>
      <c r="T53" s="42"/>
      <c r="U53" s="42"/>
      <c r="V53" s="43"/>
      <c r="W53" s="43"/>
      <c r="X53" s="43"/>
      <c r="Y53" s="2"/>
      <c r="Z53" s="2"/>
      <c r="AA53" s="2"/>
      <c r="AB53" s="2"/>
      <c r="AF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958"/>
      <c r="N54" s="958"/>
      <c r="O54" s="54"/>
      <c r="P54" s="54"/>
      <c r="Q54" s="54"/>
      <c r="R54" s="54"/>
      <c r="S54" s="55"/>
      <c r="X54" s="43"/>
      <c r="Y54" s="43"/>
      <c r="Z54" s="43"/>
      <c r="AA54" s="2"/>
      <c r="AB54" s="2"/>
      <c r="AC54" s="2"/>
      <c r="AD54" s="2"/>
      <c r="AF54" s="2"/>
      <c r="AG54" s="2"/>
      <c r="AH54" s="2"/>
    </row>
    <row r="55" spans="1:35" ht="33.75" customHeight="1" x14ac:dyDescent="0.25">
      <c r="A55" s="88" t="s">
        <v>19</v>
      </c>
      <c r="B55" s="956" t="s">
        <v>30</v>
      </c>
      <c r="C55" s="956"/>
      <c r="D55" s="956"/>
      <c r="E55" s="956"/>
      <c r="F55" s="957"/>
      <c r="G55" s="158"/>
      <c r="H55" s="85"/>
      <c r="I55" s="56"/>
      <c r="J55" s="56"/>
      <c r="K55" s="56"/>
      <c r="L55" s="56"/>
      <c r="M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159"/>
      <c r="H56" s="76" t="s">
        <v>9</v>
      </c>
      <c r="M56" s="45"/>
      <c r="N56" s="45"/>
      <c r="O56" s="45"/>
      <c r="P56" s="45"/>
      <c r="Q56" s="57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107"/>
      <c r="H57" s="76"/>
      <c r="I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53</v>
      </c>
      <c r="B58" s="61"/>
      <c r="C58" s="61"/>
      <c r="D58" s="61"/>
      <c r="E58" s="61"/>
      <c r="F58" s="61"/>
      <c r="G58" s="160"/>
      <c r="H58" s="77">
        <f t="shared" ref="H58:H65" si="13">SUM(B58:F58)</f>
        <v>0</v>
      </c>
      <c r="I58" s="42"/>
      <c r="J58" s="42"/>
      <c r="K58" s="42"/>
      <c r="L58" s="42"/>
      <c r="M58" s="2"/>
      <c r="N58" s="45"/>
      <c r="O58" s="45"/>
      <c r="P58" s="45"/>
      <c r="Q58" s="57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18.2</v>
      </c>
      <c r="C59" s="61">
        <v>27.3</v>
      </c>
      <c r="D59" s="61">
        <v>32</v>
      </c>
      <c r="E59" s="61">
        <v>26.1</v>
      </c>
      <c r="F59" s="61">
        <v>19.600000000000001</v>
      </c>
      <c r="G59" s="160"/>
      <c r="H59" s="77">
        <f t="shared" si="13"/>
        <v>123.19999999999999</v>
      </c>
      <c r="I59" s="42"/>
      <c r="J59" s="42"/>
      <c r="K59" s="42"/>
      <c r="L59" s="42"/>
      <c r="M59" s="2"/>
      <c r="N59" s="45"/>
      <c r="O59" s="45"/>
      <c r="P59" s="45"/>
      <c r="Q59" s="57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(((($B$67*$B$66)/1000)*7)-$B$59)/4</f>
        <v>20.936124999999997</v>
      </c>
      <c r="C60" s="61">
        <f>(((($C$66*$C$67)/1000)*7)-$C$59)/4</f>
        <v>31.229625000000002</v>
      </c>
      <c r="D60" s="61">
        <f>(((($D$66*$D$67)/1000)*7)-$D$59)/4</f>
        <v>36.571624999999997</v>
      </c>
      <c r="E60" s="61">
        <f>(((($E$66*$E$67)/1000)*7)-$E$59)/4</f>
        <v>29.900374999999997</v>
      </c>
      <c r="F60" s="61">
        <f>(((($F$66*$F$67)/1000)*7)-$F$59)/4</f>
        <v>22.33175</v>
      </c>
      <c r="G60" s="160"/>
      <c r="H60" s="77">
        <f t="shared" si="13"/>
        <v>140.96949999999998</v>
      </c>
      <c r="I60" s="42"/>
      <c r="J60" s="42"/>
      <c r="K60" s="42"/>
      <c r="L60" s="42"/>
      <c r="M60" s="2"/>
      <c r="N60" s="146"/>
      <c r="O60" s="45"/>
      <c r="P60" s="45"/>
      <c r="Q60" s="57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(((($B$67*$B$66)/1000)*7)-$B$59)/4</f>
        <v>20.936124999999997</v>
      </c>
      <c r="C61" s="61">
        <f>(((($C$66*$C$67)/1000)*7)-$C$59)/4</f>
        <v>31.229625000000002</v>
      </c>
      <c r="D61" s="61">
        <f>(((($D$66*$D$67)/1000)*7)-$D$59)/4</f>
        <v>36.571624999999997</v>
      </c>
      <c r="E61" s="61">
        <f>(((($E$66*$E$67)/1000)*7)-$E$59)/4</f>
        <v>29.900374999999997</v>
      </c>
      <c r="F61" s="61">
        <f>(((($F$66*$F$67)/1000)*7)-$F$59)/4</f>
        <v>22.33175</v>
      </c>
      <c r="G61" s="160"/>
      <c r="H61" s="77">
        <f t="shared" si="13"/>
        <v>140.96949999999998</v>
      </c>
      <c r="I61" s="42"/>
      <c r="J61" s="42"/>
      <c r="K61" s="42"/>
      <c r="L61" s="42"/>
      <c r="M61" s="2"/>
      <c r="N61" s="45"/>
      <c r="O61" s="45"/>
      <c r="P61" s="45"/>
      <c r="Q61" s="57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160"/>
      <c r="H62" s="77">
        <f t="shared" si="13"/>
        <v>0</v>
      </c>
      <c r="I62" s="42"/>
      <c r="J62" s="42"/>
      <c r="K62" s="42"/>
      <c r="L62" s="42"/>
      <c r="M62" s="2"/>
      <c r="N62" s="45"/>
      <c r="O62" s="45"/>
      <c r="P62" s="45"/>
      <c r="Q62" s="57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(((($B$67*$B$66)/1000)*7)-$B$59)/4</f>
        <v>20.936124999999997</v>
      </c>
      <c r="C63" s="61">
        <f>(((($C$66*$C$67)/1000)*7)-$C$59)/4</f>
        <v>31.229625000000002</v>
      </c>
      <c r="D63" s="61">
        <f>(((($D$66*$D$67)/1000)*7)-$D$59)/4</f>
        <v>36.571624999999997</v>
      </c>
      <c r="E63" s="61">
        <f>(((($E$66*$E$67)/1000)*7)-$E$59)/4</f>
        <v>29.900374999999997</v>
      </c>
      <c r="F63" s="61">
        <f>(((($F$66*$F$67)/1000)*7)-$F$59)/4</f>
        <v>22.33175</v>
      </c>
      <c r="G63" s="160"/>
      <c r="H63" s="77">
        <f t="shared" si="13"/>
        <v>140.96949999999998</v>
      </c>
      <c r="I63" s="42"/>
      <c r="J63" s="42"/>
      <c r="K63" s="42"/>
      <c r="L63" s="4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(((($B$67*$B$66)/1000)*7)-$B$59)/4</f>
        <v>20.936124999999997</v>
      </c>
      <c r="C64" s="61">
        <f>(((($C$66*$C$67)/1000)*7)-$C$59)/4</f>
        <v>31.229625000000002</v>
      </c>
      <c r="D64" s="61">
        <f>(((($D$66*$D$67)/1000)*7)-$D$59)/4</f>
        <v>36.571624999999997</v>
      </c>
      <c r="E64" s="61">
        <f>(((($E$66*$E$67)/1000)*7)-$E$59)/4</f>
        <v>29.900374999999997</v>
      </c>
      <c r="F64" s="61">
        <f>(((($F$66*$F$67)/1000)*7)-$F$59)/4</f>
        <v>22.33175</v>
      </c>
      <c r="G64" s="160"/>
      <c r="H64" s="77">
        <f t="shared" si="13"/>
        <v>140.96949999999998</v>
      </c>
      <c r="I64" s="42"/>
      <c r="J64" s="42"/>
      <c r="K64" s="42"/>
      <c r="L64" s="4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101.94449999999998</v>
      </c>
      <c r="C65" s="62">
        <f>SUM(C58:C64)</f>
        <v>152.21850000000001</v>
      </c>
      <c r="D65" s="62">
        <f>SUM(D58:D64)</f>
        <v>178.28649999999999</v>
      </c>
      <c r="E65" s="62">
        <f>SUM(E58:E64)</f>
        <v>145.70149999999998</v>
      </c>
      <c r="F65" s="62">
        <f>SUM(F58:F64)</f>
        <v>108.92699999999999</v>
      </c>
      <c r="G65" s="62"/>
      <c r="H65" s="77">
        <f t="shared" si="13"/>
        <v>687.07799999999997</v>
      </c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63">
        <v>66.5</v>
      </c>
      <c r="D66" s="63">
        <v>66.5</v>
      </c>
      <c r="E66" s="63">
        <v>66.5</v>
      </c>
      <c r="F66" s="63">
        <v>66.5</v>
      </c>
      <c r="G66" s="161"/>
      <c r="H66" s="78">
        <f>+((H65/H67)/5)*1000</f>
        <v>131.12175572519084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219</v>
      </c>
      <c r="C67" s="79">
        <v>327</v>
      </c>
      <c r="D67" s="79">
        <v>383</v>
      </c>
      <c r="E67" s="79">
        <v>313</v>
      </c>
      <c r="F67" s="79">
        <v>234</v>
      </c>
      <c r="G67" s="162"/>
      <c r="H67" s="82">
        <v>1048</v>
      </c>
      <c r="M67" s="59"/>
      <c r="Q67" s="3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v>83.71</v>
      </c>
      <c r="C68" s="31">
        <f>(C67*C66)/1000</f>
        <v>21.7455</v>
      </c>
      <c r="D68" s="31">
        <f>(D67*D66)/1000</f>
        <v>25.4695</v>
      </c>
      <c r="E68" s="31">
        <f>(E67*E66)/1000</f>
        <v>20.814499999999999</v>
      </c>
      <c r="F68" s="31">
        <f>(F67*F66)/1000</f>
        <v>15.561</v>
      </c>
      <c r="G68" s="163"/>
      <c r="H68" s="86">
        <f>((H65*1000)/H67)/7</f>
        <v>93.658396946564878</v>
      </c>
      <c r="Q68" s="3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101.94450000000001</v>
      </c>
      <c r="C69" s="35">
        <f>((C67*C66)*7)/1000</f>
        <v>152.21850000000001</v>
      </c>
      <c r="D69" s="35">
        <f>((D67*D66)*7)/1000</f>
        <v>178.28649999999999</v>
      </c>
      <c r="E69" s="35">
        <f>((E67*E66)*7)/1000</f>
        <v>145.70150000000001</v>
      </c>
      <c r="F69" s="35">
        <f>((F67*F66)*7)/1000</f>
        <v>108.92700000000001</v>
      </c>
      <c r="G69" s="35"/>
      <c r="H69" s="68"/>
      <c r="I69" s="41"/>
      <c r="J69" s="41"/>
      <c r="K69" s="41"/>
      <c r="L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66.499999999999986</v>
      </c>
      <c r="C70" s="67">
        <f>+(C65/C67)/7*1000</f>
        <v>66.5</v>
      </c>
      <c r="D70" s="67">
        <f>+(D65/D67)/7*1000</f>
        <v>66.499999999999986</v>
      </c>
      <c r="E70" s="67">
        <f>+(E65/E67)/7*1000</f>
        <v>66.499999999999986</v>
      </c>
      <c r="F70" s="67">
        <f>+(F65/F67)/7*1000</f>
        <v>66.499999999999986</v>
      </c>
      <c r="G70" s="67"/>
      <c r="H70" s="87"/>
      <c r="V70" s="3"/>
    </row>
    <row r="71" spans="1:33" ht="33.75" customHeight="1" x14ac:dyDescent="0.25">
      <c r="B71" s="148"/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  <c r="M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G36"/>
    <mergeCell ref="O36:T36"/>
    <mergeCell ref="L37:M37"/>
    <mergeCell ref="M54:N54"/>
    <mergeCell ref="B55:F55"/>
    <mergeCell ref="A3:C3"/>
    <mergeCell ref="E9:G9"/>
    <mergeCell ref="V9:W9"/>
    <mergeCell ref="N11:O11"/>
    <mergeCell ref="B15:K15"/>
    <mergeCell ref="L15:Q15"/>
    <mergeCell ref="R15:W1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I239"/>
  <sheetViews>
    <sheetView workbookViewId="0"/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9.140625" style="14" customWidth="1"/>
    <col min="9" max="11" width="20.140625" style="14" customWidth="1"/>
    <col min="12" max="12" width="28.28515625" style="14" bestFit="1" customWidth="1"/>
    <col min="13" max="14" width="33.42578125" style="14" bestFit="1" customWidth="1"/>
    <col min="15" max="15" width="22.7109375" style="14" customWidth="1"/>
    <col min="16" max="18" width="21.28515625" style="14" customWidth="1"/>
    <col min="19" max="19" width="21.28515625" style="14" bestFit="1" customWidth="1"/>
    <col min="20" max="20" width="21.28515625" style="14" customWidth="1"/>
    <col min="21" max="21" width="27.85546875" style="14" customWidth="1"/>
    <col min="22" max="22" width="23.42578125" style="14" customWidth="1"/>
    <col min="23" max="23" width="21.42578125" style="14" customWidth="1"/>
    <col min="24" max="24" width="25.42578125" style="14" customWidth="1"/>
    <col min="25" max="26" width="20.7109375" style="14" customWidth="1"/>
    <col min="27" max="27" width="32.28515625" style="14" bestFit="1" customWidth="1"/>
    <col min="28" max="28" width="20.7109375" style="14" customWidth="1"/>
    <col min="29" max="29" width="22" style="14" customWidth="1"/>
    <col min="30" max="33" width="21.28515625" style="14" customWidth="1"/>
    <col min="34" max="34" width="22.28515625" style="14" customWidth="1"/>
    <col min="35" max="36" width="11.42578125" style="14"/>
    <col min="37" max="37" width="14.85546875" style="14" bestFit="1" customWidth="1"/>
    <col min="38" max="262" width="11.42578125" style="14"/>
    <col min="263" max="263" width="34.42578125" style="14" customWidth="1"/>
    <col min="264" max="265" width="19.42578125" style="14" bestFit="1" customWidth="1"/>
    <col min="266" max="266" width="19.7109375" style="14" customWidth="1"/>
    <col min="267" max="268" width="20.42578125" style="14" customWidth="1"/>
    <col min="269" max="270" width="19.7109375" style="14" customWidth="1"/>
    <col min="271" max="271" width="25.28515625" style="14" customWidth="1"/>
    <col min="272" max="272" width="26" style="14" customWidth="1"/>
    <col min="273" max="273" width="22.28515625" style="14" customWidth="1"/>
    <col min="274" max="274" width="24.85546875" style="14" customWidth="1"/>
    <col min="275" max="275" width="21.140625" style="14" customWidth="1"/>
    <col min="276" max="276" width="21.42578125" style="14" customWidth="1"/>
    <col min="277" max="277" width="27.85546875" style="14" customWidth="1"/>
    <col min="278" max="278" width="23.42578125" style="14" customWidth="1"/>
    <col min="279" max="279" width="21.42578125" style="14" customWidth="1"/>
    <col min="280" max="282" width="20.7109375" style="14" customWidth="1"/>
    <col min="283" max="283" width="32.28515625" style="14" bestFit="1" customWidth="1"/>
    <col min="284" max="284" width="20.7109375" style="14" customWidth="1"/>
    <col min="285" max="285" width="22" style="14" customWidth="1"/>
    <col min="286" max="289" width="21.28515625" style="14" customWidth="1"/>
    <col min="290" max="290" width="22.28515625" style="14" customWidth="1"/>
    <col min="291" max="292" width="11.42578125" style="14"/>
    <col min="293" max="293" width="14.85546875" style="14" bestFit="1" customWidth="1"/>
    <col min="294" max="518" width="11.42578125" style="14"/>
    <col min="519" max="519" width="34.42578125" style="14" customWidth="1"/>
    <col min="520" max="521" width="19.42578125" style="14" bestFit="1" customWidth="1"/>
    <col min="522" max="522" width="19.7109375" style="14" customWidth="1"/>
    <col min="523" max="524" width="20.42578125" style="14" customWidth="1"/>
    <col min="525" max="526" width="19.7109375" style="14" customWidth="1"/>
    <col min="527" max="527" width="25.28515625" style="14" customWidth="1"/>
    <col min="528" max="528" width="26" style="14" customWidth="1"/>
    <col min="529" max="529" width="22.28515625" style="14" customWidth="1"/>
    <col min="530" max="530" width="24.85546875" style="14" customWidth="1"/>
    <col min="531" max="531" width="21.140625" style="14" customWidth="1"/>
    <col min="532" max="532" width="21.42578125" style="14" customWidth="1"/>
    <col min="533" max="533" width="27.85546875" style="14" customWidth="1"/>
    <col min="534" max="534" width="23.42578125" style="14" customWidth="1"/>
    <col min="535" max="535" width="21.42578125" style="14" customWidth="1"/>
    <col min="536" max="538" width="20.7109375" style="14" customWidth="1"/>
    <col min="539" max="539" width="32.28515625" style="14" bestFit="1" customWidth="1"/>
    <col min="540" max="540" width="20.7109375" style="14" customWidth="1"/>
    <col min="541" max="541" width="22" style="14" customWidth="1"/>
    <col min="542" max="545" width="21.28515625" style="14" customWidth="1"/>
    <col min="546" max="546" width="22.28515625" style="14" customWidth="1"/>
    <col min="547" max="548" width="11.42578125" style="14"/>
    <col min="549" max="549" width="14.85546875" style="14" bestFit="1" customWidth="1"/>
    <col min="550" max="774" width="11.42578125" style="14"/>
    <col min="775" max="775" width="34.42578125" style="14" customWidth="1"/>
    <col min="776" max="777" width="19.42578125" style="14" bestFit="1" customWidth="1"/>
    <col min="778" max="778" width="19.7109375" style="14" customWidth="1"/>
    <col min="779" max="780" width="20.42578125" style="14" customWidth="1"/>
    <col min="781" max="782" width="19.7109375" style="14" customWidth="1"/>
    <col min="783" max="783" width="25.28515625" style="14" customWidth="1"/>
    <col min="784" max="784" width="26" style="14" customWidth="1"/>
    <col min="785" max="785" width="22.28515625" style="14" customWidth="1"/>
    <col min="786" max="786" width="24.85546875" style="14" customWidth="1"/>
    <col min="787" max="787" width="21.140625" style="14" customWidth="1"/>
    <col min="788" max="788" width="21.42578125" style="14" customWidth="1"/>
    <col min="789" max="789" width="27.85546875" style="14" customWidth="1"/>
    <col min="790" max="790" width="23.42578125" style="14" customWidth="1"/>
    <col min="791" max="791" width="21.42578125" style="14" customWidth="1"/>
    <col min="792" max="794" width="20.7109375" style="14" customWidth="1"/>
    <col min="795" max="795" width="32.28515625" style="14" bestFit="1" customWidth="1"/>
    <col min="796" max="796" width="20.7109375" style="14" customWidth="1"/>
    <col min="797" max="797" width="22" style="14" customWidth="1"/>
    <col min="798" max="801" width="21.28515625" style="14" customWidth="1"/>
    <col min="802" max="802" width="22.28515625" style="14" customWidth="1"/>
    <col min="803" max="804" width="11.42578125" style="14"/>
    <col min="805" max="805" width="14.85546875" style="14" bestFit="1" customWidth="1"/>
    <col min="806" max="1030" width="11.42578125" style="14"/>
    <col min="1031" max="1031" width="34.42578125" style="14" customWidth="1"/>
    <col min="1032" max="1033" width="19.42578125" style="14" bestFit="1" customWidth="1"/>
    <col min="1034" max="1034" width="19.7109375" style="14" customWidth="1"/>
    <col min="1035" max="1036" width="20.42578125" style="14" customWidth="1"/>
    <col min="1037" max="1038" width="19.7109375" style="14" customWidth="1"/>
    <col min="1039" max="1039" width="25.28515625" style="14" customWidth="1"/>
    <col min="1040" max="1040" width="26" style="14" customWidth="1"/>
    <col min="1041" max="1041" width="22.28515625" style="14" customWidth="1"/>
    <col min="1042" max="1042" width="24.85546875" style="14" customWidth="1"/>
    <col min="1043" max="1043" width="21.140625" style="14" customWidth="1"/>
    <col min="1044" max="1044" width="21.42578125" style="14" customWidth="1"/>
    <col min="1045" max="1045" width="27.85546875" style="14" customWidth="1"/>
    <col min="1046" max="1046" width="23.42578125" style="14" customWidth="1"/>
    <col min="1047" max="1047" width="21.42578125" style="14" customWidth="1"/>
    <col min="1048" max="1050" width="20.7109375" style="14" customWidth="1"/>
    <col min="1051" max="1051" width="32.28515625" style="14" bestFit="1" customWidth="1"/>
    <col min="1052" max="1052" width="20.7109375" style="14" customWidth="1"/>
    <col min="1053" max="1053" width="22" style="14" customWidth="1"/>
    <col min="1054" max="1057" width="21.28515625" style="14" customWidth="1"/>
    <col min="1058" max="1058" width="22.28515625" style="14" customWidth="1"/>
    <col min="1059" max="1060" width="11.42578125" style="14"/>
    <col min="1061" max="1061" width="14.85546875" style="14" bestFit="1" customWidth="1"/>
    <col min="1062" max="1286" width="11.42578125" style="14"/>
    <col min="1287" max="1287" width="34.42578125" style="14" customWidth="1"/>
    <col min="1288" max="1289" width="19.42578125" style="14" bestFit="1" customWidth="1"/>
    <col min="1290" max="1290" width="19.7109375" style="14" customWidth="1"/>
    <col min="1291" max="1292" width="20.42578125" style="14" customWidth="1"/>
    <col min="1293" max="1294" width="19.7109375" style="14" customWidth="1"/>
    <col min="1295" max="1295" width="25.28515625" style="14" customWidth="1"/>
    <col min="1296" max="1296" width="26" style="14" customWidth="1"/>
    <col min="1297" max="1297" width="22.28515625" style="14" customWidth="1"/>
    <col min="1298" max="1298" width="24.85546875" style="14" customWidth="1"/>
    <col min="1299" max="1299" width="21.140625" style="14" customWidth="1"/>
    <col min="1300" max="1300" width="21.42578125" style="14" customWidth="1"/>
    <col min="1301" max="1301" width="27.85546875" style="14" customWidth="1"/>
    <col min="1302" max="1302" width="23.42578125" style="14" customWidth="1"/>
    <col min="1303" max="1303" width="21.42578125" style="14" customWidth="1"/>
    <col min="1304" max="1306" width="20.7109375" style="14" customWidth="1"/>
    <col min="1307" max="1307" width="32.28515625" style="14" bestFit="1" customWidth="1"/>
    <col min="1308" max="1308" width="20.7109375" style="14" customWidth="1"/>
    <col min="1309" max="1309" width="22" style="14" customWidth="1"/>
    <col min="1310" max="1313" width="21.28515625" style="14" customWidth="1"/>
    <col min="1314" max="1314" width="22.28515625" style="14" customWidth="1"/>
    <col min="1315" max="1316" width="11.42578125" style="14"/>
    <col min="1317" max="1317" width="14.85546875" style="14" bestFit="1" customWidth="1"/>
    <col min="1318" max="1542" width="11.42578125" style="14"/>
    <col min="1543" max="1543" width="34.42578125" style="14" customWidth="1"/>
    <col min="1544" max="1545" width="19.42578125" style="14" bestFit="1" customWidth="1"/>
    <col min="1546" max="1546" width="19.7109375" style="14" customWidth="1"/>
    <col min="1547" max="1548" width="20.42578125" style="14" customWidth="1"/>
    <col min="1549" max="1550" width="19.7109375" style="14" customWidth="1"/>
    <col min="1551" max="1551" width="25.28515625" style="14" customWidth="1"/>
    <col min="1552" max="1552" width="26" style="14" customWidth="1"/>
    <col min="1553" max="1553" width="22.28515625" style="14" customWidth="1"/>
    <col min="1554" max="1554" width="24.85546875" style="14" customWidth="1"/>
    <col min="1555" max="1555" width="21.140625" style="14" customWidth="1"/>
    <col min="1556" max="1556" width="21.42578125" style="14" customWidth="1"/>
    <col min="1557" max="1557" width="27.85546875" style="14" customWidth="1"/>
    <col min="1558" max="1558" width="23.42578125" style="14" customWidth="1"/>
    <col min="1559" max="1559" width="21.42578125" style="14" customWidth="1"/>
    <col min="1560" max="1562" width="20.7109375" style="14" customWidth="1"/>
    <col min="1563" max="1563" width="32.28515625" style="14" bestFit="1" customWidth="1"/>
    <col min="1564" max="1564" width="20.7109375" style="14" customWidth="1"/>
    <col min="1565" max="1565" width="22" style="14" customWidth="1"/>
    <col min="1566" max="1569" width="21.28515625" style="14" customWidth="1"/>
    <col min="1570" max="1570" width="22.28515625" style="14" customWidth="1"/>
    <col min="1571" max="1572" width="11.42578125" style="14"/>
    <col min="1573" max="1573" width="14.85546875" style="14" bestFit="1" customWidth="1"/>
    <col min="1574" max="1798" width="11.42578125" style="14"/>
    <col min="1799" max="1799" width="34.42578125" style="14" customWidth="1"/>
    <col min="1800" max="1801" width="19.42578125" style="14" bestFit="1" customWidth="1"/>
    <col min="1802" max="1802" width="19.7109375" style="14" customWidth="1"/>
    <col min="1803" max="1804" width="20.42578125" style="14" customWidth="1"/>
    <col min="1805" max="1806" width="19.7109375" style="14" customWidth="1"/>
    <col min="1807" max="1807" width="25.28515625" style="14" customWidth="1"/>
    <col min="1808" max="1808" width="26" style="14" customWidth="1"/>
    <col min="1809" max="1809" width="22.28515625" style="14" customWidth="1"/>
    <col min="1810" max="1810" width="24.85546875" style="14" customWidth="1"/>
    <col min="1811" max="1811" width="21.140625" style="14" customWidth="1"/>
    <col min="1812" max="1812" width="21.42578125" style="14" customWidth="1"/>
    <col min="1813" max="1813" width="27.85546875" style="14" customWidth="1"/>
    <col min="1814" max="1814" width="23.42578125" style="14" customWidth="1"/>
    <col min="1815" max="1815" width="21.42578125" style="14" customWidth="1"/>
    <col min="1816" max="1818" width="20.7109375" style="14" customWidth="1"/>
    <col min="1819" max="1819" width="32.28515625" style="14" bestFit="1" customWidth="1"/>
    <col min="1820" max="1820" width="20.7109375" style="14" customWidth="1"/>
    <col min="1821" max="1821" width="22" style="14" customWidth="1"/>
    <col min="1822" max="1825" width="21.28515625" style="14" customWidth="1"/>
    <col min="1826" max="1826" width="22.28515625" style="14" customWidth="1"/>
    <col min="1827" max="1828" width="11.42578125" style="14"/>
    <col min="1829" max="1829" width="14.85546875" style="14" bestFit="1" customWidth="1"/>
    <col min="1830" max="2054" width="11.42578125" style="14"/>
    <col min="2055" max="2055" width="34.42578125" style="14" customWidth="1"/>
    <col min="2056" max="2057" width="19.42578125" style="14" bestFit="1" customWidth="1"/>
    <col min="2058" max="2058" width="19.7109375" style="14" customWidth="1"/>
    <col min="2059" max="2060" width="20.42578125" style="14" customWidth="1"/>
    <col min="2061" max="2062" width="19.7109375" style="14" customWidth="1"/>
    <col min="2063" max="2063" width="25.28515625" style="14" customWidth="1"/>
    <col min="2064" max="2064" width="26" style="14" customWidth="1"/>
    <col min="2065" max="2065" width="22.28515625" style="14" customWidth="1"/>
    <col min="2066" max="2066" width="24.85546875" style="14" customWidth="1"/>
    <col min="2067" max="2067" width="21.140625" style="14" customWidth="1"/>
    <col min="2068" max="2068" width="21.42578125" style="14" customWidth="1"/>
    <col min="2069" max="2069" width="27.85546875" style="14" customWidth="1"/>
    <col min="2070" max="2070" width="23.42578125" style="14" customWidth="1"/>
    <col min="2071" max="2071" width="21.42578125" style="14" customWidth="1"/>
    <col min="2072" max="2074" width="20.7109375" style="14" customWidth="1"/>
    <col min="2075" max="2075" width="32.28515625" style="14" bestFit="1" customWidth="1"/>
    <col min="2076" max="2076" width="20.7109375" style="14" customWidth="1"/>
    <col min="2077" max="2077" width="22" style="14" customWidth="1"/>
    <col min="2078" max="2081" width="21.28515625" style="14" customWidth="1"/>
    <col min="2082" max="2082" width="22.28515625" style="14" customWidth="1"/>
    <col min="2083" max="2084" width="11.42578125" style="14"/>
    <col min="2085" max="2085" width="14.85546875" style="14" bestFit="1" customWidth="1"/>
    <col min="2086" max="2310" width="11.42578125" style="14"/>
    <col min="2311" max="2311" width="34.42578125" style="14" customWidth="1"/>
    <col min="2312" max="2313" width="19.42578125" style="14" bestFit="1" customWidth="1"/>
    <col min="2314" max="2314" width="19.7109375" style="14" customWidth="1"/>
    <col min="2315" max="2316" width="20.42578125" style="14" customWidth="1"/>
    <col min="2317" max="2318" width="19.7109375" style="14" customWidth="1"/>
    <col min="2319" max="2319" width="25.28515625" style="14" customWidth="1"/>
    <col min="2320" max="2320" width="26" style="14" customWidth="1"/>
    <col min="2321" max="2321" width="22.28515625" style="14" customWidth="1"/>
    <col min="2322" max="2322" width="24.85546875" style="14" customWidth="1"/>
    <col min="2323" max="2323" width="21.140625" style="14" customWidth="1"/>
    <col min="2324" max="2324" width="21.42578125" style="14" customWidth="1"/>
    <col min="2325" max="2325" width="27.85546875" style="14" customWidth="1"/>
    <col min="2326" max="2326" width="23.42578125" style="14" customWidth="1"/>
    <col min="2327" max="2327" width="21.42578125" style="14" customWidth="1"/>
    <col min="2328" max="2330" width="20.7109375" style="14" customWidth="1"/>
    <col min="2331" max="2331" width="32.28515625" style="14" bestFit="1" customWidth="1"/>
    <col min="2332" max="2332" width="20.7109375" style="14" customWidth="1"/>
    <col min="2333" max="2333" width="22" style="14" customWidth="1"/>
    <col min="2334" max="2337" width="21.28515625" style="14" customWidth="1"/>
    <col min="2338" max="2338" width="22.28515625" style="14" customWidth="1"/>
    <col min="2339" max="2340" width="11.42578125" style="14"/>
    <col min="2341" max="2341" width="14.85546875" style="14" bestFit="1" customWidth="1"/>
    <col min="2342" max="2566" width="11.42578125" style="14"/>
    <col min="2567" max="2567" width="34.42578125" style="14" customWidth="1"/>
    <col min="2568" max="2569" width="19.42578125" style="14" bestFit="1" customWidth="1"/>
    <col min="2570" max="2570" width="19.7109375" style="14" customWidth="1"/>
    <col min="2571" max="2572" width="20.42578125" style="14" customWidth="1"/>
    <col min="2573" max="2574" width="19.7109375" style="14" customWidth="1"/>
    <col min="2575" max="2575" width="25.28515625" style="14" customWidth="1"/>
    <col min="2576" max="2576" width="26" style="14" customWidth="1"/>
    <col min="2577" max="2577" width="22.28515625" style="14" customWidth="1"/>
    <col min="2578" max="2578" width="24.85546875" style="14" customWidth="1"/>
    <col min="2579" max="2579" width="21.140625" style="14" customWidth="1"/>
    <col min="2580" max="2580" width="21.42578125" style="14" customWidth="1"/>
    <col min="2581" max="2581" width="27.85546875" style="14" customWidth="1"/>
    <col min="2582" max="2582" width="23.42578125" style="14" customWidth="1"/>
    <col min="2583" max="2583" width="21.42578125" style="14" customWidth="1"/>
    <col min="2584" max="2586" width="20.7109375" style="14" customWidth="1"/>
    <col min="2587" max="2587" width="32.28515625" style="14" bestFit="1" customWidth="1"/>
    <col min="2588" max="2588" width="20.7109375" style="14" customWidth="1"/>
    <col min="2589" max="2589" width="22" style="14" customWidth="1"/>
    <col min="2590" max="2593" width="21.28515625" style="14" customWidth="1"/>
    <col min="2594" max="2594" width="22.28515625" style="14" customWidth="1"/>
    <col min="2595" max="2596" width="11.42578125" style="14"/>
    <col min="2597" max="2597" width="14.85546875" style="14" bestFit="1" customWidth="1"/>
    <col min="2598" max="2822" width="11.42578125" style="14"/>
    <col min="2823" max="2823" width="34.42578125" style="14" customWidth="1"/>
    <col min="2824" max="2825" width="19.42578125" style="14" bestFit="1" customWidth="1"/>
    <col min="2826" max="2826" width="19.7109375" style="14" customWidth="1"/>
    <col min="2827" max="2828" width="20.42578125" style="14" customWidth="1"/>
    <col min="2829" max="2830" width="19.7109375" style="14" customWidth="1"/>
    <col min="2831" max="2831" width="25.28515625" style="14" customWidth="1"/>
    <col min="2832" max="2832" width="26" style="14" customWidth="1"/>
    <col min="2833" max="2833" width="22.28515625" style="14" customWidth="1"/>
    <col min="2834" max="2834" width="24.85546875" style="14" customWidth="1"/>
    <col min="2835" max="2835" width="21.140625" style="14" customWidth="1"/>
    <col min="2836" max="2836" width="21.42578125" style="14" customWidth="1"/>
    <col min="2837" max="2837" width="27.85546875" style="14" customWidth="1"/>
    <col min="2838" max="2838" width="23.42578125" style="14" customWidth="1"/>
    <col min="2839" max="2839" width="21.42578125" style="14" customWidth="1"/>
    <col min="2840" max="2842" width="20.7109375" style="14" customWidth="1"/>
    <col min="2843" max="2843" width="32.28515625" style="14" bestFit="1" customWidth="1"/>
    <col min="2844" max="2844" width="20.7109375" style="14" customWidth="1"/>
    <col min="2845" max="2845" width="22" style="14" customWidth="1"/>
    <col min="2846" max="2849" width="21.28515625" style="14" customWidth="1"/>
    <col min="2850" max="2850" width="22.28515625" style="14" customWidth="1"/>
    <col min="2851" max="2852" width="11.42578125" style="14"/>
    <col min="2853" max="2853" width="14.85546875" style="14" bestFit="1" customWidth="1"/>
    <col min="2854" max="3078" width="11.42578125" style="14"/>
    <col min="3079" max="3079" width="34.42578125" style="14" customWidth="1"/>
    <col min="3080" max="3081" width="19.42578125" style="14" bestFit="1" customWidth="1"/>
    <col min="3082" max="3082" width="19.7109375" style="14" customWidth="1"/>
    <col min="3083" max="3084" width="20.42578125" style="14" customWidth="1"/>
    <col min="3085" max="3086" width="19.7109375" style="14" customWidth="1"/>
    <col min="3087" max="3087" width="25.28515625" style="14" customWidth="1"/>
    <col min="3088" max="3088" width="26" style="14" customWidth="1"/>
    <col min="3089" max="3089" width="22.28515625" style="14" customWidth="1"/>
    <col min="3090" max="3090" width="24.85546875" style="14" customWidth="1"/>
    <col min="3091" max="3091" width="21.140625" style="14" customWidth="1"/>
    <col min="3092" max="3092" width="21.42578125" style="14" customWidth="1"/>
    <col min="3093" max="3093" width="27.85546875" style="14" customWidth="1"/>
    <col min="3094" max="3094" width="23.42578125" style="14" customWidth="1"/>
    <col min="3095" max="3095" width="21.42578125" style="14" customWidth="1"/>
    <col min="3096" max="3098" width="20.7109375" style="14" customWidth="1"/>
    <col min="3099" max="3099" width="32.28515625" style="14" bestFit="1" customWidth="1"/>
    <col min="3100" max="3100" width="20.7109375" style="14" customWidth="1"/>
    <col min="3101" max="3101" width="22" style="14" customWidth="1"/>
    <col min="3102" max="3105" width="21.28515625" style="14" customWidth="1"/>
    <col min="3106" max="3106" width="22.28515625" style="14" customWidth="1"/>
    <col min="3107" max="3108" width="11.42578125" style="14"/>
    <col min="3109" max="3109" width="14.85546875" style="14" bestFit="1" customWidth="1"/>
    <col min="3110" max="3334" width="11.42578125" style="14"/>
    <col min="3335" max="3335" width="34.42578125" style="14" customWidth="1"/>
    <col min="3336" max="3337" width="19.42578125" style="14" bestFit="1" customWidth="1"/>
    <col min="3338" max="3338" width="19.7109375" style="14" customWidth="1"/>
    <col min="3339" max="3340" width="20.42578125" style="14" customWidth="1"/>
    <col min="3341" max="3342" width="19.7109375" style="14" customWidth="1"/>
    <col min="3343" max="3343" width="25.28515625" style="14" customWidth="1"/>
    <col min="3344" max="3344" width="26" style="14" customWidth="1"/>
    <col min="3345" max="3345" width="22.28515625" style="14" customWidth="1"/>
    <col min="3346" max="3346" width="24.85546875" style="14" customWidth="1"/>
    <col min="3347" max="3347" width="21.140625" style="14" customWidth="1"/>
    <col min="3348" max="3348" width="21.42578125" style="14" customWidth="1"/>
    <col min="3349" max="3349" width="27.85546875" style="14" customWidth="1"/>
    <col min="3350" max="3350" width="23.42578125" style="14" customWidth="1"/>
    <col min="3351" max="3351" width="21.42578125" style="14" customWidth="1"/>
    <col min="3352" max="3354" width="20.7109375" style="14" customWidth="1"/>
    <col min="3355" max="3355" width="32.28515625" style="14" bestFit="1" customWidth="1"/>
    <col min="3356" max="3356" width="20.7109375" style="14" customWidth="1"/>
    <col min="3357" max="3357" width="22" style="14" customWidth="1"/>
    <col min="3358" max="3361" width="21.28515625" style="14" customWidth="1"/>
    <col min="3362" max="3362" width="22.28515625" style="14" customWidth="1"/>
    <col min="3363" max="3364" width="11.42578125" style="14"/>
    <col min="3365" max="3365" width="14.85546875" style="14" bestFit="1" customWidth="1"/>
    <col min="3366" max="3590" width="11.42578125" style="14"/>
    <col min="3591" max="3591" width="34.42578125" style="14" customWidth="1"/>
    <col min="3592" max="3593" width="19.42578125" style="14" bestFit="1" customWidth="1"/>
    <col min="3594" max="3594" width="19.7109375" style="14" customWidth="1"/>
    <col min="3595" max="3596" width="20.42578125" style="14" customWidth="1"/>
    <col min="3597" max="3598" width="19.7109375" style="14" customWidth="1"/>
    <col min="3599" max="3599" width="25.28515625" style="14" customWidth="1"/>
    <col min="3600" max="3600" width="26" style="14" customWidth="1"/>
    <col min="3601" max="3601" width="22.28515625" style="14" customWidth="1"/>
    <col min="3602" max="3602" width="24.85546875" style="14" customWidth="1"/>
    <col min="3603" max="3603" width="21.140625" style="14" customWidth="1"/>
    <col min="3604" max="3604" width="21.42578125" style="14" customWidth="1"/>
    <col min="3605" max="3605" width="27.85546875" style="14" customWidth="1"/>
    <col min="3606" max="3606" width="23.42578125" style="14" customWidth="1"/>
    <col min="3607" max="3607" width="21.42578125" style="14" customWidth="1"/>
    <col min="3608" max="3610" width="20.7109375" style="14" customWidth="1"/>
    <col min="3611" max="3611" width="32.28515625" style="14" bestFit="1" customWidth="1"/>
    <col min="3612" max="3612" width="20.7109375" style="14" customWidth="1"/>
    <col min="3613" max="3613" width="22" style="14" customWidth="1"/>
    <col min="3614" max="3617" width="21.28515625" style="14" customWidth="1"/>
    <col min="3618" max="3618" width="22.28515625" style="14" customWidth="1"/>
    <col min="3619" max="3620" width="11.42578125" style="14"/>
    <col min="3621" max="3621" width="14.85546875" style="14" bestFit="1" customWidth="1"/>
    <col min="3622" max="3846" width="11.42578125" style="14"/>
    <col min="3847" max="3847" width="34.42578125" style="14" customWidth="1"/>
    <col min="3848" max="3849" width="19.42578125" style="14" bestFit="1" customWidth="1"/>
    <col min="3850" max="3850" width="19.7109375" style="14" customWidth="1"/>
    <col min="3851" max="3852" width="20.42578125" style="14" customWidth="1"/>
    <col min="3853" max="3854" width="19.7109375" style="14" customWidth="1"/>
    <col min="3855" max="3855" width="25.28515625" style="14" customWidth="1"/>
    <col min="3856" max="3856" width="26" style="14" customWidth="1"/>
    <col min="3857" max="3857" width="22.28515625" style="14" customWidth="1"/>
    <col min="3858" max="3858" width="24.85546875" style="14" customWidth="1"/>
    <col min="3859" max="3859" width="21.140625" style="14" customWidth="1"/>
    <col min="3860" max="3860" width="21.42578125" style="14" customWidth="1"/>
    <col min="3861" max="3861" width="27.85546875" style="14" customWidth="1"/>
    <col min="3862" max="3862" width="23.42578125" style="14" customWidth="1"/>
    <col min="3863" max="3863" width="21.42578125" style="14" customWidth="1"/>
    <col min="3864" max="3866" width="20.7109375" style="14" customWidth="1"/>
    <col min="3867" max="3867" width="32.28515625" style="14" bestFit="1" customWidth="1"/>
    <col min="3868" max="3868" width="20.7109375" style="14" customWidth="1"/>
    <col min="3869" max="3869" width="22" style="14" customWidth="1"/>
    <col min="3870" max="3873" width="21.28515625" style="14" customWidth="1"/>
    <col min="3874" max="3874" width="22.28515625" style="14" customWidth="1"/>
    <col min="3875" max="3876" width="11.42578125" style="14"/>
    <col min="3877" max="3877" width="14.85546875" style="14" bestFit="1" customWidth="1"/>
    <col min="3878" max="4102" width="11.42578125" style="14"/>
    <col min="4103" max="4103" width="34.42578125" style="14" customWidth="1"/>
    <col min="4104" max="4105" width="19.42578125" style="14" bestFit="1" customWidth="1"/>
    <col min="4106" max="4106" width="19.7109375" style="14" customWidth="1"/>
    <col min="4107" max="4108" width="20.42578125" style="14" customWidth="1"/>
    <col min="4109" max="4110" width="19.7109375" style="14" customWidth="1"/>
    <col min="4111" max="4111" width="25.28515625" style="14" customWidth="1"/>
    <col min="4112" max="4112" width="26" style="14" customWidth="1"/>
    <col min="4113" max="4113" width="22.28515625" style="14" customWidth="1"/>
    <col min="4114" max="4114" width="24.85546875" style="14" customWidth="1"/>
    <col min="4115" max="4115" width="21.140625" style="14" customWidth="1"/>
    <col min="4116" max="4116" width="21.42578125" style="14" customWidth="1"/>
    <col min="4117" max="4117" width="27.85546875" style="14" customWidth="1"/>
    <col min="4118" max="4118" width="23.42578125" style="14" customWidth="1"/>
    <col min="4119" max="4119" width="21.42578125" style="14" customWidth="1"/>
    <col min="4120" max="4122" width="20.7109375" style="14" customWidth="1"/>
    <col min="4123" max="4123" width="32.28515625" style="14" bestFit="1" customWidth="1"/>
    <col min="4124" max="4124" width="20.7109375" style="14" customWidth="1"/>
    <col min="4125" max="4125" width="22" style="14" customWidth="1"/>
    <col min="4126" max="4129" width="21.28515625" style="14" customWidth="1"/>
    <col min="4130" max="4130" width="22.28515625" style="14" customWidth="1"/>
    <col min="4131" max="4132" width="11.42578125" style="14"/>
    <col min="4133" max="4133" width="14.85546875" style="14" bestFit="1" customWidth="1"/>
    <col min="4134" max="4358" width="11.42578125" style="14"/>
    <col min="4359" max="4359" width="34.42578125" style="14" customWidth="1"/>
    <col min="4360" max="4361" width="19.42578125" style="14" bestFit="1" customWidth="1"/>
    <col min="4362" max="4362" width="19.7109375" style="14" customWidth="1"/>
    <col min="4363" max="4364" width="20.42578125" style="14" customWidth="1"/>
    <col min="4365" max="4366" width="19.7109375" style="14" customWidth="1"/>
    <col min="4367" max="4367" width="25.28515625" style="14" customWidth="1"/>
    <col min="4368" max="4368" width="26" style="14" customWidth="1"/>
    <col min="4369" max="4369" width="22.28515625" style="14" customWidth="1"/>
    <col min="4370" max="4370" width="24.85546875" style="14" customWidth="1"/>
    <col min="4371" max="4371" width="21.140625" style="14" customWidth="1"/>
    <col min="4372" max="4372" width="21.42578125" style="14" customWidth="1"/>
    <col min="4373" max="4373" width="27.85546875" style="14" customWidth="1"/>
    <col min="4374" max="4374" width="23.42578125" style="14" customWidth="1"/>
    <col min="4375" max="4375" width="21.42578125" style="14" customWidth="1"/>
    <col min="4376" max="4378" width="20.7109375" style="14" customWidth="1"/>
    <col min="4379" max="4379" width="32.28515625" style="14" bestFit="1" customWidth="1"/>
    <col min="4380" max="4380" width="20.7109375" style="14" customWidth="1"/>
    <col min="4381" max="4381" width="22" style="14" customWidth="1"/>
    <col min="4382" max="4385" width="21.28515625" style="14" customWidth="1"/>
    <col min="4386" max="4386" width="22.28515625" style="14" customWidth="1"/>
    <col min="4387" max="4388" width="11.42578125" style="14"/>
    <col min="4389" max="4389" width="14.85546875" style="14" bestFit="1" customWidth="1"/>
    <col min="4390" max="4614" width="11.42578125" style="14"/>
    <col min="4615" max="4615" width="34.42578125" style="14" customWidth="1"/>
    <col min="4616" max="4617" width="19.42578125" style="14" bestFit="1" customWidth="1"/>
    <col min="4618" max="4618" width="19.7109375" style="14" customWidth="1"/>
    <col min="4619" max="4620" width="20.42578125" style="14" customWidth="1"/>
    <col min="4621" max="4622" width="19.7109375" style="14" customWidth="1"/>
    <col min="4623" max="4623" width="25.28515625" style="14" customWidth="1"/>
    <col min="4624" max="4624" width="26" style="14" customWidth="1"/>
    <col min="4625" max="4625" width="22.28515625" style="14" customWidth="1"/>
    <col min="4626" max="4626" width="24.85546875" style="14" customWidth="1"/>
    <col min="4627" max="4627" width="21.140625" style="14" customWidth="1"/>
    <col min="4628" max="4628" width="21.42578125" style="14" customWidth="1"/>
    <col min="4629" max="4629" width="27.85546875" style="14" customWidth="1"/>
    <col min="4630" max="4630" width="23.42578125" style="14" customWidth="1"/>
    <col min="4631" max="4631" width="21.42578125" style="14" customWidth="1"/>
    <col min="4632" max="4634" width="20.7109375" style="14" customWidth="1"/>
    <col min="4635" max="4635" width="32.28515625" style="14" bestFit="1" customWidth="1"/>
    <col min="4636" max="4636" width="20.7109375" style="14" customWidth="1"/>
    <col min="4637" max="4637" width="22" style="14" customWidth="1"/>
    <col min="4638" max="4641" width="21.28515625" style="14" customWidth="1"/>
    <col min="4642" max="4642" width="22.28515625" style="14" customWidth="1"/>
    <col min="4643" max="4644" width="11.42578125" style="14"/>
    <col min="4645" max="4645" width="14.85546875" style="14" bestFit="1" customWidth="1"/>
    <col min="4646" max="4870" width="11.42578125" style="14"/>
    <col min="4871" max="4871" width="34.42578125" style="14" customWidth="1"/>
    <col min="4872" max="4873" width="19.42578125" style="14" bestFit="1" customWidth="1"/>
    <col min="4874" max="4874" width="19.7109375" style="14" customWidth="1"/>
    <col min="4875" max="4876" width="20.42578125" style="14" customWidth="1"/>
    <col min="4877" max="4878" width="19.7109375" style="14" customWidth="1"/>
    <col min="4879" max="4879" width="25.28515625" style="14" customWidth="1"/>
    <col min="4880" max="4880" width="26" style="14" customWidth="1"/>
    <col min="4881" max="4881" width="22.28515625" style="14" customWidth="1"/>
    <col min="4882" max="4882" width="24.85546875" style="14" customWidth="1"/>
    <col min="4883" max="4883" width="21.140625" style="14" customWidth="1"/>
    <col min="4884" max="4884" width="21.42578125" style="14" customWidth="1"/>
    <col min="4885" max="4885" width="27.85546875" style="14" customWidth="1"/>
    <col min="4886" max="4886" width="23.42578125" style="14" customWidth="1"/>
    <col min="4887" max="4887" width="21.42578125" style="14" customWidth="1"/>
    <col min="4888" max="4890" width="20.7109375" style="14" customWidth="1"/>
    <col min="4891" max="4891" width="32.28515625" style="14" bestFit="1" customWidth="1"/>
    <col min="4892" max="4892" width="20.7109375" style="14" customWidth="1"/>
    <col min="4893" max="4893" width="22" style="14" customWidth="1"/>
    <col min="4894" max="4897" width="21.28515625" style="14" customWidth="1"/>
    <col min="4898" max="4898" width="22.28515625" style="14" customWidth="1"/>
    <col min="4899" max="4900" width="11.42578125" style="14"/>
    <col min="4901" max="4901" width="14.85546875" style="14" bestFit="1" customWidth="1"/>
    <col min="4902" max="5126" width="11.42578125" style="14"/>
    <col min="5127" max="5127" width="34.42578125" style="14" customWidth="1"/>
    <col min="5128" max="5129" width="19.42578125" style="14" bestFit="1" customWidth="1"/>
    <col min="5130" max="5130" width="19.7109375" style="14" customWidth="1"/>
    <col min="5131" max="5132" width="20.42578125" style="14" customWidth="1"/>
    <col min="5133" max="5134" width="19.7109375" style="14" customWidth="1"/>
    <col min="5135" max="5135" width="25.28515625" style="14" customWidth="1"/>
    <col min="5136" max="5136" width="26" style="14" customWidth="1"/>
    <col min="5137" max="5137" width="22.28515625" style="14" customWidth="1"/>
    <col min="5138" max="5138" width="24.85546875" style="14" customWidth="1"/>
    <col min="5139" max="5139" width="21.140625" style="14" customWidth="1"/>
    <col min="5140" max="5140" width="21.42578125" style="14" customWidth="1"/>
    <col min="5141" max="5141" width="27.85546875" style="14" customWidth="1"/>
    <col min="5142" max="5142" width="23.42578125" style="14" customWidth="1"/>
    <col min="5143" max="5143" width="21.42578125" style="14" customWidth="1"/>
    <col min="5144" max="5146" width="20.7109375" style="14" customWidth="1"/>
    <col min="5147" max="5147" width="32.28515625" style="14" bestFit="1" customWidth="1"/>
    <col min="5148" max="5148" width="20.7109375" style="14" customWidth="1"/>
    <col min="5149" max="5149" width="22" style="14" customWidth="1"/>
    <col min="5150" max="5153" width="21.28515625" style="14" customWidth="1"/>
    <col min="5154" max="5154" width="22.28515625" style="14" customWidth="1"/>
    <col min="5155" max="5156" width="11.42578125" style="14"/>
    <col min="5157" max="5157" width="14.85546875" style="14" bestFit="1" customWidth="1"/>
    <col min="5158" max="5382" width="11.42578125" style="14"/>
    <col min="5383" max="5383" width="34.42578125" style="14" customWidth="1"/>
    <col min="5384" max="5385" width="19.42578125" style="14" bestFit="1" customWidth="1"/>
    <col min="5386" max="5386" width="19.7109375" style="14" customWidth="1"/>
    <col min="5387" max="5388" width="20.42578125" style="14" customWidth="1"/>
    <col min="5389" max="5390" width="19.7109375" style="14" customWidth="1"/>
    <col min="5391" max="5391" width="25.28515625" style="14" customWidth="1"/>
    <col min="5392" max="5392" width="26" style="14" customWidth="1"/>
    <col min="5393" max="5393" width="22.28515625" style="14" customWidth="1"/>
    <col min="5394" max="5394" width="24.85546875" style="14" customWidth="1"/>
    <col min="5395" max="5395" width="21.140625" style="14" customWidth="1"/>
    <col min="5396" max="5396" width="21.42578125" style="14" customWidth="1"/>
    <col min="5397" max="5397" width="27.85546875" style="14" customWidth="1"/>
    <col min="5398" max="5398" width="23.42578125" style="14" customWidth="1"/>
    <col min="5399" max="5399" width="21.42578125" style="14" customWidth="1"/>
    <col min="5400" max="5402" width="20.7109375" style="14" customWidth="1"/>
    <col min="5403" max="5403" width="32.28515625" style="14" bestFit="1" customWidth="1"/>
    <col min="5404" max="5404" width="20.7109375" style="14" customWidth="1"/>
    <col min="5405" max="5405" width="22" style="14" customWidth="1"/>
    <col min="5406" max="5409" width="21.28515625" style="14" customWidth="1"/>
    <col min="5410" max="5410" width="22.28515625" style="14" customWidth="1"/>
    <col min="5411" max="5412" width="11.42578125" style="14"/>
    <col min="5413" max="5413" width="14.85546875" style="14" bestFit="1" customWidth="1"/>
    <col min="5414" max="5638" width="11.42578125" style="14"/>
    <col min="5639" max="5639" width="34.42578125" style="14" customWidth="1"/>
    <col min="5640" max="5641" width="19.42578125" style="14" bestFit="1" customWidth="1"/>
    <col min="5642" max="5642" width="19.7109375" style="14" customWidth="1"/>
    <col min="5643" max="5644" width="20.42578125" style="14" customWidth="1"/>
    <col min="5645" max="5646" width="19.7109375" style="14" customWidth="1"/>
    <col min="5647" max="5647" width="25.28515625" style="14" customWidth="1"/>
    <col min="5648" max="5648" width="26" style="14" customWidth="1"/>
    <col min="5649" max="5649" width="22.28515625" style="14" customWidth="1"/>
    <col min="5650" max="5650" width="24.85546875" style="14" customWidth="1"/>
    <col min="5651" max="5651" width="21.140625" style="14" customWidth="1"/>
    <col min="5652" max="5652" width="21.42578125" style="14" customWidth="1"/>
    <col min="5653" max="5653" width="27.85546875" style="14" customWidth="1"/>
    <col min="5654" max="5654" width="23.42578125" style="14" customWidth="1"/>
    <col min="5655" max="5655" width="21.42578125" style="14" customWidth="1"/>
    <col min="5656" max="5658" width="20.7109375" style="14" customWidth="1"/>
    <col min="5659" max="5659" width="32.28515625" style="14" bestFit="1" customWidth="1"/>
    <col min="5660" max="5660" width="20.7109375" style="14" customWidth="1"/>
    <col min="5661" max="5661" width="22" style="14" customWidth="1"/>
    <col min="5662" max="5665" width="21.28515625" style="14" customWidth="1"/>
    <col min="5666" max="5666" width="22.28515625" style="14" customWidth="1"/>
    <col min="5667" max="5668" width="11.42578125" style="14"/>
    <col min="5669" max="5669" width="14.85546875" style="14" bestFit="1" customWidth="1"/>
    <col min="5670" max="5894" width="11.42578125" style="14"/>
    <col min="5895" max="5895" width="34.42578125" style="14" customWidth="1"/>
    <col min="5896" max="5897" width="19.42578125" style="14" bestFit="1" customWidth="1"/>
    <col min="5898" max="5898" width="19.7109375" style="14" customWidth="1"/>
    <col min="5899" max="5900" width="20.42578125" style="14" customWidth="1"/>
    <col min="5901" max="5902" width="19.7109375" style="14" customWidth="1"/>
    <col min="5903" max="5903" width="25.28515625" style="14" customWidth="1"/>
    <col min="5904" max="5904" width="26" style="14" customWidth="1"/>
    <col min="5905" max="5905" width="22.28515625" style="14" customWidth="1"/>
    <col min="5906" max="5906" width="24.85546875" style="14" customWidth="1"/>
    <col min="5907" max="5907" width="21.140625" style="14" customWidth="1"/>
    <col min="5908" max="5908" width="21.42578125" style="14" customWidth="1"/>
    <col min="5909" max="5909" width="27.85546875" style="14" customWidth="1"/>
    <col min="5910" max="5910" width="23.42578125" style="14" customWidth="1"/>
    <col min="5911" max="5911" width="21.42578125" style="14" customWidth="1"/>
    <col min="5912" max="5914" width="20.7109375" style="14" customWidth="1"/>
    <col min="5915" max="5915" width="32.28515625" style="14" bestFit="1" customWidth="1"/>
    <col min="5916" max="5916" width="20.7109375" style="14" customWidth="1"/>
    <col min="5917" max="5917" width="22" style="14" customWidth="1"/>
    <col min="5918" max="5921" width="21.28515625" style="14" customWidth="1"/>
    <col min="5922" max="5922" width="22.28515625" style="14" customWidth="1"/>
    <col min="5923" max="5924" width="11.42578125" style="14"/>
    <col min="5925" max="5925" width="14.85546875" style="14" bestFit="1" customWidth="1"/>
    <col min="5926" max="6150" width="11.42578125" style="14"/>
    <col min="6151" max="6151" width="34.42578125" style="14" customWidth="1"/>
    <col min="6152" max="6153" width="19.42578125" style="14" bestFit="1" customWidth="1"/>
    <col min="6154" max="6154" width="19.7109375" style="14" customWidth="1"/>
    <col min="6155" max="6156" width="20.42578125" style="14" customWidth="1"/>
    <col min="6157" max="6158" width="19.7109375" style="14" customWidth="1"/>
    <col min="6159" max="6159" width="25.28515625" style="14" customWidth="1"/>
    <col min="6160" max="6160" width="26" style="14" customWidth="1"/>
    <col min="6161" max="6161" width="22.28515625" style="14" customWidth="1"/>
    <col min="6162" max="6162" width="24.85546875" style="14" customWidth="1"/>
    <col min="6163" max="6163" width="21.140625" style="14" customWidth="1"/>
    <col min="6164" max="6164" width="21.42578125" style="14" customWidth="1"/>
    <col min="6165" max="6165" width="27.85546875" style="14" customWidth="1"/>
    <col min="6166" max="6166" width="23.42578125" style="14" customWidth="1"/>
    <col min="6167" max="6167" width="21.42578125" style="14" customWidth="1"/>
    <col min="6168" max="6170" width="20.7109375" style="14" customWidth="1"/>
    <col min="6171" max="6171" width="32.28515625" style="14" bestFit="1" customWidth="1"/>
    <col min="6172" max="6172" width="20.7109375" style="14" customWidth="1"/>
    <col min="6173" max="6173" width="22" style="14" customWidth="1"/>
    <col min="6174" max="6177" width="21.28515625" style="14" customWidth="1"/>
    <col min="6178" max="6178" width="22.28515625" style="14" customWidth="1"/>
    <col min="6179" max="6180" width="11.42578125" style="14"/>
    <col min="6181" max="6181" width="14.85546875" style="14" bestFit="1" customWidth="1"/>
    <col min="6182" max="6406" width="11.42578125" style="14"/>
    <col min="6407" max="6407" width="34.42578125" style="14" customWidth="1"/>
    <col min="6408" max="6409" width="19.42578125" style="14" bestFit="1" customWidth="1"/>
    <col min="6410" max="6410" width="19.7109375" style="14" customWidth="1"/>
    <col min="6411" max="6412" width="20.42578125" style="14" customWidth="1"/>
    <col min="6413" max="6414" width="19.7109375" style="14" customWidth="1"/>
    <col min="6415" max="6415" width="25.28515625" style="14" customWidth="1"/>
    <col min="6416" max="6416" width="26" style="14" customWidth="1"/>
    <col min="6417" max="6417" width="22.28515625" style="14" customWidth="1"/>
    <col min="6418" max="6418" width="24.85546875" style="14" customWidth="1"/>
    <col min="6419" max="6419" width="21.140625" style="14" customWidth="1"/>
    <col min="6420" max="6420" width="21.42578125" style="14" customWidth="1"/>
    <col min="6421" max="6421" width="27.85546875" style="14" customWidth="1"/>
    <col min="6422" max="6422" width="23.42578125" style="14" customWidth="1"/>
    <col min="6423" max="6423" width="21.42578125" style="14" customWidth="1"/>
    <col min="6424" max="6426" width="20.7109375" style="14" customWidth="1"/>
    <col min="6427" max="6427" width="32.28515625" style="14" bestFit="1" customWidth="1"/>
    <col min="6428" max="6428" width="20.7109375" style="14" customWidth="1"/>
    <col min="6429" max="6429" width="22" style="14" customWidth="1"/>
    <col min="6430" max="6433" width="21.28515625" style="14" customWidth="1"/>
    <col min="6434" max="6434" width="22.28515625" style="14" customWidth="1"/>
    <col min="6435" max="6436" width="11.42578125" style="14"/>
    <col min="6437" max="6437" width="14.85546875" style="14" bestFit="1" customWidth="1"/>
    <col min="6438" max="6662" width="11.42578125" style="14"/>
    <col min="6663" max="6663" width="34.42578125" style="14" customWidth="1"/>
    <col min="6664" max="6665" width="19.42578125" style="14" bestFit="1" customWidth="1"/>
    <col min="6666" max="6666" width="19.7109375" style="14" customWidth="1"/>
    <col min="6667" max="6668" width="20.42578125" style="14" customWidth="1"/>
    <col min="6669" max="6670" width="19.7109375" style="14" customWidth="1"/>
    <col min="6671" max="6671" width="25.28515625" style="14" customWidth="1"/>
    <col min="6672" max="6672" width="26" style="14" customWidth="1"/>
    <col min="6673" max="6673" width="22.28515625" style="14" customWidth="1"/>
    <col min="6674" max="6674" width="24.85546875" style="14" customWidth="1"/>
    <col min="6675" max="6675" width="21.140625" style="14" customWidth="1"/>
    <col min="6676" max="6676" width="21.42578125" style="14" customWidth="1"/>
    <col min="6677" max="6677" width="27.85546875" style="14" customWidth="1"/>
    <col min="6678" max="6678" width="23.42578125" style="14" customWidth="1"/>
    <col min="6679" max="6679" width="21.42578125" style="14" customWidth="1"/>
    <col min="6680" max="6682" width="20.7109375" style="14" customWidth="1"/>
    <col min="6683" max="6683" width="32.28515625" style="14" bestFit="1" customWidth="1"/>
    <col min="6684" max="6684" width="20.7109375" style="14" customWidth="1"/>
    <col min="6685" max="6685" width="22" style="14" customWidth="1"/>
    <col min="6686" max="6689" width="21.28515625" style="14" customWidth="1"/>
    <col min="6690" max="6690" width="22.28515625" style="14" customWidth="1"/>
    <col min="6691" max="6692" width="11.42578125" style="14"/>
    <col min="6693" max="6693" width="14.85546875" style="14" bestFit="1" customWidth="1"/>
    <col min="6694" max="6918" width="11.42578125" style="14"/>
    <col min="6919" max="6919" width="34.42578125" style="14" customWidth="1"/>
    <col min="6920" max="6921" width="19.42578125" style="14" bestFit="1" customWidth="1"/>
    <col min="6922" max="6922" width="19.7109375" style="14" customWidth="1"/>
    <col min="6923" max="6924" width="20.42578125" style="14" customWidth="1"/>
    <col min="6925" max="6926" width="19.7109375" style="14" customWidth="1"/>
    <col min="6927" max="6927" width="25.28515625" style="14" customWidth="1"/>
    <col min="6928" max="6928" width="26" style="14" customWidth="1"/>
    <col min="6929" max="6929" width="22.28515625" style="14" customWidth="1"/>
    <col min="6930" max="6930" width="24.85546875" style="14" customWidth="1"/>
    <col min="6931" max="6931" width="21.140625" style="14" customWidth="1"/>
    <col min="6932" max="6932" width="21.42578125" style="14" customWidth="1"/>
    <col min="6933" max="6933" width="27.85546875" style="14" customWidth="1"/>
    <col min="6934" max="6934" width="23.42578125" style="14" customWidth="1"/>
    <col min="6935" max="6935" width="21.42578125" style="14" customWidth="1"/>
    <col min="6936" max="6938" width="20.7109375" style="14" customWidth="1"/>
    <col min="6939" max="6939" width="32.28515625" style="14" bestFit="1" customWidth="1"/>
    <col min="6940" max="6940" width="20.7109375" style="14" customWidth="1"/>
    <col min="6941" max="6941" width="22" style="14" customWidth="1"/>
    <col min="6942" max="6945" width="21.28515625" style="14" customWidth="1"/>
    <col min="6946" max="6946" width="22.28515625" style="14" customWidth="1"/>
    <col min="6947" max="6948" width="11.42578125" style="14"/>
    <col min="6949" max="6949" width="14.85546875" style="14" bestFit="1" customWidth="1"/>
    <col min="6950" max="7174" width="11.42578125" style="14"/>
    <col min="7175" max="7175" width="34.42578125" style="14" customWidth="1"/>
    <col min="7176" max="7177" width="19.42578125" style="14" bestFit="1" customWidth="1"/>
    <col min="7178" max="7178" width="19.7109375" style="14" customWidth="1"/>
    <col min="7179" max="7180" width="20.42578125" style="14" customWidth="1"/>
    <col min="7181" max="7182" width="19.7109375" style="14" customWidth="1"/>
    <col min="7183" max="7183" width="25.28515625" style="14" customWidth="1"/>
    <col min="7184" max="7184" width="26" style="14" customWidth="1"/>
    <col min="7185" max="7185" width="22.28515625" style="14" customWidth="1"/>
    <col min="7186" max="7186" width="24.85546875" style="14" customWidth="1"/>
    <col min="7187" max="7187" width="21.140625" style="14" customWidth="1"/>
    <col min="7188" max="7188" width="21.42578125" style="14" customWidth="1"/>
    <col min="7189" max="7189" width="27.85546875" style="14" customWidth="1"/>
    <col min="7190" max="7190" width="23.42578125" style="14" customWidth="1"/>
    <col min="7191" max="7191" width="21.42578125" style="14" customWidth="1"/>
    <col min="7192" max="7194" width="20.7109375" style="14" customWidth="1"/>
    <col min="7195" max="7195" width="32.28515625" style="14" bestFit="1" customWidth="1"/>
    <col min="7196" max="7196" width="20.7109375" style="14" customWidth="1"/>
    <col min="7197" max="7197" width="22" style="14" customWidth="1"/>
    <col min="7198" max="7201" width="21.28515625" style="14" customWidth="1"/>
    <col min="7202" max="7202" width="22.28515625" style="14" customWidth="1"/>
    <col min="7203" max="7204" width="11.42578125" style="14"/>
    <col min="7205" max="7205" width="14.85546875" style="14" bestFit="1" customWidth="1"/>
    <col min="7206" max="7430" width="11.42578125" style="14"/>
    <col min="7431" max="7431" width="34.42578125" style="14" customWidth="1"/>
    <col min="7432" max="7433" width="19.42578125" style="14" bestFit="1" customWidth="1"/>
    <col min="7434" max="7434" width="19.7109375" style="14" customWidth="1"/>
    <col min="7435" max="7436" width="20.42578125" style="14" customWidth="1"/>
    <col min="7437" max="7438" width="19.7109375" style="14" customWidth="1"/>
    <col min="7439" max="7439" width="25.28515625" style="14" customWidth="1"/>
    <col min="7440" max="7440" width="26" style="14" customWidth="1"/>
    <col min="7441" max="7441" width="22.28515625" style="14" customWidth="1"/>
    <col min="7442" max="7442" width="24.85546875" style="14" customWidth="1"/>
    <col min="7443" max="7443" width="21.140625" style="14" customWidth="1"/>
    <col min="7444" max="7444" width="21.42578125" style="14" customWidth="1"/>
    <col min="7445" max="7445" width="27.85546875" style="14" customWidth="1"/>
    <col min="7446" max="7446" width="23.42578125" style="14" customWidth="1"/>
    <col min="7447" max="7447" width="21.42578125" style="14" customWidth="1"/>
    <col min="7448" max="7450" width="20.7109375" style="14" customWidth="1"/>
    <col min="7451" max="7451" width="32.28515625" style="14" bestFit="1" customWidth="1"/>
    <col min="7452" max="7452" width="20.7109375" style="14" customWidth="1"/>
    <col min="7453" max="7453" width="22" style="14" customWidth="1"/>
    <col min="7454" max="7457" width="21.28515625" style="14" customWidth="1"/>
    <col min="7458" max="7458" width="22.28515625" style="14" customWidth="1"/>
    <col min="7459" max="7460" width="11.42578125" style="14"/>
    <col min="7461" max="7461" width="14.85546875" style="14" bestFit="1" customWidth="1"/>
    <col min="7462" max="7686" width="11.42578125" style="14"/>
    <col min="7687" max="7687" width="34.42578125" style="14" customWidth="1"/>
    <col min="7688" max="7689" width="19.42578125" style="14" bestFit="1" customWidth="1"/>
    <col min="7690" max="7690" width="19.7109375" style="14" customWidth="1"/>
    <col min="7691" max="7692" width="20.42578125" style="14" customWidth="1"/>
    <col min="7693" max="7694" width="19.7109375" style="14" customWidth="1"/>
    <col min="7695" max="7695" width="25.28515625" style="14" customWidth="1"/>
    <col min="7696" max="7696" width="26" style="14" customWidth="1"/>
    <col min="7697" max="7697" width="22.28515625" style="14" customWidth="1"/>
    <col min="7698" max="7698" width="24.85546875" style="14" customWidth="1"/>
    <col min="7699" max="7699" width="21.140625" style="14" customWidth="1"/>
    <col min="7700" max="7700" width="21.42578125" style="14" customWidth="1"/>
    <col min="7701" max="7701" width="27.85546875" style="14" customWidth="1"/>
    <col min="7702" max="7702" width="23.42578125" style="14" customWidth="1"/>
    <col min="7703" max="7703" width="21.42578125" style="14" customWidth="1"/>
    <col min="7704" max="7706" width="20.7109375" style="14" customWidth="1"/>
    <col min="7707" max="7707" width="32.28515625" style="14" bestFit="1" customWidth="1"/>
    <col min="7708" max="7708" width="20.7109375" style="14" customWidth="1"/>
    <col min="7709" max="7709" width="22" style="14" customWidth="1"/>
    <col min="7710" max="7713" width="21.28515625" style="14" customWidth="1"/>
    <col min="7714" max="7714" width="22.28515625" style="14" customWidth="1"/>
    <col min="7715" max="7716" width="11.42578125" style="14"/>
    <col min="7717" max="7717" width="14.85546875" style="14" bestFit="1" customWidth="1"/>
    <col min="7718" max="7942" width="11.42578125" style="14"/>
    <col min="7943" max="7943" width="34.42578125" style="14" customWidth="1"/>
    <col min="7944" max="7945" width="19.42578125" style="14" bestFit="1" customWidth="1"/>
    <col min="7946" max="7946" width="19.7109375" style="14" customWidth="1"/>
    <col min="7947" max="7948" width="20.42578125" style="14" customWidth="1"/>
    <col min="7949" max="7950" width="19.7109375" style="14" customWidth="1"/>
    <col min="7951" max="7951" width="25.28515625" style="14" customWidth="1"/>
    <col min="7952" max="7952" width="26" style="14" customWidth="1"/>
    <col min="7953" max="7953" width="22.28515625" style="14" customWidth="1"/>
    <col min="7954" max="7954" width="24.85546875" style="14" customWidth="1"/>
    <col min="7955" max="7955" width="21.140625" style="14" customWidth="1"/>
    <col min="7956" max="7956" width="21.42578125" style="14" customWidth="1"/>
    <col min="7957" max="7957" width="27.85546875" style="14" customWidth="1"/>
    <col min="7958" max="7958" width="23.42578125" style="14" customWidth="1"/>
    <col min="7959" max="7959" width="21.42578125" style="14" customWidth="1"/>
    <col min="7960" max="7962" width="20.7109375" style="14" customWidth="1"/>
    <col min="7963" max="7963" width="32.28515625" style="14" bestFit="1" customWidth="1"/>
    <col min="7964" max="7964" width="20.7109375" style="14" customWidth="1"/>
    <col min="7965" max="7965" width="22" style="14" customWidth="1"/>
    <col min="7966" max="7969" width="21.28515625" style="14" customWidth="1"/>
    <col min="7970" max="7970" width="22.28515625" style="14" customWidth="1"/>
    <col min="7971" max="7972" width="11.42578125" style="14"/>
    <col min="7973" max="7973" width="14.85546875" style="14" bestFit="1" customWidth="1"/>
    <col min="7974" max="8198" width="11.42578125" style="14"/>
    <col min="8199" max="8199" width="34.42578125" style="14" customWidth="1"/>
    <col min="8200" max="8201" width="19.42578125" style="14" bestFit="1" customWidth="1"/>
    <col min="8202" max="8202" width="19.7109375" style="14" customWidth="1"/>
    <col min="8203" max="8204" width="20.42578125" style="14" customWidth="1"/>
    <col min="8205" max="8206" width="19.7109375" style="14" customWidth="1"/>
    <col min="8207" max="8207" width="25.28515625" style="14" customWidth="1"/>
    <col min="8208" max="8208" width="26" style="14" customWidth="1"/>
    <col min="8209" max="8209" width="22.28515625" style="14" customWidth="1"/>
    <col min="8210" max="8210" width="24.85546875" style="14" customWidth="1"/>
    <col min="8211" max="8211" width="21.140625" style="14" customWidth="1"/>
    <col min="8212" max="8212" width="21.42578125" style="14" customWidth="1"/>
    <col min="8213" max="8213" width="27.85546875" style="14" customWidth="1"/>
    <col min="8214" max="8214" width="23.42578125" style="14" customWidth="1"/>
    <col min="8215" max="8215" width="21.42578125" style="14" customWidth="1"/>
    <col min="8216" max="8218" width="20.7109375" style="14" customWidth="1"/>
    <col min="8219" max="8219" width="32.28515625" style="14" bestFit="1" customWidth="1"/>
    <col min="8220" max="8220" width="20.7109375" style="14" customWidth="1"/>
    <col min="8221" max="8221" width="22" style="14" customWidth="1"/>
    <col min="8222" max="8225" width="21.28515625" style="14" customWidth="1"/>
    <col min="8226" max="8226" width="22.28515625" style="14" customWidth="1"/>
    <col min="8227" max="8228" width="11.42578125" style="14"/>
    <col min="8229" max="8229" width="14.85546875" style="14" bestFit="1" customWidth="1"/>
    <col min="8230" max="8454" width="11.42578125" style="14"/>
    <col min="8455" max="8455" width="34.42578125" style="14" customWidth="1"/>
    <col min="8456" max="8457" width="19.42578125" style="14" bestFit="1" customWidth="1"/>
    <col min="8458" max="8458" width="19.7109375" style="14" customWidth="1"/>
    <col min="8459" max="8460" width="20.42578125" style="14" customWidth="1"/>
    <col min="8461" max="8462" width="19.7109375" style="14" customWidth="1"/>
    <col min="8463" max="8463" width="25.28515625" style="14" customWidth="1"/>
    <col min="8464" max="8464" width="26" style="14" customWidth="1"/>
    <col min="8465" max="8465" width="22.28515625" style="14" customWidth="1"/>
    <col min="8466" max="8466" width="24.85546875" style="14" customWidth="1"/>
    <col min="8467" max="8467" width="21.140625" style="14" customWidth="1"/>
    <col min="8468" max="8468" width="21.42578125" style="14" customWidth="1"/>
    <col min="8469" max="8469" width="27.85546875" style="14" customWidth="1"/>
    <col min="8470" max="8470" width="23.42578125" style="14" customWidth="1"/>
    <col min="8471" max="8471" width="21.42578125" style="14" customWidth="1"/>
    <col min="8472" max="8474" width="20.7109375" style="14" customWidth="1"/>
    <col min="8475" max="8475" width="32.28515625" style="14" bestFit="1" customWidth="1"/>
    <col min="8476" max="8476" width="20.7109375" style="14" customWidth="1"/>
    <col min="8477" max="8477" width="22" style="14" customWidth="1"/>
    <col min="8478" max="8481" width="21.28515625" style="14" customWidth="1"/>
    <col min="8482" max="8482" width="22.28515625" style="14" customWidth="1"/>
    <col min="8483" max="8484" width="11.42578125" style="14"/>
    <col min="8485" max="8485" width="14.85546875" style="14" bestFit="1" customWidth="1"/>
    <col min="8486" max="8710" width="11.42578125" style="14"/>
    <col min="8711" max="8711" width="34.42578125" style="14" customWidth="1"/>
    <col min="8712" max="8713" width="19.42578125" style="14" bestFit="1" customWidth="1"/>
    <col min="8714" max="8714" width="19.7109375" style="14" customWidth="1"/>
    <col min="8715" max="8716" width="20.42578125" style="14" customWidth="1"/>
    <col min="8717" max="8718" width="19.7109375" style="14" customWidth="1"/>
    <col min="8719" max="8719" width="25.28515625" style="14" customWidth="1"/>
    <col min="8720" max="8720" width="26" style="14" customWidth="1"/>
    <col min="8721" max="8721" width="22.28515625" style="14" customWidth="1"/>
    <col min="8722" max="8722" width="24.85546875" style="14" customWidth="1"/>
    <col min="8723" max="8723" width="21.140625" style="14" customWidth="1"/>
    <col min="8724" max="8724" width="21.42578125" style="14" customWidth="1"/>
    <col min="8725" max="8725" width="27.85546875" style="14" customWidth="1"/>
    <col min="8726" max="8726" width="23.42578125" style="14" customWidth="1"/>
    <col min="8727" max="8727" width="21.42578125" style="14" customWidth="1"/>
    <col min="8728" max="8730" width="20.7109375" style="14" customWidth="1"/>
    <col min="8731" max="8731" width="32.28515625" style="14" bestFit="1" customWidth="1"/>
    <col min="8732" max="8732" width="20.7109375" style="14" customWidth="1"/>
    <col min="8733" max="8733" width="22" style="14" customWidth="1"/>
    <col min="8734" max="8737" width="21.28515625" style="14" customWidth="1"/>
    <col min="8738" max="8738" width="22.28515625" style="14" customWidth="1"/>
    <col min="8739" max="8740" width="11.42578125" style="14"/>
    <col min="8741" max="8741" width="14.85546875" style="14" bestFit="1" customWidth="1"/>
    <col min="8742" max="8966" width="11.42578125" style="14"/>
    <col min="8967" max="8967" width="34.42578125" style="14" customWidth="1"/>
    <col min="8968" max="8969" width="19.42578125" style="14" bestFit="1" customWidth="1"/>
    <col min="8970" max="8970" width="19.7109375" style="14" customWidth="1"/>
    <col min="8971" max="8972" width="20.42578125" style="14" customWidth="1"/>
    <col min="8973" max="8974" width="19.7109375" style="14" customWidth="1"/>
    <col min="8975" max="8975" width="25.28515625" style="14" customWidth="1"/>
    <col min="8976" max="8976" width="26" style="14" customWidth="1"/>
    <col min="8977" max="8977" width="22.28515625" style="14" customWidth="1"/>
    <col min="8978" max="8978" width="24.85546875" style="14" customWidth="1"/>
    <col min="8979" max="8979" width="21.140625" style="14" customWidth="1"/>
    <col min="8980" max="8980" width="21.42578125" style="14" customWidth="1"/>
    <col min="8981" max="8981" width="27.85546875" style="14" customWidth="1"/>
    <col min="8982" max="8982" width="23.42578125" style="14" customWidth="1"/>
    <col min="8983" max="8983" width="21.42578125" style="14" customWidth="1"/>
    <col min="8984" max="8986" width="20.7109375" style="14" customWidth="1"/>
    <col min="8987" max="8987" width="32.28515625" style="14" bestFit="1" customWidth="1"/>
    <col min="8988" max="8988" width="20.7109375" style="14" customWidth="1"/>
    <col min="8989" max="8989" width="22" style="14" customWidth="1"/>
    <col min="8990" max="8993" width="21.28515625" style="14" customWidth="1"/>
    <col min="8994" max="8994" width="22.28515625" style="14" customWidth="1"/>
    <col min="8995" max="8996" width="11.42578125" style="14"/>
    <col min="8997" max="8997" width="14.85546875" style="14" bestFit="1" customWidth="1"/>
    <col min="8998" max="9222" width="11.42578125" style="14"/>
    <col min="9223" max="9223" width="34.42578125" style="14" customWidth="1"/>
    <col min="9224" max="9225" width="19.42578125" style="14" bestFit="1" customWidth="1"/>
    <col min="9226" max="9226" width="19.7109375" style="14" customWidth="1"/>
    <col min="9227" max="9228" width="20.42578125" style="14" customWidth="1"/>
    <col min="9229" max="9230" width="19.7109375" style="14" customWidth="1"/>
    <col min="9231" max="9231" width="25.28515625" style="14" customWidth="1"/>
    <col min="9232" max="9232" width="26" style="14" customWidth="1"/>
    <col min="9233" max="9233" width="22.28515625" style="14" customWidth="1"/>
    <col min="9234" max="9234" width="24.85546875" style="14" customWidth="1"/>
    <col min="9235" max="9235" width="21.140625" style="14" customWidth="1"/>
    <col min="9236" max="9236" width="21.42578125" style="14" customWidth="1"/>
    <col min="9237" max="9237" width="27.85546875" style="14" customWidth="1"/>
    <col min="9238" max="9238" width="23.42578125" style="14" customWidth="1"/>
    <col min="9239" max="9239" width="21.42578125" style="14" customWidth="1"/>
    <col min="9240" max="9242" width="20.7109375" style="14" customWidth="1"/>
    <col min="9243" max="9243" width="32.28515625" style="14" bestFit="1" customWidth="1"/>
    <col min="9244" max="9244" width="20.7109375" style="14" customWidth="1"/>
    <col min="9245" max="9245" width="22" style="14" customWidth="1"/>
    <col min="9246" max="9249" width="21.28515625" style="14" customWidth="1"/>
    <col min="9250" max="9250" width="22.28515625" style="14" customWidth="1"/>
    <col min="9251" max="9252" width="11.42578125" style="14"/>
    <col min="9253" max="9253" width="14.85546875" style="14" bestFit="1" customWidth="1"/>
    <col min="9254" max="9478" width="11.42578125" style="14"/>
    <col min="9479" max="9479" width="34.42578125" style="14" customWidth="1"/>
    <col min="9480" max="9481" width="19.42578125" style="14" bestFit="1" customWidth="1"/>
    <col min="9482" max="9482" width="19.7109375" style="14" customWidth="1"/>
    <col min="9483" max="9484" width="20.42578125" style="14" customWidth="1"/>
    <col min="9485" max="9486" width="19.7109375" style="14" customWidth="1"/>
    <col min="9487" max="9487" width="25.28515625" style="14" customWidth="1"/>
    <col min="9488" max="9488" width="26" style="14" customWidth="1"/>
    <col min="9489" max="9489" width="22.28515625" style="14" customWidth="1"/>
    <col min="9490" max="9490" width="24.85546875" style="14" customWidth="1"/>
    <col min="9491" max="9491" width="21.140625" style="14" customWidth="1"/>
    <col min="9492" max="9492" width="21.42578125" style="14" customWidth="1"/>
    <col min="9493" max="9493" width="27.85546875" style="14" customWidth="1"/>
    <col min="9494" max="9494" width="23.42578125" style="14" customWidth="1"/>
    <col min="9495" max="9495" width="21.42578125" style="14" customWidth="1"/>
    <col min="9496" max="9498" width="20.7109375" style="14" customWidth="1"/>
    <col min="9499" max="9499" width="32.28515625" style="14" bestFit="1" customWidth="1"/>
    <col min="9500" max="9500" width="20.7109375" style="14" customWidth="1"/>
    <col min="9501" max="9501" width="22" style="14" customWidth="1"/>
    <col min="9502" max="9505" width="21.28515625" style="14" customWidth="1"/>
    <col min="9506" max="9506" width="22.28515625" style="14" customWidth="1"/>
    <col min="9507" max="9508" width="11.42578125" style="14"/>
    <col min="9509" max="9509" width="14.85546875" style="14" bestFit="1" customWidth="1"/>
    <col min="9510" max="9734" width="11.42578125" style="14"/>
    <col min="9735" max="9735" width="34.42578125" style="14" customWidth="1"/>
    <col min="9736" max="9737" width="19.42578125" style="14" bestFit="1" customWidth="1"/>
    <col min="9738" max="9738" width="19.7109375" style="14" customWidth="1"/>
    <col min="9739" max="9740" width="20.42578125" style="14" customWidth="1"/>
    <col min="9741" max="9742" width="19.7109375" style="14" customWidth="1"/>
    <col min="9743" max="9743" width="25.28515625" style="14" customWidth="1"/>
    <col min="9744" max="9744" width="26" style="14" customWidth="1"/>
    <col min="9745" max="9745" width="22.28515625" style="14" customWidth="1"/>
    <col min="9746" max="9746" width="24.85546875" style="14" customWidth="1"/>
    <col min="9747" max="9747" width="21.140625" style="14" customWidth="1"/>
    <col min="9748" max="9748" width="21.42578125" style="14" customWidth="1"/>
    <col min="9749" max="9749" width="27.85546875" style="14" customWidth="1"/>
    <col min="9750" max="9750" width="23.42578125" style="14" customWidth="1"/>
    <col min="9751" max="9751" width="21.42578125" style="14" customWidth="1"/>
    <col min="9752" max="9754" width="20.7109375" style="14" customWidth="1"/>
    <col min="9755" max="9755" width="32.28515625" style="14" bestFit="1" customWidth="1"/>
    <col min="9756" max="9756" width="20.7109375" style="14" customWidth="1"/>
    <col min="9757" max="9757" width="22" style="14" customWidth="1"/>
    <col min="9758" max="9761" width="21.28515625" style="14" customWidth="1"/>
    <col min="9762" max="9762" width="22.28515625" style="14" customWidth="1"/>
    <col min="9763" max="9764" width="11.42578125" style="14"/>
    <col min="9765" max="9765" width="14.85546875" style="14" bestFit="1" customWidth="1"/>
    <col min="9766" max="9990" width="11.42578125" style="14"/>
    <col min="9991" max="9991" width="34.42578125" style="14" customWidth="1"/>
    <col min="9992" max="9993" width="19.42578125" style="14" bestFit="1" customWidth="1"/>
    <col min="9994" max="9994" width="19.7109375" style="14" customWidth="1"/>
    <col min="9995" max="9996" width="20.42578125" style="14" customWidth="1"/>
    <col min="9997" max="9998" width="19.7109375" style="14" customWidth="1"/>
    <col min="9999" max="9999" width="25.28515625" style="14" customWidth="1"/>
    <col min="10000" max="10000" width="26" style="14" customWidth="1"/>
    <col min="10001" max="10001" width="22.28515625" style="14" customWidth="1"/>
    <col min="10002" max="10002" width="24.85546875" style="14" customWidth="1"/>
    <col min="10003" max="10003" width="21.140625" style="14" customWidth="1"/>
    <col min="10004" max="10004" width="21.42578125" style="14" customWidth="1"/>
    <col min="10005" max="10005" width="27.85546875" style="14" customWidth="1"/>
    <col min="10006" max="10006" width="23.42578125" style="14" customWidth="1"/>
    <col min="10007" max="10007" width="21.42578125" style="14" customWidth="1"/>
    <col min="10008" max="10010" width="20.7109375" style="14" customWidth="1"/>
    <col min="10011" max="10011" width="32.28515625" style="14" bestFit="1" customWidth="1"/>
    <col min="10012" max="10012" width="20.7109375" style="14" customWidth="1"/>
    <col min="10013" max="10013" width="22" style="14" customWidth="1"/>
    <col min="10014" max="10017" width="21.28515625" style="14" customWidth="1"/>
    <col min="10018" max="10018" width="22.28515625" style="14" customWidth="1"/>
    <col min="10019" max="10020" width="11.42578125" style="14"/>
    <col min="10021" max="10021" width="14.85546875" style="14" bestFit="1" customWidth="1"/>
    <col min="10022" max="10246" width="11.42578125" style="14"/>
    <col min="10247" max="10247" width="34.42578125" style="14" customWidth="1"/>
    <col min="10248" max="10249" width="19.42578125" style="14" bestFit="1" customWidth="1"/>
    <col min="10250" max="10250" width="19.7109375" style="14" customWidth="1"/>
    <col min="10251" max="10252" width="20.42578125" style="14" customWidth="1"/>
    <col min="10253" max="10254" width="19.7109375" style="14" customWidth="1"/>
    <col min="10255" max="10255" width="25.28515625" style="14" customWidth="1"/>
    <col min="10256" max="10256" width="26" style="14" customWidth="1"/>
    <col min="10257" max="10257" width="22.28515625" style="14" customWidth="1"/>
    <col min="10258" max="10258" width="24.85546875" style="14" customWidth="1"/>
    <col min="10259" max="10259" width="21.140625" style="14" customWidth="1"/>
    <col min="10260" max="10260" width="21.42578125" style="14" customWidth="1"/>
    <col min="10261" max="10261" width="27.85546875" style="14" customWidth="1"/>
    <col min="10262" max="10262" width="23.42578125" style="14" customWidth="1"/>
    <col min="10263" max="10263" width="21.42578125" style="14" customWidth="1"/>
    <col min="10264" max="10266" width="20.7109375" style="14" customWidth="1"/>
    <col min="10267" max="10267" width="32.28515625" style="14" bestFit="1" customWidth="1"/>
    <col min="10268" max="10268" width="20.7109375" style="14" customWidth="1"/>
    <col min="10269" max="10269" width="22" style="14" customWidth="1"/>
    <col min="10270" max="10273" width="21.28515625" style="14" customWidth="1"/>
    <col min="10274" max="10274" width="22.28515625" style="14" customWidth="1"/>
    <col min="10275" max="10276" width="11.42578125" style="14"/>
    <col min="10277" max="10277" width="14.85546875" style="14" bestFit="1" customWidth="1"/>
    <col min="10278" max="10502" width="11.42578125" style="14"/>
    <col min="10503" max="10503" width="34.42578125" style="14" customWidth="1"/>
    <col min="10504" max="10505" width="19.42578125" style="14" bestFit="1" customWidth="1"/>
    <col min="10506" max="10506" width="19.7109375" style="14" customWidth="1"/>
    <col min="10507" max="10508" width="20.42578125" style="14" customWidth="1"/>
    <col min="10509" max="10510" width="19.7109375" style="14" customWidth="1"/>
    <col min="10511" max="10511" width="25.28515625" style="14" customWidth="1"/>
    <col min="10512" max="10512" width="26" style="14" customWidth="1"/>
    <col min="10513" max="10513" width="22.28515625" style="14" customWidth="1"/>
    <col min="10514" max="10514" width="24.85546875" style="14" customWidth="1"/>
    <col min="10515" max="10515" width="21.140625" style="14" customWidth="1"/>
    <col min="10516" max="10516" width="21.42578125" style="14" customWidth="1"/>
    <col min="10517" max="10517" width="27.85546875" style="14" customWidth="1"/>
    <col min="10518" max="10518" width="23.42578125" style="14" customWidth="1"/>
    <col min="10519" max="10519" width="21.42578125" style="14" customWidth="1"/>
    <col min="10520" max="10522" width="20.7109375" style="14" customWidth="1"/>
    <col min="10523" max="10523" width="32.28515625" style="14" bestFit="1" customWidth="1"/>
    <col min="10524" max="10524" width="20.7109375" style="14" customWidth="1"/>
    <col min="10525" max="10525" width="22" style="14" customWidth="1"/>
    <col min="10526" max="10529" width="21.28515625" style="14" customWidth="1"/>
    <col min="10530" max="10530" width="22.28515625" style="14" customWidth="1"/>
    <col min="10531" max="10532" width="11.42578125" style="14"/>
    <col min="10533" max="10533" width="14.85546875" style="14" bestFit="1" customWidth="1"/>
    <col min="10534" max="10758" width="11.42578125" style="14"/>
    <col min="10759" max="10759" width="34.42578125" style="14" customWidth="1"/>
    <col min="10760" max="10761" width="19.42578125" style="14" bestFit="1" customWidth="1"/>
    <col min="10762" max="10762" width="19.7109375" style="14" customWidth="1"/>
    <col min="10763" max="10764" width="20.42578125" style="14" customWidth="1"/>
    <col min="10765" max="10766" width="19.7109375" style="14" customWidth="1"/>
    <col min="10767" max="10767" width="25.28515625" style="14" customWidth="1"/>
    <col min="10768" max="10768" width="26" style="14" customWidth="1"/>
    <col min="10769" max="10769" width="22.28515625" style="14" customWidth="1"/>
    <col min="10770" max="10770" width="24.85546875" style="14" customWidth="1"/>
    <col min="10771" max="10771" width="21.140625" style="14" customWidth="1"/>
    <col min="10772" max="10772" width="21.42578125" style="14" customWidth="1"/>
    <col min="10773" max="10773" width="27.85546875" style="14" customWidth="1"/>
    <col min="10774" max="10774" width="23.42578125" style="14" customWidth="1"/>
    <col min="10775" max="10775" width="21.42578125" style="14" customWidth="1"/>
    <col min="10776" max="10778" width="20.7109375" style="14" customWidth="1"/>
    <col min="10779" max="10779" width="32.28515625" style="14" bestFit="1" customWidth="1"/>
    <col min="10780" max="10780" width="20.7109375" style="14" customWidth="1"/>
    <col min="10781" max="10781" width="22" style="14" customWidth="1"/>
    <col min="10782" max="10785" width="21.28515625" style="14" customWidth="1"/>
    <col min="10786" max="10786" width="22.28515625" style="14" customWidth="1"/>
    <col min="10787" max="10788" width="11.42578125" style="14"/>
    <col min="10789" max="10789" width="14.85546875" style="14" bestFit="1" customWidth="1"/>
    <col min="10790" max="11014" width="11.42578125" style="14"/>
    <col min="11015" max="11015" width="34.42578125" style="14" customWidth="1"/>
    <col min="11016" max="11017" width="19.42578125" style="14" bestFit="1" customWidth="1"/>
    <col min="11018" max="11018" width="19.7109375" style="14" customWidth="1"/>
    <col min="11019" max="11020" width="20.42578125" style="14" customWidth="1"/>
    <col min="11021" max="11022" width="19.7109375" style="14" customWidth="1"/>
    <col min="11023" max="11023" width="25.28515625" style="14" customWidth="1"/>
    <col min="11024" max="11024" width="26" style="14" customWidth="1"/>
    <col min="11025" max="11025" width="22.28515625" style="14" customWidth="1"/>
    <col min="11026" max="11026" width="24.85546875" style="14" customWidth="1"/>
    <col min="11027" max="11027" width="21.140625" style="14" customWidth="1"/>
    <col min="11028" max="11028" width="21.42578125" style="14" customWidth="1"/>
    <col min="11029" max="11029" width="27.85546875" style="14" customWidth="1"/>
    <col min="11030" max="11030" width="23.42578125" style="14" customWidth="1"/>
    <col min="11031" max="11031" width="21.42578125" style="14" customWidth="1"/>
    <col min="11032" max="11034" width="20.7109375" style="14" customWidth="1"/>
    <col min="11035" max="11035" width="32.28515625" style="14" bestFit="1" customWidth="1"/>
    <col min="11036" max="11036" width="20.7109375" style="14" customWidth="1"/>
    <col min="11037" max="11037" width="22" style="14" customWidth="1"/>
    <col min="11038" max="11041" width="21.28515625" style="14" customWidth="1"/>
    <col min="11042" max="11042" width="22.28515625" style="14" customWidth="1"/>
    <col min="11043" max="11044" width="11.42578125" style="14"/>
    <col min="11045" max="11045" width="14.85546875" style="14" bestFit="1" customWidth="1"/>
    <col min="11046" max="11270" width="11.42578125" style="14"/>
    <col min="11271" max="11271" width="34.42578125" style="14" customWidth="1"/>
    <col min="11272" max="11273" width="19.42578125" style="14" bestFit="1" customWidth="1"/>
    <col min="11274" max="11274" width="19.7109375" style="14" customWidth="1"/>
    <col min="11275" max="11276" width="20.42578125" style="14" customWidth="1"/>
    <col min="11277" max="11278" width="19.7109375" style="14" customWidth="1"/>
    <col min="11279" max="11279" width="25.28515625" style="14" customWidth="1"/>
    <col min="11280" max="11280" width="26" style="14" customWidth="1"/>
    <col min="11281" max="11281" width="22.28515625" style="14" customWidth="1"/>
    <col min="11282" max="11282" width="24.85546875" style="14" customWidth="1"/>
    <col min="11283" max="11283" width="21.140625" style="14" customWidth="1"/>
    <col min="11284" max="11284" width="21.42578125" style="14" customWidth="1"/>
    <col min="11285" max="11285" width="27.85546875" style="14" customWidth="1"/>
    <col min="11286" max="11286" width="23.42578125" style="14" customWidth="1"/>
    <col min="11287" max="11287" width="21.42578125" style="14" customWidth="1"/>
    <col min="11288" max="11290" width="20.7109375" style="14" customWidth="1"/>
    <col min="11291" max="11291" width="32.28515625" style="14" bestFit="1" customWidth="1"/>
    <col min="11292" max="11292" width="20.7109375" style="14" customWidth="1"/>
    <col min="11293" max="11293" width="22" style="14" customWidth="1"/>
    <col min="11294" max="11297" width="21.28515625" style="14" customWidth="1"/>
    <col min="11298" max="11298" width="22.28515625" style="14" customWidth="1"/>
    <col min="11299" max="11300" width="11.42578125" style="14"/>
    <col min="11301" max="11301" width="14.85546875" style="14" bestFit="1" customWidth="1"/>
    <col min="11302" max="11526" width="11.42578125" style="14"/>
    <col min="11527" max="11527" width="34.42578125" style="14" customWidth="1"/>
    <col min="11528" max="11529" width="19.42578125" style="14" bestFit="1" customWidth="1"/>
    <col min="11530" max="11530" width="19.7109375" style="14" customWidth="1"/>
    <col min="11531" max="11532" width="20.42578125" style="14" customWidth="1"/>
    <col min="11533" max="11534" width="19.7109375" style="14" customWidth="1"/>
    <col min="11535" max="11535" width="25.28515625" style="14" customWidth="1"/>
    <col min="11536" max="11536" width="26" style="14" customWidth="1"/>
    <col min="11537" max="11537" width="22.28515625" style="14" customWidth="1"/>
    <col min="11538" max="11538" width="24.85546875" style="14" customWidth="1"/>
    <col min="11539" max="11539" width="21.140625" style="14" customWidth="1"/>
    <col min="11540" max="11540" width="21.42578125" style="14" customWidth="1"/>
    <col min="11541" max="11541" width="27.85546875" style="14" customWidth="1"/>
    <col min="11542" max="11542" width="23.42578125" style="14" customWidth="1"/>
    <col min="11543" max="11543" width="21.42578125" style="14" customWidth="1"/>
    <col min="11544" max="11546" width="20.7109375" style="14" customWidth="1"/>
    <col min="11547" max="11547" width="32.28515625" style="14" bestFit="1" customWidth="1"/>
    <col min="11548" max="11548" width="20.7109375" style="14" customWidth="1"/>
    <col min="11549" max="11549" width="22" style="14" customWidth="1"/>
    <col min="11550" max="11553" width="21.28515625" style="14" customWidth="1"/>
    <col min="11554" max="11554" width="22.28515625" style="14" customWidth="1"/>
    <col min="11555" max="11556" width="11.42578125" style="14"/>
    <col min="11557" max="11557" width="14.85546875" style="14" bestFit="1" customWidth="1"/>
    <col min="11558" max="11782" width="11.42578125" style="14"/>
    <col min="11783" max="11783" width="34.42578125" style="14" customWidth="1"/>
    <col min="11784" max="11785" width="19.42578125" style="14" bestFit="1" customWidth="1"/>
    <col min="11786" max="11786" width="19.7109375" style="14" customWidth="1"/>
    <col min="11787" max="11788" width="20.42578125" style="14" customWidth="1"/>
    <col min="11789" max="11790" width="19.7109375" style="14" customWidth="1"/>
    <col min="11791" max="11791" width="25.28515625" style="14" customWidth="1"/>
    <col min="11792" max="11792" width="26" style="14" customWidth="1"/>
    <col min="11793" max="11793" width="22.28515625" style="14" customWidth="1"/>
    <col min="11794" max="11794" width="24.85546875" style="14" customWidth="1"/>
    <col min="11795" max="11795" width="21.140625" style="14" customWidth="1"/>
    <col min="11796" max="11796" width="21.42578125" style="14" customWidth="1"/>
    <col min="11797" max="11797" width="27.85546875" style="14" customWidth="1"/>
    <col min="11798" max="11798" width="23.42578125" style="14" customWidth="1"/>
    <col min="11799" max="11799" width="21.42578125" style="14" customWidth="1"/>
    <col min="11800" max="11802" width="20.7109375" style="14" customWidth="1"/>
    <col min="11803" max="11803" width="32.28515625" style="14" bestFit="1" customWidth="1"/>
    <col min="11804" max="11804" width="20.7109375" style="14" customWidth="1"/>
    <col min="11805" max="11805" width="22" style="14" customWidth="1"/>
    <col min="11806" max="11809" width="21.28515625" style="14" customWidth="1"/>
    <col min="11810" max="11810" width="22.28515625" style="14" customWidth="1"/>
    <col min="11811" max="11812" width="11.42578125" style="14"/>
    <col min="11813" max="11813" width="14.85546875" style="14" bestFit="1" customWidth="1"/>
    <col min="11814" max="12038" width="11.42578125" style="14"/>
    <col min="12039" max="12039" width="34.42578125" style="14" customWidth="1"/>
    <col min="12040" max="12041" width="19.42578125" style="14" bestFit="1" customWidth="1"/>
    <col min="12042" max="12042" width="19.7109375" style="14" customWidth="1"/>
    <col min="12043" max="12044" width="20.42578125" style="14" customWidth="1"/>
    <col min="12045" max="12046" width="19.7109375" style="14" customWidth="1"/>
    <col min="12047" max="12047" width="25.28515625" style="14" customWidth="1"/>
    <col min="12048" max="12048" width="26" style="14" customWidth="1"/>
    <col min="12049" max="12049" width="22.28515625" style="14" customWidth="1"/>
    <col min="12050" max="12050" width="24.85546875" style="14" customWidth="1"/>
    <col min="12051" max="12051" width="21.140625" style="14" customWidth="1"/>
    <col min="12052" max="12052" width="21.42578125" style="14" customWidth="1"/>
    <col min="12053" max="12053" width="27.85546875" style="14" customWidth="1"/>
    <col min="12054" max="12054" width="23.42578125" style="14" customWidth="1"/>
    <col min="12055" max="12055" width="21.42578125" style="14" customWidth="1"/>
    <col min="12056" max="12058" width="20.7109375" style="14" customWidth="1"/>
    <col min="12059" max="12059" width="32.28515625" style="14" bestFit="1" customWidth="1"/>
    <col min="12060" max="12060" width="20.7109375" style="14" customWidth="1"/>
    <col min="12061" max="12061" width="22" style="14" customWidth="1"/>
    <col min="12062" max="12065" width="21.28515625" style="14" customWidth="1"/>
    <col min="12066" max="12066" width="22.28515625" style="14" customWidth="1"/>
    <col min="12067" max="12068" width="11.42578125" style="14"/>
    <col min="12069" max="12069" width="14.85546875" style="14" bestFit="1" customWidth="1"/>
    <col min="12070" max="12294" width="11.42578125" style="14"/>
    <col min="12295" max="12295" width="34.42578125" style="14" customWidth="1"/>
    <col min="12296" max="12297" width="19.42578125" style="14" bestFit="1" customWidth="1"/>
    <col min="12298" max="12298" width="19.7109375" style="14" customWidth="1"/>
    <col min="12299" max="12300" width="20.42578125" style="14" customWidth="1"/>
    <col min="12301" max="12302" width="19.7109375" style="14" customWidth="1"/>
    <col min="12303" max="12303" width="25.28515625" style="14" customWidth="1"/>
    <col min="12304" max="12304" width="26" style="14" customWidth="1"/>
    <col min="12305" max="12305" width="22.28515625" style="14" customWidth="1"/>
    <col min="12306" max="12306" width="24.85546875" style="14" customWidth="1"/>
    <col min="12307" max="12307" width="21.140625" style="14" customWidth="1"/>
    <col min="12308" max="12308" width="21.42578125" style="14" customWidth="1"/>
    <col min="12309" max="12309" width="27.85546875" style="14" customWidth="1"/>
    <col min="12310" max="12310" width="23.42578125" style="14" customWidth="1"/>
    <col min="12311" max="12311" width="21.42578125" style="14" customWidth="1"/>
    <col min="12312" max="12314" width="20.7109375" style="14" customWidth="1"/>
    <col min="12315" max="12315" width="32.28515625" style="14" bestFit="1" customWidth="1"/>
    <col min="12316" max="12316" width="20.7109375" style="14" customWidth="1"/>
    <col min="12317" max="12317" width="22" style="14" customWidth="1"/>
    <col min="12318" max="12321" width="21.28515625" style="14" customWidth="1"/>
    <col min="12322" max="12322" width="22.28515625" style="14" customWidth="1"/>
    <col min="12323" max="12324" width="11.42578125" style="14"/>
    <col min="12325" max="12325" width="14.85546875" style="14" bestFit="1" customWidth="1"/>
    <col min="12326" max="12550" width="11.42578125" style="14"/>
    <col min="12551" max="12551" width="34.42578125" style="14" customWidth="1"/>
    <col min="12552" max="12553" width="19.42578125" style="14" bestFit="1" customWidth="1"/>
    <col min="12554" max="12554" width="19.7109375" style="14" customWidth="1"/>
    <col min="12555" max="12556" width="20.42578125" style="14" customWidth="1"/>
    <col min="12557" max="12558" width="19.7109375" style="14" customWidth="1"/>
    <col min="12559" max="12559" width="25.28515625" style="14" customWidth="1"/>
    <col min="12560" max="12560" width="26" style="14" customWidth="1"/>
    <col min="12561" max="12561" width="22.28515625" style="14" customWidth="1"/>
    <col min="12562" max="12562" width="24.85546875" style="14" customWidth="1"/>
    <col min="12563" max="12563" width="21.140625" style="14" customWidth="1"/>
    <col min="12564" max="12564" width="21.42578125" style="14" customWidth="1"/>
    <col min="12565" max="12565" width="27.85546875" style="14" customWidth="1"/>
    <col min="12566" max="12566" width="23.42578125" style="14" customWidth="1"/>
    <col min="12567" max="12567" width="21.42578125" style="14" customWidth="1"/>
    <col min="12568" max="12570" width="20.7109375" style="14" customWidth="1"/>
    <col min="12571" max="12571" width="32.28515625" style="14" bestFit="1" customWidth="1"/>
    <col min="12572" max="12572" width="20.7109375" style="14" customWidth="1"/>
    <col min="12573" max="12573" width="22" style="14" customWidth="1"/>
    <col min="12574" max="12577" width="21.28515625" style="14" customWidth="1"/>
    <col min="12578" max="12578" width="22.28515625" style="14" customWidth="1"/>
    <col min="12579" max="12580" width="11.42578125" style="14"/>
    <col min="12581" max="12581" width="14.85546875" style="14" bestFit="1" customWidth="1"/>
    <col min="12582" max="12806" width="11.42578125" style="14"/>
    <col min="12807" max="12807" width="34.42578125" style="14" customWidth="1"/>
    <col min="12808" max="12809" width="19.42578125" style="14" bestFit="1" customWidth="1"/>
    <col min="12810" max="12810" width="19.7109375" style="14" customWidth="1"/>
    <col min="12811" max="12812" width="20.42578125" style="14" customWidth="1"/>
    <col min="12813" max="12814" width="19.7109375" style="14" customWidth="1"/>
    <col min="12815" max="12815" width="25.28515625" style="14" customWidth="1"/>
    <col min="12816" max="12816" width="26" style="14" customWidth="1"/>
    <col min="12817" max="12817" width="22.28515625" style="14" customWidth="1"/>
    <col min="12818" max="12818" width="24.85546875" style="14" customWidth="1"/>
    <col min="12819" max="12819" width="21.140625" style="14" customWidth="1"/>
    <col min="12820" max="12820" width="21.42578125" style="14" customWidth="1"/>
    <col min="12821" max="12821" width="27.85546875" style="14" customWidth="1"/>
    <col min="12822" max="12822" width="23.42578125" style="14" customWidth="1"/>
    <col min="12823" max="12823" width="21.42578125" style="14" customWidth="1"/>
    <col min="12824" max="12826" width="20.7109375" style="14" customWidth="1"/>
    <col min="12827" max="12827" width="32.28515625" style="14" bestFit="1" customWidth="1"/>
    <col min="12828" max="12828" width="20.7109375" style="14" customWidth="1"/>
    <col min="12829" max="12829" width="22" style="14" customWidth="1"/>
    <col min="12830" max="12833" width="21.28515625" style="14" customWidth="1"/>
    <col min="12834" max="12834" width="22.28515625" style="14" customWidth="1"/>
    <col min="12835" max="12836" width="11.42578125" style="14"/>
    <col min="12837" max="12837" width="14.85546875" style="14" bestFit="1" customWidth="1"/>
    <col min="12838" max="13062" width="11.42578125" style="14"/>
    <col min="13063" max="13063" width="34.42578125" style="14" customWidth="1"/>
    <col min="13064" max="13065" width="19.42578125" style="14" bestFit="1" customWidth="1"/>
    <col min="13066" max="13066" width="19.7109375" style="14" customWidth="1"/>
    <col min="13067" max="13068" width="20.42578125" style="14" customWidth="1"/>
    <col min="13069" max="13070" width="19.7109375" style="14" customWidth="1"/>
    <col min="13071" max="13071" width="25.28515625" style="14" customWidth="1"/>
    <col min="13072" max="13072" width="26" style="14" customWidth="1"/>
    <col min="13073" max="13073" width="22.28515625" style="14" customWidth="1"/>
    <col min="13074" max="13074" width="24.85546875" style="14" customWidth="1"/>
    <col min="13075" max="13075" width="21.140625" style="14" customWidth="1"/>
    <col min="13076" max="13076" width="21.42578125" style="14" customWidth="1"/>
    <col min="13077" max="13077" width="27.85546875" style="14" customWidth="1"/>
    <col min="13078" max="13078" width="23.42578125" style="14" customWidth="1"/>
    <col min="13079" max="13079" width="21.42578125" style="14" customWidth="1"/>
    <col min="13080" max="13082" width="20.7109375" style="14" customWidth="1"/>
    <col min="13083" max="13083" width="32.28515625" style="14" bestFit="1" customWidth="1"/>
    <col min="13084" max="13084" width="20.7109375" style="14" customWidth="1"/>
    <col min="13085" max="13085" width="22" style="14" customWidth="1"/>
    <col min="13086" max="13089" width="21.28515625" style="14" customWidth="1"/>
    <col min="13090" max="13090" width="22.28515625" style="14" customWidth="1"/>
    <col min="13091" max="13092" width="11.42578125" style="14"/>
    <col min="13093" max="13093" width="14.85546875" style="14" bestFit="1" customWidth="1"/>
    <col min="13094" max="13318" width="11.42578125" style="14"/>
    <col min="13319" max="13319" width="34.42578125" style="14" customWidth="1"/>
    <col min="13320" max="13321" width="19.42578125" style="14" bestFit="1" customWidth="1"/>
    <col min="13322" max="13322" width="19.7109375" style="14" customWidth="1"/>
    <col min="13323" max="13324" width="20.42578125" style="14" customWidth="1"/>
    <col min="13325" max="13326" width="19.7109375" style="14" customWidth="1"/>
    <col min="13327" max="13327" width="25.28515625" style="14" customWidth="1"/>
    <col min="13328" max="13328" width="26" style="14" customWidth="1"/>
    <col min="13329" max="13329" width="22.28515625" style="14" customWidth="1"/>
    <col min="13330" max="13330" width="24.85546875" style="14" customWidth="1"/>
    <col min="13331" max="13331" width="21.140625" style="14" customWidth="1"/>
    <col min="13332" max="13332" width="21.42578125" style="14" customWidth="1"/>
    <col min="13333" max="13333" width="27.85546875" style="14" customWidth="1"/>
    <col min="13334" max="13334" width="23.42578125" style="14" customWidth="1"/>
    <col min="13335" max="13335" width="21.42578125" style="14" customWidth="1"/>
    <col min="13336" max="13338" width="20.7109375" style="14" customWidth="1"/>
    <col min="13339" max="13339" width="32.28515625" style="14" bestFit="1" customWidth="1"/>
    <col min="13340" max="13340" width="20.7109375" style="14" customWidth="1"/>
    <col min="13341" max="13341" width="22" style="14" customWidth="1"/>
    <col min="13342" max="13345" width="21.28515625" style="14" customWidth="1"/>
    <col min="13346" max="13346" width="22.28515625" style="14" customWidth="1"/>
    <col min="13347" max="13348" width="11.42578125" style="14"/>
    <col min="13349" max="13349" width="14.85546875" style="14" bestFit="1" customWidth="1"/>
    <col min="13350" max="13574" width="11.42578125" style="14"/>
    <col min="13575" max="13575" width="34.42578125" style="14" customWidth="1"/>
    <col min="13576" max="13577" width="19.42578125" style="14" bestFit="1" customWidth="1"/>
    <col min="13578" max="13578" width="19.7109375" style="14" customWidth="1"/>
    <col min="13579" max="13580" width="20.42578125" style="14" customWidth="1"/>
    <col min="13581" max="13582" width="19.7109375" style="14" customWidth="1"/>
    <col min="13583" max="13583" width="25.28515625" style="14" customWidth="1"/>
    <col min="13584" max="13584" width="26" style="14" customWidth="1"/>
    <col min="13585" max="13585" width="22.28515625" style="14" customWidth="1"/>
    <col min="13586" max="13586" width="24.85546875" style="14" customWidth="1"/>
    <col min="13587" max="13587" width="21.140625" style="14" customWidth="1"/>
    <col min="13588" max="13588" width="21.42578125" style="14" customWidth="1"/>
    <col min="13589" max="13589" width="27.85546875" style="14" customWidth="1"/>
    <col min="13590" max="13590" width="23.42578125" style="14" customWidth="1"/>
    <col min="13591" max="13591" width="21.42578125" style="14" customWidth="1"/>
    <col min="13592" max="13594" width="20.7109375" style="14" customWidth="1"/>
    <col min="13595" max="13595" width="32.28515625" style="14" bestFit="1" customWidth="1"/>
    <col min="13596" max="13596" width="20.7109375" style="14" customWidth="1"/>
    <col min="13597" max="13597" width="22" style="14" customWidth="1"/>
    <col min="13598" max="13601" width="21.28515625" style="14" customWidth="1"/>
    <col min="13602" max="13602" width="22.28515625" style="14" customWidth="1"/>
    <col min="13603" max="13604" width="11.42578125" style="14"/>
    <col min="13605" max="13605" width="14.85546875" style="14" bestFit="1" customWidth="1"/>
    <col min="13606" max="13830" width="11.42578125" style="14"/>
    <col min="13831" max="13831" width="34.42578125" style="14" customWidth="1"/>
    <col min="13832" max="13833" width="19.42578125" style="14" bestFit="1" customWidth="1"/>
    <col min="13834" max="13834" width="19.7109375" style="14" customWidth="1"/>
    <col min="13835" max="13836" width="20.42578125" style="14" customWidth="1"/>
    <col min="13837" max="13838" width="19.7109375" style="14" customWidth="1"/>
    <col min="13839" max="13839" width="25.28515625" style="14" customWidth="1"/>
    <col min="13840" max="13840" width="26" style="14" customWidth="1"/>
    <col min="13841" max="13841" width="22.28515625" style="14" customWidth="1"/>
    <col min="13842" max="13842" width="24.85546875" style="14" customWidth="1"/>
    <col min="13843" max="13843" width="21.140625" style="14" customWidth="1"/>
    <col min="13844" max="13844" width="21.42578125" style="14" customWidth="1"/>
    <col min="13845" max="13845" width="27.85546875" style="14" customWidth="1"/>
    <col min="13846" max="13846" width="23.42578125" style="14" customWidth="1"/>
    <col min="13847" max="13847" width="21.42578125" style="14" customWidth="1"/>
    <col min="13848" max="13850" width="20.7109375" style="14" customWidth="1"/>
    <col min="13851" max="13851" width="32.28515625" style="14" bestFit="1" customWidth="1"/>
    <col min="13852" max="13852" width="20.7109375" style="14" customWidth="1"/>
    <col min="13853" max="13853" width="22" style="14" customWidth="1"/>
    <col min="13854" max="13857" width="21.28515625" style="14" customWidth="1"/>
    <col min="13858" max="13858" width="22.28515625" style="14" customWidth="1"/>
    <col min="13859" max="13860" width="11.42578125" style="14"/>
    <col min="13861" max="13861" width="14.85546875" style="14" bestFit="1" customWidth="1"/>
    <col min="13862" max="14086" width="11.42578125" style="14"/>
    <col min="14087" max="14087" width="34.42578125" style="14" customWidth="1"/>
    <col min="14088" max="14089" width="19.42578125" style="14" bestFit="1" customWidth="1"/>
    <col min="14090" max="14090" width="19.7109375" style="14" customWidth="1"/>
    <col min="14091" max="14092" width="20.42578125" style="14" customWidth="1"/>
    <col min="14093" max="14094" width="19.7109375" style="14" customWidth="1"/>
    <col min="14095" max="14095" width="25.28515625" style="14" customWidth="1"/>
    <col min="14096" max="14096" width="26" style="14" customWidth="1"/>
    <col min="14097" max="14097" width="22.28515625" style="14" customWidth="1"/>
    <col min="14098" max="14098" width="24.85546875" style="14" customWidth="1"/>
    <col min="14099" max="14099" width="21.140625" style="14" customWidth="1"/>
    <col min="14100" max="14100" width="21.42578125" style="14" customWidth="1"/>
    <col min="14101" max="14101" width="27.85546875" style="14" customWidth="1"/>
    <col min="14102" max="14102" width="23.42578125" style="14" customWidth="1"/>
    <col min="14103" max="14103" width="21.42578125" style="14" customWidth="1"/>
    <col min="14104" max="14106" width="20.7109375" style="14" customWidth="1"/>
    <col min="14107" max="14107" width="32.28515625" style="14" bestFit="1" customWidth="1"/>
    <col min="14108" max="14108" width="20.7109375" style="14" customWidth="1"/>
    <col min="14109" max="14109" width="22" style="14" customWidth="1"/>
    <col min="14110" max="14113" width="21.28515625" style="14" customWidth="1"/>
    <col min="14114" max="14114" width="22.28515625" style="14" customWidth="1"/>
    <col min="14115" max="14116" width="11.42578125" style="14"/>
    <col min="14117" max="14117" width="14.85546875" style="14" bestFit="1" customWidth="1"/>
    <col min="14118" max="14342" width="11.42578125" style="14"/>
    <col min="14343" max="14343" width="34.42578125" style="14" customWidth="1"/>
    <col min="14344" max="14345" width="19.42578125" style="14" bestFit="1" customWidth="1"/>
    <col min="14346" max="14346" width="19.7109375" style="14" customWidth="1"/>
    <col min="14347" max="14348" width="20.42578125" style="14" customWidth="1"/>
    <col min="14349" max="14350" width="19.7109375" style="14" customWidth="1"/>
    <col min="14351" max="14351" width="25.28515625" style="14" customWidth="1"/>
    <col min="14352" max="14352" width="26" style="14" customWidth="1"/>
    <col min="14353" max="14353" width="22.28515625" style="14" customWidth="1"/>
    <col min="14354" max="14354" width="24.85546875" style="14" customWidth="1"/>
    <col min="14355" max="14355" width="21.140625" style="14" customWidth="1"/>
    <col min="14356" max="14356" width="21.42578125" style="14" customWidth="1"/>
    <col min="14357" max="14357" width="27.85546875" style="14" customWidth="1"/>
    <col min="14358" max="14358" width="23.42578125" style="14" customWidth="1"/>
    <col min="14359" max="14359" width="21.42578125" style="14" customWidth="1"/>
    <col min="14360" max="14362" width="20.7109375" style="14" customWidth="1"/>
    <col min="14363" max="14363" width="32.28515625" style="14" bestFit="1" customWidth="1"/>
    <col min="14364" max="14364" width="20.7109375" style="14" customWidth="1"/>
    <col min="14365" max="14365" width="22" style="14" customWidth="1"/>
    <col min="14366" max="14369" width="21.28515625" style="14" customWidth="1"/>
    <col min="14370" max="14370" width="22.28515625" style="14" customWidth="1"/>
    <col min="14371" max="14372" width="11.42578125" style="14"/>
    <col min="14373" max="14373" width="14.85546875" style="14" bestFit="1" customWidth="1"/>
    <col min="14374" max="14598" width="11.42578125" style="14"/>
    <col min="14599" max="14599" width="34.42578125" style="14" customWidth="1"/>
    <col min="14600" max="14601" width="19.42578125" style="14" bestFit="1" customWidth="1"/>
    <col min="14602" max="14602" width="19.7109375" style="14" customWidth="1"/>
    <col min="14603" max="14604" width="20.42578125" style="14" customWidth="1"/>
    <col min="14605" max="14606" width="19.7109375" style="14" customWidth="1"/>
    <col min="14607" max="14607" width="25.28515625" style="14" customWidth="1"/>
    <col min="14608" max="14608" width="26" style="14" customWidth="1"/>
    <col min="14609" max="14609" width="22.28515625" style="14" customWidth="1"/>
    <col min="14610" max="14610" width="24.85546875" style="14" customWidth="1"/>
    <col min="14611" max="14611" width="21.140625" style="14" customWidth="1"/>
    <col min="14612" max="14612" width="21.42578125" style="14" customWidth="1"/>
    <col min="14613" max="14613" width="27.85546875" style="14" customWidth="1"/>
    <col min="14614" max="14614" width="23.42578125" style="14" customWidth="1"/>
    <col min="14615" max="14615" width="21.42578125" style="14" customWidth="1"/>
    <col min="14616" max="14618" width="20.7109375" style="14" customWidth="1"/>
    <col min="14619" max="14619" width="32.28515625" style="14" bestFit="1" customWidth="1"/>
    <col min="14620" max="14620" width="20.7109375" style="14" customWidth="1"/>
    <col min="14621" max="14621" width="22" style="14" customWidth="1"/>
    <col min="14622" max="14625" width="21.28515625" style="14" customWidth="1"/>
    <col min="14626" max="14626" width="22.28515625" style="14" customWidth="1"/>
    <col min="14627" max="14628" width="11.42578125" style="14"/>
    <col min="14629" max="14629" width="14.85546875" style="14" bestFit="1" customWidth="1"/>
    <col min="14630" max="14854" width="11.42578125" style="14"/>
    <col min="14855" max="14855" width="34.42578125" style="14" customWidth="1"/>
    <col min="14856" max="14857" width="19.42578125" style="14" bestFit="1" customWidth="1"/>
    <col min="14858" max="14858" width="19.7109375" style="14" customWidth="1"/>
    <col min="14859" max="14860" width="20.42578125" style="14" customWidth="1"/>
    <col min="14861" max="14862" width="19.7109375" style="14" customWidth="1"/>
    <col min="14863" max="14863" width="25.28515625" style="14" customWidth="1"/>
    <col min="14864" max="14864" width="26" style="14" customWidth="1"/>
    <col min="14865" max="14865" width="22.28515625" style="14" customWidth="1"/>
    <col min="14866" max="14866" width="24.85546875" style="14" customWidth="1"/>
    <col min="14867" max="14867" width="21.140625" style="14" customWidth="1"/>
    <col min="14868" max="14868" width="21.42578125" style="14" customWidth="1"/>
    <col min="14869" max="14869" width="27.85546875" style="14" customWidth="1"/>
    <col min="14870" max="14870" width="23.42578125" style="14" customWidth="1"/>
    <col min="14871" max="14871" width="21.42578125" style="14" customWidth="1"/>
    <col min="14872" max="14874" width="20.7109375" style="14" customWidth="1"/>
    <col min="14875" max="14875" width="32.28515625" style="14" bestFit="1" customWidth="1"/>
    <col min="14876" max="14876" width="20.7109375" style="14" customWidth="1"/>
    <col min="14877" max="14877" width="22" style="14" customWidth="1"/>
    <col min="14878" max="14881" width="21.28515625" style="14" customWidth="1"/>
    <col min="14882" max="14882" width="22.28515625" style="14" customWidth="1"/>
    <col min="14883" max="14884" width="11.42578125" style="14"/>
    <col min="14885" max="14885" width="14.85546875" style="14" bestFit="1" customWidth="1"/>
    <col min="14886" max="15110" width="11.42578125" style="14"/>
    <col min="15111" max="15111" width="34.42578125" style="14" customWidth="1"/>
    <col min="15112" max="15113" width="19.42578125" style="14" bestFit="1" customWidth="1"/>
    <col min="15114" max="15114" width="19.7109375" style="14" customWidth="1"/>
    <col min="15115" max="15116" width="20.42578125" style="14" customWidth="1"/>
    <col min="15117" max="15118" width="19.7109375" style="14" customWidth="1"/>
    <col min="15119" max="15119" width="25.28515625" style="14" customWidth="1"/>
    <col min="15120" max="15120" width="26" style="14" customWidth="1"/>
    <col min="15121" max="15121" width="22.28515625" style="14" customWidth="1"/>
    <col min="15122" max="15122" width="24.85546875" style="14" customWidth="1"/>
    <col min="15123" max="15123" width="21.140625" style="14" customWidth="1"/>
    <col min="15124" max="15124" width="21.42578125" style="14" customWidth="1"/>
    <col min="15125" max="15125" width="27.85546875" style="14" customWidth="1"/>
    <col min="15126" max="15126" width="23.42578125" style="14" customWidth="1"/>
    <col min="15127" max="15127" width="21.42578125" style="14" customWidth="1"/>
    <col min="15128" max="15130" width="20.7109375" style="14" customWidth="1"/>
    <col min="15131" max="15131" width="32.28515625" style="14" bestFit="1" customWidth="1"/>
    <col min="15132" max="15132" width="20.7109375" style="14" customWidth="1"/>
    <col min="15133" max="15133" width="22" style="14" customWidth="1"/>
    <col min="15134" max="15137" width="21.28515625" style="14" customWidth="1"/>
    <col min="15138" max="15138" width="22.28515625" style="14" customWidth="1"/>
    <col min="15139" max="15140" width="11.42578125" style="14"/>
    <col min="15141" max="15141" width="14.85546875" style="14" bestFit="1" customWidth="1"/>
    <col min="15142" max="15366" width="11.42578125" style="14"/>
    <col min="15367" max="15367" width="34.42578125" style="14" customWidth="1"/>
    <col min="15368" max="15369" width="19.42578125" style="14" bestFit="1" customWidth="1"/>
    <col min="15370" max="15370" width="19.7109375" style="14" customWidth="1"/>
    <col min="15371" max="15372" width="20.42578125" style="14" customWidth="1"/>
    <col min="15373" max="15374" width="19.7109375" style="14" customWidth="1"/>
    <col min="15375" max="15375" width="25.28515625" style="14" customWidth="1"/>
    <col min="15376" max="15376" width="26" style="14" customWidth="1"/>
    <col min="15377" max="15377" width="22.28515625" style="14" customWidth="1"/>
    <col min="15378" max="15378" width="24.85546875" style="14" customWidth="1"/>
    <col min="15379" max="15379" width="21.140625" style="14" customWidth="1"/>
    <col min="15380" max="15380" width="21.42578125" style="14" customWidth="1"/>
    <col min="15381" max="15381" width="27.85546875" style="14" customWidth="1"/>
    <col min="15382" max="15382" width="23.42578125" style="14" customWidth="1"/>
    <col min="15383" max="15383" width="21.42578125" style="14" customWidth="1"/>
    <col min="15384" max="15386" width="20.7109375" style="14" customWidth="1"/>
    <col min="15387" max="15387" width="32.28515625" style="14" bestFit="1" customWidth="1"/>
    <col min="15388" max="15388" width="20.7109375" style="14" customWidth="1"/>
    <col min="15389" max="15389" width="22" style="14" customWidth="1"/>
    <col min="15390" max="15393" width="21.28515625" style="14" customWidth="1"/>
    <col min="15394" max="15394" width="22.28515625" style="14" customWidth="1"/>
    <col min="15395" max="15396" width="11.42578125" style="14"/>
    <col min="15397" max="15397" width="14.85546875" style="14" bestFit="1" customWidth="1"/>
    <col min="15398" max="15622" width="11.42578125" style="14"/>
    <col min="15623" max="15623" width="34.42578125" style="14" customWidth="1"/>
    <col min="15624" max="15625" width="19.42578125" style="14" bestFit="1" customWidth="1"/>
    <col min="15626" max="15626" width="19.7109375" style="14" customWidth="1"/>
    <col min="15627" max="15628" width="20.42578125" style="14" customWidth="1"/>
    <col min="15629" max="15630" width="19.7109375" style="14" customWidth="1"/>
    <col min="15631" max="15631" width="25.28515625" style="14" customWidth="1"/>
    <col min="15632" max="15632" width="26" style="14" customWidth="1"/>
    <col min="15633" max="15633" width="22.28515625" style="14" customWidth="1"/>
    <col min="15634" max="15634" width="24.85546875" style="14" customWidth="1"/>
    <col min="15635" max="15635" width="21.140625" style="14" customWidth="1"/>
    <col min="15636" max="15636" width="21.42578125" style="14" customWidth="1"/>
    <col min="15637" max="15637" width="27.85546875" style="14" customWidth="1"/>
    <col min="15638" max="15638" width="23.42578125" style="14" customWidth="1"/>
    <col min="15639" max="15639" width="21.42578125" style="14" customWidth="1"/>
    <col min="15640" max="15642" width="20.7109375" style="14" customWidth="1"/>
    <col min="15643" max="15643" width="32.28515625" style="14" bestFit="1" customWidth="1"/>
    <col min="15644" max="15644" width="20.7109375" style="14" customWidth="1"/>
    <col min="15645" max="15645" width="22" style="14" customWidth="1"/>
    <col min="15646" max="15649" width="21.28515625" style="14" customWidth="1"/>
    <col min="15650" max="15650" width="22.28515625" style="14" customWidth="1"/>
    <col min="15651" max="15652" width="11.42578125" style="14"/>
    <col min="15653" max="15653" width="14.85546875" style="14" bestFit="1" customWidth="1"/>
    <col min="15654" max="15878" width="11.42578125" style="14"/>
    <col min="15879" max="15879" width="34.42578125" style="14" customWidth="1"/>
    <col min="15880" max="15881" width="19.42578125" style="14" bestFit="1" customWidth="1"/>
    <col min="15882" max="15882" width="19.7109375" style="14" customWidth="1"/>
    <col min="15883" max="15884" width="20.42578125" style="14" customWidth="1"/>
    <col min="15885" max="15886" width="19.7109375" style="14" customWidth="1"/>
    <col min="15887" max="15887" width="25.28515625" style="14" customWidth="1"/>
    <col min="15888" max="15888" width="26" style="14" customWidth="1"/>
    <col min="15889" max="15889" width="22.28515625" style="14" customWidth="1"/>
    <col min="15890" max="15890" width="24.85546875" style="14" customWidth="1"/>
    <col min="15891" max="15891" width="21.140625" style="14" customWidth="1"/>
    <col min="15892" max="15892" width="21.42578125" style="14" customWidth="1"/>
    <col min="15893" max="15893" width="27.85546875" style="14" customWidth="1"/>
    <col min="15894" max="15894" width="23.42578125" style="14" customWidth="1"/>
    <col min="15895" max="15895" width="21.42578125" style="14" customWidth="1"/>
    <col min="15896" max="15898" width="20.7109375" style="14" customWidth="1"/>
    <col min="15899" max="15899" width="32.28515625" style="14" bestFit="1" customWidth="1"/>
    <col min="15900" max="15900" width="20.7109375" style="14" customWidth="1"/>
    <col min="15901" max="15901" width="22" style="14" customWidth="1"/>
    <col min="15902" max="15905" width="21.28515625" style="14" customWidth="1"/>
    <col min="15906" max="15906" width="22.28515625" style="14" customWidth="1"/>
    <col min="15907" max="15908" width="11.42578125" style="14"/>
    <col min="15909" max="15909" width="14.85546875" style="14" bestFit="1" customWidth="1"/>
    <col min="15910" max="16134" width="11.42578125" style="14"/>
    <col min="16135" max="16135" width="34.42578125" style="14" customWidth="1"/>
    <col min="16136" max="16137" width="19.42578125" style="14" bestFit="1" customWidth="1"/>
    <col min="16138" max="16138" width="19.7109375" style="14" customWidth="1"/>
    <col min="16139" max="16140" width="20.42578125" style="14" customWidth="1"/>
    <col min="16141" max="16142" width="19.7109375" style="14" customWidth="1"/>
    <col min="16143" max="16143" width="25.28515625" style="14" customWidth="1"/>
    <col min="16144" max="16144" width="26" style="14" customWidth="1"/>
    <col min="16145" max="16145" width="22.28515625" style="14" customWidth="1"/>
    <col min="16146" max="16146" width="24.85546875" style="14" customWidth="1"/>
    <col min="16147" max="16147" width="21.140625" style="14" customWidth="1"/>
    <col min="16148" max="16148" width="21.42578125" style="14" customWidth="1"/>
    <col min="16149" max="16149" width="27.85546875" style="14" customWidth="1"/>
    <col min="16150" max="16150" width="23.42578125" style="14" customWidth="1"/>
    <col min="16151" max="16151" width="21.42578125" style="14" customWidth="1"/>
    <col min="16152" max="16154" width="20.7109375" style="14" customWidth="1"/>
    <col min="16155" max="16155" width="32.28515625" style="14" bestFit="1" customWidth="1"/>
    <col min="16156" max="16156" width="20.7109375" style="14" customWidth="1"/>
    <col min="16157" max="16157" width="22" style="14" customWidth="1"/>
    <col min="16158" max="16161" width="21.28515625" style="14" customWidth="1"/>
    <col min="16162" max="16162" width="22.28515625" style="14" customWidth="1"/>
    <col min="16163" max="16164" width="11.42578125" style="14"/>
    <col min="16165" max="16165" width="14.85546875" style="14" bestFit="1" customWidth="1"/>
    <col min="16166" max="16384" width="11.42578125" style="14"/>
  </cols>
  <sheetData>
    <row r="1" spans="1:34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2"/>
      <c r="AD1" s="2"/>
      <c r="AE1" s="2"/>
      <c r="AF1" s="2"/>
      <c r="AG1" s="2"/>
      <c r="AH1" s="1"/>
    </row>
    <row r="2" spans="1:34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2"/>
      <c r="AD2" s="2"/>
      <c r="AE2" s="2"/>
      <c r="AF2" s="2"/>
      <c r="AG2" s="2"/>
      <c r="AH2" s="1"/>
    </row>
    <row r="3" spans="1:34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2"/>
      <c r="AD3" s="2"/>
      <c r="AE3" s="2"/>
      <c r="AF3" s="2"/>
      <c r="AG3" s="2"/>
      <c r="AH3" s="4"/>
    </row>
    <row r="4" spans="1:34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2"/>
      <c r="AD4" s="2"/>
      <c r="AE4" s="2"/>
      <c r="AF4" s="2"/>
      <c r="AG4" s="2"/>
      <c r="AH4" s="1"/>
    </row>
    <row r="5" spans="1:34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2"/>
      <c r="AD5" s="2"/>
      <c r="AE5" s="2"/>
      <c r="AF5" s="2"/>
      <c r="AG5" s="2"/>
      <c r="AH5" s="1"/>
    </row>
    <row r="6" spans="1:34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2"/>
      <c r="AD6" s="2"/>
      <c r="AE6" s="2"/>
      <c r="AF6" s="2"/>
      <c r="AG6" s="2"/>
      <c r="AH6" s="1"/>
    </row>
    <row r="7" spans="1:34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2"/>
      <c r="AD7" s="2"/>
      <c r="AE7" s="2"/>
      <c r="AF7" s="2"/>
      <c r="AG7" s="2"/>
      <c r="AH7" s="1"/>
    </row>
    <row r="8" spans="1:34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2"/>
      <c r="AD8" s="2"/>
      <c r="AE8" s="2"/>
      <c r="AF8" s="2"/>
      <c r="AG8" s="2"/>
      <c r="AH8" s="1"/>
    </row>
    <row r="9" spans="1:34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 t="s">
        <v>3</v>
      </c>
      <c r="V9" s="960" t="s">
        <v>35</v>
      </c>
      <c r="W9" s="960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</row>
    <row r="10" spans="1:3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</row>
    <row r="11" spans="1:34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965" t="s">
        <v>64</v>
      </c>
      <c r="O11" s="965"/>
      <c r="P11" s="6"/>
      <c r="Q11" s="6"/>
      <c r="R11" s="6"/>
      <c r="S11" s="1"/>
      <c r="T11" s="1"/>
      <c r="U11" s="1" t="s">
        <v>6</v>
      </c>
      <c r="V11" s="95">
        <v>45385</v>
      </c>
      <c r="W11" s="6"/>
      <c r="X11" s="6"/>
      <c r="Y11" s="6"/>
      <c r="Z11" s="6"/>
      <c r="AA11" s="6"/>
      <c r="AB11" s="6"/>
      <c r="AC11" s="1"/>
      <c r="AD11" s="1"/>
      <c r="AE11" s="1"/>
      <c r="AF11" s="1"/>
      <c r="AG11" s="1"/>
      <c r="AH11" s="1"/>
    </row>
    <row r="12" spans="1:3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6"/>
      <c r="O12" s="6"/>
      <c r="P12" s="6"/>
      <c r="Q12" s="6"/>
      <c r="R12" s="6"/>
      <c r="S12" s="1"/>
      <c r="T12" s="1"/>
      <c r="U12" s="1"/>
      <c r="V12" s="1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"/>
    </row>
    <row r="13" spans="1:3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"/>
      <c r="AB13" s="1"/>
      <c r="AC13" s="1"/>
    </row>
    <row r="14" spans="1:34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1"/>
      <c r="AC14" s="1"/>
      <c r="AD14" s="1"/>
    </row>
    <row r="15" spans="1:34" s="10" customFormat="1" ht="36" thickBot="1" x14ac:dyDescent="0.3">
      <c r="A15" s="69" t="s">
        <v>7</v>
      </c>
      <c r="B15" s="971" t="s">
        <v>8</v>
      </c>
      <c r="C15" s="968"/>
      <c r="D15" s="968"/>
      <c r="E15" s="968"/>
      <c r="F15" s="968"/>
      <c r="G15" s="968"/>
      <c r="H15" s="968"/>
      <c r="I15" s="968"/>
      <c r="J15" s="968"/>
      <c r="K15" s="969"/>
      <c r="L15" s="971" t="s">
        <v>29</v>
      </c>
      <c r="M15" s="968"/>
      <c r="N15" s="968"/>
      <c r="O15" s="968"/>
      <c r="P15" s="968"/>
      <c r="Q15" s="969"/>
      <c r="R15" s="962" t="s">
        <v>31</v>
      </c>
      <c r="S15" s="963"/>
      <c r="T15" s="963"/>
      <c r="U15" s="963"/>
      <c r="V15" s="963"/>
      <c r="W15" s="964"/>
      <c r="X15" s="9"/>
    </row>
    <row r="16" spans="1:34" ht="39.950000000000003" customHeight="1" x14ac:dyDescent="0.25">
      <c r="A16" s="80" t="s">
        <v>34</v>
      </c>
      <c r="B16" s="117"/>
      <c r="C16" s="118"/>
      <c r="D16" s="150"/>
      <c r="E16" s="118"/>
      <c r="F16" s="118"/>
      <c r="G16" s="118"/>
      <c r="H16" s="150"/>
      <c r="I16" s="150"/>
      <c r="J16" s="151"/>
      <c r="K16" s="152"/>
      <c r="L16" s="117"/>
      <c r="M16" s="118"/>
      <c r="N16" s="118"/>
      <c r="O16" s="118"/>
      <c r="P16" s="118"/>
      <c r="Q16" s="119"/>
      <c r="R16" s="149"/>
      <c r="S16" s="118"/>
      <c r="T16" s="118"/>
      <c r="U16" s="118"/>
      <c r="V16" s="118"/>
      <c r="W16" s="118"/>
      <c r="X16" s="13" t="s">
        <v>9</v>
      </c>
      <c r="Z16" s="15"/>
      <c r="AA16" s="15"/>
    </row>
    <row r="17" spans="1:34" ht="39.950000000000003" customHeight="1" x14ac:dyDescent="0.25">
      <c r="A17" s="80" t="s">
        <v>10</v>
      </c>
      <c r="B17" s="11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7">
        <v>9</v>
      </c>
      <c r="K17" s="17">
        <v>10</v>
      </c>
      <c r="L17" s="11">
        <v>1</v>
      </c>
      <c r="M17" s="16">
        <v>2</v>
      </c>
      <c r="N17" s="16">
        <v>3</v>
      </c>
      <c r="O17" s="16">
        <v>4</v>
      </c>
      <c r="P17" s="16">
        <v>5</v>
      </c>
      <c r="Q17" s="17">
        <v>6</v>
      </c>
      <c r="R17" s="60">
        <v>1</v>
      </c>
      <c r="S17" s="16">
        <v>2</v>
      </c>
      <c r="T17" s="16">
        <v>3</v>
      </c>
      <c r="U17" s="16">
        <v>4</v>
      </c>
      <c r="V17" s="16">
        <v>5</v>
      </c>
      <c r="W17" s="16">
        <v>6</v>
      </c>
      <c r="X17" s="13"/>
      <c r="Z17" s="2"/>
      <c r="AA17" s="15"/>
    </row>
    <row r="18" spans="1:34" ht="39.950000000000003" customHeight="1" x14ac:dyDescent="0.25">
      <c r="A18" s="96" t="s">
        <v>53</v>
      </c>
      <c r="B18" s="18"/>
      <c r="C18" s="19"/>
      <c r="D18" s="19"/>
      <c r="E18" s="19"/>
      <c r="F18" s="19"/>
      <c r="G18" s="19"/>
      <c r="H18" s="19"/>
      <c r="I18" s="19"/>
      <c r="J18" s="19"/>
      <c r="K18" s="20"/>
      <c r="L18" s="18"/>
      <c r="M18" s="19"/>
      <c r="N18" s="19"/>
      <c r="O18" s="19"/>
      <c r="P18" s="19"/>
      <c r="Q18" s="20"/>
      <c r="R18" s="61"/>
      <c r="S18" s="19"/>
      <c r="T18" s="19"/>
      <c r="U18" s="19"/>
      <c r="V18" s="19"/>
      <c r="W18" s="19"/>
      <c r="X18" s="98"/>
      <c r="Z18" s="2"/>
      <c r="AA18" s="15"/>
    </row>
    <row r="19" spans="1:34" ht="39.950000000000003" customHeight="1" x14ac:dyDescent="0.25">
      <c r="A19" s="96" t="s">
        <v>24</v>
      </c>
      <c r="B19" s="18">
        <v>35.5</v>
      </c>
      <c r="C19" s="19">
        <v>27.3</v>
      </c>
      <c r="D19" s="19">
        <v>33.5</v>
      </c>
      <c r="E19" s="19">
        <v>33.5</v>
      </c>
      <c r="F19" s="19">
        <v>25.8</v>
      </c>
      <c r="G19" s="19">
        <v>25.8</v>
      </c>
      <c r="H19" s="19">
        <v>32.9</v>
      </c>
      <c r="I19" s="19">
        <v>33.5</v>
      </c>
      <c r="J19" s="19">
        <v>31.3</v>
      </c>
      <c r="K19" s="20">
        <v>12.7</v>
      </c>
      <c r="L19" s="18">
        <v>32</v>
      </c>
      <c r="M19" s="19">
        <v>30.5</v>
      </c>
      <c r="N19" s="19">
        <v>33.9</v>
      </c>
      <c r="O19" s="19">
        <v>28.4</v>
      </c>
      <c r="P19" s="19">
        <v>28.8</v>
      </c>
      <c r="Q19" s="20">
        <v>18.7</v>
      </c>
      <c r="R19" s="61">
        <v>16.2</v>
      </c>
      <c r="S19" s="19">
        <v>37.9</v>
      </c>
      <c r="T19" s="19">
        <v>32.799999999999997</v>
      </c>
      <c r="U19" s="19">
        <v>33.299999999999997</v>
      </c>
      <c r="V19" s="19">
        <v>29.4</v>
      </c>
      <c r="W19" s="19">
        <v>17.399999999999999</v>
      </c>
      <c r="X19" s="98">
        <f>SUM(B19:W19)</f>
        <v>631.0999999999998</v>
      </c>
      <c r="Z19" s="2"/>
      <c r="AA19" s="15"/>
    </row>
    <row r="20" spans="1:34" ht="39.75" customHeight="1" x14ac:dyDescent="0.25">
      <c r="A20" s="96" t="s">
        <v>20</v>
      </c>
      <c r="B20" s="18">
        <f>(((($B$27*$B$26)/1000)*7)-$B$19)/4</f>
        <v>36.863</v>
      </c>
      <c r="C20" s="19">
        <f>(((($C$27*$C$26)/1000)*7)-$C$19)/4</f>
        <v>28.087500000000002</v>
      </c>
      <c r="D20" s="19">
        <f>(((($D$27*$D$26)/1000)*7)-$D$19)/4</f>
        <v>34.35125</v>
      </c>
      <c r="E20" s="19">
        <f>(((($E$27*$E$26)/1000)*7)-$E$19)/4</f>
        <v>34.434374999999996</v>
      </c>
      <c r="F20" s="19">
        <f>(((($F$27*$F$26)/1000)*7)-$F$19)/4</f>
        <v>26.181374999999999</v>
      </c>
      <c r="G20" s="19">
        <f>(((($G$27*$G$26)/1000)*7)-$G$19)/4</f>
        <v>26.367750000000004</v>
      </c>
      <c r="H20" s="19">
        <f>(((($H$27*$H$26)/1000)*7)-$H$19)/4</f>
        <v>34.037499999999994</v>
      </c>
      <c r="I20" s="19">
        <f>(((($I$27*$I$26)/1000)*7)-$I$19)/4</f>
        <v>33.968000000000004</v>
      </c>
      <c r="J20" s="19">
        <f>(((($J$27*$J$26)/1000)*7)-$J$19)/4</f>
        <v>32.305999999999997</v>
      </c>
      <c r="K20" s="20">
        <f>(((($K$27*$K$26)/1000)*7)-$K$19)/4</f>
        <v>13.126249999999999</v>
      </c>
      <c r="L20" s="18">
        <f>(((($L$27*$L$26)/1000)*7)-$L$19)/4</f>
        <v>33.233499999999999</v>
      </c>
      <c r="M20" s="19">
        <f>(((($M$27*$M$26)/1000)*7)-$M$19)/4</f>
        <v>31.360624999999999</v>
      </c>
      <c r="N20" s="19">
        <f>(((($N$27*$N$26)/1000)*7)-$N$19)/4</f>
        <v>34.870749999999994</v>
      </c>
      <c r="O20" s="19">
        <f>(((($O$27*$O$26)/1000)*7)-$O$19)/4</f>
        <v>29.446999999999996</v>
      </c>
      <c r="P20" s="19">
        <f>(((($P$27*$P$26)/1000)*7)-$P$19)/4</f>
        <v>29.669</v>
      </c>
      <c r="Q20" s="20">
        <f>(((($Q$27*$Q$26)/1000)*7)-$Q$19)/4</f>
        <v>19.451374999999999</v>
      </c>
      <c r="R20" s="61">
        <f>(((($R$27*$R$26)/1000)*7)-$R$19)/4</f>
        <v>16.78725</v>
      </c>
      <c r="S20" s="19">
        <f>(((($S$27*$S$26)/1000)*7)-$S$19)/4</f>
        <v>39.412999999999997</v>
      </c>
      <c r="T20" s="19">
        <f>(((($T$27*$T$26)/1000)*7)-$T$19)/4</f>
        <v>33.66525</v>
      </c>
      <c r="U20" s="19">
        <f>(((($U$27*$U$26)/1000)*7)-$U$19)/4</f>
        <v>34.340000000000003</v>
      </c>
      <c r="V20" s="19">
        <f>(((($V$27*$V$26)/1000)*7)-$V$19)/4</f>
        <v>30.371249999999996</v>
      </c>
      <c r="W20" s="19">
        <f>(((($W$27*$W$26)/1000)*7)-$W$19)/4</f>
        <v>18.015000000000001</v>
      </c>
      <c r="X20" s="98">
        <f>SUM(B20:W20)</f>
        <v>650.34699999999998</v>
      </c>
      <c r="Z20" s="2"/>
      <c r="AA20" s="15"/>
    </row>
    <row r="21" spans="1:34" ht="39.950000000000003" customHeight="1" x14ac:dyDescent="0.25">
      <c r="A21" s="96" t="s">
        <v>28</v>
      </c>
      <c r="B21" s="18">
        <f>(((($B$27*$B$26)/1000)*7)-$B$19)/4</f>
        <v>36.863</v>
      </c>
      <c r="C21" s="19">
        <f>(((($C$27*$C$26)/1000)*7)-$C$19)/4</f>
        <v>28.087500000000002</v>
      </c>
      <c r="D21" s="19">
        <f>(((($D$27*$D$26)/1000)*7)-$D$19)/4</f>
        <v>34.35125</v>
      </c>
      <c r="E21" s="19">
        <f>(((($E$27*$E$26)/1000)*7)-$E$19)/4</f>
        <v>34.434374999999996</v>
      </c>
      <c r="F21" s="19">
        <f>(((($F$27*$F$26)/1000)*7)-$F$19)/4</f>
        <v>26.181374999999999</v>
      </c>
      <c r="G21" s="19">
        <f>(((($G$27*$G$26)/1000)*7)-$G$19)/4</f>
        <v>26.367750000000004</v>
      </c>
      <c r="H21" s="19">
        <f>(((($H$27*$H$26)/1000)*7)-$H$19)/4</f>
        <v>34.037499999999994</v>
      </c>
      <c r="I21" s="19">
        <f>(((($I$27*$I$26)/1000)*7)-$I$19)/4</f>
        <v>33.968000000000004</v>
      </c>
      <c r="J21" s="19">
        <f>(((($J$27*$J$26)/1000)*7)-$J$19)/4</f>
        <v>32.305999999999997</v>
      </c>
      <c r="K21" s="20">
        <f>(((($K$27*$K$26)/1000)*7)-$K$19)/4</f>
        <v>13.126249999999999</v>
      </c>
      <c r="L21" s="18">
        <f>(((($L$27*$L$26)/1000)*7)-$L$19)/4</f>
        <v>33.233499999999999</v>
      </c>
      <c r="M21" s="19">
        <f>(((($M$27*$M$26)/1000)*7)-$M$19)/4</f>
        <v>31.360624999999999</v>
      </c>
      <c r="N21" s="19">
        <f>(((($N$27*$N$26)/1000)*7)-$N$19)/4</f>
        <v>34.870749999999994</v>
      </c>
      <c r="O21" s="19">
        <f>(((($O$27*$O$26)/1000)*7)-$O$19)/4</f>
        <v>29.446999999999996</v>
      </c>
      <c r="P21" s="19">
        <f>(((($P$27*$P$26)/1000)*7)-$P$19)/4</f>
        <v>29.669</v>
      </c>
      <c r="Q21" s="20">
        <f>(((($Q$27*$Q$26)/1000)*7)-$Q$19)/4</f>
        <v>19.451374999999999</v>
      </c>
      <c r="R21" s="61">
        <f>(((($R$27*$R$26)/1000)*7)-$R$19)/4</f>
        <v>16.78725</v>
      </c>
      <c r="S21" s="19">
        <f>(((($S$27*$S$26)/1000)*7)-$S$19)/4</f>
        <v>39.412999999999997</v>
      </c>
      <c r="T21" s="19">
        <f>(((($T$27*$T$26)/1000)*7)-$T$19)/4</f>
        <v>33.66525</v>
      </c>
      <c r="U21" s="19">
        <f>(((($U$27*$U$26)/1000)*7)-$U$19)/4</f>
        <v>34.340000000000003</v>
      </c>
      <c r="V21" s="19">
        <f>(((($V$27*$V$26)/1000)*7)-$V$19)/4</f>
        <v>30.371249999999996</v>
      </c>
      <c r="W21" s="19">
        <f>(((($W$27*$W$26)/1000)*7)-$W$19)/4</f>
        <v>18.015000000000001</v>
      </c>
      <c r="X21" s="98">
        <f>SUM(B21:W21)</f>
        <v>650.34699999999998</v>
      </c>
      <c r="Z21" s="2"/>
      <c r="AA21" s="15"/>
    </row>
    <row r="22" spans="1:34" ht="39.950000000000003" customHeight="1" x14ac:dyDescent="0.25">
      <c r="A22" s="9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19"/>
      <c r="P22" s="19"/>
      <c r="Q22" s="20"/>
      <c r="R22" s="61"/>
      <c r="S22" s="19"/>
      <c r="T22" s="19"/>
      <c r="U22" s="19"/>
      <c r="V22" s="19"/>
      <c r="W22" s="19"/>
      <c r="X22" s="98">
        <f>SUM(B22:V22)</f>
        <v>0</v>
      </c>
      <c r="Z22" s="2"/>
      <c r="AA22" s="15"/>
    </row>
    <row r="23" spans="1:34" ht="39.950000000000003" customHeight="1" x14ac:dyDescent="0.25">
      <c r="A23" s="96" t="s">
        <v>22</v>
      </c>
      <c r="B23" s="18">
        <f>(((($B$27*$B$26)/1000)*7)-$B$19)/4</f>
        <v>36.863</v>
      </c>
      <c r="C23" s="19">
        <f>(((($C$27*$C$26)/1000)*7)-$C$19)/4</f>
        <v>28.087500000000002</v>
      </c>
      <c r="D23" s="19">
        <f>(((($D$27*$D$26)/1000)*7)-$D$19)/4</f>
        <v>34.35125</v>
      </c>
      <c r="E23" s="19">
        <f>(((($E$27*$E$26)/1000)*7)-$E$19)/4</f>
        <v>34.434374999999996</v>
      </c>
      <c r="F23" s="19">
        <f>(((($F$27*$F$26)/1000)*7)-$F$19)/4</f>
        <v>26.181374999999999</v>
      </c>
      <c r="G23" s="19">
        <f>(((($G$27*$G$26)/1000)*7)-$G$19)/4</f>
        <v>26.367750000000004</v>
      </c>
      <c r="H23" s="19">
        <f>(((($H$27*$H$26)/1000)*7)-$H$19)/4</f>
        <v>34.037499999999994</v>
      </c>
      <c r="I23" s="19">
        <f>(((($I$27*$I$26)/1000)*7)-$I$19)/4</f>
        <v>33.968000000000004</v>
      </c>
      <c r="J23" s="19">
        <f>(((($J$27*$J$26)/1000)*7)-$J$19)/4</f>
        <v>32.305999999999997</v>
      </c>
      <c r="K23" s="20">
        <f>(((($K$27*$K$26)/1000)*7)-$K$19)/4</f>
        <v>13.126249999999999</v>
      </c>
      <c r="L23" s="18">
        <f>(((($L$27*$L$26)/1000)*7)-$L$19)/4</f>
        <v>33.233499999999999</v>
      </c>
      <c r="M23" s="19">
        <f>(((($M$27*$M$26)/1000)*7)-$M$19)/4</f>
        <v>31.360624999999999</v>
      </c>
      <c r="N23" s="19">
        <f>(((($N$27*$N$26)/1000)*7)-$N$19)/4</f>
        <v>34.870749999999994</v>
      </c>
      <c r="O23" s="19">
        <f>(((($O$27*$O$26)/1000)*7)-$O$19)/4</f>
        <v>29.446999999999996</v>
      </c>
      <c r="P23" s="19">
        <f>(((($P$27*$P$26)/1000)*7)-$P$19)/4</f>
        <v>29.669</v>
      </c>
      <c r="Q23" s="20">
        <f>(((($Q$27*$Q$26)/1000)*7)-$Q$19)/4</f>
        <v>19.451374999999999</v>
      </c>
      <c r="R23" s="61">
        <f>(((($R$27*$R$26)/1000)*7)-$R$19)/4</f>
        <v>16.78725</v>
      </c>
      <c r="S23" s="19">
        <f>(((($S$27*$S$26)/1000)*7)-$S$19)/4</f>
        <v>39.412999999999997</v>
      </c>
      <c r="T23" s="19">
        <f>(((($T$27*$T$26)/1000)*7)-$T$19)/4</f>
        <v>33.66525</v>
      </c>
      <c r="U23" s="19">
        <f>(((($U$27*$U$26)/1000)*7)-$U$19)/4</f>
        <v>34.340000000000003</v>
      </c>
      <c r="V23" s="19">
        <f>(((($V$27*$V$26)/1000)*7)-$V$19)/4</f>
        <v>30.371249999999996</v>
      </c>
      <c r="W23" s="19">
        <f>(((($W$27*$W$26)/1000)*7)-$W$19)/4</f>
        <v>18.015000000000001</v>
      </c>
      <c r="X23" s="98">
        <f>SUM(B23:W23)</f>
        <v>650.34699999999998</v>
      </c>
      <c r="Z23" s="2"/>
      <c r="AA23" s="15"/>
    </row>
    <row r="24" spans="1:34" ht="39.950000000000003" customHeight="1" thickBot="1" x14ac:dyDescent="0.3">
      <c r="A24" s="96" t="s">
        <v>23</v>
      </c>
      <c r="B24" s="18">
        <f>(((($B$27*$B$26)/1000)*7)-$B$19)/4</f>
        <v>36.863</v>
      </c>
      <c r="C24" s="19">
        <f>(((($C$27*$C$26)/1000)*7)-$C$19)/4</f>
        <v>28.087500000000002</v>
      </c>
      <c r="D24" s="19">
        <f>(((($D$27*$D$26)/1000)*7)-$D$19)/4</f>
        <v>34.35125</v>
      </c>
      <c r="E24" s="19">
        <f>(((($E$27*$E$26)/1000)*7)-$E$19)/4</f>
        <v>34.434374999999996</v>
      </c>
      <c r="F24" s="19">
        <f>(((($F$27*$F$26)/1000)*7)-$F$19)/4</f>
        <v>26.181374999999999</v>
      </c>
      <c r="G24" s="19">
        <f>(((($G$27*$G$26)/1000)*7)-$G$19)/4</f>
        <v>26.367750000000004</v>
      </c>
      <c r="H24" s="19">
        <f>(((($H$27*$H$26)/1000)*7)-$H$19)/4</f>
        <v>34.037499999999994</v>
      </c>
      <c r="I24" s="19">
        <f>(((($I$27*$I$26)/1000)*7)-$I$19)/4</f>
        <v>33.968000000000004</v>
      </c>
      <c r="J24" s="19">
        <f>(((($J$27*$J$26)/1000)*7)-$J$19)/4</f>
        <v>32.305999999999997</v>
      </c>
      <c r="K24" s="20">
        <f>(((($K$27*$K$26)/1000)*7)-$K$19)/4</f>
        <v>13.126249999999999</v>
      </c>
      <c r="L24" s="18">
        <f>(((($L$27*$L$26)/1000)*7)-$L$19)/4</f>
        <v>33.233499999999999</v>
      </c>
      <c r="M24" s="19">
        <f>(((($M$27*$M$26)/1000)*7)-$M$19)/4</f>
        <v>31.360624999999999</v>
      </c>
      <c r="N24" s="19">
        <f>(((($N$27*$N$26)/1000)*7)-$N$19)/4</f>
        <v>34.870749999999994</v>
      </c>
      <c r="O24" s="19">
        <f>(((($O$27*$O$26)/1000)*7)-$O$19)/4</f>
        <v>29.446999999999996</v>
      </c>
      <c r="P24" s="19">
        <f>(((($P$27*$P$26)/1000)*7)-$P$19)/4</f>
        <v>29.669</v>
      </c>
      <c r="Q24" s="20">
        <f>(((($Q$27*$Q$26)/1000)*7)-$Q$19)/4</f>
        <v>19.451374999999999</v>
      </c>
      <c r="R24" s="61">
        <f>(((($R$27*$R$26)/1000)*7)-$R$19)/4</f>
        <v>16.78725</v>
      </c>
      <c r="S24" s="19">
        <f>(((($S$27*$S$26)/1000)*7)-$S$19)/4</f>
        <v>39.412999999999997</v>
      </c>
      <c r="T24" s="19">
        <f>(((($T$27*$T$26)/1000)*7)-$T$19)/4</f>
        <v>33.66525</v>
      </c>
      <c r="U24" s="19">
        <f>(((($U$27*$U$26)/1000)*7)-$U$19)/4</f>
        <v>34.340000000000003</v>
      </c>
      <c r="V24" s="19">
        <f>(((($V$27*$V$26)/1000)*7)-$V$19)/4</f>
        <v>30.371249999999996</v>
      </c>
      <c r="W24" s="19">
        <f>(((($W$27*$W$26)/1000)*7)-$W$19)/4</f>
        <v>18.015000000000001</v>
      </c>
      <c r="X24" s="98">
        <f>SUM(B24:W24)</f>
        <v>650.34699999999998</v>
      </c>
      <c r="Z24" s="2"/>
    </row>
    <row r="25" spans="1:34" ht="41.45" customHeight="1" x14ac:dyDescent="0.25">
      <c r="A25" s="126" t="s">
        <v>9</v>
      </c>
      <c r="B25" s="131">
        <f t="shared" ref="B25:I25" si="0">SUM(B18:B24)</f>
        <v>182.952</v>
      </c>
      <c r="C25" s="128">
        <f t="shared" si="0"/>
        <v>139.65</v>
      </c>
      <c r="D25" s="128">
        <f t="shared" si="0"/>
        <v>170.90499999999997</v>
      </c>
      <c r="E25" s="128">
        <f t="shared" si="0"/>
        <v>171.23749999999995</v>
      </c>
      <c r="F25" s="128">
        <f t="shared" si="0"/>
        <v>130.52549999999999</v>
      </c>
      <c r="G25" s="128">
        <f>SUM(G18:G24)</f>
        <v>131.27100000000002</v>
      </c>
      <c r="H25" s="128">
        <f t="shared" si="0"/>
        <v>169.04999999999998</v>
      </c>
      <c r="I25" s="128">
        <f t="shared" si="0"/>
        <v>169.37200000000001</v>
      </c>
      <c r="J25" s="129">
        <f t="shared" ref="J25:W25" si="1">SUM(J18:J24)</f>
        <v>160.524</v>
      </c>
      <c r="K25" s="129">
        <f t="shared" si="1"/>
        <v>65.204999999999998</v>
      </c>
      <c r="L25" s="131">
        <f t="shared" si="1"/>
        <v>164.93399999999997</v>
      </c>
      <c r="M25" s="128">
        <f t="shared" si="1"/>
        <v>155.9425</v>
      </c>
      <c r="N25" s="128">
        <f t="shared" si="1"/>
        <v>173.38299999999995</v>
      </c>
      <c r="O25" s="128">
        <f t="shared" si="1"/>
        <v>146.18799999999999</v>
      </c>
      <c r="P25" s="128">
        <f t="shared" si="1"/>
        <v>147.476</v>
      </c>
      <c r="Q25" s="129">
        <f t="shared" si="1"/>
        <v>96.505499999999998</v>
      </c>
      <c r="R25" s="133">
        <f t="shared" si="1"/>
        <v>83.349000000000004</v>
      </c>
      <c r="S25" s="134">
        <f t="shared" si="1"/>
        <v>195.55199999999996</v>
      </c>
      <c r="T25" s="134">
        <f t="shared" si="1"/>
        <v>167.46100000000001</v>
      </c>
      <c r="U25" s="134">
        <f t="shared" si="1"/>
        <v>170.66</v>
      </c>
      <c r="V25" s="134">
        <f t="shared" si="1"/>
        <v>150.88499999999999</v>
      </c>
      <c r="W25" s="156">
        <f t="shared" si="1"/>
        <v>89.46</v>
      </c>
      <c r="X25" s="98">
        <f>SUM(B25:W25)</f>
        <v>3232.4880000000003</v>
      </c>
    </row>
    <row r="26" spans="1:34" s="2" customFormat="1" ht="36.75" customHeight="1" x14ac:dyDescent="0.25">
      <c r="A26" s="70" t="s">
        <v>11</v>
      </c>
      <c r="B26" s="23">
        <v>49.5</v>
      </c>
      <c r="C26" s="63">
        <v>47.5</v>
      </c>
      <c r="D26" s="63">
        <v>47.5</v>
      </c>
      <c r="E26" s="63">
        <v>47.5</v>
      </c>
      <c r="F26" s="63">
        <v>46.5</v>
      </c>
      <c r="G26" s="63">
        <v>47</v>
      </c>
      <c r="H26" s="63">
        <v>46</v>
      </c>
      <c r="I26" s="63">
        <v>46</v>
      </c>
      <c r="J26" s="63">
        <v>45.5</v>
      </c>
      <c r="K26" s="155">
        <v>45</v>
      </c>
      <c r="L26" s="23">
        <v>49.5</v>
      </c>
      <c r="M26" s="63">
        <v>47.5</v>
      </c>
      <c r="N26" s="63">
        <v>47</v>
      </c>
      <c r="O26" s="63">
        <v>46</v>
      </c>
      <c r="P26" s="63">
        <v>46</v>
      </c>
      <c r="Q26" s="155">
        <v>45.5</v>
      </c>
      <c r="R26" s="23">
        <v>49</v>
      </c>
      <c r="S26" s="63">
        <v>48</v>
      </c>
      <c r="T26" s="63">
        <v>47</v>
      </c>
      <c r="U26" s="63">
        <v>46</v>
      </c>
      <c r="V26" s="63">
        <v>45</v>
      </c>
      <c r="W26" s="155">
        <v>45</v>
      </c>
      <c r="X26" s="99">
        <f>((X25/X27)/7)*1000</f>
        <v>46.867350045671373</v>
      </c>
    </row>
    <row r="27" spans="1:34" s="2" customFormat="1" ht="33" customHeight="1" x14ac:dyDescent="0.25">
      <c r="A27" s="71" t="s">
        <v>12</v>
      </c>
      <c r="B27" s="26">
        <v>528</v>
      </c>
      <c r="C27" s="27">
        <v>420</v>
      </c>
      <c r="D27" s="27">
        <v>514</v>
      </c>
      <c r="E27" s="27">
        <v>515</v>
      </c>
      <c r="F27" s="27">
        <v>401</v>
      </c>
      <c r="G27" s="27">
        <v>399</v>
      </c>
      <c r="H27" s="27">
        <v>525</v>
      </c>
      <c r="I27" s="27">
        <v>526</v>
      </c>
      <c r="J27" s="28">
        <v>504</v>
      </c>
      <c r="K27" s="28">
        <v>207</v>
      </c>
      <c r="L27" s="26">
        <v>476</v>
      </c>
      <c r="M27" s="27">
        <v>469</v>
      </c>
      <c r="N27" s="27">
        <v>527</v>
      </c>
      <c r="O27" s="27">
        <v>454</v>
      </c>
      <c r="P27" s="27">
        <v>458</v>
      </c>
      <c r="Q27" s="28">
        <v>303</v>
      </c>
      <c r="R27" s="26">
        <v>243</v>
      </c>
      <c r="S27" s="27">
        <v>582</v>
      </c>
      <c r="T27" s="27">
        <v>509</v>
      </c>
      <c r="U27" s="27">
        <v>530</v>
      </c>
      <c r="V27" s="27">
        <v>479</v>
      </c>
      <c r="W27" s="28">
        <v>284</v>
      </c>
      <c r="X27" s="29">
        <f>SUM(B27,C27,D27,E27,F27,G27,H27,I27,J27,K27,L27,M27,N27,O27,P27,Q27,R27,S27,T27,U27,V27,W27)</f>
        <v>9853</v>
      </c>
    </row>
    <row r="28" spans="1:34" s="2" customFormat="1" ht="33" customHeight="1" x14ac:dyDescent="0.25">
      <c r="A28" s="72" t="s">
        <v>13</v>
      </c>
      <c r="B28" s="30">
        <f>(B27*B26)/1000</f>
        <v>26.135999999999999</v>
      </c>
      <c r="C28" s="31">
        <f>(C27*C26)/1000</f>
        <v>19.95</v>
      </c>
      <c r="D28" s="31">
        <f>(D27*D26)/1000</f>
        <v>24.414999999999999</v>
      </c>
      <c r="E28" s="31">
        <f>(E27*E26)/1000</f>
        <v>24.462499999999999</v>
      </c>
      <c r="F28" s="31">
        <f>(F27*F26)/1000</f>
        <v>18.6465</v>
      </c>
      <c r="G28" s="31">
        <f t="shared" ref="G28:W28" si="2">(G27*G26)/1000</f>
        <v>18.753</v>
      </c>
      <c r="H28" s="31">
        <f t="shared" si="2"/>
        <v>24.15</v>
      </c>
      <c r="I28" s="31">
        <f t="shared" si="2"/>
        <v>24.196000000000002</v>
      </c>
      <c r="J28" s="32">
        <f t="shared" si="2"/>
        <v>22.931999999999999</v>
      </c>
      <c r="K28" s="32">
        <f t="shared" si="2"/>
        <v>9.3149999999999995</v>
      </c>
      <c r="L28" s="30">
        <f t="shared" si="2"/>
        <v>23.562000000000001</v>
      </c>
      <c r="M28" s="31">
        <f t="shared" si="2"/>
        <v>22.2775</v>
      </c>
      <c r="N28" s="31">
        <f t="shared" si="2"/>
        <v>24.768999999999998</v>
      </c>
      <c r="O28" s="31">
        <f t="shared" si="2"/>
        <v>20.884</v>
      </c>
      <c r="P28" s="31">
        <f t="shared" si="2"/>
        <v>21.068000000000001</v>
      </c>
      <c r="Q28" s="32">
        <f t="shared" si="2"/>
        <v>13.7865</v>
      </c>
      <c r="R28" s="30">
        <f t="shared" si="2"/>
        <v>11.907</v>
      </c>
      <c r="S28" s="31">
        <f t="shared" si="2"/>
        <v>27.936</v>
      </c>
      <c r="T28" s="31">
        <f t="shared" si="2"/>
        <v>23.922999999999998</v>
      </c>
      <c r="U28" s="31">
        <f t="shared" si="2"/>
        <v>24.38</v>
      </c>
      <c r="V28" s="31">
        <f t="shared" si="2"/>
        <v>21.555</v>
      </c>
      <c r="W28" s="32">
        <f t="shared" si="2"/>
        <v>12.78</v>
      </c>
      <c r="X28" s="33"/>
    </row>
    <row r="29" spans="1:34" ht="33.75" customHeight="1" x14ac:dyDescent="0.25">
      <c r="A29" s="73" t="s">
        <v>14</v>
      </c>
      <c r="B29" s="34">
        <f t="shared" ref="B29:K29" si="3">((B27*B26)*7)/1000</f>
        <v>182.952</v>
      </c>
      <c r="C29" s="35">
        <f t="shared" si="3"/>
        <v>139.65</v>
      </c>
      <c r="D29" s="35">
        <f t="shared" si="3"/>
        <v>170.905</v>
      </c>
      <c r="E29" s="35">
        <f t="shared" si="3"/>
        <v>171.23750000000001</v>
      </c>
      <c r="F29" s="35">
        <f t="shared" si="3"/>
        <v>130.52549999999999</v>
      </c>
      <c r="G29" s="35">
        <f t="shared" si="3"/>
        <v>131.27099999999999</v>
      </c>
      <c r="H29" s="35">
        <f t="shared" si="3"/>
        <v>169.05</v>
      </c>
      <c r="I29" s="35">
        <f t="shared" si="3"/>
        <v>169.37200000000001</v>
      </c>
      <c r="J29" s="68">
        <f t="shared" si="3"/>
        <v>160.524</v>
      </c>
      <c r="K29" s="68">
        <f t="shared" si="3"/>
        <v>65.204999999999998</v>
      </c>
      <c r="L29" s="34">
        <f t="shared" ref="L29:W29" si="4">((L27*L26)*7)/1000</f>
        <v>164.934</v>
      </c>
      <c r="M29" s="35">
        <f t="shared" si="4"/>
        <v>155.9425</v>
      </c>
      <c r="N29" s="35">
        <f t="shared" si="4"/>
        <v>173.38300000000001</v>
      </c>
      <c r="O29" s="35">
        <f t="shared" si="4"/>
        <v>146.18799999999999</v>
      </c>
      <c r="P29" s="35">
        <f t="shared" si="4"/>
        <v>147.476</v>
      </c>
      <c r="Q29" s="68">
        <f t="shared" si="4"/>
        <v>96.505499999999998</v>
      </c>
      <c r="R29" s="34">
        <f t="shared" si="4"/>
        <v>83.349000000000004</v>
      </c>
      <c r="S29" s="35">
        <f t="shared" si="4"/>
        <v>195.55199999999999</v>
      </c>
      <c r="T29" s="35">
        <f t="shared" si="4"/>
        <v>167.46100000000001</v>
      </c>
      <c r="U29" s="35">
        <f t="shared" si="4"/>
        <v>170.66</v>
      </c>
      <c r="V29" s="35">
        <f t="shared" si="4"/>
        <v>150.88499999999999</v>
      </c>
      <c r="W29" s="68">
        <f t="shared" si="4"/>
        <v>89.46</v>
      </c>
      <c r="X29" s="36"/>
    </row>
    <row r="30" spans="1:34" ht="33.75" customHeight="1" thickBot="1" x14ac:dyDescent="0.3">
      <c r="A30" s="74" t="s">
        <v>15</v>
      </c>
      <c r="B30" s="37">
        <f t="shared" ref="B30:K30" si="5">+(B25/B27)/7*1000</f>
        <v>49.499999999999993</v>
      </c>
      <c r="C30" s="38">
        <f t="shared" si="5"/>
        <v>47.5</v>
      </c>
      <c r="D30" s="38">
        <f t="shared" si="5"/>
        <v>47.499999999999993</v>
      </c>
      <c r="E30" s="38">
        <f t="shared" si="5"/>
        <v>47.499999999999986</v>
      </c>
      <c r="F30" s="38">
        <f t="shared" si="5"/>
        <v>46.5</v>
      </c>
      <c r="G30" s="38">
        <f t="shared" si="5"/>
        <v>47</v>
      </c>
      <c r="H30" s="38">
        <f t="shared" si="5"/>
        <v>45.999999999999993</v>
      </c>
      <c r="I30" s="38">
        <f t="shared" si="5"/>
        <v>46</v>
      </c>
      <c r="J30" s="39">
        <f t="shared" si="5"/>
        <v>45.5</v>
      </c>
      <c r="K30" s="39">
        <f t="shared" si="5"/>
        <v>45</v>
      </c>
      <c r="L30" s="37">
        <f t="shared" ref="L30:W30" si="6">+(L25/L27)/7*1000</f>
        <v>49.499999999999986</v>
      </c>
      <c r="M30" s="38">
        <f t="shared" si="6"/>
        <v>47.5</v>
      </c>
      <c r="N30" s="38">
        <f t="shared" si="6"/>
        <v>46.999999999999986</v>
      </c>
      <c r="O30" s="38">
        <f t="shared" si="6"/>
        <v>45.999999999999993</v>
      </c>
      <c r="P30" s="38">
        <f t="shared" si="6"/>
        <v>46</v>
      </c>
      <c r="Q30" s="39">
        <f t="shared" si="6"/>
        <v>45.5</v>
      </c>
      <c r="R30" s="37">
        <f t="shared" si="6"/>
        <v>49</v>
      </c>
      <c r="S30" s="38">
        <f t="shared" si="6"/>
        <v>47.999999999999993</v>
      </c>
      <c r="T30" s="38">
        <f t="shared" si="6"/>
        <v>47</v>
      </c>
      <c r="U30" s="38">
        <f t="shared" si="6"/>
        <v>46</v>
      </c>
      <c r="V30" s="38">
        <f t="shared" si="6"/>
        <v>45</v>
      </c>
      <c r="W30" s="39">
        <f t="shared" si="6"/>
        <v>45</v>
      </c>
      <c r="X30" s="40"/>
    </row>
    <row r="31" spans="1:34" ht="33.75" customHeight="1" x14ac:dyDescent="0.25">
      <c r="A31" s="41"/>
      <c r="B31" s="42">
        <v>47</v>
      </c>
      <c r="C31" s="42">
        <v>45.5</v>
      </c>
      <c r="D31" s="42">
        <v>45.5</v>
      </c>
      <c r="E31" s="42">
        <v>45.5</v>
      </c>
      <c r="F31" s="42">
        <v>45</v>
      </c>
      <c r="G31" s="42">
        <v>45</v>
      </c>
      <c r="H31" s="42">
        <v>44</v>
      </c>
      <c r="I31" s="42">
        <v>44.5</v>
      </c>
      <c r="J31" s="42">
        <v>43.5</v>
      </c>
      <c r="K31" s="42">
        <v>43</v>
      </c>
      <c r="L31" s="42">
        <v>47</v>
      </c>
      <c r="M31" s="42">
        <v>45.5</v>
      </c>
      <c r="N31" s="42">
        <v>45</v>
      </c>
      <c r="O31" s="42">
        <v>44</v>
      </c>
      <c r="P31" s="42">
        <v>44</v>
      </c>
      <c r="Q31" s="42">
        <v>43.5</v>
      </c>
      <c r="R31" s="42">
        <v>46.5</v>
      </c>
      <c r="S31" s="42">
        <v>45.5</v>
      </c>
      <c r="T31" s="42">
        <v>45</v>
      </c>
      <c r="U31" s="42">
        <v>44</v>
      </c>
      <c r="V31" s="42">
        <v>43</v>
      </c>
      <c r="W31" s="42">
        <v>43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>
        <v>41.5</v>
      </c>
      <c r="AA32" s="42"/>
      <c r="AB32" s="42"/>
      <c r="AC32" s="42"/>
      <c r="AD32" s="42"/>
      <c r="AE32" s="42"/>
      <c r="AF32" s="42"/>
      <c r="AG32" s="42"/>
      <c r="AH32" s="41"/>
    </row>
    <row r="33" spans="1:34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>
        <v>41</v>
      </c>
      <c r="AA33" s="42"/>
      <c r="AB33" s="42"/>
      <c r="AC33" s="42"/>
      <c r="AD33" s="42"/>
      <c r="AE33" s="42"/>
      <c r="AF33" s="42"/>
      <c r="AG33" s="42"/>
      <c r="AH33" s="41"/>
    </row>
    <row r="34" spans="1:34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>
        <v>40.5</v>
      </c>
      <c r="AA34" s="42"/>
      <c r="AB34" s="42"/>
      <c r="AC34" s="42"/>
      <c r="AD34" s="42"/>
      <c r="AE34" s="42"/>
      <c r="AF34" s="41"/>
    </row>
    <row r="35" spans="1:34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>
        <v>40</v>
      </c>
      <c r="AA35" s="43"/>
      <c r="AB35" s="43"/>
      <c r="AC35" s="43"/>
      <c r="AD35" s="43"/>
      <c r="AE35" s="43"/>
      <c r="AF35" s="3"/>
    </row>
    <row r="36" spans="1:34" ht="33.75" customHeight="1" thickBot="1" x14ac:dyDescent="0.3">
      <c r="A36" s="69" t="s">
        <v>16</v>
      </c>
      <c r="B36" s="966" t="s">
        <v>17</v>
      </c>
      <c r="C36" s="967"/>
      <c r="D36" s="967"/>
      <c r="E36" s="967"/>
      <c r="F36" s="967"/>
      <c r="G36" s="967"/>
      <c r="H36" s="75"/>
      <c r="M36" s="44"/>
      <c r="N36" s="88" t="s">
        <v>18</v>
      </c>
      <c r="O36" s="956" t="s">
        <v>17</v>
      </c>
      <c r="P36" s="956"/>
      <c r="Q36" s="956"/>
      <c r="R36" s="956"/>
      <c r="S36" s="956"/>
      <c r="T36" s="957"/>
      <c r="U36" s="81"/>
      <c r="V36" s="45"/>
      <c r="W36" s="45"/>
      <c r="X36" s="46"/>
      <c r="Y36" s="3"/>
      <c r="Z36" s="45">
        <v>39.5</v>
      </c>
      <c r="AA36" s="45"/>
      <c r="AB36" s="45"/>
      <c r="AC36" s="3"/>
    </row>
    <row r="37" spans="1:34" ht="33.75" customHeight="1" x14ac:dyDescent="0.25">
      <c r="A37" s="80" t="s">
        <v>34</v>
      </c>
      <c r="B37" s="141"/>
      <c r="C37" s="118"/>
      <c r="D37" s="118"/>
      <c r="E37" s="118"/>
      <c r="F37" s="118"/>
      <c r="G37" s="119"/>
      <c r="H37" s="13" t="s">
        <v>9</v>
      </c>
      <c r="I37" s="47"/>
      <c r="J37" s="47"/>
      <c r="K37" s="47"/>
      <c r="L37" s="970"/>
      <c r="M37" s="970"/>
      <c r="N37" s="97" t="s">
        <v>33</v>
      </c>
      <c r="O37" s="60"/>
      <c r="P37" s="12"/>
      <c r="Q37" s="12"/>
      <c r="R37" s="12"/>
      <c r="S37" s="12"/>
      <c r="T37" s="12"/>
      <c r="U37" s="76" t="s">
        <v>9</v>
      </c>
      <c r="V37" s="47"/>
      <c r="W37" s="47"/>
      <c r="X37" s="3"/>
      <c r="Y37" s="46"/>
      <c r="Z37" s="3">
        <v>39.5</v>
      </c>
      <c r="AA37" s="45"/>
      <c r="AB37" s="45"/>
      <c r="AC37" s="45"/>
    </row>
    <row r="38" spans="1:34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6">
        <v>6</v>
      </c>
      <c r="H38" s="13"/>
      <c r="I38" s="47"/>
      <c r="J38" s="47"/>
      <c r="K38" s="47"/>
      <c r="L38" s="144"/>
      <c r="M38" s="145"/>
      <c r="N38" s="80" t="s">
        <v>10</v>
      </c>
      <c r="O38" s="60">
        <v>1</v>
      </c>
      <c r="P38" s="16">
        <v>2</v>
      </c>
      <c r="Q38" s="16">
        <v>3</v>
      </c>
      <c r="R38" s="16"/>
      <c r="S38" s="16"/>
      <c r="T38" s="16"/>
      <c r="U38" s="76"/>
      <c r="V38" s="47"/>
      <c r="W38" s="47"/>
      <c r="X38" s="48"/>
      <c r="Y38" s="48"/>
      <c r="Z38" s="2"/>
      <c r="AA38" s="2"/>
      <c r="AB38" s="2"/>
      <c r="AC38" s="2"/>
    </row>
    <row r="39" spans="1:34" ht="33.75" customHeight="1" x14ac:dyDescent="0.25">
      <c r="A39" s="96" t="s">
        <v>32</v>
      </c>
      <c r="B39" s="18"/>
      <c r="C39" s="61"/>
      <c r="D39" s="61"/>
      <c r="E39" s="61"/>
      <c r="F39" s="61"/>
      <c r="G39" s="61"/>
      <c r="H39" s="136">
        <f t="shared" ref="H39:H46" si="7">SUM(B39:G39)</f>
        <v>0</v>
      </c>
      <c r="I39" s="49"/>
      <c r="J39" s="49"/>
      <c r="K39" s="49"/>
      <c r="L39" s="144"/>
      <c r="M39" s="145"/>
      <c r="N39" s="96" t="s">
        <v>53</v>
      </c>
      <c r="O39" s="61"/>
      <c r="P39" s="61"/>
      <c r="Q39" s="61"/>
      <c r="R39" s="61"/>
      <c r="S39" s="61"/>
      <c r="T39" s="61"/>
      <c r="U39" s="77">
        <f t="shared" ref="U39:U46" si="8">SUM(O39:T39)</f>
        <v>0</v>
      </c>
      <c r="V39" s="2">
        <v>138</v>
      </c>
      <c r="W39" s="49"/>
      <c r="X39" s="48"/>
      <c r="Y39" s="48"/>
      <c r="Z39" s="2"/>
      <c r="AA39" s="2"/>
      <c r="AB39" s="2"/>
      <c r="AC39" s="2"/>
    </row>
    <row r="40" spans="1:34" ht="33.75" customHeight="1" x14ac:dyDescent="0.25">
      <c r="A40" s="96" t="s">
        <v>24</v>
      </c>
      <c r="B40" s="18">
        <v>23.4</v>
      </c>
      <c r="C40" s="61">
        <v>35</v>
      </c>
      <c r="D40" s="61">
        <v>50.9</v>
      </c>
      <c r="E40" s="61">
        <v>49.6</v>
      </c>
      <c r="F40" s="61">
        <v>27</v>
      </c>
      <c r="G40" s="61">
        <v>22.3</v>
      </c>
      <c r="H40" s="136">
        <f t="shared" si="7"/>
        <v>208.20000000000002</v>
      </c>
      <c r="I40" s="49"/>
      <c r="J40" s="49"/>
      <c r="K40" s="49"/>
      <c r="L40" s="144"/>
      <c r="M40" s="145"/>
      <c r="N40" s="96" t="s">
        <v>24</v>
      </c>
      <c r="O40" s="61">
        <v>8.6</v>
      </c>
      <c r="P40" s="61">
        <v>14.6</v>
      </c>
      <c r="Q40" s="61">
        <v>17.100000000000001</v>
      </c>
      <c r="R40" s="61"/>
      <c r="S40" s="61"/>
      <c r="T40" s="61"/>
      <c r="U40" s="77">
        <f t="shared" si="8"/>
        <v>40.299999999999997</v>
      </c>
      <c r="V40" s="2">
        <v>138</v>
      </c>
      <c r="W40" s="49"/>
      <c r="X40" s="48"/>
      <c r="Y40" s="48"/>
      <c r="Z40" s="2"/>
      <c r="AA40" s="2"/>
      <c r="AB40" s="2"/>
      <c r="AC40" s="2"/>
    </row>
    <row r="41" spans="1:34" ht="33.75" customHeight="1" x14ac:dyDescent="0.25">
      <c r="A41" s="96" t="s">
        <v>20</v>
      </c>
      <c r="B41" s="18">
        <f>(((($B$48*$B$47)/1000)*7)-$B$40)/4</f>
        <v>24.383874999999996</v>
      </c>
      <c r="C41" s="61">
        <f>(((($C$47*$C$48)/1000)*7)-$C$40)/4</f>
        <v>36.658125000000005</v>
      </c>
      <c r="D41" s="61">
        <f>(((($D$47*$D$48)/1000)*7)-$D$40)/4</f>
        <v>52.795875000000002</v>
      </c>
      <c r="E41" s="61">
        <f>(((($E$47*$E$48)/1000)*7)-$E$40)/4</f>
        <v>51.498625000000004</v>
      </c>
      <c r="F41" s="61">
        <f>(((($F$47*$F$48)/1000)*7)-$F$40)/4</f>
        <v>28.414500000000004</v>
      </c>
      <c r="G41" s="61">
        <f>(((($G$47*$G$48)/1000)*7)-$G$40)/4</f>
        <v>22.862500000000001</v>
      </c>
      <c r="H41" s="136">
        <f t="shared" si="7"/>
        <v>216.61350000000002</v>
      </c>
      <c r="I41" s="49"/>
      <c r="J41" s="49"/>
      <c r="K41" s="49"/>
      <c r="L41" s="144"/>
      <c r="M41" s="145"/>
      <c r="N41" s="96" t="s">
        <v>20</v>
      </c>
      <c r="O41" s="61">
        <f>(((($O$48*$O$47)/1000)*7)-$O$40)/4</f>
        <v>8.49</v>
      </c>
      <c r="P41" s="61">
        <f>(((($P$47*$P$48)/1000)*7)-$P$40)/4</f>
        <v>14.494000000000002</v>
      </c>
      <c r="Q41" s="61">
        <f>(((($Q$47*$Q$48)/1000)*7)-$Q$40)/4</f>
        <v>17.005000000000003</v>
      </c>
      <c r="R41" s="61"/>
      <c r="S41" s="61"/>
      <c r="T41" s="19"/>
      <c r="U41" s="77">
        <f t="shared" si="8"/>
        <v>39.989000000000004</v>
      </c>
      <c r="V41" s="90">
        <v>57</v>
      </c>
      <c r="W41" s="147">
        <v>571.20000000000005</v>
      </c>
      <c r="X41" s="48"/>
      <c r="Y41" s="48"/>
      <c r="Z41" s="2"/>
      <c r="AA41" s="2"/>
      <c r="AB41" s="2"/>
      <c r="AC41" s="2"/>
    </row>
    <row r="42" spans="1:34" ht="33.75" customHeight="1" x14ac:dyDescent="0.25">
      <c r="A42" s="96" t="s">
        <v>28</v>
      </c>
      <c r="B42" s="18">
        <f>(((($B$48*$B$47)/1000)*7)-$B$40)/4</f>
        <v>24.383874999999996</v>
      </c>
      <c r="C42" s="61">
        <f>(((($C$47*$C$48)/1000)*7)-$C$40)/4</f>
        <v>36.658125000000005</v>
      </c>
      <c r="D42" s="61">
        <f>(((($D$47*$D$48)/1000)*7)-$D$40)/4</f>
        <v>52.795875000000002</v>
      </c>
      <c r="E42" s="61">
        <f>(((($E$47*$E$48)/1000)*7)-$E$40)/4</f>
        <v>51.498625000000004</v>
      </c>
      <c r="F42" s="61">
        <f>(((($F$47*$F$48)/1000)*7)-$F$40)/4</f>
        <v>28.414500000000004</v>
      </c>
      <c r="G42" s="61">
        <f>(((($G$47*$G$48)/1000)*7)-$G$40)/4</f>
        <v>22.862500000000001</v>
      </c>
      <c r="H42" s="136">
        <f t="shared" si="7"/>
        <v>216.61350000000002</v>
      </c>
      <c r="I42" s="49"/>
      <c r="J42" s="49"/>
      <c r="K42" s="49"/>
      <c r="L42" s="144"/>
      <c r="M42" s="145"/>
      <c r="N42" s="96" t="s">
        <v>28</v>
      </c>
      <c r="O42" s="61">
        <f>(((($O$48*$O$47)/1000)*7)-$O$40)/4</f>
        <v>8.49</v>
      </c>
      <c r="P42" s="61">
        <f>(((($P$47*$P$48)/1000)*7)-$P$40)/4</f>
        <v>14.494000000000002</v>
      </c>
      <c r="Q42" s="61">
        <f>(((($Q$47*$Q$48)/1000)*7)-$Q$40)/4</f>
        <v>17.005000000000003</v>
      </c>
      <c r="R42" s="61"/>
      <c r="S42" s="61"/>
      <c r="T42" s="61"/>
      <c r="U42" s="77">
        <f t="shared" si="8"/>
        <v>39.989000000000004</v>
      </c>
      <c r="V42" s="90">
        <v>58</v>
      </c>
      <c r="W42" s="147"/>
      <c r="X42" s="48"/>
      <c r="Y42" s="48"/>
      <c r="Z42" s="2"/>
      <c r="AA42" s="2"/>
      <c r="AB42" s="2"/>
      <c r="AC42" s="2"/>
    </row>
    <row r="43" spans="1:34" ht="33.75" customHeight="1" x14ac:dyDescent="0.25">
      <c r="A43" s="96" t="s">
        <v>21</v>
      </c>
      <c r="B43" s="18"/>
      <c r="C43" s="61"/>
      <c r="D43" s="61"/>
      <c r="E43" s="61"/>
      <c r="F43" s="61"/>
      <c r="G43" s="61"/>
      <c r="H43" s="136">
        <f t="shared" si="7"/>
        <v>0</v>
      </c>
      <c r="I43" s="49"/>
      <c r="J43" s="49"/>
      <c r="K43" s="49"/>
      <c r="L43" s="144"/>
      <c r="M43" s="145"/>
      <c r="N43" s="96" t="s">
        <v>21</v>
      </c>
      <c r="O43" s="61"/>
      <c r="P43" s="61"/>
      <c r="Q43" s="61"/>
      <c r="R43" s="61"/>
      <c r="S43" s="61"/>
      <c r="T43" s="61"/>
      <c r="U43" s="77">
        <f t="shared" si="8"/>
        <v>0</v>
      </c>
      <c r="V43" s="90">
        <v>58.5</v>
      </c>
      <c r="W43" s="147"/>
      <c r="X43" s="48"/>
      <c r="Y43" s="48"/>
      <c r="Z43" s="2"/>
      <c r="AA43" s="2"/>
      <c r="AB43" s="2"/>
      <c r="AC43" s="2"/>
    </row>
    <row r="44" spans="1:34" ht="33.75" customHeight="1" x14ac:dyDescent="0.25">
      <c r="A44" s="96" t="s">
        <v>22</v>
      </c>
      <c r="B44" s="18">
        <f>(((($B$48*$B$47)/1000)*7)-$B$40)/4</f>
        <v>24.383874999999996</v>
      </c>
      <c r="C44" s="61">
        <f>(((($C$47*$C$48)/1000)*7)-$C$40)/4</f>
        <v>36.658125000000005</v>
      </c>
      <c r="D44" s="61">
        <f>(((($D$47*$D$48)/1000)*7)-$D$40)/4</f>
        <v>52.795875000000002</v>
      </c>
      <c r="E44" s="61">
        <f>(((($E$47*$E$48)/1000)*7)-$E$40)/4</f>
        <v>51.498625000000004</v>
      </c>
      <c r="F44" s="61">
        <f>(((($F$47*$F$48)/1000)*7)-$F$40)/4</f>
        <v>28.414500000000004</v>
      </c>
      <c r="G44" s="61">
        <f>(((($G$47*$G$48)/1000)*7)-$G$40)/4</f>
        <v>22.862500000000001</v>
      </c>
      <c r="H44" s="136">
        <f t="shared" si="7"/>
        <v>216.61350000000002</v>
      </c>
      <c r="I44" s="49"/>
      <c r="J44" s="49"/>
      <c r="K44" s="49"/>
      <c r="L44" s="144"/>
      <c r="M44" s="145"/>
      <c r="N44" s="96" t="s">
        <v>22</v>
      </c>
      <c r="O44" s="61">
        <f>(((($O$48*$O$47)/1000)*7)-$O$40)/4</f>
        <v>8.49</v>
      </c>
      <c r="P44" s="61">
        <f>(((($P$47*$P$48)/1000)*7)-$P$40)/4</f>
        <v>14.494000000000002</v>
      </c>
      <c r="Q44" s="61">
        <f>(((($Q$47*$Q$48)/1000)*7)-$Q$40)/4</f>
        <v>17.005000000000003</v>
      </c>
      <c r="R44" s="61"/>
      <c r="S44" s="61"/>
      <c r="T44" s="61"/>
      <c r="U44" s="77">
        <f t="shared" si="8"/>
        <v>39.989000000000004</v>
      </c>
      <c r="V44" s="90">
        <v>60</v>
      </c>
      <c r="W44" s="147"/>
      <c r="X44" s="48"/>
      <c r="Y44" s="48"/>
      <c r="Z44" s="2"/>
      <c r="AA44" s="2"/>
      <c r="AB44" s="2"/>
      <c r="AC44" s="2"/>
    </row>
    <row r="45" spans="1:34" ht="33.75" customHeight="1" x14ac:dyDescent="0.25">
      <c r="A45" s="96" t="s">
        <v>32</v>
      </c>
      <c r="B45" s="18">
        <f>(((($B$48*$B$47)/1000)*7)-$B$40)/4</f>
        <v>24.383874999999996</v>
      </c>
      <c r="C45" s="61">
        <f>(((($C$47*$C$48)/1000)*7)-$C$40)/4</f>
        <v>36.658125000000005</v>
      </c>
      <c r="D45" s="61">
        <f>(((($D$47*$D$48)/1000)*7)-$D$40)/4</f>
        <v>52.795875000000002</v>
      </c>
      <c r="E45" s="61">
        <f>(((($E$47*$E$48)/1000)*7)-$E$40)/4</f>
        <v>51.498625000000004</v>
      </c>
      <c r="F45" s="61">
        <f>(((($F$47*$F$48)/1000)*7)-$F$40)/4</f>
        <v>28.414500000000004</v>
      </c>
      <c r="G45" s="61">
        <f>(((($G$47*$G$48)/1000)*7)-$G$40)/4</f>
        <v>22.862500000000001</v>
      </c>
      <c r="H45" s="136">
        <f t="shared" si="7"/>
        <v>216.61350000000002</v>
      </c>
      <c r="I45" s="49"/>
      <c r="J45" s="49"/>
      <c r="K45" s="49"/>
      <c r="L45" s="144"/>
      <c r="M45" s="145"/>
      <c r="N45" s="96" t="s">
        <v>23</v>
      </c>
      <c r="O45" s="61">
        <f>(((($O$48*$O$47)/1000)*7)-$O$40)/4</f>
        <v>8.49</v>
      </c>
      <c r="P45" s="61">
        <f>(((($P$47*$P$48)/1000)*7)-$P$40)/4</f>
        <v>14.494000000000002</v>
      </c>
      <c r="Q45" s="61">
        <f>(((($Q$47*$Q$48)/1000)*7)-$Q$40)/4</f>
        <v>17.005000000000003</v>
      </c>
      <c r="R45" s="61"/>
      <c r="S45" s="61"/>
      <c r="T45" s="61"/>
      <c r="U45" s="77">
        <f t="shared" si="8"/>
        <v>39.989000000000004</v>
      </c>
      <c r="V45" s="90">
        <v>62</v>
      </c>
      <c r="W45" s="147"/>
      <c r="X45" s="48"/>
      <c r="Y45" s="48"/>
      <c r="Z45" s="48"/>
      <c r="AA45" s="48"/>
      <c r="AB45" s="2"/>
      <c r="AC45" s="2"/>
      <c r="AD45" s="2"/>
      <c r="AE45" s="2"/>
    </row>
    <row r="46" spans="1:34" ht="33.75" customHeight="1" x14ac:dyDescent="0.25">
      <c r="A46" s="80" t="s">
        <v>9</v>
      </c>
      <c r="B46" s="21">
        <f t="shared" ref="B46:G46" si="9">SUM(B39:B45)</f>
        <v>120.93549999999996</v>
      </c>
      <c r="C46" s="22">
        <f t="shared" si="9"/>
        <v>181.63250000000005</v>
      </c>
      <c r="D46" s="22">
        <f t="shared" si="9"/>
        <v>262.08350000000002</v>
      </c>
      <c r="E46" s="22">
        <f t="shared" si="9"/>
        <v>255.59450000000001</v>
      </c>
      <c r="F46" s="22">
        <f t="shared" si="9"/>
        <v>140.65800000000002</v>
      </c>
      <c r="G46" s="22">
        <f t="shared" si="9"/>
        <v>113.75</v>
      </c>
      <c r="H46" s="136">
        <f t="shared" si="7"/>
        <v>1074.654</v>
      </c>
      <c r="I46" s="49"/>
      <c r="J46" s="49"/>
      <c r="K46" s="49"/>
      <c r="L46" s="49"/>
      <c r="N46" s="80" t="s">
        <v>9</v>
      </c>
      <c r="O46" s="61">
        <f>SUM(O39:O45)</f>
        <v>42.56</v>
      </c>
      <c r="P46" s="61">
        <f>SUM(P39:P45)</f>
        <v>72.576000000000008</v>
      </c>
      <c r="Q46" s="61">
        <f>SUM(Q39:Q45)</f>
        <v>85.12</v>
      </c>
      <c r="R46" s="61"/>
      <c r="S46" s="22"/>
      <c r="T46" s="22"/>
      <c r="U46" s="77">
        <f t="shared" si="8"/>
        <v>200.25600000000003</v>
      </c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4" ht="33.75" customHeight="1" x14ac:dyDescent="0.25">
      <c r="A47" s="70" t="s">
        <v>11</v>
      </c>
      <c r="B47" s="23">
        <v>54.5</v>
      </c>
      <c r="C47" s="24">
        <v>53.5</v>
      </c>
      <c r="D47" s="24">
        <v>51.5</v>
      </c>
      <c r="E47" s="24">
        <v>51.5</v>
      </c>
      <c r="F47" s="24">
        <v>51</v>
      </c>
      <c r="G47" s="24">
        <v>50</v>
      </c>
      <c r="H47" s="137">
        <f>+((H46/H48)/7)*1000</f>
        <v>51.918160297598924</v>
      </c>
      <c r="I47" s="109"/>
      <c r="J47" s="109"/>
      <c r="K47" s="109"/>
      <c r="L47" s="49"/>
      <c r="N47" s="93" t="s">
        <v>11</v>
      </c>
      <c r="O47" s="63">
        <v>64</v>
      </c>
      <c r="P47" s="24">
        <v>64</v>
      </c>
      <c r="Q47" s="24">
        <v>64</v>
      </c>
      <c r="R47" s="24"/>
      <c r="S47" s="24"/>
      <c r="T47" s="24"/>
      <c r="U47" s="78">
        <f>+((U46/U48)/7)*1000</f>
        <v>64.000000000000014</v>
      </c>
      <c r="V47" s="50"/>
      <c r="W47" s="50"/>
    </row>
    <row r="48" spans="1:34" ht="33.75" customHeight="1" x14ac:dyDescent="0.25">
      <c r="A48" s="71" t="s">
        <v>12</v>
      </c>
      <c r="B48" s="26">
        <v>317</v>
      </c>
      <c r="C48" s="27">
        <v>485</v>
      </c>
      <c r="D48" s="27">
        <v>727</v>
      </c>
      <c r="E48" s="27">
        <v>709</v>
      </c>
      <c r="F48" s="27">
        <v>394</v>
      </c>
      <c r="G48" s="27">
        <v>325</v>
      </c>
      <c r="H48" s="138">
        <f>SUM(B48:G48)</f>
        <v>2957</v>
      </c>
      <c r="I48" s="110"/>
      <c r="J48" s="110"/>
      <c r="K48" s="110"/>
      <c r="L48" s="49"/>
      <c r="M48" s="51"/>
      <c r="N48" s="71" t="s">
        <v>12</v>
      </c>
      <c r="O48" s="79">
        <v>95</v>
      </c>
      <c r="P48" s="79">
        <v>162</v>
      </c>
      <c r="Q48" s="79">
        <v>190</v>
      </c>
      <c r="R48" s="79"/>
      <c r="S48" s="79"/>
      <c r="T48" s="79"/>
      <c r="U48" s="82">
        <f>SUM(O48:S48)</f>
        <v>447</v>
      </c>
      <c r="V48" s="52"/>
      <c r="W48" s="52"/>
    </row>
    <row r="49" spans="1:35" ht="33.75" customHeight="1" x14ac:dyDescent="0.25">
      <c r="A49" s="72" t="s">
        <v>13</v>
      </c>
      <c r="B49" s="30">
        <f t="shared" ref="B49:G49" si="10">(B48*B47)/1000</f>
        <v>17.276499999999999</v>
      </c>
      <c r="C49" s="31">
        <f t="shared" si="10"/>
        <v>25.947500000000002</v>
      </c>
      <c r="D49" s="31">
        <f t="shared" si="10"/>
        <v>37.4405</v>
      </c>
      <c r="E49" s="31">
        <f t="shared" si="10"/>
        <v>36.513500000000001</v>
      </c>
      <c r="F49" s="31">
        <f t="shared" si="10"/>
        <v>20.094000000000001</v>
      </c>
      <c r="G49" s="31">
        <f t="shared" si="10"/>
        <v>16.25</v>
      </c>
      <c r="H49" s="139">
        <f>((H46*1000)/H48)/7</f>
        <v>51.918160297598924</v>
      </c>
      <c r="I49" s="111"/>
      <c r="J49" s="111"/>
      <c r="K49" s="111"/>
      <c r="L49" s="49"/>
      <c r="N49" s="72" t="s">
        <v>13</v>
      </c>
      <c r="O49" s="65">
        <v>81.569999999999993</v>
      </c>
      <c r="P49" s="65">
        <v>81.569999999999993</v>
      </c>
      <c r="Q49" s="65">
        <v>81.569999999999993</v>
      </c>
      <c r="R49" s="65"/>
      <c r="S49" s="31"/>
      <c r="T49" s="31"/>
      <c r="U49" s="83">
        <f>((U46*1000)/U48)/7</f>
        <v>64.000000000000014</v>
      </c>
      <c r="V49" s="52"/>
      <c r="W49" s="52"/>
    </row>
    <row r="50" spans="1:35" ht="33.75" customHeight="1" x14ac:dyDescent="0.25">
      <c r="A50" s="73" t="s">
        <v>14</v>
      </c>
      <c r="B50" s="34">
        <f t="shared" ref="B50:G50" si="11">((B48*B47)*7)/1000</f>
        <v>120.9355</v>
      </c>
      <c r="C50" s="35">
        <f t="shared" si="11"/>
        <v>181.63249999999999</v>
      </c>
      <c r="D50" s="35">
        <f t="shared" si="11"/>
        <v>262.08350000000002</v>
      </c>
      <c r="E50" s="35">
        <f t="shared" si="11"/>
        <v>255.59450000000001</v>
      </c>
      <c r="F50" s="35">
        <f t="shared" si="11"/>
        <v>140.65799999999999</v>
      </c>
      <c r="G50" s="35">
        <f t="shared" si="11"/>
        <v>113.75</v>
      </c>
      <c r="H50" s="112"/>
      <c r="I50" s="41"/>
      <c r="J50" s="41"/>
      <c r="K50" s="41"/>
      <c r="L50" s="49"/>
      <c r="N50" s="73" t="s">
        <v>14</v>
      </c>
      <c r="O50" s="66">
        <f>((O48*O47)*7)/1000</f>
        <v>42.56</v>
      </c>
      <c r="P50" s="66">
        <f>((P48*P47)*7)/1000</f>
        <v>72.575999999999993</v>
      </c>
      <c r="Q50" s="66">
        <f>((Q48*Q47)*7)/1000</f>
        <v>85.12</v>
      </c>
      <c r="R50" s="66"/>
      <c r="S50" s="35"/>
      <c r="T50" s="35"/>
      <c r="U50" s="84"/>
    </row>
    <row r="51" spans="1:35" ht="33.75" customHeight="1" thickBot="1" x14ac:dyDescent="0.3">
      <c r="A51" s="74" t="s">
        <v>15</v>
      </c>
      <c r="B51" s="37">
        <f t="shared" ref="B51:G51" si="12">+(B46/B48)/7*1000</f>
        <v>54.499999999999986</v>
      </c>
      <c r="C51" s="38">
        <f t="shared" si="12"/>
        <v>53.500000000000014</v>
      </c>
      <c r="D51" s="38">
        <f t="shared" si="12"/>
        <v>51.500000000000007</v>
      </c>
      <c r="E51" s="38">
        <f t="shared" si="12"/>
        <v>51.500000000000007</v>
      </c>
      <c r="F51" s="38">
        <f t="shared" si="12"/>
        <v>51.000000000000007</v>
      </c>
      <c r="G51" s="38">
        <f t="shared" si="12"/>
        <v>49.999999999999993</v>
      </c>
      <c r="H51" s="140"/>
      <c r="I51" s="41"/>
      <c r="J51" s="41"/>
      <c r="K51" s="41"/>
      <c r="L51" s="49"/>
      <c r="M51" s="41"/>
      <c r="N51" s="74" t="s">
        <v>15</v>
      </c>
      <c r="O51" s="67">
        <f>+(O46/O48)/7*1000</f>
        <v>64</v>
      </c>
      <c r="P51" s="67">
        <f>+(P46/P48)/7*1000</f>
        <v>64.000000000000014</v>
      </c>
      <c r="Q51" s="67">
        <f>+(Q46/Q48)/7*1000</f>
        <v>64</v>
      </c>
      <c r="R51" s="67" t="e">
        <f>+(R46/R48)/7*1000</f>
        <v>#DIV/0!</v>
      </c>
      <c r="S51" s="38"/>
      <c r="T51" s="38"/>
      <c r="U51" s="39"/>
      <c r="V51" s="42"/>
      <c r="W51" s="42"/>
    </row>
    <row r="52" spans="1:35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1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2"/>
      <c r="Z52" s="2"/>
      <c r="AA52" s="2"/>
      <c r="AB52" s="2"/>
      <c r="AC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1"/>
      <c r="M53" s="42"/>
      <c r="N53" s="42"/>
      <c r="O53" s="42"/>
      <c r="P53" s="42"/>
      <c r="Q53" s="42"/>
      <c r="R53" s="42"/>
      <c r="S53" s="42"/>
      <c r="T53" s="42"/>
      <c r="U53" s="42"/>
      <c r="V53" s="43"/>
      <c r="W53" s="43"/>
      <c r="X53" s="43"/>
      <c r="Y53" s="2"/>
      <c r="Z53" s="2"/>
      <c r="AA53" s="2"/>
      <c r="AB53" s="2"/>
      <c r="AF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958"/>
      <c r="N54" s="958"/>
      <c r="O54" s="54"/>
      <c r="P54" s="54"/>
      <c r="Q54" s="54"/>
      <c r="R54" s="54"/>
      <c r="S54" s="55"/>
      <c r="X54" s="43"/>
      <c r="Y54" s="43"/>
      <c r="Z54" s="43"/>
      <c r="AA54" s="2"/>
      <c r="AB54" s="2"/>
      <c r="AC54" s="2"/>
      <c r="AD54" s="2"/>
      <c r="AF54" s="2"/>
      <c r="AG54" s="2"/>
      <c r="AH54" s="2"/>
    </row>
    <row r="55" spans="1:35" ht="33.75" customHeight="1" x14ac:dyDescent="0.25">
      <c r="A55" s="88" t="s">
        <v>19</v>
      </c>
      <c r="B55" s="956" t="s">
        <v>30</v>
      </c>
      <c r="C55" s="956"/>
      <c r="D55" s="956"/>
      <c r="E55" s="956"/>
      <c r="F55" s="957"/>
      <c r="G55" s="158"/>
      <c r="H55" s="85"/>
      <c r="I55" s="56"/>
      <c r="J55" s="56"/>
      <c r="K55" s="56"/>
      <c r="L55" s="56"/>
      <c r="M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159"/>
      <c r="H56" s="76" t="s">
        <v>9</v>
      </c>
      <c r="M56" s="45"/>
      <c r="N56" s="45"/>
      <c r="O56" s="45"/>
      <c r="P56" s="45"/>
      <c r="Q56" s="57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107"/>
      <c r="H57" s="76"/>
      <c r="I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53</v>
      </c>
      <c r="B58" s="61"/>
      <c r="C58" s="61"/>
      <c r="D58" s="61"/>
      <c r="E58" s="61"/>
      <c r="F58" s="61"/>
      <c r="G58" s="160"/>
      <c r="H58" s="77">
        <f t="shared" ref="H58:H65" si="13">SUM(B58:F58)</f>
        <v>0</v>
      </c>
      <c r="I58" s="42"/>
      <c r="J58" s="42"/>
      <c r="K58" s="42"/>
      <c r="L58" s="42"/>
      <c r="M58" s="2"/>
      <c r="N58" s="45"/>
      <c r="O58" s="45"/>
      <c r="P58" s="45"/>
      <c r="Q58" s="57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18.2</v>
      </c>
      <c r="C59" s="61">
        <v>27.3</v>
      </c>
      <c r="D59" s="61">
        <v>32</v>
      </c>
      <c r="E59" s="61">
        <v>26.1</v>
      </c>
      <c r="F59" s="61">
        <v>19.600000000000001</v>
      </c>
      <c r="G59" s="160"/>
      <c r="H59" s="77">
        <f t="shared" si="13"/>
        <v>123.19999999999999</v>
      </c>
      <c r="I59" s="42"/>
      <c r="J59" s="42"/>
      <c r="K59" s="42"/>
      <c r="L59" s="42"/>
      <c r="M59" s="2"/>
      <c r="N59" s="45"/>
      <c r="O59" s="45"/>
      <c r="P59" s="45"/>
      <c r="Q59" s="57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(((($B$67*$B$66)/1000)*7)-$B$59)/4</f>
        <v>21.510999999999999</v>
      </c>
      <c r="C60" s="61">
        <f>(((($C$66*$C$67)/1000)*7)-$C$59)/4</f>
        <v>32.088000000000001</v>
      </c>
      <c r="D60" s="61">
        <f>(((($D$66*$D$67)/1000)*7)-$D$59)/4</f>
        <v>37.576999999999998</v>
      </c>
      <c r="E60" s="61">
        <f>(((($E$66*$E$67)/1000)*7)-$E$59)/4</f>
        <v>30.722000000000001</v>
      </c>
      <c r="F60" s="61">
        <f>(((($F$66*$F$67)/1000)*7)-$F$59)/4</f>
        <v>22.945999999999998</v>
      </c>
      <c r="G60" s="160"/>
      <c r="H60" s="77">
        <f t="shared" si="13"/>
        <v>144.84399999999999</v>
      </c>
      <c r="I60" s="42"/>
      <c r="J60" s="42"/>
      <c r="K60" s="42"/>
      <c r="L60" s="42"/>
      <c r="M60" s="2"/>
      <c r="N60" s="146"/>
      <c r="O60" s="45"/>
      <c r="P60" s="45"/>
      <c r="Q60" s="57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(((($B$67*$B$66)/1000)*7)-$B$59)/4</f>
        <v>21.510999999999999</v>
      </c>
      <c r="C61" s="61">
        <f>(((($C$66*$C$67)/1000)*7)-$C$59)/4</f>
        <v>32.088000000000001</v>
      </c>
      <c r="D61" s="61">
        <f>(((($D$66*$D$67)/1000)*7)-$D$59)/4</f>
        <v>37.576999999999998</v>
      </c>
      <c r="E61" s="61">
        <f>(((($E$66*$E$67)/1000)*7)-$E$59)/4</f>
        <v>30.722000000000001</v>
      </c>
      <c r="F61" s="61">
        <f>(((($F$66*$F$67)/1000)*7)-$F$59)/4</f>
        <v>22.945999999999998</v>
      </c>
      <c r="G61" s="160"/>
      <c r="H61" s="77">
        <f t="shared" si="13"/>
        <v>144.84399999999999</v>
      </c>
      <c r="I61" s="42"/>
      <c r="J61" s="42"/>
      <c r="K61" s="42"/>
      <c r="L61" s="42"/>
      <c r="M61" s="2"/>
      <c r="N61" s="45"/>
      <c r="O61" s="45"/>
      <c r="P61" s="45"/>
      <c r="Q61" s="57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160"/>
      <c r="H62" s="77">
        <f t="shared" si="13"/>
        <v>0</v>
      </c>
      <c r="I62" s="42"/>
      <c r="J62" s="42"/>
      <c r="K62" s="42"/>
      <c r="L62" s="42"/>
      <c r="M62" s="2"/>
      <c r="N62" s="45"/>
      <c r="O62" s="45"/>
      <c r="P62" s="45"/>
      <c r="Q62" s="57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(((($B$67*$B$66)/1000)*7)-$B$59)/4</f>
        <v>21.510999999999999</v>
      </c>
      <c r="C63" s="61">
        <f>(((($C$66*$C$67)/1000)*7)-$C$59)/4</f>
        <v>32.088000000000001</v>
      </c>
      <c r="D63" s="61">
        <f>(((($D$66*$D$67)/1000)*7)-$D$59)/4</f>
        <v>37.576999999999998</v>
      </c>
      <c r="E63" s="61">
        <f>(((($E$66*$E$67)/1000)*7)-$E$59)/4</f>
        <v>30.722000000000001</v>
      </c>
      <c r="F63" s="61">
        <f>(((($F$66*$F$67)/1000)*7)-$F$59)/4</f>
        <v>22.945999999999998</v>
      </c>
      <c r="G63" s="160"/>
      <c r="H63" s="77">
        <f t="shared" si="13"/>
        <v>144.84399999999999</v>
      </c>
      <c r="I63" s="42"/>
      <c r="J63" s="42"/>
      <c r="K63" s="42"/>
      <c r="L63" s="4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(((($B$67*$B$66)/1000)*7)-$B$59)/4</f>
        <v>21.510999999999999</v>
      </c>
      <c r="C64" s="61">
        <f>(((($C$66*$C$67)/1000)*7)-$C$59)/4</f>
        <v>32.088000000000001</v>
      </c>
      <c r="D64" s="61">
        <f>(((($D$66*$D$67)/1000)*7)-$D$59)/4</f>
        <v>37.576999999999998</v>
      </c>
      <c r="E64" s="61">
        <f>(((($E$66*$E$67)/1000)*7)-$E$59)/4</f>
        <v>30.722000000000001</v>
      </c>
      <c r="F64" s="61">
        <f>(((($F$66*$F$67)/1000)*7)-$F$59)/4</f>
        <v>22.945999999999998</v>
      </c>
      <c r="G64" s="160"/>
      <c r="H64" s="77">
        <f t="shared" si="13"/>
        <v>144.84399999999999</v>
      </c>
      <c r="I64" s="42"/>
      <c r="J64" s="42"/>
      <c r="K64" s="42"/>
      <c r="L64" s="4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104.24399999999999</v>
      </c>
      <c r="C65" s="62">
        <f>SUM(C58:C64)</f>
        <v>155.65199999999999</v>
      </c>
      <c r="D65" s="62">
        <f>SUM(D58:D64)</f>
        <v>182.30799999999999</v>
      </c>
      <c r="E65" s="62">
        <f>SUM(E58:E64)</f>
        <v>148.98800000000003</v>
      </c>
      <c r="F65" s="62">
        <f>SUM(F58:F64)</f>
        <v>111.38399999999999</v>
      </c>
      <c r="G65" s="62"/>
      <c r="H65" s="77">
        <f t="shared" si="13"/>
        <v>702.57600000000002</v>
      </c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</v>
      </c>
      <c r="C66" s="63">
        <v>68</v>
      </c>
      <c r="D66" s="63">
        <v>68</v>
      </c>
      <c r="E66" s="63">
        <v>68</v>
      </c>
      <c r="F66" s="63">
        <v>68</v>
      </c>
      <c r="G66" s="161"/>
      <c r="H66" s="78">
        <f>+((H65/H67)/7)*1000</f>
        <v>68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219</v>
      </c>
      <c r="C67" s="79">
        <v>327</v>
      </c>
      <c r="D67" s="79">
        <v>383</v>
      </c>
      <c r="E67" s="79">
        <v>313</v>
      </c>
      <c r="F67" s="79">
        <v>234</v>
      </c>
      <c r="G67" s="162"/>
      <c r="H67" s="82">
        <f>SUM(B67:F67)</f>
        <v>1476</v>
      </c>
      <c r="M67" s="59"/>
      <c r="Q67" s="3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v>83.71</v>
      </c>
      <c r="C68" s="31">
        <f>(C67*C66)/1000</f>
        <v>22.236000000000001</v>
      </c>
      <c r="D68" s="31">
        <f>(D67*D66)/1000</f>
        <v>26.044</v>
      </c>
      <c r="E68" s="31">
        <f>(E67*E66)/1000</f>
        <v>21.283999999999999</v>
      </c>
      <c r="F68" s="31">
        <f>(F67*F66)/1000</f>
        <v>15.912000000000001</v>
      </c>
      <c r="G68" s="163"/>
      <c r="H68" s="86">
        <f>((H65*1000)/H67)/7</f>
        <v>68</v>
      </c>
      <c r="Q68" s="3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104.244</v>
      </c>
      <c r="C69" s="35">
        <f>((C67*C66)*7)/1000</f>
        <v>155.65199999999999</v>
      </c>
      <c r="D69" s="35">
        <f>((D67*D66)*7)/1000</f>
        <v>182.30799999999999</v>
      </c>
      <c r="E69" s="35">
        <f>((E67*E66)*7)/1000</f>
        <v>148.988</v>
      </c>
      <c r="F69" s="35">
        <f>((F67*F66)*7)/1000</f>
        <v>111.384</v>
      </c>
      <c r="G69" s="35"/>
      <c r="H69" s="68"/>
      <c r="I69" s="41"/>
      <c r="J69" s="41"/>
      <c r="K69" s="41"/>
      <c r="L69" s="41"/>
      <c r="V69" s="3"/>
    </row>
    <row r="70" spans="1:33" ht="33.75" customHeight="1" thickBot="1" x14ac:dyDescent="0.3">
      <c r="A70" s="74" t="s">
        <v>15</v>
      </c>
      <c r="B70" s="67">
        <f>+(B65/B67)/7*1000</f>
        <v>67.999999999999986</v>
      </c>
      <c r="C70" s="67">
        <f>+(C65/C67)/7*1000</f>
        <v>67.999999999999986</v>
      </c>
      <c r="D70" s="67">
        <f>+(D65/D67)/7*1000</f>
        <v>67.999999999999986</v>
      </c>
      <c r="E70" s="67">
        <f>+(E65/E67)/7*1000</f>
        <v>68.000000000000014</v>
      </c>
      <c r="F70" s="67">
        <f>+(F65/F67)/7*1000</f>
        <v>67.999999999999986</v>
      </c>
      <c r="G70" s="67"/>
      <c r="H70" s="87"/>
      <c r="V70" s="3"/>
    </row>
    <row r="71" spans="1:33" ht="33.75" customHeight="1" x14ac:dyDescent="0.25">
      <c r="B71" s="148"/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  <c r="M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V9:W9"/>
    <mergeCell ref="N11:O11"/>
    <mergeCell ref="B15:K15"/>
    <mergeCell ref="L15:Q15"/>
    <mergeCell ref="R15:W15"/>
    <mergeCell ref="B36:G36"/>
    <mergeCell ref="O36:T36"/>
    <mergeCell ref="L37:M37"/>
    <mergeCell ref="M54:N54"/>
    <mergeCell ref="B55:F5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AK239"/>
  <sheetViews>
    <sheetView workbookViewId="0"/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9.140625" style="14" customWidth="1"/>
    <col min="9" max="13" width="20.140625" style="14" customWidth="1"/>
    <col min="14" max="14" width="28.28515625" style="14" bestFit="1" customWidth="1"/>
    <col min="15" max="16" width="33.42578125" style="14" bestFit="1" customWidth="1"/>
    <col min="17" max="17" width="22.7109375" style="14" customWidth="1"/>
    <col min="18" max="20" width="21.28515625" style="14" customWidth="1"/>
    <col min="21" max="21" width="21.28515625" style="14" bestFit="1" customWidth="1"/>
    <col min="22" max="22" width="21.28515625" style="14" customWidth="1"/>
    <col min="23" max="23" width="27.85546875" style="14" customWidth="1"/>
    <col min="24" max="24" width="23.42578125" style="14" customWidth="1"/>
    <col min="25" max="25" width="21.42578125" style="14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 t="s">
        <v>3</v>
      </c>
      <c r="X9" s="960" t="s">
        <v>35</v>
      </c>
      <c r="Y9" s="960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65" t="s">
        <v>65</v>
      </c>
      <c r="Q11" s="965"/>
      <c r="R11" s="6"/>
      <c r="S11" s="6"/>
      <c r="T11" s="6"/>
      <c r="U11" s="1"/>
      <c r="V11" s="1"/>
      <c r="W11" s="1" t="s">
        <v>6</v>
      </c>
      <c r="X11" s="95">
        <v>45392</v>
      </c>
      <c r="Y11" s="6"/>
      <c r="Z11" s="6"/>
      <c r="AA11" s="6"/>
      <c r="AB11" s="6"/>
      <c r="AC11" s="6"/>
      <c r="AD11" s="6"/>
      <c r="AE11" s="1"/>
      <c r="AF11" s="1"/>
      <c r="AG11" s="1"/>
      <c r="AH11" s="1"/>
      <c r="AI11" s="1"/>
      <c r="AJ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1"/>
      <c r="AD13" s="1"/>
      <c r="AE13" s="1"/>
    </row>
    <row r="14" spans="1:3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1"/>
      <c r="AE14" s="1"/>
      <c r="AF14" s="1"/>
    </row>
    <row r="15" spans="1:36" s="10" customFormat="1" ht="36" thickBot="1" x14ac:dyDescent="0.3">
      <c r="A15" s="69" t="s">
        <v>7</v>
      </c>
      <c r="B15" s="971" t="s">
        <v>8</v>
      </c>
      <c r="C15" s="968"/>
      <c r="D15" s="968"/>
      <c r="E15" s="968"/>
      <c r="F15" s="968"/>
      <c r="G15" s="968"/>
      <c r="H15" s="968"/>
      <c r="I15" s="968"/>
      <c r="J15" s="963" t="s">
        <v>30</v>
      </c>
      <c r="K15" s="963"/>
      <c r="L15" s="963"/>
      <c r="M15" s="964"/>
      <c r="N15" s="971" t="s">
        <v>29</v>
      </c>
      <c r="O15" s="968"/>
      <c r="P15" s="968"/>
      <c r="Q15" s="968"/>
      <c r="R15" s="968"/>
      <c r="S15" s="969"/>
      <c r="T15" s="962" t="s">
        <v>31</v>
      </c>
      <c r="U15" s="963"/>
      <c r="V15" s="963"/>
      <c r="W15" s="963"/>
      <c r="X15" s="963"/>
      <c r="Y15" s="964"/>
      <c r="Z15" s="9"/>
    </row>
    <row r="16" spans="1:36" ht="39.950000000000003" customHeight="1" thickBot="1" x14ac:dyDescent="0.3">
      <c r="A16" s="80" t="s">
        <v>34</v>
      </c>
      <c r="B16" s="172"/>
      <c r="C16" s="173"/>
      <c r="D16" s="174"/>
      <c r="E16" s="173"/>
      <c r="F16" s="173"/>
      <c r="G16" s="173"/>
      <c r="H16" s="174"/>
      <c r="I16" s="175"/>
      <c r="J16" s="186"/>
      <c r="K16" s="174"/>
      <c r="L16" s="174"/>
      <c r="M16" s="175"/>
      <c r="N16" s="177"/>
      <c r="O16" s="173"/>
      <c r="P16" s="173"/>
      <c r="Q16" s="173"/>
      <c r="R16" s="173"/>
      <c r="S16" s="176"/>
      <c r="T16" s="177"/>
      <c r="U16" s="173"/>
      <c r="V16" s="173"/>
      <c r="W16" s="173"/>
      <c r="X16" s="173"/>
      <c r="Y16" s="173"/>
      <c r="Z16" s="13" t="s">
        <v>9</v>
      </c>
      <c r="AB16" s="15"/>
      <c r="AC16" s="15"/>
    </row>
    <row r="17" spans="1:36" ht="39.950000000000003" customHeight="1" thickBot="1" x14ac:dyDescent="0.3">
      <c r="A17" s="80" t="s">
        <v>10</v>
      </c>
      <c r="B17" s="188">
        <v>1</v>
      </c>
      <c r="C17" s="168">
        <v>2</v>
      </c>
      <c r="D17" s="168">
        <v>3</v>
      </c>
      <c r="E17" s="168">
        <v>4</v>
      </c>
      <c r="F17" s="168">
        <v>5</v>
      </c>
      <c r="G17" s="168">
        <v>6</v>
      </c>
      <c r="H17" s="168">
        <v>7</v>
      </c>
      <c r="I17" s="169">
        <v>8</v>
      </c>
      <c r="J17" s="186">
        <v>1</v>
      </c>
      <c r="K17" s="174">
        <v>2</v>
      </c>
      <c r="L17" s="174">
        <v>3</v>
      </c>
      <c r="M17" s="175">
        <v>4</v>
      </c>
      <c r="N17" s="189">
        <v>1</v>
      </c>
      <c r="O17" s="168">
        <v>2</v>
      </c>
      <c r="P17" s="168">
        <v>3</v>
      </c>
      <c r="Q17" s="168">
        <v>4</v>
      </c>
      <c r="R17" s="168">
        <v>5</v>
      </c>
      <c r="S17" s="169"/>
      <c r="T17" s="189">
        <v>1</v>
      </c>
      <c r="U17" s="168">
        <v>2</v>
      </c>
      <c r="V17" s="168">
        <v>3</v>
      </c>
      <c r="W17" s="168">
        <v>4</v>
      </c>
      <c r="X17" s="168">
        <v>5</v>
      </c>
      <c r="Y17" s="169"/>
      <c r="Z17" s="13"/>
      <c r="AB17" s="2"/>
      <c r="AC17" s="15"/>
    </row>
    <row r="18" spans="1:36" ht="39.950000000000003" customHeight="1" x14ac:dyDescent="0.25">
      <c r="A18" s="96" t="s">
        <v>53</v>
      </c>
      <c r="B18" s="179"/>
      <c r="C18" s="180"/>
      <c r="D18" s="180"/>
      <c r="E18" s="180"/>
      <c r="F18" s="180"/>
      <c r="G18" s="180"/>
      <c r="H18" s="180"/>
      <c r="I18" s="190"/>
      <c r="J18" s="133"/>
      <c r="K18" s="134"/>
      <c r="L18" s="134"/>
      <c r="M18" s="156"/>
      <c r="N18" s="187"/>
      <c r="O18" s="180"/>
      <c r="P18" s="180"/>
      <c r="Q18" s="180"/>
      <c r="R18" s="180"/>
      <c r="S18" s="181"/>
      <c r="T18" s="187"/>
      <c r="U18" s="180"/>
      <c r="V18" s="180"/>
      <c r="W18" s="180"/>
      <c r="X18" s="180"/>
      <c r="Y18" s="180"/>
      <c r="Z18" s="98"/>
      <c r="AB18" s="2"/>
      <c r="AC18" s="15"/>
    </row>
    <row r="19" spans="1:36" ht="39.950000000000003" customHeight="1" x14ac:dyDescent="0.25">
      <c r="A19" s="96" t="s">
        <v>24</v>
      </c>
      <c r="B19" s="18">
        <v>36.9</v>
      </c>
      <c r="C19" s="19">
        <v>28.1</v>
      </c>
      <c r="D19" s="19">
        <v>34.4</v>
      </c>
      <c r="E19" s="19">
        <v>34.4</v>
      </c>
      <c r="F19" s="19">
        <v>26.2</v>
      </c>
      <c r="G19" s="19">
        <v>26.4</v>
      </c>
      <c r="H19" s="19">
        <v>34</v>
      </c>
      <c r="I19" s="108">
        <v>34</v>
      </c>
      <c r="J19" s="18">
        <v>18</v>
      </c>
      <c r="K19" s="19">
        <v>19.5</v>
      </c>
      <c r="L19" s="19">
        <v>32.299999999999997</v>
      </c>
      <c r="M19" s="20">
        <v>13.1</v>
      </c>
      <c r="N19" s="61">
        <v>33.200000000000003</v>
      </c>
      <c r="O19" s="19">
        <v>31.4</v>
      </c>
      <c r="P19" s="19">
        <v>34.9</v>
      </c>
      <c r="Q19" s="19">
        <v>29.4</v>
      </c>
      <c r="R19" s="19">
        <v>29.7</v>
      </c>
      <c r="S19" s="20"/>
      <c r="T19" s="61">
        <v>16.8</v>
      </c>
      <c r="U19" s="19">
        <v>39.4</v>
      </c>
      <c r="V19" s="19">
        <v>33.700000000000003</v>
      </c>
      <c r="W19" s="19">
        <v>34.299999999999997</v>
      </c>
      <c r="X19" s="19">
        <v>30.4</v>
      </c>
      <c r="Y19" s="19"/>
      <c r="Z19" s="98">
        <f>SUM(B19:Y19)</f>
        <v>650.49999999999989</v>
      </c>
      <c r="AB19" s="2"/>
      <c r="AC19" s="15"/>
    </row>
    <row r="20" spans="1:36" ht="39.75" customHeight="1" x14ac:dyDescent="0.25">
      <c r="A20" s="96" t="s">
        <v>20</v>
      </c>
      <c r="B20" s="18">
        <f>(((($B$27*$B$26)/1000)*7)-$B$19)/4</f>
        <v>38.731999999999999</v>
      </c>
      <c r="C20" s="19">
        <f>(((($C$27*$C$26)/1000)*7)-$C$19)/4</f>
        <v>29.357500000000002</v>
      </c>
      <c r="D20" s="19">
        <f>(((($D$27*$D$26)/1000)*7)-$D$19)/4</f>
        <v>35.925249999999998</v>
      </c>
      <c r="E20" s="19">
        <f>(((($E$27*$E$26)/1000)*7)-$E$19)/4</f>
        <v>35.475499999999997</v>
      </c>
      <c r="F20" s="19">
        <f>(((($F$27*$F$26)/1000)*7)-$F$19)/4</f>
        <v>27.484874999999999</v>
      </c>
      <c r="G20" s="19">
        <f>(((($G$27*$G$26)/1000)*7)-$G$19)/4</f>
        <v>27.614249999999998</v>
      </c>
      <c r="H20" s="19">
        <f>(((($H$27*$H$26)/1000)*7)-$H$19)/4</f>
        <v>35.432000000000002</v>
      </c>
      <c r="I20" s="108">
        <f>(((($I$27*$I$26)/1000)*7)-$I$19)/4</f>
        <v>35.223749999999995</v>
      </c>
      <c r="J20" s="18">
        <f>(((($J$27*$J$26)/1000)*7)-$J$19)/4</f>
        <v>18.859000000000002</v>
      </c>
      <c r="K20" s="19">
        <f>(((($K$27*$K$26)/1000)*7)-$K$19)/4</f>
        <v>20.046749999999999</v>
      </c>
      <c r="L20" s="19">
        <f>(((($L$27*$L$26)/1000)*7)-$L$19)/4</f>
        <v>33.820000000000007</v>
      </c>
      <c r="M20" s="20">
        <f>(((($M$27*$M$26)/1000)*7)-$M$19)/4</f>
        <v>13.750749999999998</v>
      </c>
      <c r="N20" s="61">
        <f>(((($N$27*$N$26)/1000)*7)-$N$19)/4</f>
        <v>35.015999999999991</v>
      </c>
      <c r="O20" s="19">
        <f>(((($O$27*$O$26)/1000)*7)-$O$19)/4</f>
        <v>32.777124999999998</v>
      </c>
      <c r="P20" s="19">
        <f>(((($P$27*$P$26)/1000)*7)-$P$19)/4</f>
        <v>36.926375</v>
      </c>
      <c r="Q20" s="19">
        <f>(((($Q$27*$Q$26)/1000)*7)-$Q$19)/4</f>
        <v>30.786000000000001</v>
      </c>
      <c r="R20" s="19">
        <f>(((($R$27*$R$26)/1000)*7)-$R$19)/4</f>
        <v>30.962999999999997</v>
      </c>
      <c r="S20" s="20"/>
      <c r="T20" s="61">
        <f>(((($T$27*$T$26)/1000)*7)-$T$19)/4</f>
        <v>17.913</v>
      </c>
      <c r="U20" s="19">
        <f>(((($U$27*$U$26)/1000)*7)-$U$19)/4</f>
        <v>41.495874999999998</v>
      </c>
      <c r="V20" s="19">
        <f>(((($V$27*$V$26)/1000)*7)-$V$19)/4</f>
        <v>35.135999999999996</v>
      </c>
      <c r="W20" s="19">
        <f>(((($W$27*$W$26)/1000)*7)-$W$19)/4</f>
        <v>35.945000000000007</v>
      </c>
      <c r="X20" s="19">
        <f>(((($X$27*$X$26)/1000)*7)-$X$19)/4</f>
        <v>31.797750000000001</v>
      </c>
      <c r="Y20" s="19"/>
      <c r="Z20" s="98">
        <f>SUM(B20:Y20)</f>
        <v>680.47774999999979</v>
      </c>
      <c r="AB20" s="2"/>
      <c r="AC20" s="15"/>
    </row>
    <row r="21" spans="1:36" ht="39.950000000000003" customHeight="1" x14ac:dyDescent="0.25">
      <c r="A21" s="96" t="s">
        <v>28</v>
      </c>
      <c r="B21" s="18">
        <f>(((($B$27*$B$26)/1000)*7)-$B$19)/4</f>
        <v>38.731999999999999</v>
      </c>
      <c r="C21" s="19">
        <f>(((($C$27*$C$26)/1000)*7)-$C$19)/4</f>
        <v>29.357500000000002</v>
      </c>
      <c r="D21" s="19">
        <f>(((($D$27*$D$26)/1000)*7)-$D$19)/4</f>
        <v>35.925249999999998</v>
      </c>
      <c r="E21" s="19">
        <f>(((($E$27*$E$26)/1000)*7)-$E$19)/4</f>
        <v>35.475499999999997</v>
      </c>
      <c r="F21" s="19">
        <f>(((($F$27*$F$26)/1000)*7)-$F$19)/4</f>
        <v>27.484874999999999</v>
      </c>
      <c r="G21" s="19">
        <f>(((($G$27*$G$26)/1000)*7)-$G$19)/4</f>
        <v>27.614249999999998</v>
      </c>
      <c r="H21" s="19">
        <f>(((($H$27*$H$26)/1000)*7)-$H$19)/4</f>
        <v>35.432000000000002</v>
      </c>
      <c r="I21" s="108">
        <f>(((($I$27*$I$26)/1000)*7)-$I$19)/4</f>
        <v>35.223749999999995</v>
      </c>
      <c r="J21" s="18">
        <f>(((($J$27*$J$26)/1000)*7)-$J$19)/4</f>
        <v>18.859000000000002</v>
      </c>
      <c r="K21" s="19">
        <f>(((($K$27*$K$26)/1000)*7)-$K$19)/4</f>
        <v>20.046749999999999</v>
      </c>
      <c r="L21" s="19">
        <f>(((($L$27*$L$26)/1000)*7)-$L$19)/4</f>
        <v>33.820000000000007</v>
      </c>
      <c r="M21" s="20">
        <f>(((($M$27*$M$26)/1000)*7)-$M$19)/4</f>
        <v>13.750749999999998</v>
      </c>
      <c r="N21" s="61">
        <f>(((($N$27*$N$26)/1000)*7)-$N$19)/4</f>
        <v>35.015999999999991</v>
      </c>
      <c r="O21" s="19">
        <f>(((($O$27*$O$26)/1000)*7)-$O$19)/4</f>
        <v>32.777124999999998</v>
      </c>
      <c r="P21" s="19">
        <f>(((($P$27*$P$26)/1000)*7)-$P$19)/4</f>
        <v>36.926375</v>
      </c>
      <c r="Q21" s="19">
        <f>(((($Q$27*$Q$26)/1000)*7)-$Q$19)/4</f>
        <v>30.786000000000001</v>
      </c>
      <c r="R21" s="19">
        <f>(((($R$27*$R$26)/1000)*7)-$R$19)/4</f>
        <v>30.962999999999997</v>
      </c>
      <c r="S21" s="20"/>
      <c r="T21" s="61">
        <f>(((($T$27*$T$26)/1000)*7)-$T$19)/4</f>
        <v>17.913</v>
      </c>
      <c r="U21" s="19">
        <f>(((($U$27*$U$26)/1000)*7)-$U$19)/4</f>
        <v>41.495874999999998</v>
      </c>
      <c r="V21" s="19">
        <f>(((($V$27*$V$26)/1000)*7)-$V$19)/4</f>
        <v>35.135999999999996</v>
      </c>
      <c r="W21" s="19">
        <f>(((($W$27*$W$26)/1000)*7)-$W$19)/4</f>
        <v>35.945000000000007</v>
      </c>
      <c r="X21" s="19">
        <f>(((($X$27*$X$26)/1000)*7)-$X$19)/4</f>
        <v>31.797750000000001</v>
      </c>
      <c r="Y21" s="19"/>
      <c r="Z21" s="98">
        <f>SUM(B21:Y21)</f>
        <v>680.47774999999979</v>
      </c>
      <c r="AB21" s="2"/>
      <c r="AC21" s="15"/>
    </row>
    <row r="22" spans="1:36" ht="39.950000000000003" customHeight="1" x14ac:dyDescent="0.25">
      <c r="A22" s="96" t="s">
        <v>21</v>
      </c>
      <c r="B22" s="18"/>
      <c r="C22" s="19"/>
      <c r="D22" s="19"/>
      <c r="E22" s="19"/>
      <c r="F22" s="19"/>
      <c r="G22" s="19"/>
      <c r="H22" s="19"/>
      <c r="I22" s="108"/>
      <c r="J22" s="18"/>
      <c r="K22" s="19"/>
      <c r="L22" s="19"/>
      <c r="M22" s="20"/>
      <c r="N22" s="61"/>
      <c r="O22" s="19"/>
      <c r="P22" s="19"/>
      <c r="Q22" s="19"/>
      <c r="R22" s="19"/>
      <c r="S22" s="20"/>
      <c r="T22" s="61"/>
      <c r="U22" s="19"/>
      <c r="V22" s="19"/>
      <c r="W22" s="19"/>
      <c r="X22" s="19"/>
      <c r="Y22" s="19"/>
      <c r="Z22" s="98">
        <f>SUM(B22:X22)</f>
        <v>0</v>
      </c>
      <c r="AB22" s="2"/>
      <c r="AC22" s="15"/>
    </row>
    <row r="23" spans="1:36" ht="39.950000000000003" customHeight="1" x14ac:dyDescent="0.25">
      <c r="A23" s="96" t="s">
        <v>22</v>
      </c>
      <c r="B23" s="18">
        <f>(((($B$27*$B$26)/1000)*7)-$B$19)/4</f>
        <v>38.731999999999999</v>
      </c>
      <c r="C23" s="19">
        <f>(((($C$27*$C$26)/1000)*7)-$C$19)/4</f>
        <v>29.357500000000002</v>
      </c>
      <c r="D23" s="19">
        <f>(((($D$27*$D$26)/1000)*7)-$D$19)/4</f>
        <v>35.925249999999998</v>
      </c>
      <c r="E23" s="19">
        <f>(((($E$27*$E$26)/1000)*7)-$E$19)/4</f>
        <v>35.475499999999997</v>
      </c>
      <c r="F23" s="19">
        <f>(((($F$27*$F$26)/1000)*7)-$F$19)/4</f>
        <v>27.484874999999999</v>
      </c>
      <c r="G23" s="19">
        <f>(((($G$27*$G$26)/1000)*7)-$G$19)/4</f>
        <v>27.614249999999998</v>
      </c>
      <c r="H23" s="19">
        <f>(((($H$27*$H$26)/1000)*7)-$H$19)/4</f>
        <v>35.432000000000002</v>
      </c>
      <c r="I23" s="108">
        <f>(((($I$27*$I$26)/1000)*7)-$I$19)/4</f>
        <v>35.223749999999995</v>
      </c>
      <c r="J23" s="18">
        <f>(((($J$27*$J$26)/1000)*7)-$J$19)/4</f>
        <v>18.859000000000002</v>
      </c>
      <c r="K23" s="19">
        <f>(((($K$27*$K$26)/1000)*7)-$K$19)/4</f>
        <v>20.046749999999999</v>
      </c>
      <c r="L23" s="19">
        <f>(((($L$27*$L$26)/1000)*7)-$L$19)/4</f>
        <v>33.820000000000007</v>
      </c>
      <c r="M23" s="20">
        <f>(((($M$27*$M$26)/1000)*7)-$M$19)/4</f>
        <v>13.750749999999998</v>
      </c>
      <c r="N23" s="61">
        <f>(((($N$27*$N$26)/1000)*7)-$N$19)/4</f>
        <v>35.015999999999991</v>
      </c>
      <c r="O23" s="19">
        <f>(((($O$27*$O$26)/1000)*7)-$O$19)/4</f>
        <v>32.777124999999998</v>
      </c>
      <c r="P23" s="19">
        <f>(((($P$27*$P$26)/1000)*7)-$P$19)/4</f>
        <v>36.926375</v>
      </c>
      <c r="Q23" s="19">
        <f>(((($Q$27*$Q$26)/1000)*7)-$Q$19)/4</f>
        <v>30.786000000000001</v>
      </c>
      <c r="R23" s="19">
        <f>(((($R$27*$R$26)/1000)*7)-$R$19)/4</f>
        <v>30.962999999999997</v>
      </c>
      <c r="S23" s="20"/>
      <c r="T23" s="61">
        <f>(((($T$27*$T$26)/1000)*7)-$T$19)/4</f>
        <v>17.913</v>
      </c>
      <c r="U23" s="19">
        <f>(((($U$27*$U$26)/1000)*7)-$U$19)/4</f>
        <v>41.495874999999998</v>
      </c>
      <c r="V23" s="19">
        <f>(((($V$27*$V$26)/1000)*7)-$V$19)/4</f>
        <v>35.135999999999996</v>
      </c>
      <c r="W23" s="19">
        <f>(((($W$27*$W$26)/1000)*7)-$W$19)/4</f>
        <v>35.945000000000007</v>
      </c>
      <c r="X23" s="19">
        <f>(((($X$27*$X$26)/1000)*7)-$X$19)/4</f>
        <v>31.797750000000001</v>
      </c>
      <c r="Y23" s="19"/>
      <c r="Z23" s="98">
        <f>SUM(B23:Y23)</f>
        <v>680.47774999999979</v>
      </c>
      <c r="AB23" s="2"/>
      <c r="AC23" s="15"/>
    </row>
    <row r="24" spans="1:36" ht="39.950000000000003" customHeight="1" thickBot="1" x14ac:dyDescent="0.3">
      <c r="A24" s="96" t="s">
        <v>23</v>
      </c>
      <c r="B24" s="153">
        <f>(((($B$27*$B$26)/1000)*7)-$B$19)/4</f>
        <v>38.731999999999999</v>
      </c>
      <c r="C24" s="154">
        <f>(((($C$27*$C$26)/1000)*7)-$C$19)/4</f>
        <v>29.357500000000002</v>
      </c>
      <c r="D24" s="154">
        <f>(((($D$27*$D$26)/1000)*7)-$D$19)/4</f>
        <v>35.925249999999998</v>
      </c>
      <c r="E24" s="154">
        <f>(((($E$27*$E$26)/1000)*7)-$E$19)/4</f>
        <v>35.475499999999997</v>
      </c>
      <c r="F24" s="154">
        <f>(((($F$27*$F$26)/1000)*7)-$F$19)/4</f>
        <v>27.484874999999999</v>
      </c>
      <c r="G24" s="154">
        <f>(((($G$27*$G$26)/1000)*7)-$G$19)/4</f>
        <v>27.614249999999998</v>
      </c>
      <c r="H24" s="154">
        <f>(((($H$27*$H$26)/1000)*7)-$H$19)/4</f>
        <v>35.432000000000002</v>
      </c>
      <c r="I24" s="191">
        <f>(((($I$27*$I$26)/1000)*7)-$I$19)/4</f>
        <v>35.223749999999995</v>
      </c>
      <c r="J24" s="153">
        <f>(((($J$27*$J$26)/1000)*7)-$J$19)/4</f>
        <v>18.859000000000002</v>
      </c>
      <c r="K24" s="154">
        <f>(((($K$27*$K$26)/1000)*7)-$K$19)/4</f>
        <v>20.046749999999999</v>
      </c>
      <c r="L24" s="154">
        <f>(((($L$27*$L$26)/1000)*7)-$L$19)/4</f>
        <v>33.820000000000007</v>
      </c>
      <c r="M24" s="182">
        <f>(((($M$27*$M$26)/1000)*7)-$M$19)/4</f>
        <v>13.750749999999998</v>
      </c>
      <c r="N24" s="61">
        <f>(((($N$27*$N$26)/1000)*7)-$N$19)/4</f>
        <v>35.015999999999991</v>
      </c>
      <c r="O24" s="19">
        <f>(((($O$27*$O$26)/1000)*7)-$O$19)/4</f>
        <v>32.777124999999998</v>
      </c>
      <c r="P24" s="19">
        <f>(((($P$27*$P$26)/1000)*7)-$P$19)/4</f>
        <v>36.926375</v>
      </c>
      <c r="Q24" s="19">
        <f>(((($Q$27*$Q$26)/1000)*7)-$Q$19)/4</f>
        <v>30.786000000000001</v>
      </c>
      <c r="R24" s="19">
        <f>(((($R$27*$R$26)/1000)*7)-$R$19)/4</f>
        <v>30.962999999999997</v>
      </c>
      <c r="S24" s="20"/>
      <c r="T24" s="61">
        <f>(((($T$27*$T$26)/1000)*7)-$T$19)/4</f>
        <v>17.913</v>
      </c>
      <c r="U24" s="19">
        <f>(((($U$27*$U$26)/1000)*7)-$U$19)/4</f>
        <v>41.495874999999998</v>
      </c>
      <c r="V24" s="19">
        <f>(((($V$27*$V$26)/1000)*7)-$V$19)/4</f>
        <v>35.135999999999996</v>
      </c>
      <c r="W24" s="19">
        <f>(((($W$27*$W$26)/1000)*7)-$W$19)/4</f>
        <v>35.945000000000007</v>
      </c>
      <c r="X24" s="19">
        <f>(((($X$27*$X$26)/1000)*7)-$X$19)/4</f>
        <v>31.797750000000001</v>
      </c>
      <c r="Y24" s="19"/>
      <c r="Z24" s="98">
        <f>SUM(B24:Y24)</f>
        <v>680.47774999999979</v>
      </c>
      <c r="AB24" s="2"/>
    </row>
    <row r="25" spans="1:36" ht="41.45" customHeight="1" x14ac:dyDescent="0.25">
      <c r="A25" s="126" t="s">
        <v>9</v>
      </c>
      <c r="B25" s="131">
        <f t="shared" ref="B25:J25" si="0">SUM(B18:B24)</f>
        <v>191.828</v>
      </c>
      <c r="C25" s="128">
        <f t="shared" si="0"/>
        <v>145.53</v>
      </c>
      <c r="D25" s="128">
        <f t="shared" si="0"/>
        <v>178.101</v>
      </c>
      <c r="E25" s="128">
        <f t="shared" si="0"/>
        <v>176.30199999999996</v>
      </c>
      <c r="F25" s="128">
        <f t="shared" si="0"/>
        <v>136.1395</v>
      </c>
      <c r="G25" s="128">
        <f>SUM(G18:G24)</f>
        <v>136.857</v>
      </c>
      <c r="H25" s="128">
        <f t="shared" si="0"/>
        <v>175.72800000000001</v>
      </c>
      <c r="I25" s="129">
        <f t="shared" si="0"/>
        <v>174.89499999999998</v>
      </c>
      <c r="J25" s="178">
        <f t="shared" si="0"/>
        <v>93.436000000000007</v>
      </c>
      <c r="K25" s="178">
        <f t="shared" ref="K25:R25" si="1">SUM(K18:K24)</f>
        <v>99.687000000000012</v>
      </c>
      <c r="L25" s="178">
        <f t="shared" si="1"/>
        <v>167.58000000000004</v>
      </c>
      <c r="M25" s="178">
        <f t="shared" si="1"/>
        <v>68.102999999999994</v>
      </c>
      <c r="N25" s="131">
        <f t="shared" si="1"/>
        <v>173.26399999999998</v>
      </c>
      <c r="O25" s="128">
        <f t="shared" si="1"/>
        <v>162.50849999999997</v>
      </c>
      <c r="P25" s="128">
        <f t="shared" si="1"/>
        <v>182.60550000000001</v>
      </c>
      <c r="Q25" s="128">
        <f t="shared" si="1"/>
        <v>152.54400000000001</v>
      </c>
      <c r="R25" s="128">
        <f t="shared" si="1"/>
        <v>153.55199999999999</v>
      </c>
      <c r="S25" s="129"/>
      <c r="T25" s="133">
        <f>SUM(T18:T24)</f>
        <v>88.451999999999998</v>
      </c>
      <c r="U25" s="134">
        <f>SUM(U18:U24)</f>
        <v>205.38349999999997</v>
      </c>
      <c r="V25" s="134">
        <f>SUM(V18:V24)</f>
        <v>174.244</v>
      </c>
      <c r="W25" s="134">
        <f>SUM(W18:W24)</f>
        <v>178.08000000000004</v>
      </c>
      <c r="X25" s="134">
        <f>SUM(X18:X24)</f>
        <v>157.59100000000001</v>
      </c>
      <c r="Y25" s="156"/>
      <c r="Z25" s="98">
        <f>SUM(B25:Y25)</f>
        <v>3372.4110000000001</v>
      </c>
    </row>
    <row r="26" spans="1:36" s="2" customFormat="1" ht="36.75" customHeight="1" x14ac:dyDescent="0.25">
      <c r="A26" s="70" t="s">
        <v>11</v>
      </c>
      <c r="B26" s="23">
        <v>52</v>
      </c>
      <c r="C26" s="63">
        <v>49.5</v>
      </c>
      <c r="D26" s="63">
        <v>49.5</v>
      </c>
      <c r="E26" s="63">
        <v>49</v>
      </c>
      <c r="F26" s="63">
        <v>48.5</v>
      </c>
      <c r="G26" s="63">
        <v>49</v>
      </c>
      <c r="H26" s="63">
        <v>48</v>
      </c>
      <c r="I26" s="155">
        <v>47.5</v>
      </c>
      <c r="J26" s="23">
        <v>47</v>
      </c>
      <c r="K26" s="63">
        <v>47</v>
      </c>
      <c r="L26" s="63">
        <v>47.5</v>
      </c>
      <c r="M26" s="155">
        <v>47</v>
      </c>
      <c r="N26" s="23">
        <v>52</v>
      </c>
      <c r="O26" s="63">
        <v>49.5</v>
      </c>
      <c r="P26" s="63">
        <v>49.5</v>
      </c>
      <c r="Q26" s="63">
        <v>48</v>
      </c>
      <c r="R26" s="63">
        <v>48</v>
      </c>
      <c r="S26" s="155"/>
      <c r="T26" s="23">
        <v>52</v>
      </c>
      <c r="U26" s="63">
        <v>50.5</v>
      </c>
      <c r="V26" s="63">
        <v>49</v>
      </c>
      <c r="W26" s="63">
        <v>48</v>
      </c>
      <c r="X26" s="63">
        <v>47</v>
      </c>
      <c r="Y26" s="155"/>
      <c r="Z26" s="99">
        <f>((Z25/Z27)/7)*1000</f>
        <v>48.930834856794633</v>
      </c>
    </row>
    <row r="27" spans="1:36" s="2" customFormat="1" ht="33" customHeight="1" x14ac:dyDescent="0.25">
      <c r="A27" s="71" t="s">
        <v>12</v>
      </c>
      <c r="B27" s="26">
        <v>527</v>
      </c>
      <c r="C27" s="27">
        <v>420</v>
      </c>
      <c r="D27" s="27">
        <v>514</v>
      </c>
      <c r="E27" s="27">
        <v>514</v>
      </c>
      <c r="F27" s="27">
        <v>401</v>
      </c>
      <c r="G27" s="27">
        <v>399</v>
      </c>
      <c r="H27" s="27">
        <v>523</v>
      </c>
      <c r="I27" s="28">
        <v>526</v>
      </c>
      <c r="J27" s="184">
        <v>284</v>
      </c>
      <c r="K27" s="183">
        <v>303</v>
      </c>
      <c r="L27" s="28">
        <v>504</v>
      </c>
      <c r="M27" s="28">
        <v>207</v>
      </c>
      <c r="N27" s="26">
        <v>476</v>
      </c>
      <c r="O27" s="27">
        <v>469</v>
      </c>
      <c r="P27" s="27">
        <v>527</v>
      </c>
      <c r="Q27" s="27">
        <v>454</v>
      </c>
      <c r="R27" s="27">
        <v>457</v>
      </c>
      <c r="S27" s="28"/>
      <c r="T27" s="26">
        <v>243</v>
      </c>
      <c r="U27" s="27">
        <v>581</v>
      </c>
      <c r="V27" s="27">
        <v>508</v>
      </c>
      <c r="W27" s="27">
        <v>530</v>
      </c>
      <c r="X27" s="27">
        <v>479</v>
      </c>
      <c r="Y27" s="28"/>
      <c r="Z27" s="29">
        <f>SUM(B27,C27,D27,E27,F27,G27,H27,I27,J27,K27,L27,M27,N27,O27,P27,Q27,R27,T27,U27,V27,W27,X27)</f>
        <v>9846</v>
      </c>
    </row>
    <row r="28" spans="1:36" s="2" customFormat="1" ht="33" customHeight="1" x14ac:dyDescent="0.25">
      <c r="A28" s="72" t="s">
        <v>13</v>
      </c>
      <c r="B28" s="30">
        <f>(B27*B26)/1000</f>
        <v>27.404</v>
      </c>
      <c r="C28" s="31">
        <f>(C27*C26)/1000</f>
        <v>20.79</v>
      </c>
      <c r="D28" s="31">
        <f>(D27*D26)/1000</f>
        <v>25.443000000000001</v>
      </c>
      <c r="E28" s="31">
        <f>(E27*E26)/1000</f>
        <v>25.186</v>
      </c>
      <c r="F28" s="31">
        <f>(F27*F26)/1000</f>
        <v>19.448499999999999</v>
      </c>
      <c r="G28" s="31">
        <f t="shared" ref="G28:X28" si="2">(G27*G26)/1000</f>
        <v>19.550999999999998</v>
      </c>
      <c r="H28" s="31">
        <f t="shared" si="2"/>
        <v>25.103999999999999</v>
      </c>
      <c r="I28" s="32">
        <f>(I27*I26)/1000</f>
        <v>24.984999999999999</v>
      </c>
      <c r="J28" s="32">
        <f>(J27*J26)/1000</f>
        <v>13.348000000000001</v>
      </c>
      <c r="K28" s="32">
        <f>(K27*K26)/1000</f>
        <v>14.241</v>
      </c>
      <c r="L28" s="32">
        <f t="shared" si="2"/>
        <v>23.94</v>
      </c>
      <c r="M28" s="32">
        <f t="shared" si="2"/>
        <v>9.7289999999999992</v>
      </c>
      <c r="N28" s="30">
        <f t="shared" si="2"/>
        <v>24.751999999999999</v>
      </c>
      <c r="O28" s="31">
        <f t="shared" si="2"/>
        <v>23.215499999999999</v>
      </c>
      <c r="P28" s="31">
        <f t="shared" si="2"/>
        <v>26.086500000000001</v>
      </c>
      <c r="Q28" s="31">
        <f t="shared" si="2"/>
        <v>21.792000000000002</v>
      </c>
      <c r="R28" s="31">
        <f t="shared" si="2"/>
        <v>21.936</v>
      </c>
      <c r="S28" s="32"/>
      <c r="T28" s="30">
        <f t="shared" si="2"/>
        <v>12.635999999999999</v>
      </c>
      <c r="U28" s="31">
        <f t="shared" si="2"/>
        <v>29.340499999999999</v>
      </c>
      <c r="V28" s="31">
        <f t="shared" si="2"/>
        <v>24.891999999999999</v>
      </c>
      <c r="W28" s="31">
        <f t="shared" si="2"/>
        <v>25.44</v>
      </c>
      <c r="X28" s="31">
        <f t="shared" si="2"/>
        <v>22.513000000000002</v>
      </c>
      <c r="Y28" s="32"/>
      <c r="Z28" s="33"/>
    </row>
    <row r="29" spans="1:36" ht="33.75" customHeight="1" x14ac:dyDescent="0.25">
      <c r="A29" s="73" t="s">
        <v>14</v>
      </c>
      <c r="B29" s="34">
        <f t="shared" ref="B29:M29" si="3">((B27*B26)*7)/1000</f>
        <v>191.828</v>
      </c>
      <c r="C29" s="35">
        <f t="shared" si="3"/>
        <v>145.53</v>
      </c>
      <c r="D29" s="35">
        <f t="shared" si="3"/>
        <v>178.101</v>
      </c>
      <c r="E29" s="35">
        <f t="shared" si="3"/>
        <v>176.30199999999999</v>
      </c>
      <c r="F29" s="35">
        <f t="shared" si="3"/>
        <v>136.1395</v>
      </c>
      <c r="G29" s="35">
        <f t="shared" si="3"/>
        <v>136.857</v>
      </c>
      <c r="H29" s="35">
        <f t="shared" si="3"/>
        <v>175.72800000000001</v>
      </c>
      <c r="I29" s="68">
        <f t="shared" si="3"/>
        <v>174.89500000000001</v>
      </c>
      <c r="J29" s="68">
        <f t="shared" si="3"/>
        <v>93.436000000000007</v>
      </c>
      <c r="K29" s="68">
        <f t="shared" si="3"/>
        <v>99.686999999999998</v>
      </c>
      <c r="L29" s="68">
        <f t="shared" si="3"/>
        <v>167.58</v>
      </c>
      <c r="M29" s="68">
        <f t="shared" si="3"/>
        <v>68.102999999999994</v>
      </c>
      <c r="N29" s="34">
        <f t="shared" ref="N29:X29" si="4">((N27*N26)*7)/1000</f>
        <v>173.26400000000001</v>
      </c>
      <c r="O29" s="35">
        <f t="shared" si="4"/>
        <v>162.5085</v>
      </c>
      <c r="P29" s="35">
        <f t="shared" si="4"/>
        <v>182.60550000000001</v>
      </c>
      <c r="Q29" s="35">
        <f t="shared" si="4"/>
        <v>152.54400000000001</v>
      </c>
      <c r="R29" s="35">
        <f t="shared" si="4"/>
        <v>153.55199999999999</v>
      </c>
      <c r="S29" s="68"/>
      <c r="T29" s="34">
        <f t="shared" si="4"/>
        <v>88.451999999999998</v>
      </c>
      <c r="U29" s="35">
        <f t="shared" si="4"/>
        <v>205.3835</v>
      </c>
      <c r="V29" s="35">
        <f t="shared" si="4"/>
        <v>174.244</v>
      </c>
      <c r="W29" s="35">
        <f t="shared" si="4"/>
        <v>178.08</v>
      </c>
      <c r="X29" s="35">
        <f t="shared" si="4"/>
        <v>157.59100000000001</v>
      </c>
      <c r="Y29" s="68"/>
      <c r="Z29" s="36"/>
    </row>
    <row r="30" spans="1:36" ht="33.75" customHeight="1" thickBot="1" x14ac:dyDescent="0.3">
      <c r="A30" s="74" t="s">
        <v>15</v>
      </c>
      <c r="B30" s="37">
        <f t="shared" ref="B30:M30" si="5">+(B25/B27)/7*1000</f>
        <v>52</v>
      </c>
      <c r="C30" s="38">
        <f t="shared" si="5"/>
        <v>49.5</v>
      </c>
      <c r="D30" s="38">
        <f t="shared" si="5"/>
        <v>49.499999999999993</v>
      </c>
      <c r="E30" s="38">
        <f t="shared" si="5"/>
        <v>48.999999999999986</v>
      </c>
      <c r="F30" s="38">
        <f t="shared" si="5"/>
        <v>48.499999999999993</v>
      </c>
      <c r="G30" s="38">
        <f t="shared" si="5"/>
        <v>48.999999999999993</v>
      </c>
      <c r="H30" s="38">
        <f t="shared" si="5"/>
        <v>48</v>
      </c>
      <c r="I30" s="39">
        <f t="shared" si="5"/>
        <v>47.499999999999993</v>
      </c>
      <c r="J30" s="39">
        <f t="shared" si="5"/>
        <v>47</v>
      </c>
      <c r="K30" s="39">
        <f t="shared" si="5"/>
        <v>47</v>
      </c>
      <c r="L30" s="39">
        <f t="shared" si="5"/>
        <v>47.500000000000007</v>
      </c>
      <c r="M30" s="39">
        <f t="shared" si="5"/>
        <v>46.999999999999993</v>
      </c>
      <c r="N30" s="37">
        <f t="shared" ref="N30:W30" si="6">+(N25/N27)/7*1000</f>
        <v>51.999999999999993</v>
      </c>
      <c r="O30" s="38">
        <f t="shared" si="6"/>
        <v>49.499999999999986</v>
      </c>
      <c r="P30" s="38">
        <f t="shared" si="6"/>
        <v>49.5</v>
      </c>
      <c r="Q30" s="38">
        <f t="shared" si="6"/>
        <v>48</v>
      </c>
      <c r="R30" s="38">
        <f t="shared" si="6"/>
        <v>47.999999999999993</v>
      </c>
      <c r="S30" s="39"/>
      <c r="T30" s="37">
        <f t="shared" si="6"/>
        <v>52</v>
      </c>
      <c r="U30" s="38">
        <f t="shared" si="6"/>
        <v>50.499999999999986</v>
      </c>
      <c r="V30" s="38">
        <f t="shared" si="6"/>
        <v>49</v>
      </c>
      <c r="W30" s="38">
        <f t="shared" si="6"/>
        <v>48.000000000000007</v>
      </c>
      <c r="X30" s="38">
        <f>+(X25/X27)/7*1000</f>
        <v>47</v>
      </c>
      <c r="Y30" s="39"/>
      <c r="Z30" s="40"/>
    </row>
    <row r="31" spans="1:36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>
        <v>41.5</v>
      </c>
      <c r="AC32" s="42"/>
      <c r="AD32" s="42"/>
      <c r="AE32" s="42"/>
      <c r="AF32" s="42"/>
      <c r="AG32" s="42"/>
      <c r="AH32" s="42"/>
      <c r="AI32" s="42"/>
      <c r="AJ32" s="41"/>
    </row>
    <row r="33" spans="1:3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>
        <v>41</v>
      </c>
      <c r="AC33" s="42"/>
      <c r="AD33" s="42"/>
      <c r="AE33" s="42"/>
      <c r="AF33" s="42"/>
      <c r="AG33" s="42"/>
      <c r="AH33" s="42"/>
      <c r="AI33" s="42"/>
      <c r="AJ33" s="41"/>
    </row>
    <row r="34" spans="1:3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>
        <v>40.5</v>
      </c>
      <c r="AC34" s="42"/>
      <c r="AD34" s="42"/>
      <c r="AE34" s="42"/>
      <c r="AF34" s="42"/>
      <c r="AG34" s="42"/>
      <c r="AH34" s="41"/>
    </row>
    <row r="35" spans="1:36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>
        <v>40</v>
      </c>
      <c r="AC35" s="43"/>
      <c r="AD35" s="43"/>
      <c r="AE35" s="43"/>
      <c r="AF35" s="43"/>
      <c r="AG35" s="43"/>
      <c r="AH35" s="3"/>
    </row>
    <row r="36" spans="1:36" ht="33.75" customHeight="1" thickBot="1" x14ac:dyDescent="0.3">
      <c r="A36" s="69" t="s">
        <v>16</v>
      </c>
      <c r="B36" s="966" t="s">
        <v>17</v>
      </c>
      <c r="C36" s="967"/>
      <c r="D36" s="967"/>
      <c r="E36" s="967"/>
      <c r="F36" s="967"/>
      <c r="G36" s="967"/>
      <c r="H36" s="75"/>
      <c r="O36" s="44"/>
      <c r="P36" s="88" t="s">
        <v>18</v>
      </c>
      <c r="Q36" s="956" t="s">
        <v>17</v>
      </c>
      <c r="R36" s="956"/>
      <c r="S36" s="956"/>
      <c r="T36" s="956"/>
      <c r="U36" s="956"/>
      <c r="V36" s="957"/>
      <c r="W36" s="81"/>
      <c r="X36" s="45"/>
      <c r="Y36" s="45"/>
      <c r="Z36" s="46"/>
      <c r="AA36" s="3"/>
      <c r="AB36" s="45">
        <v>39.5</v>
      </c>
      <c r="AC36" s="45"/>
      <c r="AD36" s="45"/>
      <c r="AE36" s="3"/>
    </row>
    <row r="37" spans="1:36" ht="33.75" customHeight="1" x14ac:dyDescent="0.25">
      <c r="A37" s="170" t="s">
        <v>34</v>
      </c>
      <c r="B37" s="141"/>
      <c r="C37" s="118"/>
      <c r="D37" s="118"/>
      <c r="E37" s="118"/>
      <c r="F37" s="118"/>
      <c r="G37" s="119"/>
      <c r="H37" s="13" t="s">
        <v>9</v>
      </c>
      <c r="I37" s="47"/>
      <c r="J37" s="47"/>
      <c r="K37" s="47"/>
      <c r="L37" s="47"/>
      <c r="M37" s="47"/>
      <c r="N37" s="970"/>
      <c r="O37" s="970"/>
      <c r="P37" s="97" t="s">
        <v>33</v>
      </c>
      <c r="Q37" s="60"/>
      <c r="R37" s="12"/>
      <c r="S37" s="12"/>
      <c r="T37" s="12"/>
      <c r="U37" s="12"/>
      <c r="V37" s="12"/>
      <c r="W37" s="76" t="s">
        <v>9</v>
      </c>
      <c r="X37" s="47"/>
      <c r="Y37" s="47"/>
      <c r="Z37" s="3"/>
      <c r="AA37" s="46"/>
      <c r="AB37" s="3">
        <v>39.5</v>
      </c>
      <c r="AC37" s="45"/>
      <c r="AD37" s="45"/>
      <c r="AE37" s="45"/>
    </row>
    <row r="38" spans="1:36" ht="33.75" customHeight="1" x14ac:dyDescent="0.25">
      <c r="A38" s="17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47"/>
      <c r="L38" s="47"/>
      <c r="M38" s="47"/>
      <c r="N38" s="144"/>
      <c r="O38" s="145"/>
      <c r="P38" s="80" t="s">
        <v>10</v>
      </c>
      <c r="Q38" s="60">
        <v>1</v>
      </c>
      <c r="R38" s="16">
        <v>2</v>
      </c>
      <c r="S38" s="16">
        <v>3</v>
      </c>
      <c r="T38" s="16" t="s">
        <v>58</v>
      </c>
      <c r="U38" s="16"/>
      <c r="V38" s="16"/>
      <c r="W38" s="76"/>
      <c r="X38" s="47"/>
      <c r="Y38" s="47"/>
      <c r="Z38" s="48"/>
      <c r="AA38" s="48"/>
      <c r="AB38" s="2"/>
      <c r="AC38" s="2"/>
      <c r="AD38" s="2"/>
      <c r="AE38" s="2"/>
    </row>
    <row r="39" spans="1:36" ht="33.75" customHeight="1" x14ac:dyDescent="0.25">
      <c r="A39" s="171" t="s">
        <v>32</v>
      </c>
      <c r="B39" s="18"/>
      <c r="C39" s="19"/>
      <c r="D39" s="19"/>
      <c r="E39" s="19"/>
      <c r="F39" s="19"/>
      <c r="G39" s="20"/>
      <c r="H39" s="136">
        <f t="shared" ref="H39:H46" si="7">SUM(B39:G39)</f>
        <v>0</v>
      </c>
      <c r="I39" s="49"/>
      <c r="J39" s="49"/>
      <c r="K39" s="49"/>
      <c r="L39" s="49"/>
      <c r="M39" s="49"/>
      <c r="N39" s="144"/>
      <c r="O39" s="145"/>
      <c r="P39" s="96" t="s">
        <v>53</v>
      </c>
      <c r="Q39" s="61"/>
      <c r="R39" s="61"/>
      <c r="S39" s="61"/>
      <c r="T39" s="61"/>
      <c r="U39" s="61"/>
      <c r="V39" s="61"/>
      <c r="W39" s="77">
        <f t="shared" ref="W39:W46" si="8">SUM(Q39:V39)</f>
        <v>0</v>
      </c>
      <c r="X39" s="2"/>
      <c r="Y39" s="49"/>
      <c r="Z39" s="48"/>
      <c r="AA39" s="48"/>
      <c r="AB39" s="2"/>
      <c r="AC39" s="2"/>
      <c r="AD39" s="2"/>
      <c r="AE39" s="2"/>
    </row>
    <row r="40" spans="1:36" ht="33.75" customHeight="1" x14ac:dyDescent="0.25">
      <c r="A40" s="171" t="s">
        <v>24</v>
      </c>
      <c r="B40" s="18">
        <v>14.8</v>
      </c>
      <c r="C40" s="19">
        <v>37.299999999999997</v>
      </c>
      <c r="D40" s="19">
        <v>56.2</v>
      </c>
      <c r="E40" s="19">
        <v>44.6</v>
      </c>
      <c r="F40" s="19">
        <v>39.6</v>
      </c>
      <c r="G40" s="20">
        <v>24.3</v>
      </c>
      <c r="H40" s="136">
        <f t="shared" si="7"/>
        <v>216.8</v>
      </c>
      <c r="I40" s="49"/>
      <c r="J40" s="49"/>
      <c r="K40" s="49"/>
      <c r="L40" s="49"/>
      <c r="M40" s="49"/>
      <c r="N40" s="144"/>
      <c r="O40" s="145"/>
      <c r="P40" s="96" t="s">
        <v>24</v>
      </c>
      <c r="Q40" s="61">
        <v>11.9</v>
      </c>
      <c r="R40" s="61">
        <v>12.5</v>
      </c>
      <c r="S40" s="61">
        <v>11.4</v>
      </c>
      <c r="T40" s="61">
        <v>4.2</v>
      </c>
      <c r="U40" s="61"/>
      <c r="V40" s="61"/>
      <c r="W40" s="77">
        <f t="shared" si="8"/>
        <v>40</v>
      </c>
      <c r="X40" s="2"/>
      <c r="Y40" s="49"/>
      <c r="Z40" s="48"/>
      <c r="AA40" s="48"/>
      <c r="AB40" s="2"/>
      <c r="AC40" s="2"/>
      <c r="AD40" s="2"/>
      <c r="AE40" s="2"/>
    </row>
    <row r="41" spans="1:36" ht="33.75" customHeight="1" x14ac:dyDescent="0.25">
      <c r="A41" s="171" t="s">
        <v>20</v>
      </c>
      <c r="B41" s="18">
        <f>(((($B$48*$B$47)/1000)*7)-$B$40)/4</f>
        <v>16.425000000000001</v>
      </c>
      <c r="C41" s="19">
        <f>(((($C$47*$C$48)/1000)*7)-$C$40)/4</f>
        <v>41.347999999999999</v>
      </c>
      <c r="D41" s="19">
        <f>(((($D$47*$D$48)/1000)*7)-$D$40)/4</f>
        <v>61.589375000000004</v>
      </c>
      <c r="E41" s="19">
        <f>(((($E$47*$E$48)/1000)*7)-$E$40)/4</f>
        <v>47.804874999999996</v>
      </c>
      <c r="F41" s="19">
        <f>(((($F$47*$F$48)/1000)*7)-$F$40)/4</f>
        <v>41.13</v>
      </c>
      <c r="G41" s="20">
        <f>(((($G$47*$G$48)/1000)*7)-$G$40)/4</f>
        <v>24.625249999999998</v>
      </c>
      <c r="H41" s="136">
        <f t="shared" si="7"/>
        <v>232.92249999999999</v>
      </c>
      <c r="I41" s="49"/>
      <c r="J41" s="49"/>
      <c r="K41" s="49"/>
      <c r="L41" s="49"/>
      <c r="M41" s="49"/>
      <c r="N41" s="144"/>
      <c r="O41" s="145"/>
      <c r="P41" s="96" t="s">
        <v>20</v>
      </c>
      <c r="Q41" s="61">
        <f>(((($Q$48*$Q$47)/1000)*7)-$Q$40)/4</f>
        <v>12.155500000000002</v>
      </c>
      <c r="R41" s="61">
        <f>(((($R$47*$R$48)/1000)*7)-$R$40)/4</f>
        <v>12.922499999999999</v>
      </c>
      <c r="S41" s="61">
        <f>(((($S$47*$S$48)/1000)*7)-$S$40)/4</f>
        <v>11.822000000000001</v>
      </c>
      <c r="T41" s="61">
        <f>(((($T$47*$T$48)/1000)*7)-$T$40)/4</f>
        <v>3.8605</v>
      </c>
      <c r="U41" s="61"/>
      <c r="V41" s="19"/>
      <c r="W41" s="77">
        <f t="shared" si="8"/>
        <v>40.760500000000008</v>
      </c>
      <c r="X41" s="2"/>
      <c r="Y41" s="49"/>
      <c r="Z41" s="48"/>
      <c r="AA41" s="48"/>
      <c r="AB41" s="2"/>
      <c r="AC41" s="2"/>
      <c r="AD41" s="2"/>
      <c r="AE41" s="2"/>
    </row>
    <row r="42" spans="1:36" ht="33.75" customHeight="1" x14ac:dyDescent="0.25">
      <c r="A42" s="171" t="s">
        <v>28</v>
      </c>
      <c r="B42" s="18">
        <f>(((($B$48*$B$47)/1000)*7)-$B$40)/4</f>
        <v>16.425000000000001</v>
      </c>
      <c r="C42" s="19">
        <f>(((($C$47*$C$48)/1000)*7)-$C$40)/4</f>
        <v>41.347999999999999</v>
      </c>
      <c r="D42" s="19">
        <f>(((($D$47*$D$48)/1000)*7)-$D$40)/4</f>
        <v>61.589375000000004</v>
      </c>
      <c r="E42" s="19">
        <f>(((($E$47*$E$48)/1000)*7)-$E$40)/4</f>
        <v>47.804874999999996</v>
      </c>
      <c r="F42" s="19">
        <f>(((($F$47*$F$48)/1000)*7)-$F$40)/4</f>
        <v>41.13</v>
      </c>
      <c r="G42" s="20">
        <f>(((($G$47*$G$48)/1000)*7)-$G$40)/4</f>
        <v>24.625249999999998</v>
      </c>
      <c r="H42" s="136">
        <f t="shared" si="7"/>
        <v>232.92249999999999</v>
      </c>
      <c r="I42" s="49"/>
      <c r="J42" s="49"/>
      <c r="K42" s="49"/>
      <c r="L42" s="49"/>
      <c r="M42" s="49"/>
      <c r="N42" s="144"/>
      <c r="O42" s="145"/>
      <c r="P42" s="96" t="s">
        <v>28</v>
      </c>
      <c r="Q42" s="61">
        <f>(((($Q$48*$Q$47)/1000)*7)-$Q$40)/4</f>
        <v>12.155500000000002</v>
      </c>
      <c r="R42" s="61">
        <f>(((($R$47*$R$48)/1000)*7)-$R$40)/4</f>
        <v>12.922499999999999</v>
      </c>
      <c r="S42" s="61">
        <f>(((($S$47*$S$48)/1000)*7)-$S$40)/4</f>
        <v>11.822000000000001</v>
      </c>
      <c r="T42" s="61">
        <f>(((($T$47*$T$48)/1000)*7)-$T$40)/4</f>
        <v>3.8605</v>
      </c>
      <c r="U42" s="61"/>
      <c r="V42" s="61"/>
      <c r="W42" s="77">
        <f t="shared" si="8"/>
        <v>40.760500000000008</v>
      </c>
      <c r="X42" s="2"/>
      <c r="Y42" s="49"/>
      <c r="Z42" s="48"/>
      <c r="AA42" s="48"/>
      <c r="AB42" s="2"/>
      <c r="AC42" s="2"/>
      <c r="AD42" s="2"/>
      <c r="AE42" s="2"/>
    </row>
    <row r="43" spans="1:36" ht="33.75" customHeight="1" x14ac:dyDescent="0.25">
      <c r="A43" s="171" t="s">
        <v>21</v>
      </c>
      <c r="B43" s="18"/>
      <c r="C43" s="19"/>
      <c r="D43" s="19"/>
      <c r="E43" s="19"/>
      <c r="F43" s="19"/>
      <c r="G43" s="20"/>
      <c r="H43" s="136">
        <f t="shared" si="7"/>
        <v>0</v>
      </c>
      <c r="I43" s="49"/>
      <c r="J43" s="49"/>
      <c r="K43" s="49"/>
      <c r="L43" s="49"/>
      <c r="M43" s="49"/>
      <c r="N43" s="144"/>
      <c r="O43" s="145"/>
      <c r="P43" s="96" t="s">
        <v>21</v>
      </c>
      <c r="Q43" s="61"/>
      <c r="R43" s="61"/>
      <c r="S43" s="61"/>
      <c r="T43" s="61"/>
      <c r="U43" s="61"/>
      <c r="V43" s="61"/>
      <c r="W43" s="77">
        <f t="shared" si="8"/>
        <v>0</v>
      </c>
      <c r="X43" s="2"/>
      <c r="Y43" s="49"/>
      <c r="Z43" s="48"/>
      <c r="AA43" s="48"/>
      <c r="AB43" s="2"/>
      <c r="AC43" s="2"/>
      <c r="AD43" s="2"/>
      <c r="AE43" s="2"/>
    </row>
    <row r="44" spans="1:36" ht="33.75" customHeight="1" x14ac:dyDescent="0.25">
      <c r="A44" s="171" t="s">
        <v>22</v>
      </c>
      <c r="B44" s="18">
        <f>(((($B$48*$B$47)/1000)*7)-$B$40)/4</f>
        <v>16.425000000000001</v>
      </c>
      <c r="C44" s="19">
        <f>(((($C$47*$C$48)/1000)*7)-$C$40)/4</f>
        <v>41.347999999999999</v>
      </c>
      <c r="D44" s="19">
        <f>(((($D$47*$D$48)/1000)*7)-$D$40)/4</f>
        <v>61.589375000000004</v>
      </c>
      <c r="E44" s="19">
        <f>(((($E$47*$E$48)/1000)*7)-$E$40)/4</f>
        <v>47.804874999999996</v>
      </c>
      <c r="F44" s="19">
        <f>(((($F$47*$F$48)/1000)*7)-$F$40)/4</f>
        <v>41.13</v>
      </c>
      <c r="G44" s="20">
        <f>(((($G$47*$G$48)/1000)*7)-$G$40)/4</f>
        <v>24.625249999999998</v>
      </c>
      <c r="H44" s="136">
        <f t="shared" si="7"/>
        <v>232.92249999999999</v>
      </c>
      <c r="I44" s="49"/>
      <c r="J44" s="49"/>
      <c r="K44" s="49"/>
      <c r="L44" s="49"/>
      <c r="M44" s="49"/>
      <c r="N44" s="144"/>
      <c r="O44" s="145"/>
      <c r="P44" s="96" t="s">
        <v>22</v>
      </c>
      <c r="Q44" s="61">
        <f>(((($Q$48*$Q$47)/1000)*7)-$Q$40)/4</f>
        <v>12.155500000000002</v>
      </c>
      <c r="R44" s="61">
        <f>(((($R$47*$R$48)/1000)*7)-$R$40)/4</f>
        <v>12.922499999999999</v>
      </c>
      <c r="S44" s="61">
        <f>(((($S$47*$S$48)/1000)*7)-$S$40)/4</f>
        <v>11.822000000000001</v>
      </c>
      <c r="T44" s="61">
        <f>(((($T$47*$T$48)/1000)*7)-$T$40)/4</f>
        <v>3.8605</v>
      </c>
      <c r="U44" s="61"/>
      <c r="V44" s="61"/>
      <c r="W44" s="77">
        <f t="shared" si="8"/>
        <v>40.760500000000008</v>
      </c>
      <c r="X44" s="2"/>
      <c r="Y44" s="49"/>
      <c r="Z44" s="48"/>
      <c r="AA44" s="48"/>
      <c r="AB44" s="2"/>
      <c r="AC44" s="2"/>
      <c r="AD44" s="2"/>
      <c r="AE44" s="2"/>
    </row>
    <row r="45" spans="1:36" ht="33.75" customHeight="1" x14ac:dyDescent="0.25">
      <c r="A45" s="171" t="s">
        <v>32</v>
      </c>
      <c r="B45" s="18">
        <f>(((($B$48*$B$47)/1000)*7)-$B$40)/4</f>
        <v>16.425000000000001</v>
      </c>
      <c r="C45" s="19">
        <f>(((($C$47*$C$48)/1000)*7)-$C$40)/4</f>
        <v>41.347999999999999</v>
      </c>
      <c r="D45" s="19">
        <f>(((($D$47*$D$48)/1000)*7)-$D$40)/4</f>
        <v>61.589375000000004</v>
      </c>
      <c r="E45" s="19">
        <f>(((($E$47*$E$48)/1000)*7)-$E$40)/4</f>
        <v>47.804874999999996</v>
      </c>
      <c r="F45" s="19">
        <f>(((($F$47*$F$48)/1000)*7)-$F$40)/4</f>
        <v>41.13</v>
      </c>
      <c r="G45" s="20">
        <f>(((($G$47*$G$48)/1000)*7)-$G$40)/4</f>
        <v>24.625249999999998</v>
      </c>
      <c r="H45" s="136">
        <f t="shared" si="7"/>
        <v>232.92249999999999</v>
      </c>
      <c r="I45" s="49"/>
      <c r="J45" s="49"/>
      <c r="K45" s="49"/>
      <c r="L45" s="49"/>
      <c r="M45" s="49"/>
      <c r="N45" s="144"/>
      <c r="O45" s="145"/>
      <c r="P45" s="96" t="s">
        <v>23</v>
      </c>
      <c r="Q45" s="61">
        <f>(((($Q$48*$Q$47)/1000)*7)-$Q$40)/4</f>
        <v>12.155500000000002</v>
      </c>
      <c r="R45" s="61">
        <f>(((($R$47*$R$48)/1000)*7)-$R$40)/4</f>
        <v>12.922499999999999</v>
      </c>
      <c r="S45" s="61">
        <f>(((($S$47*$S$48)/1000)*7)-$S$40)/4</f>
        <v>11.822000000000001</v>
      </c>
      <c r="T45" s="61">
        <f>(((($T$47*$T$48)/1000)*7)-$T$40)/4</f>
        <v>3.8605</v>
      </c>
      <c r="U45" s="61"/>
      <c r="V45" s="61"/>
      <c r="W45" s="77">
        <f t="shared" si="8"/>
        <v>40.760500000000008</v>
      </c>
      <c r="X45" s="2"/>
      <c r="Y45" s="49"/>
      <c r="Z45" s="48"/>
      <c r="AA45" s="48"/>
      <c r="AB45" s="48"/>
      <c r="AC45" s="48"/>
      <c r="AD45" s="2"/>
      <c r="AE45" s="2"/>
      <c r="AF45" s="2"/>
      <c r="AG45" s="2"/>
    </row>
    <row r="46" spans="1:36" ht="33.75" customHeight="1" x14ac:dyDescent="0.25">
      <c r="A46" s="170" t="s">
        <v>9</v>
      </c>
      <c r="B46" s="21">
        <f t="shared" ref="B46:G46" si="9">SUM(B39:B45)</f>
        <v>80.5</v>
      </c>
      <c r="C46" s="22">
        <f t="shared" si="9"/>
        <v>202.69200000000001</v>
      </c>
      <c r="D46" s="22">
        <f t="shared" si="9"/>
        <v>302.55750000000006</v>
      </c>
      <c r="E46" s="22">
        <f t="shared" si="9"/>
        <v>235.81949999999995</v>
      </c>
      <c r="F46" s="22">
        <f t="shared" si="9"/>
        <v>204.12</v>
      </c>
      <c r="G46" s="196">
        <f t="shared" si="9"/>
        <v>122.80099999999999</v>
      </c>
      <c r="H46" s="136">
        <f t="shared" si="7"/>
        <v>1148.49</v>
      </c>
      <c r="I46" s="49"/>
      <c r="J46" s="49"/>
      <c r="K46" s="49"/>
      <c r="L46" s="49"/>
      <c r="M46" s="49"/>
      <c r="N46" s="49"/>
      <c r="P46" s="80" t="s">
        <v>9</v>
      </c>
      <c r="Q46" s="61">
        <f>SUM(Q39:Q45)</f>
        <v>60.522000000000013</v>
      </c>
      <c r="R46" s="61">
        <f>SUM(R39:R45)</f>
        <v>64.19</v>
      </c>
      <c r="S46" s="61">
        <f>SUM(S39:S45)</f>
        <v>58.688000000000009</v>
      </c>
      <c r="T46" s="61">
        <f>SUM(T39:T45)</f>
        <v>19.642000000000003</v>
      </c>
      <c r="U46" s="22"/>
      <c r="V46" s="22"/>
      <c r="W46" s="77">
        <f t="shared" si="8"/>
        <v>203.04200000000003</v>
      </c>
      <c r="X46" s="49"/>
      <c r="Y46" s="49"/>
      <c r="Z46" s="2"/>
      <c r="AA46" s="2"/>
      <c r="AB46" s="2"/>
      <c r="AC46" s="2"/>
      <c r="AD46" s="2"/>
      <c r="AE46" s="2"/>
      <c r="AF46" s="2"/>
      <c r="AG46" s="2"/>
    </row>
    <row r="47" spans="1:36" ht="33.75" customHeight="1" x14ac:dyDescent="0.25">
      <c r="A47" s="192" t="s">
        <v>11</v>
      </c>
      <c r="B47" s="23">
        <v>57.5</v>
      </c>
      <c r="C47" s="24">
        <v>57</v>
      </c>
      <c r="D47" s="24">
        <v>56.5</v>
      </c>
      <c r="E47" s="24">
        <v>55.5</v>
      </c>
      <c r="F47" s="24">
        <v>54</v>
      </c>
      <c r="G47" s="25">
        <v>53</v>
      </c>
      <c r="H47" s="137">
        <f>+((H46/H48)/7)*1000</f>
        <v>55.598102338190444</v>
      </c>
      <c r="I47" s="50"/>
      <c r="J47" s="50"/>
      <c r="K47" s="50"/>
      <c r="L47" s="50"/>
      <c r="M47" s="50"/>
      <c r="N47" s="49"/>
      <c r="P47" s="93" t="s">
        <v>11</v>
      </c>
      <c r="Q47" s="63">
        <v>65.5</v>
      </c>
      <c r="R47" s="24">
        <v>65.5</v>
      </c>
      <c r="S47" s="24">
        <v>65.5</v>
      </c>
      <c r="T47" s="24">
        <v>61</v>
      </c>
      <c r="U47" s="24"/>
      <c r="V47" s="24"/>
      <c r="W47" s="78">
        <f>+((W46/W48)/7)*1000</f>
        <v>65.035874439461892</v>
      </c>
      <c r="X47" s="50"/>
      <c r="Y47" s="50"/>
    </row>
    <row r="48" spans="1:36" ht="33.75" customHeight="1" x14ac:dyDescent="0.25">
      <c r="A48" s="193" t="s">
        <v>12</v>
      </c>
      <c r="B48" s="26">
        <v>200</v>
      </c>
      <c r="C48" s="27">
        <v>508</v>
      </c>
      <c r="D48" s="27">
        <v>765</v>
      </c>
      <c r="E48" s="27">
        <v>607</v>
      </c>
      <c r="F48" s="27">
        <v>540</v>
      </c>
      <c r="G48" s="28">
        <v>331</v>
      </c>
      <c r="H48" s="138">
        <f>SUM(B48:G48)</f>
        <v>2951</v>
      </c>
      <c r="I48" s="198"/>
      <c r="J48" s="198"/>
      <c r="K48" s="198"/>
      <c r="L48" s="198"/>
      <c r="M48" s="198"/>
      <c r="N48" s="49"/>
      <c r="O48" s="51"/>
      <c r="P48" s="71" t="s">
        <v>12</v>
      </c>
      <c r="Q48" s="79">
        <v>132</v>
      </c>
      <c r="R48" s="79">
        <v>140</v>
      </c>
      <c r="S48" s="79">
        <v>128</v>
      </c>
      <c r="T48" s="79">
        <v>46</v>
      </c>
      <c r="U48" s="79"/>
      <c r="V48" s="79"/>
      <c r="W48" s="82">
        <f>SUM(Q48:T48)</f>
        <v>446</v>
      </c>
      <c r="X48" s="52"/>
      <c r="Y48" s="52"/>
    </row>
    <row r="49" spans="1:37" ht="33.75" customHeight="1" x14ac:dyDescent="0.25">
      <c r="A49" s="194" t="s">
        <v>13</v>
      </c>
      <c r="B49" s="30">
        <f t="shared" ref="B49:G49" si="10">(B48*B47)/1000</f>
        <v>11.5</v>
      </c>
      <c r="C49" s="31">
        <f t="shared" si="10"/>
        <v>28.956</v>
      </c>
      <c r="D49" s="31">
        <f t="shared" si="10"/>
        <v>43.222499999999997</v>
      </c>
      <c r="E49" s="31">
        <f t="shared" si="10"/>
        <v>33.688499999999998</v>
      </c>
      <c r="F49" s="31">
        <f t="shared" si="10"/>
        <v>29.16</v>
      </c>
      <c r="G49" s="32">
        <f t="shared" si="10"/>
        <v>17.542999999999999</v>
      </c>
      <c r="H49" s="139">
        <f>((H46*1000)/H48)/7</f>
        <v>55.598102338190451</v>
      </c>
      <c r="I49" s="199"/>
      <c r="J49" s="199"/>
      <c r="K49" s="199"/>
      <c r="L49" s="199"/>
      <c r="M49" s="199"/>
      <c r="N49" s="49"/>
      <c r="P49" s="72" t="s">
        <v>13</v>
      </c>
      <c r="Q49" s="65">
        <v>81.569999999999993</v>
      </c>
      <c r="R49" s="65">
        <v>81.569999999999993</v>
      </c>
      <c r="S49" s="65">
        <v>81.569999999999993</v>
      </c>
      <c r="T49" s="65">
        <v>81.569999999999993</v>
      </c>
      <c r="U49" s="31"/>
      <c r="V49" s="31"/>
      <c r="W49" s="83">
        <f>((W46*1000)/W48)/7</f>
        <v>65.035874439461892</v>
      </c>
      <c r="X49" s="52"/>
      <c r="Y49" s="52"/>
    </row>
    <row r="50" spans="1:37" ht="33.75" customHeight="1" x14ac:dyDescent="0.25">
      <c r="A50" s="185" t="s">
        <v>14</v>
      </c>
      <c r="B50" s="34">
        <f t="shared" ref="B50:G50" si="11">((B48*B47)*7)/1000</f>
        <v>80.5</v>
      </c>
      <c r="C50" s="35">
        <f t="shared" si="11"/>
        <v>202.69200000000001</v>
      </c>
      <c r="D50" s="35">
        <f t="shared" si="11"/>
        <v>302.5575</v>
      </c>
      <c r="E50" s="35">
        <f t="shared" si="11"/>
        <v>235.81950000000001</v>
      </c>
      <c r="F50" s="35">
        <f t="shared" si="11"/>
        <v>204.12</v>
      </c>
      <c r="G50" s="68">
        <f t="shared" si="11"/>
        <v>122.801</v>
      </c>
      <c r="H50" s="112"/>
      <c r="I50" s="41"/>
      <c r="J50" s="41"/>
      <c r="K50" s="41"/>
      <c r="L50" s="41"/>
      <c r="M50" s="41"/>
      <c r="N50" s="49"/>
      <c r="P50" s="73" t="s">
        <v>14</v>
      </c>
      <c r="Q50" s="66">
        <f>((Q48*Q47)*7)/1000</f>
        <v>60.521999999999998</v>
      </c>
      <c r="R50" s="66">
        <f>((R48*R47)*7)/1000</f>
        <v>64.19</v>
      </c>
      <c r="S50" s="66">
        <f>((S48*S47)*7)/1000</f>
        <v>58.688000000000002</v>
      </c>
      <c r="T50" s="66">
        <f>((T48*T47)*7)/1000</f>
        <v>19.641999999999999</v>
      </c>
      <c r="U50" s="35"/>
      <c r="V50" s="35"/>
      <c r="W50" s="84"/>
    </row>
    <row r="51" spans="1:37" ht="33.75" customHeight="1" thickBot="1" x14ac:dyDescent="0.3">
      <c r="A51" s="195" t="s">
        <v>15</v>
      </c>
      <c r="B51" s="37">
        <f t="shared" ref="B51:G51" si="12">+(B46/B48)/7*1000</f>
        <v>57.5</v>
      </c>
      <c r="C51" s="38">
        <f t="shared" si="12"/>
        <v>57</v>
      </c>
      <c r="D51" s="38">
        <f t="shared" si="12"/>
        <v>56.500000000000007</v>
      </c>
      <c r="E51" s="38">
        <f t="shared" si="12"/>
        <v>55.499999999999986</v>
      </c>
      <c r="F51" s="38">
        <f t="shared" si="12"/>
        <v>54</v>
      </c>
      <c r="G51" s="39">
        <f t="shared" si="12"/>
        <v>52.999999999999993</v>
      </c>
      <c r="H51" s="140"/>
      <c r="I51" s="41"/>
      <c r="J51" s="41"/>
      <c r="K51" s="41"/>
      <c r="L51" s="41"/>
      <c r="M51" s="41"/>
      <c r="N51" s="49"/>
      <c r="O51" s="41"/>
      <c r="P51" s="74" t="s">
        <v>15</v>
      </c>
      <c r="Q51" s="67">
        <f>+(Q46/Q48)/7*1000</f>
        <v>65.500000000000014</v>
      </c>
      <c r="R51" s="67">
        <f>+(R46/R48)/7*1000</f>
        <v>65.499999999999986</v>
      </c>
      <c r="S51" s="67">
        <f>+(S46/S48)/7*1000</f>
        <v>65.500000000000014</v>
      </c>
      <c r="T51" s="67">
        <f>+(T46/T48)/7*1000</f>
        <v>61.000000000000007</v>
      </c>
      <c r="U51" s="38"/>
      <c r="V51" s="38"/>
      <c r="W51" s="39"/>
      <c r="X51" s="42"/>
      <c r="Y51" s="42"/>
    </row>
    <row r="52" spans="1:37" ht="33.75" customHeight="1" x14ac:dyDescent="0.25">
      <c r="A52" s="41"/>
      <c r="B52" s="10"/>
      <c r="C52" s="10"/>
      <c r="D52" s="10"/>
      <c r="E52" s="10"/>
      <c r="F52" s="10"/>
      <c r="G52" s="10"/>
      <c r="H52" s="41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2"/>
      <c r="AB52" s="2"/>
      <c r="AC52" s="2"/>
      <c r="AD52" s="2"/>
      <c r="AE52" s="2"/>
    </row>
    <row r="53" spans="1:37" ht="33.75" customHeight="1" x14ac:dyDescent="0.25">
      <c r="A53" s="41"/>
      <c r="B53" s="197"/>
      <c r="C53" s="197"/>
      <c r="D53" s="197"/>
      <c r="E53" s="197"/>
      <c r="F53" s="197"/>
      <c r="G53" s="197"/>
      <c r="H53" s="41"/>
      <c r="I53" s="41"/>
      <c r="J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2"/>
      <c r="X53" s="43"/>
      <c r="Y53" s="43"/>
      <c r="Z53" s="43"/>
      <c r="AA53" s="2"/>
      <c r="AB53" s="2"/>
      <c r="AC53" s="2"/>
      <c r="AD53" s="2"/>
      <c r="AH53" s="3"/>
    </row>
    <row r="54" spans="1:37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958"/>
      <c r="P54" s="958"/>
      <c r="Q54" s="54"/>
      <c r="R54" s="54"/>
      <c r="S54" s="54"/>
      <c r="T54" s="54"/>
      <c r="U54" s="55"/>
      <c r="Z54" s="43"/>
      <c r="AA54" s="43"/>
      <c r="AB54" s="43"/>
      <c r="AC54" s="2"/>
      <c r="AD54" s="2"/>
      <c r="AE54" s="2"/>
      <c r="AF54" s="2"/>
      <c r="AH54" s="2"/>
      <c r="AI54" s="2"/>
      <c r="AJ54" s="2"/>
    </row>
    <row r="55" spans="1:37" ht="33.75" customHeight="1" x14ac:dyDescent="0.25">
      <c r="A55" s="88" t="s">
        <v>19</v>
      </c>
      <c r="B55" s="956" t="s">
        <v>30</v>
      </c>
      <c r="C55" s="956"/>
      <c r="D55" s="956"/>
      <c r="E55" s="956"/>
      <c r="F55" s="957"/>
      <c r="G55" s="158"/>
      <c r="H55" s="85"/>
      <c r="I55" s="56"/>
      <c r="J55" s="56"/>
      <c r="K55" s="56"/>
      <c r="L55" s="56"/>
      <c r="M55" s="56"/>
      <c r="N55" s="56"/>
      <c r="O55" s="56"/>
      <c r="AA55" s="43"/>
      <c r="AB55" s="43"/>
      <c r="AC55" s="43"/>
      <c r="AD55" s="2"/>
      <c r="AE55" s="2"/>
      <c r="AF55" s="2"/>
      <c r="AG55" s="2"/>
      <c r="AI55" s="2"/>
      <c r="AJ55" s="2"/>
      <c r="AK55" s="2"/>
    </row>
    <row r="56" spans="1:37" ht="33.75" customHeight="1" x14ac:dyDescent="0.25">
      <c r="A56" s="80" t="s">
        <v>34</v>
      </c>
      <c r="B56" s="60"/>
      <c r="C56" s="12"/>
      <c r="D56" s="12"/>
      <c r="E56" s="12"/>
      <c r="F56" s="12"/>
      <c r="G56" s="159"/>
      <c r="H56" s="76" t="s">
        <v>9</v>
      </c>
      <c r="O56" s="45"/>
      <c r="P56" s="45"/>
      <c r="Q56" s="45"/>
      <c r="R56" s="45"/>
      <c r="S56" s="57"/>
      <c r="T56" s="57"/>
      <c r="U56" s="57"/>
      <c r="V56" s="57"/>
      <c r="W56" s="45"/>
      <c r="X56" s="45"/>
      <c r="Y56" s="58"/>
      <c r="Z56" s="58"/>
      <c r="AA56" s="58"/>
      <c r="AB56" s="2"/>
      <c r="AC56" s="2"/>
      <c r="AD56" s="2"/>
      <c r="AE56" s="2"/>
      <c r="AG56" s="2"/>
      <c r="AH56" s="2"/>
      <c r="AI56" s="2"/>
    </row>
    <row r="57" spans="1:37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107"/>
      <c r="H57" s="76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57"/>
      <c r="T57" s="57"/>
      <c r="U57" s="57"/>
      <c r="V57" s="57"/>
      <c r="W57" s="45"/>
      <c r="X57" s="45"/>
      <c r="Y57" s="58"/>
      <c r="Z57" s="58"/>
      <c r="AA57" s="58"/>
      <c r="AB57" s="2"/>
      <c r="AC57" s="2"/>
      <c r="AD57" s="2"/>
      <c r="AE57" s="2"/>
      <c r="AF57" s="2"/>
      <c r="AG57" s="2"/>
      <c r="AH57" s="2"/>
      <c r="AI57" s="2"/>
    </row>
    <row r="58" spans="1:37" ht="33.75" customHeight="1" x14ac:dyDescent="0.25">
      <c r="A58" s="96" t="s">
        <v>53</v>
      </c>
      <c r="B58" s="61"/>
      <c r="C58" s="61"/>
      <c r="D58" s="61"/>
      <c r="E58" s="61"/>
      <c r="F58" s="61"/>
      <c r="G58" s="160"/>
      <c r="H58" s="77">
        <f t="shared" ref="H58:H65" si="13">SUM(B58:F58)</f>
        <v>0</v>
      </c>
      <c r="I58" s="42"/>
      <c r="J58" s="42"/>
      <c r="K58" s="42"/>
      <c r="L58" s="42"/>
      <c r="M58" s="42"/>
      <c r="N58" s="42"/>
      <c r="O58" s="2"/>
      <c r="P58" s="45"/>
      <c r="Q58" s="45"/>
      <c r="R58" s="45"/>
      <c r="S58" s="57"/>
      <c r="T58" s="57"/>
      <c r="U58" s="57"/>
      <c r="V58" s="57"/>
      <c r="W58" s="45"/>
      <c r="X58" s="45"/>
      <c r="Y58" s="58"/>
      <c r="Z58" s="58"/>
      <c r="AA58" s="58"/>
      <c r="AB58" s="2"/>
      <c r="AC58" s="2"/>
      <c r="AD58" s="2"/>
      <c r="AE58" s="2"/>
      <c r="AF58" s="2"/>
      <c r="AG58" s="2"/>
      <c r="AH58" s="2"/>
      <c r="AI58" s="2"/>
    </row>
    <row r="59" spans="1:37" ht="33.75" customHeight="1" x14ac:dyDescent="0.25">
      <c r="A59" s="96" t="s">
        <v>24</v>
      </c>
      <c r="B59" s="61">
        <v>21.5</v>
      </c>
      <c r="C59" s="61">
        <v>32.1</v>
      </c>
      <c r="D59" s="61">
        <v>37.6</v>
      </c>
      <c r="E59" s="61">
        <v>30.7</v>
      </c>
      <c r="F59" s="61">
        <v>22.9</v>
      </c>
      <c r="G59" s="160"/>
      <c r="H59" s="77">
        <f t="shared" si="13"/>
        <v>144.80000000000001</v>
      </c>
      <c r="I59" s="42"/>
      <c r="J59" s="42"/>
      <c r="K59" s="42"/>
      <c r="L59" s="42"/>
      <c r="M59" s="42"/>
      <c r="N59" s="42"/>
      <c r="O59" s="2"/>
      <c r="P59" s="45"/>
      <c r="Q59" s="45"/>
      <c r="R59" s="45"/>
      <c r="S59" s="57"/>
      <c r="T59" s="57"/>
      <c r="U59" s="57"/>
      <c r="V59" s="57"/>
      <c r="W59" s="45"/>
      <c r="X59" s="45"/>
      <c r="Y59" s="58"/>
      <c r="Z59" s="58"/>
      <c r="AA59" s="58"/>
      <c r="AB59" s="2"/>
      <c r="AC59" s="2"/>
      <c r="AD59" s="2"/>
      <c r="AE59" s="2"/>
      <c r="AF59" s="2"/>
      <c r="AG59" s="2"/>
      <c r="AH59" s="2"/>
      <c r="AI59" s="2"/>
    </row>
    <row r="60" spans="1:37" ht="33.75" customHeight="1" x14ac:dyDescent="0.25">
      <c r="A60" s="96" t="s">
        <v>20</v>
      </c>
      <c r="B60" s="61">
        <f>(((($B$67*$B$66)/1000)*7)-$B$59)/4</f>
        <v>21.452500000000001</v>
      </c>
      <c r="C60" s="61">
        <f>(((($C$66*$C$67)/1000)*7)-$C$59)/4</f>
        <v>32.032500000000006</v>
      </c>
      <c r="D60" s="61">
        <f>(((($D$66*$D$67)/1000)*7)-$D$59)/4</f>
        <v>37.394999999999996</v>
      </c>
      <c r="E60" s="61">
        <f>(((($E$66*$E$67)/1000)*7)-$E$59)/4</f>
        <v>30.6675</v>
      </c>
      <c r="F60" s="61">
        <f>(((($F$66*$F$67)/1000)*7)-$F$59)/4</f>
        <v>22.939999999999998</v>
      </c>
      <c r="G60" s="160"/>
      <c r="H60" s="77">
        <f t="shared" si="13"/>
        <v>144.48750000000001</v>
      </c>
      <c r="I60" s="42"/>
      <c r="J60" s="42"/>
      <c r="K60" s="42"/>
      <c r="L60" s="42"/>
      <c r="M60" s="42"/>
      <c r="N60" s="42"/>
      <c r="O60" s="2"/>
      <c r="P60" s="45"/>
      <c r="Q60" s="45"/>
      <c r="R60" s="45"/>
      <c r="S60" s="57"/>
      <c r="T60" s="57"/>
      <c r="U60" s="57"/>
      <c r="V60" s="57"/>
      <c r="W60" s="45"/>
      <c r="X60" s="45"/>
      <c r="Y60" s="58"/>
      <c r="Z60" s="58"/>
      <c r="AA60" s="58"/>
      <c r="AB60" s="2"/>
      <c r="AC60" s="2"/>
      <c r="AD60" s="2"/>
      <c r="AE60" s="2"/>
      <c r="AF60" s="2"/>
      <c r="AG60" s="2"/>
      <c r="AH60" s="2"/>
      <c r="AI60" s="2"/>
    </row>
    <row r="61" spans="1:37" ht="33.75" customHeight="1" x14ac:dyDescent="0.25">
      <c r="A61" s="96" t="s">
        <v>28</v>
      </c>
      <c r="B61" s="61">
        <f>(((($B$67*$B$66)/1000)*7)-$B$59)/4</f>
        <v>21.452500000000001</v>
      </c>
      <c r="C61" s="61">
        <f>(((($C$66*$C$67)/1000)*7)-$C$59)/4</f>
        <v>32.032500000000006</v>
      </c>
      <c r="D61" s="61">
        <f>(((($D$66*$D$67)/1000)*7)-$D$59)/4</f>
        <v>37.394999999999996</v>
      </c>
      <c r="E61" s="61">
        <f>(((($E$66*$E$67)/1000)*7)-$E$59)/4</f>
        <v>30.6675</v>
      </c>
      <c r="F61" s="61">
        <f>(((($F$66*$F$67)/1000)*7)-$F$59)/4</f>
        <v>22.939999999999998</v>
      </c>
      <c r="G61" s="160"/>
      <c r="H61" s="77">
        <f t="shared" si="13"/>
        <v>144.48750000000001</v>
      </c>
      <c r="I61" s="42"/>
      <c r="J61" s="42"/>
      <c r="K61" s="42"/>
      <c r="L61" s="42"/>
      <c r="M61" s="42"/>
      <c r="N61" s="42"/>
      <c r="O61" s="2"/>
      <c r="P61" s="45"/>
      <c r="Q61" s="45"/>
      <c r="R61" s="45"/>
      <c r="S61" s="57"/>
      <c r="T61" s="57"/>
      <c r="U61" s="57"/>
      <c r="V61" s="57"/>
      <c r="W61" s="45"/>
      <c r="X61" s="45"/>
      <c r="Y61" s="58"/>
      <c r="Z61" s="58"/>
      <c r="AA61" s="58"/>
      <c r="AB61" s="3"/>
      <c r="AC61" s="3"/>
      <c r="AD61" s="2"/>
      <c r="AE61" s="2"/>
      <c r="AF61" s="2"/>
      <c r="AG61" s="2"/>
      <c r="AH61" s="2"/>
      <c r="AI61" s="2"/>
    </row>
    <row r="62" spans="1:37" ht="33.75" customHeight="1" x14ac:dyDescent="0.25">
      <c r="A62" s="96" t="s">
        <v>21</v>
      </c>
      <c r="B62" s="61"/>
      <c r="C62" s="61"/>
      <c r="D62" s="61"/>
      <c r="E62" s="61"/>
      <c r="F62" s="61"/>
      <c r="G62" s="160"/>
      <c r="H62" s="77">
        <f t="shared" si="13"/>
        <v>0</v>
      </c>
      <c r="I62" s="42"/>
      <c r="J62" s="42"/>
      <c r="K62" s="42"/>
      <c r="L62" s="42"/>
      <c r="M62" s="42"/>
      <c r="N62" s="42"/>
      <c r="O62" s="2"/>
      <c r="P62" s="45"/>
      <c r="Q62" s="45"/>
      <c r="R62" s="45"/>
      <c r="S62" s="57"/>
      <c r="T62" s="57"/>
      <c r="U62" s="57"/>
      <c r="V62" s="57"/>
      <c r="W62" s="45"/>
      <c r="X62" s="45"/>
      <c r="Y62" s="58"/>
      <c r="Z62" s="58"/>
      <c r="AA62" s="58"/>
      <c r="AB62" s="3"/>
      <c r="AC62" s="3"/>
      <c r="AD62" s="2"/>
      <c r="AE62" s="2"/>
      <c r="AF62" s="2"/>
      <c r="AG62" s="2"/>
      <c r="AH62" s="2"/>
      <c r="AI62" s="2"/>
    </row>
    <row r="63" spans="1:37" ht="33.75" customHeight="1" x14ac:dyDescent="0.25">
      <c r="A63" s="96" t="s">
        <v>22</v>
      </c>
      <c r="B63" s="61">
        <f>(((($B$67*$B$66)/1000)*7)-$B$59)/4</f>
        <v>21.452500000000001</v>
      </c>
      <c r="C63" s="61">
        <f>(((($C$66*$C$67)/1000)*7)-$C$59)/4</f>
        <v>32.032500000000006</v>
      </c>
      <c r="D63" s="61">
        <f>(((($D$66*$D$67)/1000)*7)-$D$59)/4</f>
        <v>37.394999999999996</v>
      </c>
      <c r="E63" s="61">
        <f>(((($E$66*$E$67)/1000)*7)-$E$59)/4</f>
        <v>30.6675</v>
      </c>
      <c r="F63" s="61">
        <f>(((($F$66*$F$67)/1000)*7)-$F$59)/4</f>
        <v>22.939999999999998</v>
      </c>
      <c r="G63" s="160"/>
      <c r="H63" s="77">
        <f t="shared" si="13"/>
        <v>144.48750000000001</v>
      </c>
      <c r="I63" s="42"/>
      <c r="J63" s="42"/>
      <c r="K63" s="42"/>
      <c r="L63" s="42"/>
      <c r="M63" s="42"/>
      <c r="N63" s="42"/>
      <c r="O63" s="2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3"/>
      <c r="AC63" s="3"/>
      <c r="AF63" s="2"/>
      <c r="AG63" s="2"/>
      <c r="AH63" s="2"/>
      <c r="AI63" s="2"/>
    </row>
    <row r="64" spans="1:37" ht="33.75" customHeight="1" x14ac:dyDescent="0.25">
      <c r="A64" s="96" t="s">
        <v>23</v>
      </c>
      <c r="B64" s="61">
        <f>(((($B$67*$B$66)/1000)*7)-$B$59)/4</f>
        <v>21.452500000000001</v>
      </c>
      <c r="C64" s="61">
        <f>(((($C$66*$C$67)/1000)*7)-$C$59)/4</f>
        <v>32.032500000000006</v>
      </c>
      <c r="D64" s="61">
        <f>(((($D$66*$D$67)/1000)*7)-$D$59)/4</f>
        <v>37.394999999999996</v>
      </c>
      <c r="E64" s="61">
        <f>(((($E$66*$E$67)/1000)*7)-$E$59)/4</f>
        <v>30.6675</v>
      </c>
      <c r="F64" s="61">
        <f>(((($F$66*$F$67)/1000)*7)-$F$59)/4</f>
        <v>22.939999999999998</v>
      </c>
      <c r="G64" s="160"/>
      <c r="H64" s="77">
        <f t="shared" si="13"/>
        <v>144.48750000000001</v>
      </c>
      <c r="I64" s="42"/>
      <c r="J64" s="42"/>
      <c r="K64" s="42"/>
      <c r="L64" s="42"/>
      <c r="M64" s="42"/>
      <c r="N64" s="42"/>
      <c r="O64" s="2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3"/>
      <c r="AC64" s="3"/>
      <c r="AF64" s="2"/>
      <c r="AG64" s="2"/>
      <c r="AH64" s="2"/>
      <c r="AI64" s="2"/>
    </row>
    <row r="65" spans="1:35" ht="33.75" customHeight="1" x14ac:dyDescent="0.25">
      <c r="A65" s="80" t="s">
        <v>9</v>
      </c>
      <c r="B65" s="62">
        <f>SUM(B58:B64)</f>
        <v>107.31</v>
      </c>
      <c r="C65" s="62">
        <f>SUM(C58:C64)</f>
        <v>160.23000000000002</v>
      </c>
      <c r="D65" s="62">
        <f>SUM(D58:D64)</f>
        <v>187.18</v>
      </c>
      <c r="E65" s="62">
        <f>SUM(E58:E64)</f>
        <v>153.37</v>
      </c>
      <c r="F65" s="62">
        <f>SUM(F58:F64)</f>
        <v>114.66</v>
      </c>
      <c r="G65" s="62"/>
      <c r="H65" s="77">
        <f t="shared" si="13"/>
        <v>722.75</v>
      </c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3"/>
      <c r="AC65" s="3"/>
      <c r="AD65" s="3"/>
      <c r="AE65" s="3"/>
      <c r="AF65" s="2"/>
      <c r="AG65" s="2"/>
      <c r="AH65" s="2"/>
      <c r="AI65" s="2"/>
    </row>
    <row r="66" spans="1:35" ht="33.75" customHeight="1" x14ac:dyDescent="0.25">
      <c r="A66" s="70" t="s">
        <v>11</v>
      </c>
      <c r="B66" s="63">
        <v>70</v>
      </c>
      <c r="C66" s="63">
        <v>70</v>
      </c>
      <c r="D66" s="63">
        <v>70</v>
      </c>
      <c r="E66" s="63">
        <v>70</v>
      </c>
      <c r="F66" s="63">
        <v>70</v>
      </c>
      <c r="G66" s="161"/>
      <c r="H66" s="78">
        <f>+((H65/H67)/7)*1000</f>
        <v>69.999999999999986</v>
      </c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3"/>
      <c r="AC66" s="3"/>
      <c r="AD66" s="3"/>
      <c r="AE66" s="3"/>
      <c r="AF66" s="2"/>
      <c r="AG66" s="2"/>
      <c r="AH66" s="2"/>
      <c r="AI66" s="2"/>
    </row>
    <row r="67" spans="1:35" ht="33.75" customHeight="1" x14ac:dyDescent="0.25">
      <c r="A67" s="71" t="s">
        <v>12</v>
      </c>
      <c r="B67" s="79">
        <v>219</v>
      </c>
      <c r="C67" s="79">
        <v>327</v>
      </c>
      <c r="D67" s="79">
        <v>382</v>
      </c>
      <c r="E67" s="79">
        <v>313</v>
      </c>
      <c r="F67" s="79">
        <v>234</v>
      </c>
      <c r="G67" s="162"/>
      <c r="H67" s="82">
        <f>SUM(B67:F67)</f>
        <v>1475</v>
      </c>
      <c r="O67" s="59"/>
      <c r="S67" s="3"/>
      <c r="T67" s="3"/>
      <c r="U67" s="3"/>
      <c r="V67" s="3"/>
      <c r="W67" s="3"/>
      <c r="X67" s="3"/>
    </row>
    <row r="68" spans="1:35" ht="33.75" customHeight="1" x14ac:dyDescent="0.25">
      <c r="A68" s="72" t="s">
        <v>13</v>
      </c>
      <c r="B68" s="65">
        <v>83.71</v>
      </c>
      <c r="C68" s="31">
        <f>(C67*C66)/1000</f>
        <v>22.89</v>
      </c>
      <c r="D68" s="31">
        <f>(D67*D66)/1000</f>
        <v>26.74</v>
      </c>
      <c r="E68" s="31">
        <f>(E67*E66)/1000</f>
        <v>21.91</v>
      </c>
      <c r="F68" s="31">
        <f>(F67*F66)/1000</f>
        <v>16.38</v>
      </c>
      <c r="G68" s="163"/>
      <c r="H68" s="86">
        <f>((H65*1000)/H67)/7</f>
        <v>70</v>
      </c>
      <c r="S68" s="3"/>
      <c r="T68" s="3"/>
      <c r="U68" s="3"/>
      <c r="V68" s="3"/>
      <c r="W68" s="3"/>
      <c r="X68" s="3"/>
    </row>
    <row r="69" spans="1:35" ht="33.75" customHeight="1" x14ac:dyDescent="0.25">
      <c r="A69" s="73" t="s">
        <v>14</v>
      </c>
      <c r="B69" s="66">
        <f>((B67*B66)*7)/1000</f>
        <v>107.31</v>
      </c>
      <c r="C69" s="35">
        <f>((C67*C66)*7)/1000</f>
        <v>160.22999999999999</v>
      </c>
      <c r="D69" s="35">
        <f>((D67*D66)*7)/1000</f>
        <v>187.18</v>
      </c>
      <c r="E69" s="35">
        <f>((E67*E66)*7)/1000</f>
        <v>153.37</v>
      </c>
      <c r="F69" s="35">
        <f>((F67*F66)*7)/1000</f>
        <v>114.66</v>
      </c>
      <c r="G69" s="35"/>
      <c r="H69" s="68"/>
      <c r="I69" s="41"/>
      <c r="J69" s="41"/>
      <c r="K69" s="41"/>
      <c r="L69" s="41"/>
      <c r="M69" s="41"/>
      <c r="N69" s="41"/>
      <c r="X69" s="3"/>
    </row>
    <row r="70" spans="1:35" ht="33.75" customHeight="1" thickBot="1" x14ac:dyDescent="0.3">
      <c r="A70" s="74" t="s">
        <v>15</v>
      </c>
      <c r="B70" s="67">
        <f>+(B65/B67)/7*1000</f>
        <v>69.999999999999986</v>
      </c>
      <c r="C70" s="67">
        <f>+(C65/C67)/7*1000</f>
        <v>70</v>
      </c>
      <c r="D70" s="67">
        <f>+(D65/D67)/7*1000</f>
        <v>69.999999999999986</v>
      </c>
      <c r="E70" s="67">
        <f>+(E65/E67)/7*1000</f>
        <v>69.999999999999986</v>
      </c>
      <c r="F70" s="67">
        <f>+(F65/F67)/7*1000</f>
        <v>69.999999999999986</v>
      </c>
      <c r="G70" s="67"/>
      <c r="H70" s="87"/>
      <c r="X70" s="3"/>
    </row>
    <row r="71" spans="1:35" ht="33.75" customHeight="1" x14ac:dyDescent="0.25">
      <c r="B71" s="148"/>
    </row>
    <row r="72" spans="1:35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52"/>
    </row>
    <row r="73" spans="1:35" ht="33.75" customHeight="1" x14ac:dyDescent="0.25"/>
    <row r="74" spans="1:35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  <c r="M74" s="45"/>
      <c r="N74" s="45"/>
      <c r="O74" s="45"/>
    </row>
    <row r="75" spans="1:35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5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5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5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5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G36"/>
    <mergeCell ref="Q36:V36"/>
    <mergeCell ref="N37:O37"/>
    <mergeCell ref="O54:P54"/>
    <mergeCell ref="B55:F55"/>
    <mergeCell ref="A3:C3"/>
    <mergeCell ref="E9:G9"/>
    <mergeCell ref="X9:Y9"/>
    <mergeCell ref="P11:Q11"/>
    <mergeCell ref="B15:I15"/>
    <mergeCell ref="J15:M15"/>
    <mergeCell ref="N15:S15"/>
    <mergeCell ref="T15:Y1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K239"/>
  <sheetViews>
    <sheetView workbookViewId="0"/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9.140625" style="14" customWidth="1"/>
    <col min="9" max="13" width="20.140625" style="14" customWidth="1"/>
    <col min="14" max="14" width="28.28515625" style="14" bestFit="1" customWidth="1"/>
    <col min="15" max="16" width="33.42578125" style="14" bestFit="1" customWidth="1"/>
    <col min="17" max="17" width="22.7109375" style="14" customWidth="1"/>
    <col min="18" max="20" width="21.28515625" style="14" customWidth="1"/>
    <col min="21" max="21" width="21.28515625" style="14" bestFit="1" customWidth="1"/>
    <col min="22" max="22" width="21.28515625" style="14" customWidth="1"/>
    <col min="23" max="23" width="27.85546875" style="14" customWidth="1"/>
    <col min="24" max="24" width="23.42578125" style="14" customWidth="1"/>
    <col min="25" max="25" width="21.42578125" style="14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 t="s">
        <v>3</v>
      </c>
      <c r="X9" s="960" t="s">
        <v>35</v>
      </c>
      <c r="Y9" s="960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65" t="s">
        <v>66</v>
      </c>
      <c r="Q11" s="965"/>
      <c r="R11" s="6"/>
      <c r="S11" s="6"/>
      <c r="T11" s="6"/>
      <c r="U11" s="1"/>
      <c r="V11" s="1"/>
      <c r="W11" s="1" t="s">
        <v>6</v>
      </c>
      <c r="X11" s="95">
        <v>45399</v>
      </c>
      <c r="Y11" s="6"/>
      <c r="Z11" s="6"/>
      <c r="AA11" s="6"/>
      <c r="AB11" s="6"/>
      <c r="AC11" s="6"/>
      <c r="AD11" s="6"/>
      <c r="AE11" s="1"/>
      <c r="AF11" s="1"/>
      <c r="AG11" s="1"/>
      <c r="AH11" s="1"/>
      <c r="AI11" s="1"/>
      <c r="AJ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1"/>
      <c r="AD13" s="1"/>
      <c r="AE13" s="1"/>
    </row>
    <row r="14" spans="1:3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1"/>
      <c r="AE14" s="1"/>
      <c r="AF14" s="1"/>
    </row>
    <row r="15" spans="1:36" s="10" customFormat="1" ht="36" thickBot="1" x14ac:dyDescent="0.3">
      <c r="A15" s="69" t="s">
        <v>7</v>
      </c>
      <c r="B15" s="971" t="s">
        <v>8</v>
      </c>
      <c r="C15" s="968"/>
      <c r="D15" s="968"/>
      <c r="E15" s="968"/>
      <c r="F15" s="968"/>
      <c r="G15" s="968"/>
      <c r="H15" s="968"/>
      <c r="I15" s="968"/>
      <c r="J15" s="963" t="s">
        <v>30</v>
      </c>
      <c r="K15" s="963"/>
      <c r="L15" s="963"/>
      <c r="M15" s="964"/>
      <c r="N15" s="971" t="s">
        <v>29</v>
      </c>
      <c r="O15" s="968"/>
      <c r="P15" s="968"/>
      <c r="Q15" s="968"/>
      <c r="R15" s="968"/>
      <c r="S15" s="969"/>
      <c r="T15" s="962" t="s">
        <v>31</v>
      </c>
      <c r="U15" s="963"/>
      <c r="V15" s="963"/>
      <c r="W15" s="963"/>
      <c r="X15" s="963"/>
      <c r="Y15" s="964"/>
      <c r="Z15" s="9"/>
    </row>
    <row r="16" spans="1:36" ht="39.950000000000003" customHeight="1" thickBot="1" x14ac:dyDescent="0.3">
      <c r="A16" s="80" t="s">
        <v>34</v>
      </c>
      <c r="B16" s="172">
        <v>4</v>
      </c>
      <c r="C16" s="173">
        <v>3</v>
      </c>
      <c r="D16" s="174">
        <v>2</v>
      </c>
      <c r="E16" s="173">
        <v>1</v>
      </c>
      <c r="F16" s="173">
        <v>1</v>
      </c>
      <c r="G16" s="173">
        <v>2</v>
      </c>
      <c r="H16" s="174">
        <v>3</v>
      </c>
      <c r="I16" s="175">
        <v>4</v>
      </c>
      <c r="J16" s="186"/>
      <c r="K16" s="174"/>
      <c r="L16" s="174"/>
      <c r="M16" s="175"/>
      <c r="N16" s="177"/>
      <c r="O16" s="173"/>
      <c r="P16" s="173"/>
      <c r="Q16" s="173"/>
      <c r="R16" s="173"/>
      <c r="S16" s="176"/>
      <c r="T16" s="177"/>
      <c r="U16" s="173"/>
      <c r="V16" s="173"/>
      <c r="W16" s="173"/>
      <c r="X16" s="173"/>
      <c r="Y16" s="173"/>
      <c r="Z16" s="13" t="s">
        <v>9</v>
      </c>
      <c r="AB16" s="15"/>
      <c r="AC16" s="15"/>
    </row>
    <row r="17" spans="1:36" ht="39.950000000000003" customHeight="1" thickBot="1" x14ac:dyDescent="0.3">
      <c r="A17" s="80" t="s">
        <v>10</v>
      </c>
      <c r="B17" s="188">
        <v>1</v>
      </c>
      <c r="C17" s="168">
        <v>2</v>
      </c>
      <c r="D17" s="168">
        <v>3</v>
      </c>
      <c r="E17" s="168">
        <v>4</v>
      </c>
      <c r="F17" s="168">
        <v>5</v>
      </c>
      <c r="G17" s="168">
        <v>6</v>
      </c>
      <c r="H17" s="168">
        <v>7</v>
      </c>
      <c r="I17" s="169">
        <v>8</v>
      </c>
      <c r="J17" s="186">
        <v>1</v>
      </c>
      <c r="K17" s="174">
        <v>2</v>
      </c>
      <c r="L17" s="174">
        <v>3</v>
      </c>
      <c r="M17" s="175">
        <v>4</v>
      </c>
      <c r="N17" s="189">
        <v>1</v>
      </c>
      <c r="O17" s="168">
        <v>2</v>
      </c>
      <c r="P17" s="168">
        <v>3</v>
      </c>
      <c r="Q17" s="168">
        <v>4</v>
      </c>
      <c r="R17" s="168">
        <v>5</v>
      </c>
      <c r="S17" s="169"/>
      <c r="T17" s="189">
        <v>1</v>
      </c>
      <c r="U17" s="168">
        <v>2</v>
      </c>
      <c r="V17" s="168">
        <v>3</v>
      </c>
      <c r="W17" s="168">
        <v>4</v>
      </c>
      <c r="X17" s="168">
        <v>5</v>
      </c>
      <c r="Y17" s="169"/>
      <c r="Z17" s="13"/>
      <c r="AB17" s="2"/>
      <c r="AC17" s="15"/>
    </row>
    <row r="18" spans="1:36" ht="39.950000000000003" customHeight="1" x14ac:dyDescent="0.25">
      <c r="A18" s="96" t="s">
        <v>53</v>
      </c>
      <c r="B18" s="179"/>
      <c r="C18" s="180"/>
      <c r="D18" s="180"/>
      <c r="E18" s="180"/>
      <c r="F18" s="180"/>
      <c r="G18" s="180"/>
      <c r="H18" s="180"/>
      <c r="I18" s="190"/>
      <c r="J18" s="133"/>
      <c r="K18" s="134"/>
      <c r="L18" s="134"/>
      <c r="M18" s="156"/>
      <c r="N18" s="187"/>
      <c r="O18" s="180"/>
      <c r="P18" s="180"/>
      <c r="Q18" s="180"/>
      <c r="R18" s="180"/>
      <c r="S18" s="181"/>
      <c r="T18" s="187"/>
      <c r="U18" s="180"/>
      <c r="V18" s="180"/>
      <c r="W18" s="180"/>
      <c r="X18" s="180"/>
      <c r="Y18" s="180"/>
      <c r="Z18" s="98"/>
      <c r="AB18" s="2"/>
      <c r="AC18" s="15"/>
    </row>
    <row r="19" spans="1:36" ht="39.950000000000003" customHeight="1" x14ac:dyDescent="0.25">
      <c r="A19" s="96" t="s">
        <v>24</v>
      </c>
      <c r="B19" s="18">
        <v>24.9</v>
      </c>
      <c r="C19" s="19">
        <v>39.9</v>
      </c>
      <c r="D19" s="19">
        <v>55.4</v>
      </c>
      <c r="E19" s="19">
        <v>24</v>
      </c>
      <c r="F19" s="19">
        <v>16.7</v>
      </c>
      <c r="G19" s="19">
        <v>39.6</v>
      </c>
      <c r="H19" s="19">
        <v>40.4</v>
      </c>
      <c r="I19" s="108">
        <v>27.9</v>
      </c>
      <c r="J19" s="18">
        <v>9.8000000000000007</v>
      </c>
      <c r="K19" s="19">
        <v>16.7</v>
      </c>
      <c r="L19" s="19">
        <v>18.8</v>
      </c>
      <c r="M19" s="20">
        <v>16.5</v>
      </c>
      <c r="N19" s="61">
        <v>27.9</v>
      </c>
      <c r="O19" s="19">
        <v>35.799999999999997</v>
      </c>
      <c r="P19" s="19">
        <v>41.3</v>
      </c>
      <c r="Q19" s="19">
        <v>34.799999999999997</v>
      </c>
      <c r="R19" s="19">
        <v>19.2</v>
      </c>
      <c r="S19" s="20"/>
      <c r="T19" s="61">
        <v>25.7</v>
      </c>
      <c r="U19" s="19">
        <v>36.9</v>
      </c>
      <c r="V19" s="19">
        <v>42.5</v>
      </c>
      <c r="W19" s="19">
        <v>31.7</v>
      </c>
      <c r="X19" s="19">
        <v>19.7</v>
      </c>
      <c r="Y19" s="19"/>
      <c r="Z19" s="98">
        <f>SUM(B19:Y19)</f>
        <v>646.1</v>
      </c>
      <c r="AB19" s="2"/>
      <c r="AC19" s="15"/>
    </row>
    <row r="20" spans="1:36" ht="39.75" customHeight="1" x14ac:dyDescent="0.25">
      <c r="A20" s="96" t="s">
        <v>20</v>
      </c>
      <c r="B20" s="18">
        <f>(((($B$27*$B$26)/1000)*7)-$B$19)/4</f>
        <v>25.988999999999997</v>
      </c>
      <c r="C20" s="19">
        <f>(((($C$27*$C$26)/1000)*7)-$C$19)/4</f>
        <v>41.408499999999997</v>
      </c>
      <c r="D20" s="19">
        <f>(((($D$27*$D$26)/1000)*7)-$D$19)/4</f>
        <v>57.872000000000007</v>
      </c>
      <c r="E20" s="19">
        <f>(((($E$27*$E$26)/1000)*7)-$E$19)/4</f>
        <v>25.164000000000001</v>
      </c>
      <c r="F20" s="19">
        <f>(((($F$27*$F$26)/1000)*7)-$F$19)/4</f>
        <v>17.756</v>
      </c>
      <c r="G20" s="19">
        <f>(((($G$27*$G$26)/1000)*7)-$G$19)/4</f>
        <v>42.282375000000002</v>
      </c>
      <c r="H20" s="19">
        <f>(((($H$27*$H$26)/1000)*7)-$H$19)/4</f>
        <v>42.748249999999999</v>
      </c>
      <c r="I20" s="108">
        <f>(((($I$27*$I$26)/1000)*7)-$I$19)/4</f>
        <v>29.599999999999994</v>
      </c>
      <c r="J20" s="18">
        <f>(((($J$27*$J$26)/1000)*7)-$J$19)/4</f>
        <v>15.63625</v>
      </c>
      <c r="K20" s="19">
        <f>(((($K$27*$K$26)/1000)*7)-$K$19)/4</f>
        <v>26.527000000000001</v>
      </c>
      <c r="L20" s="19">
        <f>(((($L$27*$L$26)/1000)*7)-$L$19)/4</f>
        <v>29.775000000000002</v>
      </c>
      <c r="M20" s="20">
        <f>(((($M$27*$M$26)/1000)*7)-$M$19)/4</f>
        <v>25.973250000000004</v>
      </c>
      <c r="N20" s="61">
        <f>((((($N$26*$N$27)/1000)*7)-$N$19)/4)</f>
        <v>31.621249999999996</v>
      </c>
      <c r="O20" s="19">
        <f>((((($O$26*$O$27)/1000)*7)-$O$19)/4)</f>
        <v>40.390375000000006</v>
      </c>
      <c r="P20" s="19">
        <f>((((($P$26*$P$27)/1000)*7)-$P$19)/4)</f>
        <v>46.637499999999989</v>
      </c>
      <c r="Q20" s="19">
        <f>((((($Q$26*$Q$27)/1000)*7)-$Q$19)/4)</f>
        <v>38.781000000000006</v>
      </c>
      <c r="R20" s="19">
        <f>((((($R$26*$R$27)/1000)*7)-$R$19)/4)</f>
        <v>21.45</v>
      </c>
      <c r="S20" s="20"/>
      <c r="T20" s="61">
        <f>((((($T$26*$T$27)/1000)*7)-$T$19)/4)</f>
        <v>29.187500000000004</v>
      </c>
      <c r="U20" s="19">
        <f>((((($U$26*$U$27)/1000)*7)-$U$19)/4)</f>
        <v>41.519749999999995</v>
      </c>
      <c r="V20" s="19">
        <f>((((($V$26*$V$27)/1000)*7)-$V$19)/4)</f>
        <v>47.899375000000006</v>
      </c>
      <c r="W20" s="19">
        <f>((((($W$26*$W$27)/1000)*7)-$W$19)/4)</f>
        <v>35.807499999999997</v>
      </c>
      <c r="X20" s="19">
        <f>((((($X$26*$X$27)/1000)*7)-$X$19)/4)</f>
        <v>22.000499999999999</v>
      </c>
      <c r="Y20" s="19"/>
      <c r="Z20" s="98">
        <f>SUM(B20:Y20)</f>
        <v>736.02637500000003</v>
      </c>
      <c r="AB20" s="2"/>
      <c r="AC20" s="15"/>
    </row>
    <row r="21" spans="1:36" ht="39.950000000000003" customHeight="1" x14ac:dyDescent="0.25">
      <c r="A21" s="96" t="s">
        <v>28</v>
      </c>
      <c r="B21" s="18">
        <f>(((($B$27*$B$26)/1000)*7)-$B$19)/4</f>
        <v>25.988999999999997</v>
      </c>
      <c r="C21" s="19">
        <f>(((($C$27*$C$26)/1000)*7)-$C$19)/4</f>
        <v>41.408499999999997</v>
      </c>
      <c r="D21" s="19">
        <f>(((($D$27*$D$26)/1000)*7)-$D$19)/4</f>
        <v>57.872000000000007</v>
      </c>
      <c r="E21" s="19">
        <f>(((($E$27*$E$26)/1000)*7)-$E$19)/4</f>
        <v>25.164000000000001</v>
      </c>
      <c r="F21" s="19">
        <f>(((($F$27*$F$26)/1000)*7)-$F$19)/4</f>
        <v>17.756</v>
      </c>
      <c r="G21" s="19">
        <f>(((($G$27*$G$26)/1000)*7)-$G$19)/4</f>
        <v>42.282375000000002</v>
      </c>
      <c r="H21" s="19">
        <f>(((($H$27*$H$26)/1000)*7)-$H$19)/4</f>
        <v>42.748249999999999</v>
      </c>
      <c r="I21" s="108">
        <f>(((($I$27*$I$26)/1000)*7)-$I$19)/4</f>
        <v>29.599999999999994</v>
      </c>
      <c r="J21" s="18">
        <f>(((($J$27*$J$26)/1000)*7)-$J$19)/4</f>
        <v>15.63625</v>
      </c>
      <c r="K21" s="19">
        <f>(((($K$27*$K$26)/1000)*7)-$K$19)/4</f>
        <v>26.527000000000001</v>
      </c>
      <c r="L21" s="19">
        <f>(((($L$27*$L$26)/1000)*7)-$L$19)/4</f>
        <v>29.775000000000002</v>
      </c>
      <c r="M21" s="20">
        <f>(((($M$27*$M$26)/1000)*7)-$M$19)/4</f>
        <v>25.973250000000004</v>
      </c>
      <c r="N21" s="61">
        <f>((((($N$26*$N$27)/1000)*7)-$N$19)/4)</f>
        <v>31.621249999999996</v>
      </c>
      <c r="O21" s="19">
        <f>((((($O$26*$O$27)/1000)*7)-$O$19)/4)</f>
        <v>40.390375000000006</v>
      </c>
      <c r="P21" s="19">
        <f>((((($P$26*$P$27)/1000)*7)-$P$19)/4)</f>
        <v>46.637499999999989</v>
      </c>
      <c r="Q21" s="19">
        <f>((((($Q$26*$Q$27)/1000)*7)-$Q$19)/4)</f>
        <v>38.781000000000006</v>
      </c>
      <c r="R21" s="19">
        <f>((((($R$26*$R$27)/1000)*7)-$R$19)/4)</f>
        <v>21.45</v>
      </c>
      <c r="S21" s="20"/>
      <c r="T21" s="61">
        <f>((((($T$26*$T$27)/1000)*7)-$T$19)/4)</f>
        <v>29.187500000000004</v>
      </c>
      <c r="U21" s="19">
        <f>((((($U$26*$U$27)/1000)*7)-$U$19)/4)</f>
        <v>41.519749999999995</v>
      </c>
      <c r="V21" s="19">
        <f>((((($V$26*$V$27)/1000)*7)-$V$19)/4)</f>
        <v>47.899375000000006</v>
      </c>
      <c r="W21" s="19">
        <f>((((($W$26*$W$27)/1000)*7)-$W$19)/4)</f>
        <v>35.807499999999997</v>
      </c>
      <c r="X21" s="19">
        <f>((((($X$26*$X$27)/1000)*7)-$X$19)/4)</f>
        <v>22.000499999999999</v>
      </c>
      <c r="Y21" s="19"/>
      <c r="Z21" s="98">
        <f>SUM(B21:Y21)</f>
        <v>736.02637500000003</v>
      </c>
      <c r="AB21" s="2"/>
      <c r="AC21" s="15"/>
    </row>
    <row r="22" spans="1:36" ht="39.950000000000003" customHeight="1" x14ac:dyDescent="0.25">
      <c r="A22" s="96" t="s">
        <v>21</v>
      </c>
      <c r="B22" s="18"/>
      <c r="C22" s="19"/>
      <c r="D22" s="19"/>
      <c r="E22" s="19"/>
      <c r="F22" s="19"/>
      <c r="G22" s="19"/>
      <c r="H22" s="19"/>
      <c r="I22" s="108"/>
      <c r="J22" s="18"/>
      <c r="K22" s="19"/>
      <c r="L22" s="19"/>
      <c r="M22" s="20"/>
      <c r="N22" s="61"/>
      <c r="O22" s="19"/>
      <c r="P22" s="19"/>
      <c r="Q22" s="19"/>
      <c r="R22" s="19"/>
      <c r="S22" s="20"/>
      <c r="T22" s="61"/>
      <c r="U22" s="19"/>
      <c r="V22" s="19"/>
      <c r="W22" s="19"/>
      <c r="X22" s="19"/>
      <c r="Y22" s="19"/>
      <c r="Z22" s="98">
        <f>SUM(B22:X22)</f>
        <v>0</v>
      </c>
      <c r="AB22" s="2"/>
      <c r="AC22" s="15"/>
    </row>
    <row r="23" spans="1:36" ht="39.950000000000003" customHeight="1" x14ac:dyDescent="0.25">
      <c r="A23" s="96" t="s">
        <v>22</v>
      </c>
      <c r="B23" s="18">
        <f>(((($B$27*$B$26)/1000)*7)-$B$19)/4</f>
        <v>25.988999999999997</v>
      </c>
      <c r="C23" s="19">
        <f>(((($C$27*$C$26)/1000)*7)-$C$19)/4</f>
        <v>41.408499999999997</v>
      </c>
      <c r="D23" s="19">
        <f>(((($D$27*$D$26)/1000)*7)-$D$19)/4</f>
        <v>57.872000000000007</v>
      </c>
      <c r="E23" s="19">
        <f>(((($E$27*$E$26)/1000)*7)-$E$19)/4</f>
        <v>25.164000000000001</v>
      </c>
      <c r="F23" s="19">
        <f>(((($F$27*$F$26)/1000)*7)-$F$19)/4</f>
        <v>17.756</v>
      </c>
      <c r="G23" s="19">
        <f>(((($G$27*$G$26)/1000)*7)-$G$19)/4</f>
        <v>42.282375000000002</v>
      </c>
      <c r="H23" s="19">
        <f>(((($H$27*$H$26)/1000)*7)-$H$19)/4</f>
        <v>42.748249999999999</v>
      </c>
      <c r="I23" s="108">
        <f>(((($I$27*$I$26)/1000)*7)-$I$19)/4</f>
        <v>29.599999999999994</v>
      </c>
      <c r="J23" s="18">
        <f>(((($J$27*$J$26)/1000)*7)-$J$19)/4</f>
        <v>15.63625</v>
      </c>
      <c r="K23" s="19">
        <f>(((($K$27*$K$26)/1000)*7)-$K$19)/4</f>
        <v>26.527000000000001</v>
      </c>
      <c r="L23" s="19">
        <f>(((($L$27*$L$26)/1000)*7)-$L$19)/4</f>
        <v>29.775000000000002</v>
      </c>
      <c r="M23" s="20">
        <f>(((($M$27*$M$26)/1000)*7)-$M$19)/4</f>
        <v>25.973250000000004</v>
      </c>
      <c r="N23" s="61">
        <f>((((($N$26*$N$27)/1000)*7)-$N$19)/4)</f>
        <v>31.621249999999996</v>
      </c>
      <c r="O23" s="19">
        <f>((((($O$26*$O$27)/1000)*7)-$O$19)/4)</f>
        <v>40.390375000000006</v>
      </c>
      <c r="P23" s="19">
        <f>((((($P$26*$P$27)/1000)*7)-$P$19)/4)</f>
        <v>46.637499999999989</v>
      </c>
      <c r="Q23" s="19">
        <f>((((($Q$26*$Q$27)/1000)*7)-$Q$19)/4)</f>
        <v>38.781000000000006</v>
      </c>
      <c r="R23" s="19">
        <f>((((($R$26*$R$27)/1000)*7)-$R$19)/4)</f>
        <v>21.45</v>
      </c>
      <c r="S23" s="20"/>
      <c r="T23" s="61">
        <f>((((($T$26*$T$27)/1000)*7)-$T$19)/4)</f>
        <v>29.187500000000004</v>
      </c>
      <c r="U23" s="19">
        <f>((((($U$26*$U$27)/1000)*7)-$U$19)/4)</f>
        <v>41.519749999999995</v>
      </c>
      <c r="V23" s="19">
        <f>((((($V$26*$V$27)/1000)*7)-$V$19)/4)</f>
        <v>47.899375000000006</v>
      </c>
      <c r="W23" s="19">
        <f>((((($W$26*$W$27)/1000)*7)-$W$19)/4)</f>
        <v>35.807499999999997</v>
      </c>
      <c r="X23" s="19">
        <f>((((($X$26*$X$27)/1000)*7)-$X$19)/4)</f>
        <v>22.000499999999999</v>
      </c>
      <c r="Y23" s="19"/>
      <c r="Z23" s="98">
        <f>SUM(B23:Y23)</f>
        <v>736.02637500000003</v>
      </c>
      <c r="AB23" s="2"/>
      <c r="AC23" s="15"/>
    </row>
    <row r="24" spans="1:36" ht="39.950000000000003" customHeight="1" thickBot="1" x14ac:dyDescent="0.3">
      <c r="A24" s="96" t="s">
        <v>23</v>
      </c>
      <c r="B24" s="153">
        <f>(((($B$27*$B$26)/1000)*7)-$B$19)/4</f>
        <v>25.988999999999997</v>
      </c>
      <c r="C24" s="154">
        <f>(((($C$27*$C$26)/1000)*7)-$C$19)/4</f>
        <v>41.408499999999997</v>
      </c>
      <c r="D24" s="154">
        <f>(((($D$27*$D$26)/1000)*7)-$D$19)/4</f>
        <v>57.872000000000007</v>
      </c>
      <c r="E24" s="154">
        <f>(((($E$27*$E$26)/1000)*7)-$E$19)/4</f>
        <v>25.164000000000001</v>
      </c>
      <c r="F24" s="154">
        <f>(((($F$27*$F$26)/1000)*7)-$F$19)/4</f>
        <v>17.756</v>
      </c>
      <c r="G24" s="154">
        <f>(((($G$27*$G$26)/1000)*7)-$G$19)/4</f>
        <v>42.282375000000002</v>
      </c>
      <c r="H24" s="154">
        <f>(((($H$27*$H$26)/1000)*7)-$H$19)/4</f>
        <v>42.748249999999999</v>
      </c>
      <c r="I24" s="191">
        <f>(((($I$27*$I$26)/1000)*7)-$I$19)/4</f>
        <v>29.599999999999994</v>
      </c>
      <c r="J24" s="153">
        <f>(((($J$27*$J$26)/1000)*7)-$J$19)/4</f>
        <v>15.63625</v>
      </c>
      <c r="K24" s="19">
        <f>(((($K$27*$K$26)/1000)*7)-$K$19)/4</f>
        <v>26.527000000000001</v>
      </c>
      <c r="L24" s="154">
        <f>(((($L$27*$L$26)/1000)*7)-$L$19)/4</f>
        <v>29.775000000000002</v>
      </c>
      <c r="M24" s="20">
        <f>(((($M$27*$M$26)/1000)*7)-$M$19)/4</f>
        <v>25.973250000000004</v>
      </c>
      <c r="N24" s="61">
        <f>((((($N$26*$N$27)/1000)*7)-$N$19)/4)</f>
        <v>31.621249999999996</v>
      </c>
      <c r="O24" s="19">
        <f>((((($O$26*$O$27)/1000)*7)-$O$19)/4)</f>
        <v>40.390375000000006</v>
      </c>
      <c r="P24" s="19">
        <f>((((($P$26*$P$27)/1000)*7)-$P$19)/4)</f>
        <v>46.637499999999989</v>
      </c>
      <c r="Q24" s="19">
        <f>((((($Q$26*$Q$27)/1000)*7)-$Q$19)/4)</f>
        <v>38.781000000000006</v>
      </c>
      <c r="R24" s="19">
        <f>((((($R$26*$R$27)/1000)*7)-$R$19)/4)</f>
        <v>21.45</v>
      </c>
      <c r="S24" s="20"/>
      <c r="T24" s="61">
        <f>((((($T$26*$T$27)/1000)*7)-$T$19)/4)</f>
        <v>29.187500000000004</v>
      </c>
      <c r="U24" s="19">
        <f>((((($U$26*$U$27)/1000)*7)-$U$19)/4)</f>
        <v>41.519749999999995</v>
      </c>
      <c r="V24" s="19">
        <f>((((($V$26*$V$27)/1000)*7)-$V$19)/4)</f>
        <v>47.899375000000006</v>
      </c>
      <c r="W24" s="19">
        <f>((((($W$26*$W$27)/1000)*7)-$W$19)/4)</f>
        <v>35.807499999999997</v>
      </c>
      <c r="X24" s="19">
        <f>((((($X$26*$X$27)/1000)*7)-$X$19)/4)</f>
        <v>22.000499999999999</v>
      </c>
      <c r="Y24" s="19"/>
      <c r="Z24" s="98">
        <f>SUM(B24:Y24)</f>
        <v>736.02637500000003</v>
      </c>
      <c r="AB24" s="2"/>
    </row>
    <row r="25" spans="1:36" ht="41.45" customHeight="1" x14ac:dyDescent="0.25">
      <c r="A25" s="126" t="s">
        <v>9</v>
      </c>
      <c r="B25" s="131">
        <f t="shared" ref="B25:M25" si="0">SUM(B18:B24)</f>
        <v>128.85599999999999</v>
      </c>
      <c r="C25" s="128">
        <f t="shared" si="0"/>
        <v>205.53399999999999</v>
      </c>
      <c r="D25" s="128">
        <f t="shared" si="0"/>
        <v>286.88800000000003</v>
      </c>
      <c r="E25" s="128">
        <f t="shared" si="0"/>
        <v>124.65600000000001</v>
      </c>
      <c r="F25" s="128">
        <f t="shared" si="0"/>
        <v>87.724000000000004</v>
      </c>
      <c r="G25" s="128">
        <f t="shared" si="0"/>
        <v>208.7295</v>
      </c>
      <c r="H25" s="128">
        <f t="shared" si="0"/>
        <v>211.39299999999997</v>
      </c>
      <c r="I25" s="129">
        <f t="shared" si="0"/>
        <v>146.29999999999998</v>
      </c>
      <c r="J25" s="178">
        <f t="shared" si="0"/>
        <v>72.345000000000013</v>
      </c>
      <c r="K25" s="178">
        <f t="shared" si="0"/>
        <v>122.80800000000001</v>
      </c>
      <c r="L25" s="178">
        <f t="shared" si="0"/>
        <v>137.9</v>
      </c>
      <c r="M25" s="178">
        <f t="shared" si="0"/>
        <v>120.39300000000003</v>
      </c>
      <c r="N25" s="131">
        <f>SUM(N19:N24)</f>
        <v>154.38499999999999</v>
      </c>
      <c r="O25" s="128">
        <f>SUM(O19:O24)</f>
        <v>197.36150000000004</v>
      </c>
      <c r="P25" s="128">
        <f>SUM(P19:P24)</f>
        <v>227.84999999999997</v>
      </c>
      <c r="Q25" s="128">
        <f>SUM(Q18:Q24)</f>
        <v>189.92400000000004</v>
      </c>
      <c r="R25" s="128">
        <f>SUM(R18:R24)</f>
        <v>105</v>
      </c>
      <c r="S25" s="129"/>
      <c r="T25" s="215">
        <f>SUM(T18:T24)</f>
        <v>142.45000000000002</v>
      </c>
      <c r="U25" s="216">
        <f>SUM(U18:U24)</f>
        <v>202.97899999999996</v>
      </c>
      <c r="V25" s="216">
        <f>SUM(V18:V24)</f>
        <v>234.09750000000003</v>
      </c>
      <c r="W25" s="216">
        <f>SUM(W18:W24)</f>
        <v>174.93</v>
      </c>
      <c r="X25" s="216">
        <f>SUM(X18:X24)</f>
        <v>107.702</v>
      </c>
      <c r="Y25" s="156"/>
      <c r="Z25" s="98">
        <f>SUM(Z19,Z20,Z21,Z23,Z24)</f>
        <v>3590.2055</v>
      </c>
    </row>
    <row r="26" spans="1:36" s="2" customFormat="1" ht="36.75" customHeight="1" x14ac:dyDescent="0.25">
      <c r="A26" s="70" t="s">
        <v>11</v>
      </c>
      <c r="B26" s="23">
        <v>52</v>
      </c>
      <c r="C26" s="63">
        <v>53</v>
      </c>
      <c r="D26" s="63">
        <v>54.5</v>
      </c>
      <c r="E26" s="63">
        <v>56</v>
      </c>
      <c r="F26" s="63">
        <v>52</v>
      </c>
      <c r="G26" s="63">
        <v>51.5</v>
      </c>
      <c r="H26" s="63">
        <v>50.5</v>
      </c>
      <c r="I26" s="155">
        <v>50</v>
      </c>
      <c r="J26" s="23">
        <v>53</v>
      </c>
      <c r="K26" s="63">
        <v>51</v>
      </c>
      <c r="L26" s="63">
        <v>50</v>
      </c>
      <c r="M26" s="155">
        <v>49</v>
      </c>
      <c r="N26" s="23">
        <v>55</v>
      </c>
      <c r="O26" s="63">
        <v>53.5</v>
      </c>
      <c r="P26" s="63">
        <v>52.5</v>
      </c>
      <c r="Q26" s="63">
        <v>51</v>
      </c>
      <c r="R26" s="63">
        <v>50</v>
      </c>
      <c r="S26" s="155"/>
      <c r="T26" s="23">
        <v>55</v>
      </c>
      <c r="U26" s="63">
        <v>53.5</v>
      </c>
      <c r="V26" s="63">
        <v>52.5</v>
      </c>
      <c r="W26" s="63">
        <v>51</v>
      </c>
      <c r="X26" s="63">
        <v>49</v>
      </c>
      <c r="Y26" s="155"/>
      <c r="Z26" s="99">
        <f>((Z25/Z27)/7)*1000</f>
        <v>52.170328552537896</v>
      </c>
    </row>
    <row r="27" spans="1:36" s="2" customFormat="1" ht="33" customHeight="1" x14ac:dyDescent="0.25">
      <c r="A27" s="71" t="s">
        <v>12</v>
      </c>
      <c r="B27" s="26">
        <v>354</v>
      </c>
      <c r="C27" s="27">
        <v>554</v>
      </c>
      <c r="D27" s="27">
        <v>752</v>
      </c>
      <c r="E27" s="27">
        <v>318</v>
      </c>
      <c r="F27" s="27">
        <v>241</v>
      </c>
      <c r="G27" s="27">
        <v>579</v>
      </c>
      <c r="H27" s="27">
        <v>598</v>
      </c>
      <c r="I27" s="28">
        <v>418</v>
      </c>
      <c r="J27" s="184">
        <v>195</v>
      </c>
      <c r="K27" s="183">
        <v>344</v>
      </c>
      <c r="L27" s="28">
        <v>394</v>
      </c>
      <c r="M27" s="28">
        <v>351</v>
      </c>
      <c r="N27" s="26">
        <v>401</v>
      </c>
      <c r="O27" s="27">
        <v>527</v>
      </c>
      <c r="P27" s="27">
        <v>620</v>
      </c>
      <c r="Q27" s="27">
        <v>532</v>
      </c>
      <c r="R27" s="27">
        <v>300</v>
      </c>
      <c r="S27" s="28"/>
      <c r="T27" s="26">
        <v>370</v>
      </c>
      <c r="U27" s="27">
        <v>542</v>
      </c>
      <c r="V27" s="27">
        <v>637</v>
      </c>
      <c r="W27" s="27">
        <v>490</v>
      </c>
      <c r="X27" s="27">
        <v>314</v>
      </c>
      <c r="Y27" s="28"/>
      <c r="Z27" s="29">
        <f>SUM(B27,C27,D27,E27,F27,G27,H27,I27,J27,K27,L27,M27,N27,O27,P27,Q27,R27,T27,U27,V27,W27,X27)</f>
        <v>9831</v>
      </c>
    </row>
    <row r="28" spans="1:36" s="2" customFormat="1" ht="33" customHeight="1" x14ac:dyDescent="0.25">
      <c r="A28" s="72" t="s">
        <v>13</v>
      </c>
      <c r="B28" s="30">
        <f t="shared" ref="B28:R28" si="1">(B27*B26)/1000</f>
        <v>18.408000000000001</v>
      </c>
      <c r="C28" s="31">
        <f t="shared" si="1"/>
        <v>29.361999999999998</v>
      </c>
      <c r="D28" s="31">
        <f t="shared" si="1"/>
        <v>40.984000000000002</v>
      </c>
      <c r="E28" s="31">
        <f t="shared" si="1"/>
        <v>17.808</v>
      </c>
      <c r="F28" s="31">
        <f t="shared" si="1"/>
        <v>12.532</v>
      </c>
      <c r="G28" s="31">
        <f t="shared" si="1"/>
        <v>29.8185</v>
      </c>
      <c r="H28" s="31">
        <f t="shared" si="1"/>
        <v>30.199000000000002</v>
      </c>
      <c r="I28" s="32">
        <f t="shared" si="1"/>
        <v>20.9</v>
      </c>
      <c r="J28" s="32">
        <f t="shared" si="1"/>
        <v>10.335000000000001</v>
      </c>
      <c r="K28" s="32">
        <f t="shared" si="1"/>
        <v>17.544</v>
      </c>
      <c r="L28" s="32">
        <f t="shared" si="1"/>
        <v>19.7</v>
      </c>
      <c r="M28" s="32">
        <f t="shared" si="1"/>
        <v>17.199000000000002</v>
      </c>
      <c r="N28" s="30">
        <f t="shared" si="1"/>
        <v>22.055</v>
      </c>
      <c r="O28" s="31">
        <f t="shared" si="1"/>
        <v>28.194500000000001</v>
      </c>
      <c r="P28" s="31">
        <f t="shared" si="1"/>
        <v>32.549999999999997</v>
      </c>
      <c r="Q28" s="31">
        <f t="shared" si="1"/>
        <v>27.132000000000001</v>
      </c>
      <c r="R28" s="31">
        <f t="shared" si="1"/>
        <v>15</v>
      </c>
      <c r="S28" s="32"/>
      <c r="T28" s="30">
        <f>(T27*T26)/1000</f>
        <v>20.350000000000001</v>
      </c>
      <c r="U28" s="31">
        <f>(U27*U26)/1000</f>
        <v>28.997</v>
      </c>
      <c r="V28" s="31">
        <f>(V27*V26)/1000</f>
        <v>33.442500000000003</v>
      </c>
      <c r="W28" s="31">
        <f>(W27*W26)/1000</f>
        <v>24.99</v>
      </c>
      <c r="X28" s="31">
        <f>(X27*X26)/1000</f>
        <v>15.385999999999999</v>
      </c>
      <c r="Y28" s="32"/>
      <c r="Z28" s="33"/>
    </row>
    <row r="29" spans="1:36" ht="33.75" customHeight="1" x14ac:dyDescent="0.25">
      <c r="A29" s="73" t="s">
        <v>14</v>
      </c>
      <c r="B29" s="34">
        <f t="shared" ref="B29:R29" si="2">((B27*B26)*7)/1000</f>
        <v>128.85599999999999</v>
      </c>
      <c r="C29" s="35">
        <f t="shared" si="2"/>
        <v>205.53399999999999</v>
      </c>
      <c r="D29" s="35">
        <f t="shared" si="2"/>
        <v>286.88799999999998</v>
      </c>
      <c r="E29" s="35">
        <f t="shared" si="2"/>
        <v>124.65600000000001</v>
      </c>
      <c r="F29" s="35">
        <f t="shared" si="2"/>
        <v>87.724000000000004</v>
      </c>
      <c r="G29" s="35">
        <f t="shared" si="2"/>
        <v>208.7295</v>
      </c>
      <c r="H29" s="35">
        <f t="shared" si="2"/>
        <v>211.393</v>
      </c>
      <c r="I29" s="68">
        <f t="shared" si="2"/>
        <v>146.30000000000001</v>
      </c>
      <c r="J29" s="68">
        <f t="shared" si="2"/>
        <v>72.344999999999999</v>
      </c>
      <c r="K29" s="68">
        <f t="shared" si="2"/>
        <v>122.80800000000001</v>
      </c>
      <c r="L29" s="68">
        <f t="shared" si="2"/>
        <v>137.9</v>
      </c>
      <c r="M29" s="68">
        <f t="shared" si="2"/>
        <v>120.393</v>
      </c>
      <c r="N29" s="34">
        <f t="shared" si="2"/>
        <v>154.38499999999999</v>
      </c>
      <c r="O29" s="35">
        <f t="shared" si="2"/>
        <v>197.36150000000001</v>
      </c>
      <c r="P29" s="35">
        <f t="shared" si="2"/>
        <v>227.85</v>
      </c>
      <c r="Q29" s="35">
        <f t="shared" si="2"/>
        <v>189.92400000000001</v>
      </c>
      <c r="R29" s="35">
        <f t="shared" si="2"/>
        <v>105</v>
      </c>
      <c r="S29" s="68"/>
      <c r="T29" s="34">
        <f>((T27*T26)*7)/1000</f>
        <v>142.44999999999999</v>
      </c>
      <c r="U29" s="35">
        <f>((U27*U26)*7)/1000</f>
        <v>202.97900000000001</v>
      </c>
      <c r="V29" s="35">
        <f>((V27*V26)*7)/1000</f>
        <v>234.0975</v>
      </c>
      <c r="W29" s="35">
        <f>((W27*W26)*7)/1000</f>
        <v>174.93</v>
      </c>
      <c r="X29" s="35">
        <f>((X27*X26)*7)/1000</f>
        <v>107.702</v>
      </c>
      <c r="Y29" s="68"/>
      <c r="Z29" s="36"/>
    </row>
    <row r="30" spans="1:36" ht="33.75" customHeight="1" thickBot="1" x14ac:dyDescent="0.3">
      <c r="A30" s="74" t="s">
        <v>15</v>
      </c>
      <c r="B30" s="37">
        <f t="shared" ref="B30:R30" si="3">+(B25/B27)/7*1000</f>
        <v>52</v>
      </c>
      <c r="C30" s="38">
        <f t="shared" si="3"/>
        <v>53</v>
      </c>
      <c r="D30" s="38">
        <f t="shared" si="3"/>
        <v>54.500000000000007</v>
      </c>
      <c r="E30" s="38">
        <f t="shared" si="3"/>
        <v>56</v>
      </c>
      <c r="F30" s="38">
        <f t="shared" si="3"/>
        <v>52</v>
      </c>
      <c r="G30" s="38">
        <f t="shared" si="3"/>
        <v>51.5</v>
      </c>
      <c r="H30" s="38">
        <f t="shared" si="3"/>
        <v>50.499999999999993</v>
      </c>
      <c r="I30" s="39">
        <f t="shared" si="3"/>
        <v>49.999999999999993</v>
      </c>
      <c r="J30" s="39">
        <f t="shared" si="3"/>
        <v>53.000000000000007</v>
      </c>
      <c r="K30" s="39">
        <f t="shared" si="3"/>
        <v>51.000000000000007</v>
      </c>
      <c r="L30" s="39">
        <f t="shared" si="3"/>
        <v>50</v>
      </c>
      <c r="M30" s="39">
        <f t="shared" si="3"/>
        <v>49.000000000000007</v>
      </c>
      <c r="N30" s="37">
        <f t="shared" si="3"/>
        <v>54.999999999999993</v>
      </c>
      <c r="O30" s="38">
        <f t="shared" si="3"/>
        <v>53.500000000000007</v>
      </c>
      <c r="P30" s="38">
        <f t="shared" si="3"/>
        <v>52.499999999999993</v>
      </c>
      <c r="Q30" s="38">
        <f t="shared" si="3"/>
        <v>51.000000000000007</v>
      </c>
      <c r="R30" s="38">
        <f t="shared" si="3"/>
        <v>49.999999999999993</v>
      </c>
      <c r="S30" s="39"/>
      <c r="T30" s="37">
        <f>+(T25/T27)/7*1000</f>
        <v>55.000000000000007</v>
      </c>
      <c r="U30" s="38">
        <f>+(U25/U27)/7*1000</f>
        <v>53.499999999999993</v>
      </c>
      <c r="V30" s="38">
        <f>+(V25/V27)/7*1000</f>
        <v>52.500000000000007</v>
      </c>
      <c r="W30" s="38">
        <f>+(W25/W27)/7*1000</f>
        <v>51.000000000000007</v>
      </c>
      <c r="X30" s="38">
        <f>+(X25/X27)/7*1000</f>
        <v>48.999999999999993</v>
      </c>
      <c r="Y30" s="39"/>
      <c r="Z30" s="40"/>
    </row>
    <row r="31" spans="1:36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200"/>
      <c r="U31" s="200"/>
      <c r="V31" s="200"/>
      <c r="W31" s="200"/>
      <c r="X31" s="10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>
        <v>41.5</v>
      </c>
      <c r="AC32" s="42"/>
      <c r="AD32" s="42"/>
      <c r="AE32" s="42"/>
      <c r="AF32" s="42"/>
      <c r="AG32" s="42"/>
      <c r="AH32" s="42"/>
      <c r="AI32" s="42"/>
      <c r="AJ32" s="41"/>
    </row>
    <row r="33" spans="1:3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>
        <v>41</v>
      </c>
      <c r="AC33" s="42"/>
      <c r="AD33" s="42"/>
      <c r="AE33" s="42"/>
      <c r="AF33" s="42"/>
      <c r="AG33" s="42"/>
      <c r="AH33" s="42"/>
      <c r="AI33" s="42"/>
      <c r="AJ33" s="41"/>
    </row>
    <row r="34" spans="1:3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>
        <v>40.5</v>
      </c>
      <c r="AC34" s="42"/>
      <c r="AD34" s="42"/>
      <c r="AE34" s="42"/>
      <c r="AF34" s="42"/>
      <c r="AG34" s="42"/>
      <c r="AH34" s="41"/>
    </row>
    <row r="35" spans="1:36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>
        <v>40</v>
      </c>
      <c r="AC35" s="43"/>
      <c r="AD35" s="43"/>
      <c r="AE35" s="43"/>
      <c r="AF35" s="43"/>
      <c r="AG35" s="43"/>
      <c r="AH35" s="3"/>
    </row>
    <row r="36" spans="1:36" ht="33.75" customHeight="1" thickBot="1" x14ac:dyDescent="0.3">
      <c r="A36" s="69" t="s">
        <v>16</v>
      </c>
      <c r="B36" s="966" t="s">
        <v>17</v>
      </c>
      <c r="C36" s="967"/>
      <c r="D36" s="967"/>
      <c r="E36" s="967"/>
      <c r="F36" s="967"/>
      <c r="G36" s="967"/>
      <c r="H36" s="75"/>
      <c r="O36" s="44"/>
      <c r="P36" s="88" t="s">
        <v>18</v>
      </c>
      <c r="Q36" s="956" t="s">
        <v>17</v>
      </c>
      <c r="R36" s="956"/>
      <c r="S36" s="956"/>
      <c r="T36" s="956"/>
      <c r="U36" s="956"/>
      <c r="V36" s="957"/>
      <c r="W36" s="81"/>
      <c r="X36" s="45"/>
      <c r="Y36" s="45"/>
      <c r="Z36" s="46"/>
      <c r="AA36" s="3"/>
      <c r="AB36" s="45">
        <v>39.5</v>
      </c>
      <c r="AC36" s="45"/>
      <c r="AD36" s="45"/>
      <c r="AE36" s="3"/>
    </row>
    <row r="37" spans="1:36" ht="33.75" customHeight="1" x14ac:dyDescent="0.25">
      <c r="A37" s="170" t="s">
        <v>34</v>
      </c>
      <c r="B37" s="141"/>
      <c r="C37" s="118"/>
      <c r="D37" s="118"/>
      <c r="E37" s="118"/>
      <c r="F37" s="118"/>
      <c r="G37" s="119"/>
      <c r="H37" s="13" t="s">
        <v>9</v>
      </c>
      <c r="I37" s="47"/>
      <c r="J37" s="47"/>
      <c r="K37" s="47"/>
      <c r="L37" s="47"/>
      <c r="M37" s="47"/>
      <c r="N37" s="970"/>
      <c r="O37" s="970"/>
      <c r="P37" s="97" t="s">
        <v>33</v>
      </c>
      <c r="Q37" s="60"/>
      <c r="R37" s="12"/>
      <c r="S37" s="12"/>
      <c r="T37" s="12"/>
      <c r="U37" s="12"/>
      <c r="V37" s="12"/>
      <c r="W37" s="76" t="s">
        <v>9</v>
      </c>
      <c r="X37" s="47"/>
      <c r="Y37" s="47"/>
      <c r="Z37" s="3"/>
      <c r="AA37" s="46"/>
      <c r="AB37" s="3">
        <v>39.5</v>
      </c>
      <c r="AC37" s="45"/>
      <c r="AD37" s="45"/>
      <c r="AE37" s="45"/>
    </row>
    <row r="38" spans="1:36" ht="33.75" customHeight="1" x14ac:dyDescent="0.25">
      <c r="A38" s="17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47"/>
      <c r="L38" s="47"/>
      <c r="M38" s="47"/>
      <c r="N38" s="144"/>
      <c r="O38" s="145"/>
      <c r="P38" s="80" t="s">
        <v>10</v>
      </c>
      <c r="Q38" s="60">
        <v>1</v>
      </c>
      <c r="R38" s="16">
        <v>2</v>
      </c>
      <c r="S38" s="16">
        <v>3</v>
      </c>
      <c r="T38" s="16" t="s">
        <v>58</v>
      </c>
      <c r="U38" s="16"/>
      <c r="V38" s="16"/>
      <c r="W38" s="76"/>
      <c r="X38" s="47"/>
      <c r="Y38" s="47"/>
      <c r="Z38" s="48"/>
      <c r="AA38" s="48"/>
      <c r="AB38" s="2"/>
      <c r="AC38" s="2"/>
      <c r="AD38" s="2"/>
      <c r="AE38" s="2"/>
    </row>
    <row r="39" spans="1:36" ht="33.75" customHeight="1" x14ac:dyDescent="0.25">
      <c r="A39" s="171" t="s">
        <v>32</v>
      </c>
      <c r="B39" s="18"/>
      <c r="C39" s="19"/>
      <c r="D39" s="19"/>
      <c r="E39" s="19"/>
      <c r="F39" s="19"/>
      <c r="G39" s="20"/>
      <c r="H39" s="136">
        <f t="shared" ref="H39:H46" si="4">SUM(B39:G39)</f>
        <v>0</v>
      </c>
      <c r="I39" s="49"/>
      <c r="J39" s="49"/>
      <c r="K39" s="49"/>
      <c r="L39" s="49"/>
      <c r="M39" s="49"/>
      <c r="N39" s="144"/>
      <c r="O39" s="145"/>
      <c r="P39" s="96" t="s">
        <v>53</v>
      </c>
      <c r="Q39" s="61"/>
      <c r="R39" s="61"/>
      <c r="S39" s="61"/>
      <c r="T39" s="61"/>
      <c r="U39" s="61"/>
      <c r="V39" s="61"/>
      <c r="W39" s="77">
        <f t="shared" ref="W39:W46" si="5">SUM(Q39:V39)</f>
        <v>0</v>
      </c>
      <c r="X39" s="2"/>
      <c r="Y39" s="49"/>
      <c r="Z39" s="48"/>
      <c r="AA39" s="48"/>
      <c r="AB39" s="2"/>
      <c r="AC39" s="2"/>
      <c r="AD39" s="2"/>
      <c r="AE39" s="2"/>
    </row>
    <row r="40" spans="1:36" ht="33.75" customHeight="1" x14ac:dyDescent="0.25">
      <c r="A40" s="171" t="s">
        <v>24</v>
      </c>
      <c r="B40" s="18">
        <v>16.399999999999999</v>
      </c>
      <c r="C40" s="19">
        <v>41.3</v>
      </c>
      <c r="D40" s="19">
        <v>61.6</v>
      </c>
      <c r="E40" s="19">
        <v>47.8</v>
      </c>
      <c r="F40" s="19">
        <v>41.1</v>
      </c>
      <c r="G40" s="20">
        <v>24.6</v>
      </c>
      <c r="H40" s="136">
        <f t="shared" si="4"/>
        <v>232.79999999999998</v>
      </c>
      <c r="I40" s="49"/>
      <c r="J40" s="49"/>
      <c r="K40" s="49"/>
      <c r="L40" s="49"/>
      <c r="M40" s="49"/>
      <c r="N40" s="144"/>
      <c r="O40" s="145"/>
      <c r="P40" s="96" t="s">
        <v>24</v>
      </c>
      <c r="Q40" s="61">
        <v>12.2</v>
      </c>
      <c r="R40" s="61">
        <v>12.9</v>
      </c>
      <c r="S40" s="61">
        <v>11.8</v>
      </c>
      <c r="T40" s="61">
        <v>3.9</v>
      </c>
      <c r="U40" s="61"/>
      <c r="V40" s="61"/>
      <c r="W40" s="77">
        <f t="shared" si="5"/>
        <v>40.800000000000004</v>
      </c>
      <c r="X40" s="2"/>
      <c r="Y40" s="49"/>
      <c r="Z40" s="48"/>
      <c r="AA40" s="48"/>
      <c r="AB40" s="2"/>
      <c r="AC40" s="2"/>
      <c r="AD40" s="2"/>
      <c r="AE40" s="2"/>
    </row>
    <row r="41" spans="1:36" ht="33.75" customHeight="1" x14ac:dyDescent="0.25">
      <c r="A41" s="171" t="s">
        <v>20</v>
      </c>
      <c r="B41" s="18">
        <f>(((($B$48*$B$47)/1000)*7)-$B$40)/4</f>
        <v>17.143250000000002</v>
      </c>
      <c r="C41" s="19">
        <f>(((($C$47*$C$48)/1000)*7)-$C$40)/4</f>
        <v>43.353625000000008</v>
      </c>
      <c r="D41" s="19">
        <f>(((($D$47*$D$48)/1000)*7)-$D$40)/4</f>
        <v>64.255624999999995</v>
      </c>
      <c r="E41" s="19">
        <f>(((($E$47*$E$48)/1000)*7)-$E$40)/4</f>
        <v>50.191625000000002</v>
      </c>
      <c r="F41" s="19">
        <f>(((($F$47*$F$48)/1000)*7)-$F$40)/4</f>
        <v>43.117500000000007</v>
      </c>
      <c r="G41" s="20">
        <f>(((($G$47*$G$48)/1000)*7)-$G$40)/4</f>
        <v>25.998375000000003</v>
      </c>
      <c r="H41" s="136">
        <f t="shared" si="4"/>
        <v>244.06</v>
      </c>
      <c r="I41" s="49"/>
      <c r="J41" s="49"/>
      <c r="K41" s="49"/>
      <c r="L41" s="49"/>
      <c r="M41" s="49"/>
      <c r="N41" s="144"/>
      <c r="O41" s="145"/>
      <c r="P41" s="96" t="s">
        <v>20</v>
      </c>
      <c r="Q41" s="61">
        <f>(((($Q$48*$Q$47)/1000)*7)-$Q$40)/4</f>
        <v>12.5425</v>
      </c>
      <c r="R41" s="61">
        <f>(((($R$47*$R$48)/1000)*7)-$R$40)/4</f>
        <v>13.312499999999998</v>
      </c>
      <c r="S41" s="61">
        <f>(((($S$47*$S$48)/1000)*7)-$S$40)/4</f>
        <v>12.170000000000002</v>
      </c>
      <c r="T41" s="61">
        <f>(((($T$47*$T$48)/1000)*7)-$T$40)/4</f>
        <v>3.9354999999999998</v>
      </c>
      <c r="U41" s="61"/>
      <c r="V41" s="19"/>
      <c r="W41" s="77">
        <f t="shared" si="5"/>
        <v>41.960499999999996</v>
      </c>
      <c r="X41" s="2"/>
      <c r="Y41" s="49"/>
      <c r="Z41" s="48"/>
      <c r="AA41" s="48"/>
      <c r="AB41" s="2"/>
      <c r="AC41" s="2"/>
      <c r="AD41" s="2"/>
      <c r="AE41" s="2"/>
    </row>
    <row r="42" spans="1:36" ht="33.75" customHeight="1" x14ac:dyDescent="0.25">
      <c r="A42" s="171" t="s">
        <v>28</v>
      </c>
      <c r="B42" s="18">
        <f>(((($B$48*$B$47)/1000)*7)-$B$40)/4</f>
        <v>17.143250000000002</v>
      </c>
      <c r="C42" s="19">
        <f>(((($C$47*$C$48)/1000)*7)-$C$40)/4</f>
        <v>43.353625000000008</v>
      </c>
      <c r="D42" s="19">
        <f>(((($D$47*$D$48)/1000)*7)-$D$40)/4</f>
        <v>64.255624999999995</v>
      </c>
      <c r="E42" s="19">
        <f>(((($E$47*$E$48)/1000)*7)-$E$40)/4</f>
        <v>50.191625000000002</v>
      </c>
      <c r="F42" s="19">
        <f>(((($F$47*$F$48)/1000)*7)-$F$40)/4</f>
        <v>43.117500000000007</v>
      </c>
      <c r="G42" s="20">
        <f>(((($G$47*$G$48)/1000)*7)-$G$40)/4</f>
        <v>25.998375000000003</v>
      </c>
      <c r="H42" s="136">
        <f t="shared" si="4"/>
        <v>244.06</v>
      </c>
      <c r="I42" s="49"/>
      <c r="J42" s="49"/>
      <c r="K42" s="49"/>
      <c r="L42" s="49"/>
      <c r="M42" s="49"/>
      <c r="N42" s="144"/>
      <c r="O42" s="145"/>
      <c r="P42" s="96" t="s">
        <v>28</v>
      </c>
      <c r="Q42" s="61">
        <f>(((($Q$48*$Q$47)/1000)*7)-$Q$40)/4</f>
        <v>12.5425</v>
      </c>
      <c r="R42" s="61">
        <f>(((($R$47*$R$48)/1000)*7)-$R$40)/4</f>
        <v>13.312499999999998</v>
      </c>
      <c r="S42" s="61">
        <f>(((($S$47*$S$48)/1000)*7)-$S$40)/4</f>
        <v>12.170000000000002</v>
      </c>
      <c r="T42" s="61">
        <f>(((($T$47*$T$48)/1000)*7)-$T$40)/4</f>
        <v>3.9354999999999998</v>
      </c>
      <c r="U42" s="61"/>
      <c r="V42" s="61"/>
      <c r="W42" s="77">
        <f t="shared" si="5"/>
        <v>41.960499999999996</v>
      </c>
      <c r="X42" s="2"/>
      <c r="Y42" s="49"/>
      <c r="Z42" s="48"/>
      <c r="AA42" s="48"/>
      <c r="AB42" s="2"/>
      <c r="AC42" s="2"/>
      <c r="AD42" s="2"/>
      <c r="AE42" s="2"/>
    </row>
    <row r="43" spans="1:36" ht="33.75" customHeight="1" x14ac:dyDescent="0.25">
      <c r="A43" s="171" t="s">
        <v>21</v>
      </c>
      <c r="B43" s="18"/>
      <c r="C43" s="19"/>
      <c r="D43" s="19"/>
      <c r="E43" s="19"/>
      <c r="F43" s="19"/>
      <c r="G43" s="20"/>
      <c r="H43" s="136">
        <f t="shared" si="4"/>
        <v>0</v>
      </c>
      <c r="I43" s="49"/>
      <c r="J43" s="49"/>
      <c r="K43" s="49"/>
      <c r="L43" s="49"/>
      <c r="M43" s="49"/>
      <c r="N43" s="144"/>
      <c r="O43" s="145"/>
      <c r="P43" s="96" t="s">
        <v>21</v>
      </c>
      <c r="Q43" s="61"/>
      <c r="R43" s="61"/>
      <c r="S43" s="61"/>
      <c r="T43" s="61"/>
      <c r="U43" s="61"/>
      <c r="V43" s="61"/>
      <c r="W43" s="77">
        <f t="shared" si="5"/>
        <v>0</v>
      </c>
      <c r="X43" s="2"/>
      <c r="Y43" s="49"/>
      <c r="Z43" s="48"/>
      <c r="AA43" s="48"/>
      <c r="AB43" s="2"/>
      <c r="AC43" s="2"/>
      <c r="AD43" s="2"/>
      <c r="AE43" s="2"/>
    </row>
    <row r="44" spans="1:36" ht="33.75" customHeight="1" x14ac:dyDescent="0.25">
      <c r="A44" s="171" t="s">
        <v>22</v>
      </c>
      <c r="B44" s="18">
        <f>(((($B$48*$B$47)/1000)*7)-$B$40)/4</f>
        <v>17.143250000000002</v>
      </c>
      <c r="C44" s="19">
        <f>(((($C$47*$C$48)/1000)*7)-$C$40)/4</f>
        <v>43.353625000000008</v>
      </c>
      <c r="D44" s="19">
        <f>(((($D$47*$D$48)/1000)*7)-$D$40)/4</f>
        <v>64.255624999999995</v>
      </c>
      <c r="E44" s="19">
        <f>(((($E$47*$E$48)/1000)*7)-$E$40)/4</f>
        <v>50.191625000000002</v>
      </c>
      <c r="F44" s="19">
        <f>(((($F$47*$F$48)/1000)*7)-$F$40)/4</f>
        <v>43.117500000000007</v>
      </c>
      <c r="G44" s="20">
        <f>(((($G$47*$G$48)/1000)*7)-$G$40)/4</f>
        <v>25.998375000000003</v>
      </c>
      <c r="H44" s="136">
        <f t="shared" si="4"/>
        <v>244.06</v>
      </c>
      <c r="I44" s="49"/>
      <c r="J44" s="49"/>
      <c r="K44" s="49"/>
      <c r="L44" s="49"/>
      <c r="M44" s="49"/>
      <c r="N44" s="144"/>
      <c r="O44" s="145"/>
      <c r="P44" s="96" t="s">
        <v>22</v>
      </c>
      <c r="Q44" s="61">
        <f>(((($Q$48*$Q$47)/1000)*7)-$Q$40)/4</f>
        <v>12.5425</v>
      </c>
      <c r="R44" s="61">
        <f>(((($R$47*$R$48)/1000)*7)-$R$40)/4</f>
        <v>13.312499999999998</v>
      </c>
      <c r="S44" s="61">
        <f>(((($S$47*$S$48)/1000)*7)-$S$40)/4</f>
        <v>12.170000000000002</v>
      </c>
      <c r="T44" s="61">
        <f>(((($T$47*$T$48)/1000)*7)-$T$40)/4</f>
        <v>3.9354999999999998</v>
      </c>
      <c r="U44" s="61"/>
      <c r="V44" s="61"/>
      <c r="W44" s="77">
        <f t="shared" si="5"/>
        <v>41.960499999999996</v>
      </c>
      <c r="X44" s="2"/>
      <c r="Y44" s="49"/>
      <c r="Z44" s="48"/>
      <c r="AA44" s="48"/>
      <c r="AB44" s="2"/>
      <c r="AC44" s="2"/>
      <c r="AD44" s="2"/>
      <c r="AE44" s="2"/>
    </row>
    <row r="45" spans="1:36" ht="33.75" customHeight="1" x14ac:dyDescent="0.25">
      <c r="A45" s="171" t="s">
        <v>32</v>
      </c>
      <c r="B45" s="18">
        <f>(((($B$48*$B$47)/1000)*7)-$B$40)/4</f>
        <v>17.143250000000002</v>
      </c>
      <c r="C45" s="19">
        <f>(((($C$47*$C$48)/1000)*7)-$C$40)/4</f>
        <v>43.353625000000008</v>
      </c>
      <c r="D45" s="19">
        <f>(((($D$47*$D$48)/1000)*7)-$D$40)/4</f>
        <v>64.255624999999995</v>
      </c>
      <c r="E45" s="19">
        <f>(((($E$47*$E$48)/1000)*7)-$E$40)/4</f>
        <v>50.191625000000002</v>
      </c>
      <c r="F45" s="19">
        <f>(((($F$47*$F$48)/1000)*7)-$F$40)/4</f>
        <v>43.117500000000007</v>
      </c>
      <c r="G45" s="20">
        <f>(((($G$47*$G$48)/1000)*7)-$G$40)/4</f>
        <v>25.998375000000003</v>
      </c>
      <c r="H45" s="136">
        <f t="shared" si="4"/>
        <v>244.06</v>
      </c>
      <c r="I45" s="49"/>
      <c r="J45" s="49"/>
      <c r="K45" s="49"/>
      <c r="L45" s="49"/>
      <c r="M45" s="49"/>
      <c r="N45" s="144"/>
      <c r="O45" s="145"/>
      <c r="P45" s="96" t="s">
        <v>23</v>
      </c>
      <c r="Q45" s="61">
        <f>(((($Q$48*$Q$47)/1000)*7)-$Q$40)/4</f>
        <v>12.5425</v>
      </c>
      <c r="R45" s="61">
        <f>(((($R$47*$R$48)/1000)*7)-$R$40)/4</f>
        <v>13.312499999999998</v>
      </c>
      <c r="S45" s="61">
        <f>(((($S$47*$S$48)/1000)*7)-$S$40)/4</f>
        <v>12.170000000000002</v>
      </c>
      <c r="T45" s="61">
        <f>(((($T$47*$T$48)/1000)*7)-$T$40)/4</f>
        <v>3.9354999999999998</v>
      </c>
      <c r="U45" s="61"/>
      <c r="V45" s="61"/>
      <c r="W45" s="77">
        <f t="shared" si="5"/>
        <v>41.960499999999996</v>
      </c>
      <c r="X45" s="2"/>
      <c r="Y45" s="49"/>
      <c r="Z45" s="48"/>
      <c r="AA45" s="48"/>
      <c r="AB45" s="48"/>
      <c r="AC45" s="48"/>
      <c r="AD45" s="2"/>
      <c r="AE45" s="2"/>
      <c r="AF45" s="2"/>
      <c r="AG45" s="2"/>
    </row>
    <row r="46" spans="1:36" ht="33.75" customHeight="1" x14ac:dyDescent="0.25">
      <c r="A46" s="170" t="s">
        <v>9</v>
      </c>
      <c r="B46" s="21">
        <f t="shared" ref="B46:G46" si="6">SUM(B39:B45)</f>
        <v>84.973000000000013</v>
      </c>
      <c r="C46" s="22">
        <f t="shared" si="6"/>
        <v>214.71450000000004</v>
      </c>
      <c r="D46" s="22">
        <f t="shared" si="6"/>
        <v>318.6225</v>
      </c>
      <c r="E46" s="22">
        <f t="shared" si="6"/>
        <v>248.56649999999996</v>
      </c>
      <c r="F46" s="22">
        <f t="shared" si="6"/>
        <v>213.57000000000002</v>
      </c>
      <c r="G46" s="196">
        <f t="shared" si="6"/>
        <v>128.59350000000003</v>
      </c>
      <c r="H46" s="136">
        <f t="shared" si="4"/>
        <v>1209.04</v>
      </c>
      <c r="I46" s="49"/>
      <c r="J46" s="49"/>
      <c r="K46" s="49"/>
      <c r="L46" s="49"/>
      <c r="M46" s="49"/>
      <c r="N46" s="49"/>
      <c r="P46" s="80" t="s">
        <v>9</v>
      </c>
      <c r="Q46" s="61">
        <f>SUM(Q39:Q45)</f>
        <v>62.370000000000005</v>
      </c>
      <c r="R46" s="61">
        <f>SUM(R39:R45)</f>
        <v>66.149999999999991</v>
      </c>
      <c r="S46" s="61">
        <f>SUM(S39:S45)</f>
        <v>60.480000000000004</v>
      </c>
      <c r="T46" s="61">
        <f>SUM(T39:T45)</f>
        <v>19.641999999999999</v>
      </c>
      <c r="U46" s="22"/>
      <c r="V46" s="22"/>
      <c r="W46" s="77">
        <f t="shared" si="5"/>
        <v>208.642</v>
      </c>
      <c r="X46" s="49"/>
      <c r="Y46" s="49"/>
      <c r="Z46" s="2"/>
      <c r="AA46" s="2"/>
      <c r="AB46" s="2"/>
      <c r="AC46" s="2"/>
      <c r="AD46" s="2"/>
      <c r="AE46" s="2"/>
      <c r="AF46" s="2"/>
      <c r="AG46" s="2"/>
    </row>
    <row r="47" spans="1:36" ht="33.75" customHeight="1" x14ac:dyDescent="0.25">
      <c r="A47" s="192" t="s">
        <v>11</v>
      </c>
      <c r="B47" s="23">
        <v>61</v>
      </c>
      <c r="C47" s="24">
        <v>60.5</v>
      </c>
      <c r="D47" s="24">
        <v>59.5</v>
      </c>
      <c r="E47" s="24">
        <v>58.5</v>
      </c>
      <c r="F47" s="24">
        <v>56.5</v>
      </c>
      <c r="G47" s="25">
        <v>55.5</v>
      </c>
      <c r="H47" s="137">
        <f>+((H46/H48)/7)*1000</f>
        <v>58.569006442861991</v>
      </c>
      <c r="I47" s="50"/>
      <c r="J47" s="50"/>
      <c r="K47" s="50"/>
      <c r="L47" s="50"/>
      <c r="M47" s="50"/>
      <c r="N47" s="49"/>
      <c r="P47" s="93" t="s">
        <v>11</v>
      </c>
      <c r="Q47" s="63">
        <v>67.5</v>
      </c>
      <c r="R47" s="24">
        <v>67.5</v>
      </c>
      <c r="S47" s="24">
        <v>67.5</v>
      </c>
      <c r="T47" s="24">
        <v>61</v>
      </c>
      <c r="U47" s="24"/>
      <c r="V47" s="24"/>
      <c r="W47" s="78">
        <f>+((W46/W48)/7)*1000</f>
        <v>66.829596412556043</v>
      </c>
      <c r="X47" s="50"/>
      <c r="Y47" s="50"/>
    </row>
    <row r="48" spans="1:36" ht="33.75" customHeight="1" x14ac:dyDescent="0.25">
      <c r="A48" s="193" t="s">
        <v>12</v>
      </c>
      <c r="B48" s="26">
        <v>199</v>
      </c>
      <c r="C48" s="27">
        <v>507</v>
      </c>
      <c r="D48" s="27">
        <v>765</v>
      </c>
      <c r="E48" s="27">
        <v>607</v>
      </c>
      <c r="F48" s="27">
        <v>540</v>
      </c>
      <c r="G48" s="28">
        <v>331</v>
      </c>
      <c r="H48" s="138">
        <f>SUM(B48:G48)</f>
        <v>2949</v>
      </c>
      <c r="I48" s="198"/>
      <c r="J48" s="198"/>
      <c r="K48" s="198"/>
      <c r="L48" s="198"/>
      <c r="M48" s="198"/>
      <c r="N48" s="49"/>
      <c r="O48" s="51"/>
      <c r="P48" s="71" t="s">
        <v>12</v>
      </c>
      <c r="Q48" s="79">
        <v>132</v>
      </c>
      <c r="R48" s="79">
        <v>140</v>
      </c>
      <c r="S48" s="79">
        <v>128</v>
      </c>
      <c r="T48" s="79">
        <v>46</v>
      </c>
      <c r="U48" s="79"/>
      <c r="V48" s="79"/>
      <c r="W48" s="82">
        <f>SUM(Q48:T48)</f>
        <v>446</v>
      </c>
      <c r="X48" s="52"/>
      <c r="Y48" s="52"/>
    </row>
    <row r="49" spans="1:37" ht="33.75" customHeight="1" x14ac:dyDescent="0.25">
      <c r="A49" s="194" t="s">
        <v>13</v>
      </c>
      <c r="B49" s="30">
        <f t="shared" ref="B49:G49" si="7">(B48*B47)/1000</f>
        <v>12.138999999999999</v>
      </c>
      <c r="C49" s="31">
        <f t="shared" si="7"/>
        <v>30.673500000000001</v>
      </c>
      <c r="D49" s="31">
        <f t="shared" si="7"/>
        <v>45.517499999999998</v>
      </c>
      <c r="E49" s="31">
        <f t="shared" si="7"/>
        <v>35.509500000000003</v>
      </c>
      <c r="F49" s="31">
        <f t="shared" si="7"/>
        <v>30.51</v>
      </c>
      <c r="G49" s="32">
        <f t="shared" si="7"/>
        <v>18.3705</v>
      </c>
      <c r="H49" s="139">
        <f>((H46*1000)/H48)/7</f>
        <v>58.569006442861983</v>
      </c>
      <c r="I49" s="199"/>
      <c r="J49" s="199"/>
      <c r="K49" s="199"/>
      <c r="L49" s="199"/>
      <c r="M49" s="199"/>
      <c r="N49" s="49"/>
      <c r="P49" s="72" t="s">
        <v>13</v>
      </c>
      <c r="Q49" s="65">
        <v>81.569999999999993</v>
      </c>
      <c r="R49" s="65">
        <v>81.569999999999993</v>
      </c>
      <c r="S49" s="65">
        <v>81.569999999999993</v>
      </c>
      <c r="T49" s="65">
        <v>81.569999999999993</v>
      </c>
      <c r="U49" s="31"/>
      <c r="V49" s="31"/>
      <c r="W49" s="83">
        <f>((W46*1000)/W48)/7</f>
        <v>66.829596412556057</v>
      </c>
      <c r="X49" s="52"/>
      <c r="Y49" s="52"/>
    </row>
    <row r="50" spans="1:37" ht="33.75" customHeight="1" x14ac:dyDescent="0.25">
      <c r="A50" s="185" t="s">
        <v>14</v>
      </c>
      <c r="B50" s="34">
        <f t="shared" ref="B50:G50" si="8">((B48*B47)*7)/1000</f>
        <v>84.972999999999999</v>
      </c>
      <c r="C50" s="35">
        <f t="shared" si="8"/>
        <v>214.71449999999999</v>
      </c>
      <c r="D50" s="35">
        <f t="shared" si="8"/>
        <v>318.6225</v>
      </c>
      <c r="E50" s="35">
        <f t="shared" si="8"/>
        <v>248.56649999999999</v>
      </c>
      <c r="F50" s="35">
        <f t="shared" si="8"/>
        <v>213.57</v>
      </c>
      <c r="G50" s="68">
        <f t="shared" si="8"/>
        <v>128.59350000000001</v>
      </c>
      <c r="H50" s="112"/>
      <c r="I50" s="41"/>
      <c r="J50" s="41"/>
      <c r="K50" s="41"/>
      <c r="L50" s="41"/>
      <c r="M50" s="41"/>
      <c r="N50" s="49"/>
      <c r="P50" s="73" t="s">
        <v>14</v>
      </c>
      <c r="Q50" s="66">
        <f>((Q48*Q47)*7)/1000</f>
        <v>62.37</v>
      </c>
      <c r="R50" s="66">
        <f>((R48*R47)*7)/1000</f>
        <v>66.150000000000006</v>
      </c>
      <c r="S50" s="66">
        <f>((S48*S47)*7)/1000</f>
        <v>60.48</v>
      </c>
      <c r="T50" s="66">
        <f>((T48*T47)*7)/1000</f>
        <v>19.641999999999999</v>
      </c>
      <c r="U50" s="35"/>
      <c r="V50" s="35"/>
      <c r="W50" s="84"/>
    </row>
    <row r="51" spans="1:37" ht="33.75" customHeight="1" thickBot="1" x14ac:dyDescent="0.3">
      <c r="A51" s="195" t="s">
        <v>15</v>
      </c>
      <c r="B51" s="37">
        <f t="shared" ref="B51:G51" si="9">+(B46/B48)/7*1000</f>
        <v>61.000000000000007</v>
      </c>
      <c r="C51" s="38">
        <f t="shared" si="9"/>
        <v>60.500000000000014</v>
      </c>
      <c r="D51" s="38">
        <f t="shared" si="9"/>
        <v>59.5</v>
      </c>
      <c r="E51" s="38">
        <f t="shared" si="9"/>
        <v>58.499999999999993</v>
      </c>
      <c r="F51" s="38">
        <f t="shared" si="9"/>
        <v>56.5</v>
      </c>
      <c r="G51" s="39">
        <f t="shared" si="9"/>
        <v>55.500000000000014</v>
      </c>
      <c r="H51" s="140"/>
      <c r="I51" s="41"/>
      <c r="J51" s="41"/>
      <c r="K51" s="41"/>
      <c r="L51" s="41"/>
      <c r="M51" s="41"/>
      <c r="N51" s="49"/>
      <c r="O51" s="41"/>
      <c r="P51" s="74" t="s">
        <v>15</v>
      </c>
      <c r="Q51" s="67">
        <f>+(Q46/Q48)/7*1000</f>
        <v>67.5</v>
      </c>
      <c r="R51" s="67">
        <f>+(R46/R48)/7*1000</f>
        <v>67.499999999999986</v>
      </c>
      <c r="S51" s="67">
        <f>+(S46/S48)/7*1000</f>
        <v>67.5</v>
      </c>
      <c r="T51" s="67">
        <f>+(T46/T48)/7*1000</f>
        <v>61</v>
      </c>
      <c r="U51" s="38"/>
      <c r="V51" s="38"/>
      <c r="W51" s="39"/>
      <c r="X51" s="42"/>
      <c r="Y51" s="42"/>
    </row>
    <row r="52" spans="1:37" ht="33.75" customHeight="1" x14ac:dyDescent="0.25">
      <c r="A52" s="41"/>
      <c r="B52" s="10"/>
      <c r="C52" s="10"/>
      <c r="D52" s="10"/>
      <c r="E52" s="10"/>
      <c r="F52" s="10"/>
      <c r="G52" s="10"/>
      <c r="H52" s="41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2"/>
      <c r="AB52" s="2"/>
      <c r="AC52" s="2"/>
      <c r="AD52" s="2"/>
      <c r="AE52" s="2"/>
    </row>
    <row r="53" spans="1:37" ht="33.75" customHeight="1" x14ac:dyDescent="0.25">
      <c r="A53" s="41"/>
      <c r="B53" s="197"/>
      <c r="C53" s="197"/>
      <c r="D53" s="197"/>
      <c r="E53" s="197"/>
      <c r="F53" s="197"/>
      <c r="G53" s="197"/>
      <c r="H53" s="41"/>
      <c r="I53" s="41"/>
      <c r="J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2"/>
      <c r="X53" s="43"/>
      <c r="Y53" s="43"/>
      <c r="Z53" s="43"/>
      <c r="AA53" s="2"/>
      <c r="AB53" s="2"/>
      <c r="AC53" s="2"/>
      <c r="AD53" s="2"/>
      <c r="AH53" s="3"/>
    </row>
    <row r="54" spans="1:37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958"/>
      <c r="P54" s="958"/>
      <c r="Q54" s="54"/>
      <c r="R54" s="54"/>
      <c r="S54" s="54"/>
      <c r="T54" s="54"/>
      <c r="U54" s="55"/>
      <c r="Z54" s="43"/>
      <c r="AA54" s="43"/>
      <c r="AB54" s="43"/>
      <c r="AC54" s="2"/>
      <c r="AD54" s="2"/>
      <c r="AE54" s="2"/>
      <c r="AF54" s="2"/>
      <c r="AH54" s="2"/>
      <c r="AI54" s="2"/>
      <c r="AJ54" s="2"/>
    </row>
    <row r="55" spans="1:37" ht="33.75" customHeight="1" x14ac:dyDescent="0.25">
      <c r="A55" s="88" t="s">
        <v>19</v>
      </c>
      <c r="B55" s="956" t="s">
        <v>30</v>
      </c>
      <c r="C55" s="956"/>
      <c r="D55" s="956"/>
      <c r="E55" s="956"/>
      <c r="F55" s="957"/>
      <c r="G55" s="158"/>
      <c r="H55" s="85"/>
      <c r="I55" s="56"/>
      <c r="J55" s="56"/>
      <c r="K55" s="56"/>
      <c r="L55" s="56"/>
      <c r="M55" s="56"/>
      <c r="N55" s="56"/>
      <c r="O55" s="56"/>
      <c r="AA55" s="43"/>
      <c r="AB55" s="43"/>
      <c r="AC55" s="43"/>
      <c r="AD55" s="2"/>
      <c r="AE55" s="2"/>
      <c r="AF55" s="2"/>
      <c r="AG55" s="2"/>
      <c r="AI55" s="2"/>
      <c r="AJ55" s="2"/>
      <c r="AK55" s="2"/>
    </row>
    <row r="56" spans="1:37" ht="33.75" customHeight="1" x14ac:dyDescent="0.25">
      <c r="A56" s="80" t="s">
        <v>34</v>
      </c>
      <c r="B56" s="60"/>
      <c r="C56" s="12"/>
      <c r="D56" s="12"/>
      <c r="E56" s="12"/>
      <c r="F56" s="12"/>
      <c r="G56" s="159"/>
      <c r="H56" s="76" t="s">
        <v>9</v>
      </c>
      <c r="O56" s="45"/>
      <c r="P56" s="45"/>
      <c r="Q56" s="45"/>
      <c r="R56" s="45"/>
      <c r="S56" s="57"/>
      <c r="T56" s="57"/>
      <c r="U56" s="57"/>
      <c r="V56" s="57"/>
      <c r="W56" s="45"/>
      <c r="X56" s="45"/>
      <c r="Y56" s="58"/>
      <c r="Z56" s="58"/>
      <c r="AA56" s="58"/>
      <c r="AB56" s="2"/>
      <c r="AC56" s="2"/>
      <c r="AD56" s="2"/>
      <c r="AE56" s="2"/>
      <c r="AG56" s="2"/>
      <c r="AH56" s="2"/>
      <c r="AI56" s="2"/>
    </row>
    <row r="57" spans="1:37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107" t="s">
        <v>59</v>
      </c>
      <c r="H57" s="76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57"/>
      <c r="T57" s="57"/>
      <c r="U57" s="57"/>
      <c r="V57" s="57"/>
      <c r="W57" s="45"/>
      <c r="X57" s="45"/>
      <c r="Y57" s="58"/>
      <c r="Z57" s="58"/>
      <c r="AA57" s="58"/>
      <c r="AB57" s="2"/>
      <c r="AC57" s="2"/>
      <c r="AD57" s="2"/>
      <c r="AE57" s="2"/>
      <c r="AF57" s="2"/>
      <c r="AG57" s="2"/>
      <c r="AH57" s="2"/>
      <c r="AI57" s="2"/>
    </row>
    <row r="58" spans="1:37" ht="33.75" customHeight="1" x14ac:dyDescent="0.25">
      <c r="A58" s="96" t="s">
        <v>53</v>
      </c>
      <c r="B58" s="61"/>
      <c r="C58" s="61"/>
      <c r="D58" s="61"/>
      <c r="E58" s="61"/>
      <c r="F58" s="61"/>
      <c r="G58" s="160"/>
      <c r="H58" s="77">
        <f t="shared" ref="H58:H65" si="10">SUM(B58:F58)</f>
        <v>0</v>
      </c>
      <c r="I58" s="42"/>
      <c r="J58" s="42"/>
      <c r="K58" s="42"/>
      <c r="L58" s="42"/>
      <c r="M58" s="42"/>
      <c r="N58" s="42"/>
      <c r="O58" s="2"/>
      <c r="P58" s="45"/>
      <c r="Q58" s="45"/>
      <c r="R58" s="45"/>
      <c r="S58" s="57"/>
      <c r="T58" s="57"/>
      <c r="U58" s="57"/>
      <c r="V58" s="57"/>
      <c r="W58" s="45"/>
      <c r="X58" s="45"/>
      <c r="Y58" s="58"/>
      <c r="Z58" s="58"/>
      <c r="AA58" s="58"/>
      <c r="AB58" s="2"/>
      <c r="AC58" s="2"/>
      <c r="AD58" s="2"/>
      <c r="AE58" s="2"/>
      <c r="AF58" s="2"/>
      <c r="AG58" s="2"/>
      <c r="AH58" s="2"/>
      <c r="AI58" s="2"/>
    </row>
    <row r="59" spans="1:37" ht="33.75" customHeight="1" x14ac:dyDescent="0.25">
      <c r="A59" s="96" t="s">
        <v>24</v>
      </c>
      <c r="B59" s="61">
        <v>21.4</v>
      </c>
      <c r="C59" s="61">
        <v>23.7</v>
      </c>
      <c r="D59" s="61">
        <v>30.2</v>
      </c>
      <c r="E59" s="61">
        <v>25.8</v>
      </c>
      <c r="F59" s="61">
        <v>29.6</v>
      </c>
      <c r="G59" s="160">
        <v>13.8</v>
      </c>
      <c r="H59" s="77">
        <f t="shared" si="10"/>
        <v>130.69999999999999</v>
      </c>
      <c r="I59" s="42"/>
      <c r="J59" s="42"/>
      <c r="K59" s="42"/>
      <c r="L59" s="42"/>
      <c r="M59" s="42"/>
      <c r="N59" s="42"/>
      <c r="O59" s="2"/>
      <c r="P59" s="45"/>
      <c r="Q59" s="45"/>
      <c r="R59" s="45"/>
      <c r="S59" s="57"/>
      <c r="T59" s="57"/>
      <c r="U59" s="57"/>
      <c r="V59" s="57"/>
      <c r="W59" s="45"/>
      <c r="X59" s="45"/>
      <c r="Y59" s="58"/>
      <c r="Z59" s="58"/>
      <c r="AA59" s="58"/>
      <c r="AB59" s="2"/>
      <c r="AC59" s="2"/>
      <c r="AD59" s="2"/>
      <c r="AE59" s="2"/>
      <c r="AF59" s="2"/>
      <c r="AG59" s="2"/>
      <c r="AH59" s="2"/>
      <c r="AI59" s="2"/>
    </row>
    <row r="60" spans="1:37" ht="33.75" customHeight="1" x14ac:dyDescent="0.25">
      <c r="A60" s="96" t="s">
        <v>20</v>
      </c>
      <c r="B60" s="61">
        <f>(((($B$67*$B$66)/1000)*7)-$B$59)/4</f>
        <v>21.677</v>
      </c>
      <c r="C60" s="61">
        <f>(((($C$66*$C$67)/1000)*7)-$C$59)/4</f>
        <v>24.105</v>
      </c>
      <c r="D60" s="61">
        <f>(((($D$66*$D$67)/1000)*7)-$D$59)/4</f>
        <v>30.988499999999998</v>
      </c>
      <c r="E60" s="61">
        <f>(((($E$66*$E$67)/1000)*7)-$E$59)/4</f>
        <v>26.457875000000005</v>
      </c>
      <c r="F60" s="61">
        <f>(((($F$66*$F$67)/1000)*7)-$F$59)/4</f>
        <v>30.387750000000004</v>
      </c>
      <c r="G60" s="160">
        <f>(((($G$66*$G$67)/1000)*7)-$G$59)/4</f>
        <v>12.133749999999999</v>
      </c>
      <c r="H60" s="77">
        <f t="shared" si="10"/>
        <v>133.61612500000001</v>
      </c>
      <c r="I60" s="42"/>
      <c r="J60" s="42"/>
      <c r="K60" s="42"/>
      <c r="L60" s="42"/>
      <c r="M60" s="42"/>
      <c r="N60" s="42"/>
      <c r="O60" s="2"/>
      <c r="P60" s="45"/>
      <c r="Q60" s="45"/>
      <c r="R60" s="45"/>
      <c r="S60" s="57"/>
      <c r="T60" s="57"/>
      <c r="U60" s="57"/>
      <c r="V60" s="57"/>
      <c r="W60" s="45"/>
      <c r="X60" s="45"/>
      <c r="Y60" s="58"/>
      <c r="Z60" s="58"/>
      <c r="AA60" s="58"/>
      <c r="AB60" s="2"/>
      <c r="AC60" s="2"/>
      <c r="AD60" s="2"/>
      <c r="AE60" s="2"/>
      <c r="AF60" s="2"/>
      <c r="AG60" s="2"/>
      <c r="AH60" s="2"/>
      <c r="AI60" s="2"/>
    </row>
    <row r="61" spans="1:37" ht="33.75" customHeight="1" x14ac:dyDescent="0.25">
      <c r="A61" s="96" t="s">
        <v>28</v>
      </c>
      <c r="B61" s="61">
        <f>(((($B$67*$B$66)/1000)*7)-$B$59)/4</f>
        <v>21.677</v>
      </c>
      <c r="C61" s="61">
        <f>(((($C$66*$C$67)/1000)*7)-$C$59)/4</f>
        <v>24.105</v>
      </c>
      <c r="D61" s="61">
        <f>(((($D$66*$D$67)/1000)*7)-$D$59)/4</f>
        <v>30.988499999999998</v>
      </c>
      <c r="E61" s="61">
        <f>(((($E$66*$E$67)/1000)*7)-$E$59)/4</f>
        <v>26.457875000000005</v>
      </c>
      <c r="F61" s="61">
        <f>(((($F$66*$F$67)/1000)*7)-$F$59)/4</f>
        <v>30.387750000000004</v>
      </c>
      <c r="G61" s="160">
        <f>(((($G$66*$G$67)/1000)*7)-$G$59)/4</f>
        <v>12.133749999999999</v>
      </c>
      <c r="H61" s="77">
        <f t="shared" si="10"/>
        <v>133.61612500000001</v>
      </c>
      <c r="I61" s="42"/>
      <c r="J61" s="42"/>
      <c r="K61" s="42"/>
      <c r="L61" s="42"/>
      <c r="M61" s="42"/>
      <c r="N61" s="42"/>
      <c r="O61" s="2"/>
      <c r="P61" s="45"/>
      <c r="Q61" s="45"/>
      <c r="R61" s="45"/>
      <c r="S61" s="57"/>
      <c r="T61" s="57"/>
      <c r="U61" s="57"/>
      <c r="V61" s="57"/>
      <c r="W61" s="45"/>
      <c r="X61" s="45"/>
      <c r="Y61" s="58"/>
      <c r="Z61" s="58"/>
      <c r="AA61" s="58"/>
      <c r="AB61" s="3"/>
      <c r="AC61" s="3"/>
      <c r="AD61" s="2"/>
      <c r="AE61" s="2"/>
      <c r="AF61" s="2"/>
      <c r="AG61" s="2"/>
      <c r="AH61" s="2"/>
      <c r="AI61" s="2"/>
    </row>
    <row r="62" spans="1:37" ht="33.75" customHeight="1" x14ac:dyDescent="0.25">
      <c r="A62" s="96" t="s">
        <v>21</v>
      </c>
      <c r="B62" s="61"/>
      <c r="C62" s="61"/>
      <c r="D62" s="61"/>
      <c r="E62" s="61"/>
      <c r="F62" s="61"/>
      <c r="G62" s="160"/>
      <c r="H62" s="77">
        <f t="shared" si="10"/>
        <v>0</v>
      </c>
      <c r="I62" s="42"/>
      <c r="J62" s="42"/>
      <c r="K62" s="42"/>
      <c r="L62" s="42"/>
      <c r="M62" s="42"/>
      <c r="N62" s="42"/>
      <c r="O62" s="2"/>
      <c r="P62" s="45"/>
      <c r="Q62" s="45"/>
      <c r="R62" s="45"/>
      <c r="S62" s="57"/>
      <c r="T62" s="57"/>
      <c r="U62" s="57"/>
      <c r="V62" s="57"/>
      <c r="W62" s="45"/>
      <c r="X62" s="45"/>
      <c r="Y62" s="58"/>
      <c r="Z62" s="58"/>
      <c r="AA62" s="58"/>
      <c r="AB62" s="3"/>
      <c r="AC62" s="3"/>
      <c r="AD62" s="2"/>
      <c r="AE62" s="2"/>
      <c r="AF62" s="2"/>
      <c r="AG62" s="2"/>
      <c r="AH62" s="2"/>
      <c r="AI62" s="2"/>
    </row>
    <row r="63" spans="1:37" ht="33.75" customHeight="1" x14ac:dyDescent="0.25">
      <c r="A63" s="96" t="s">
        <v>22</v>
      </c>
      <c r="B63" s="61">
        <f>(((($B$67*$B$66)/1000)*7)-$B$59)/4</f>
        <v>21.677</v>
      </c>
      <c r="C63" s="61">
        <f>(((($C$66*$C$67)/1000)*7)-$C$59)/4</f>
        <v>24.105</v>
      </c>
      <c r="D63" s="61">
        <f>(((($D$66*$D$67)/1000)*7)-$D$59)/4</f>
        <v>30.988499999999998</v>
      </c>
      <c r="E63" s="61">
        <f>(((($E$66*$E$67)/1000)*7)-$E$59)/4</f>
        <v>26.457875000000005</v>
      </c>
      <c r="F63" s="61">
        <f>(((($F$66*$F$67)/1000)*7)-$F$59)/4</f>
        <v>30.387750000000004</v>
      </c>
      <c r="G63" s="160">
        <f>(((($G$66*$G$67)/1000)*7)-$G$59)/4</f>
        <v>12.133749999999999</v>
      </c>
      <c r="H63" s="77">
        <f t="shared" si="10"/>
        <v>133.61612500000001</v>
      </c>
      <c r="I63" s="42"/>
      <c r="J63" s="42"/>
      <c r="K63" s="42"/>
      <c r="L63" s="42"/>
      <c r="M63" s="42"/>
      <c r="N63" s="42"/>
      <c r="O63" s="2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3"/>
      <c r="AC63" s="3"/>
      <c r="AF63" s="2"/>
      <c r="AG63" s="2"/>
      <c r="AH63" s="2"/>
      <c r="AI63" s="2"/>
    </row>
    <row r="64" spans="1:37" ht="33.75" customHeight="1" x14ac:dyDescent="0.25">
      <c r="A64" s="96" t="s">
        <v>23</v>
      </c>
      <c r="B64" s="61">
        <f>(((($B$67*$B$66)/1000)*7)-$B$59)/4</f>
        <v>21.677</v>
      </c>
      <c r="C64" s="61">
        <f>(((($C$66*$C$67)/1000)*7)-$C$59)/4</f>
        <v>24.105</v>
      </c>
      <c r="D64" s="61">
        <f>(((($D$66*$D$67)/1000)*7)-$D$59)/4</f>
        <v>30.988499999999998</v>
      </c>
      <c r="E64" s="61">
        <f>(((($E$66*$E$67)/1000)*7)-$E$59)/4</f>
        <v>26.457875000000005</v>
      </c>
      <c r="F64" s="61">
        <f>(((($F$66*$F$67)/1000)*7)-$F$59)/4</f>
        <v>30.387750000000004</v>
      </c>
      <c r="G64" s="160">
        <f>(((($G$66*$G$67)/1000)*7)-$G$59)/4</f>
        <v>12.133749999999999</v>
      </c>
      <c r="H64" s="77">
        <f t="shared" si="10"/>
        <v>133.61612500000001</v>
      </c>
      <c r="I64" s="42"/>
      <c r="J64" s="42"/>
      <c r="K64" s="42"/>
      <c r="L64" s="42"/>
      <c r="M64" s="42"/>
      <c r="N64" s="42"/>
      <c r="O64" s="2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3"/>
      <c r="AC64" s="3"/>
      <c r="AF64" s="2"/>
      <c r="AG64" s="2"/>
      <c r="AH64" s="2"/>
      <c r="AI64" s="2"/>
    </row>
    <row r="65" spans="1:35" ht="33.75" customHeight="1" x14ac:dyDescent="0.25">
      <c r="A65" s="80" t="s">
        <v>9</v>
      </c>
      <c r="B65" s="62">
        <f t="shared" ref="B65:G65" si="11">SUM(B58:B64)</f>
        <v>108.10799999999998</v>
      </c>
      <c r="C65" s="62">
        <f t="shared" si="11"/>
        <v>120.12</v>
      </c>
      <c r="D65" s="62">
        <f t="shared" si="11"/>
        <v>154.154</v>
      </c>
      <c r="E65" s="62">
        <f t="shared" si="11"/>
        <v>131.63150000000002</v>
      </c>
      <c r="F65" s="62">
        <f t="shared" si="11"/>
        <v>151.15100000000004</v>
      </c>
      <c r="G65" s="62">
        <f t="shared" si="11"/>
        <v>62.334999999999994</v>
      </c>
      <c r="H65" s="77">
        <f t="shared" si="10"/>
        <v>665.16450000000009</v>
      </c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3"/>
      <c r="AC65" s="3"/>
      <c r="AD65" s="3"/>
      <c r="AE65" s="3"/>
      <c r="AF65" s="2"/>
      <c r="AG65" s="2"/>
      <c r="AH65" s="2"/>
      <c r="AI65" s="2"/>
    </row>
    <row r="66" spans="1:35" ht="33.75" customHeight="1" x14ac:dyDescent="0.25">
      <c r="A66" s="70" t="s">
        <v>11</v>
      </c>
      <c r="B66" s="63">
        <v>71.5</v>
      </c>
      <c r="C66" s="63">
        <v>71.5</v>
      </c>
      <c r="D66" s="63">
        <v>71.5</v>
      </c>
      <c r="E66" s="63">
        <v>71.5</v>
      </c>
      <c r="F66" s="63">
        <v>71.5</v>
      </c>
      <c r="G66" s="161">
        <v>65</v>
      </c>
      <c r="H66" s="78">
        <f>+((H65/H67)/7)*1000</f>
        <v>64.818212824010928</v>
      </c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3"/>
      <c r="AC66" s="3"/>
      <c r="AD66" s="3"/>
      <c r="AE66" s="3"/>
      <c r="AF66" s="2"/>
      <c r="AG66" s="2"/>
      <c r="AH66" s="2"/>
      <c r="AI66" s="2"/>
    </row>
    <row r="67" spans="1:35" ht="33.75" customHeight="1" x14ac:dyDescent="0.25">
      <c r="A67" s="71" t="s">
        <v>12</v>
      </c>
      <c r="B67" s="79">
        <v>216</v>
      </c>
      <c r="C67" s="79">
        <v>240</v>
      </c>
      <c r="D67" s="79">
        <v>308</v>
      </c>
      <c r="E67" s="79">
        <v>263</v>
      </c>
      <c r="F67" s="79">
        <v>302</v>
      </c>
      <c r="G67" s="162">
        <v>137</v>
      </c>
      <c r="H67" s="82">
        <f>SUM(B67:G67)</f>
        <v>1466</v>
      </c>
      <c r="O67" s="59"/>
      <c r="S67" s="3"/>
      <c r="T67" s="3"/>
      <c r="U67" s="3"/>
      <c r="V67" s="3"/>
      <c r="W67" s="3"/>
      <c r="X67" s="3"/>
    </row>
    <row r="68" spans="1:35" ht="33.75" customHeight="1" x14ac:dyDescent="0.25">
      <c r="A68" s="72" t="s">
        <v>13</v>
      </c>
      <c r="B68" s="65">
        <v>83.71</v>
      </c>
      <c r="C68" s="31">
        <f>(C67*C66)/1000</f>
        <v>17.16</v>
      </c>
      <c r="D68" s="31">
        <f>(D67*D66)/1000</f>
        <v>22.021999999999998</v>
      </c>
      <c r="E68" s="31">
        <f>(E67*E66)/1000</f>
        <v>18.804500000000001</v>
      </c>
      <c r="F68" s="31">
        <f>(F67*F66)/1000</f>
        <v>21.593</v>
      </c>
      <c r="G68" s="31">
        <f>(G67*G66)/1000</f>
        <v>8.9049999999999994</v>
      </c>
      <c r="H68" s="86">
        <f>((H65*1000)/H67)/7</f>
        <v>64.818212824010928</v>
      </c>
      <c r="S68" s="3"/>
      <c r="T68" s="3"/>
      <c r="U68" s="3"/>
      <c r="V68" s="3"/>
      <c r="W68" s="3"/>
      <c r="X68" s="3"/>
    </row>
    <row r="69" spans="1:35" ht="33.75" customHeight="1" x14ac:dyDescent="0.25">
      <c r="A69" s="73" t="s">
        <v>14</v>
      </c>
      <c r="B69" s="66">
        <f t="shared" ref="B69:G69" si="12">((B67*B66)*7)/1000</f>
        <v>108.108</v>
      </c>
      <c r="C69" s="35">
        <f t="shared" si="12"/>
        <v>120.12</v>
      </c>
      <c r="D69" s="35">
        <f t="shared" si="12"/>
        <v>154.154</v>
      </c>
      <c r="E69" s="35">
        <f t="shared" si="12"/>
        <v>131.63149999999999</v>
      </c>
      <c r="F69" s="35">
        <f t="shared" si="12"/>
        <v>151.15100000000001</v>
      </c>
      <c r="G69" s="35">
        <f t="shared" si="12"/>
        <v>62.335000000000001</v>
      </c>
      <c r="H69" s="68"/>
      <c r="I69" s="41"/>
      <c r="J69" s="41"/>
      <c r="K69" s="41"/>
      <c r="L69" s="41"/>
      <c r="M69" s="41"/>
      <c r="N69" s="41"/>
      <c r="X69" s="3"/>
    </row>
    <row r="70" spans="1:35" ht="33.75" customHeight="1" thickBot="1" x14ac:dyDescent="0.3">
      <c r="A70" s="74" t="s">
        <v>15</v>
      </c>
      <c r="B70" s="67">
        <f t="shared" ref="B70:G70" si="13">+(B65/B67)/7*1000</f>
        <v>71.499999999999986</v>
      </c>
      <c r="C70" s="67">
        <f t="shared" si="13"/>
        <v>71.500000000000014</v>
      </c>
      <c r="D70" s="67">
        <f t="shared" si="13"/>
        <v>71.5</v>
      </c>
      <c r="E70" s="67">
        <f t="shared" si="13"/>
        <v>71.500000000000014</v>
      </c>
      <c r="F70" s="67">
        <f t="shared" si="13"/>
        <v>71.500000000000028</v>
      </c>
      <c r="G70" s="67">
        <f t="shared" si="13"/>
        <v>64.999999999999986</v>
      </c>
      <c r="H70" s="87"/>
      <c r="X70" s="3"/>
    </row>
    <row r="71" spans="1:35" ht="33.75" customHeight="1" x14ac:dyDescent="0.25">
      <c r="B71" s="148"/>
    </row>
    <row r="72" spans="1:35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52"/>
    </row>
    <row r="73" spans="1:35" ht="33.75" customHeight="1" x14ac:dyDescent="0.25"/>
    <row r="74" spans="1:35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  <c r="M74" s="45"/>
      <c r="N74" s="45"/>
      <c r="O74" s="45"/>
    </row>
    <row r="75" spans="1:35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5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5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5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5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G36"/>
    <mergeCell ref="Q36:V36"/>
    <mergeCell ref="N37:O37"/>
    <mergeCell ref="O54:P54"/>
    <mergeCell ref="B55:F55"/>
    <mergeCell ref="A3:C3"/>
    <mergeCell ref="E9:G9"/>
    <mergeCell ref="X9:Y9"/>
    <mergeCell ref="P11:Q11"/>
    <mergeCell ref="B15:I15"/>
    <mergeCell ref="J15:M15"/>
    <mergeCell ref="N15:S15"/>
    <mergeCell ref="T15:Y1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K239"/>
  <sheetViews>
    <sheetView workbookViewId="0"/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9.140625" style="14" customWidth="1"/>
    <col min="9" max="13" width="20.140625" style="14" customWidth="1"/>
    <col min="14" max="14" width="28.28515625" style="14" bestFit="1" customWidth="1"/>
    <col min="15" max="16" width="33.42578125" style="14" bestFit="1" customWidth="1"/>
    <col min="17" max="17" width="22.7109375" style="14" customWidth="1"/>
    <col min="18" max="20" width="21.28515625" style="14" customWidth="1"/>
    <col min="21" max="21" width="21.28515625" style="14" bestFit="1" customWidth="1"/>
    <col min="22" max="22" width="21.28515625" style="14" customWidth="1"/>
    <col min="23" max="23" width="27.85546875" style="14" customWidth="1"/>
    <col min="24" max="24" width="25.85546875" style="14" customWidth="1"/>
    <col min="25" max="25" width="21.42578125" style="14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 t="s">
        <v>3</v>
      </c>
      <c r="X9" s="960" t="s">
        <v>35</v>
      </c>
      <c r="Y9" s="960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65" t="s">
        <v>67</v>
      </c>
      <c r="Q11" s="965"/>
      <c r="R11" s="6"/>
      <c r="S11" s="6"/>
      <c r="T11" s="6"/>
      <c r="U11" s="1"/>
      <c r="V11" s="1"/>
      <c r="W11" s="1" t="s">
        <v>6</v>
      </c>
      <c r="X11" s="95">
        <v>45406</v>
      </c>
      <c r="Y11" s="6"/>
      <c r="Z11" s="6"/>
      <c r="AA11" s="6"/>
      <c r="AB11" s="6"/>
      <c r="AC11" s="6"/>
      <c r="AD11" s="6"/>
      <c r="AE11" s="1"/>
      <c r="AF11" s="1"/>
      <c r="AG11" s="1"/>
      <c r="AH11" s="1"/>
      <c r="AI11" s="1"/>
      <c r="AJ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1"/>
      <c r="AD13" s="1"/>
      <c r="AE13" s="1"/>
    </row>
    <row r="14" spans="1:3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1"/>
      <c r="AE14" s="1"/>
      <c r="AF14" s="1"/>
    </row>
    <row r="15" spans="1:36" s="10" customFormat="1" ht="36" thickBot="1" x14ac:dyDescent="0.3">
      <c r="A15" s="69" t="s">
        <v>7</v>
      </c>
      <c r="B15" s="971" t="s">
        <v>8</v>
      </c>
      <c r="C15" s="968"/>
      <c r="D15" s="968"/>
      <c r="E15" s="968"/>
      <c r="F15" s="968"/>
      <c r="G15" s="968"/>
      <c r="H15" s="968"/>
      <c r="I15" s="968"/>
      <c r="J15" s="963" t="s">
        <v>30</v>
      </c>
      <c r="K15" s="963"/>
      <c r="L15" s="963"/>
      <c r="M15" s="964"/>
      <c r="N15" s="971" t="s">
        <v>29</v>
      </c>
      <c r="O15" s="968"/>
      <c r="P15" s="968"/>
      <c r="Q15" s="968"/>
      <c r="R15" s="968"/>
      <c r="S15" s="969"/>
      <c r="T15" s="962" t="s">
        <v>31</v>
      </c>
      <c r="U15" s="963"/>
      <c r="V15" s="963"/>
      <c r="W15" s="963"/>
      <c r="X15" s="963"/>
      <c r="Y15" s="964"/>
      <c r="Z15" s="9"/>
    </row>
    <row r="16" spans="1:36" ht="39.950000000000003" customHeight="1" thickBot="1" x14ac:dyDescent="0.3">
      <c r="A16" s="80" t="s">
        <v>34</v>
      </c>
      <c r="B16" s="186">
        <v>4</v>
      </c>
      <c r="C16" s="174">
        <v>3</v>
      </c>
      <c r="D16" s="174">
        <v>2</v>
      </c>
      <c r="E16" s="174">
        <v>1</v>
      </c>
      <c r="F16" s="174">
        <v>1</v>
      </c>
      <c r="G16" s="174">
        <v>2</v>
      </c>
      <c r="H16" s="174">
        <v>3</v>
      </c>
      <c r="I16" s="175">
        <v>4</v>
      </c>
      <c r="J16" s="186">
        <v>1</v>
      </c>
      <c r="K16" s="174">
        <v>2</v>
      </c>
      <c r="L16" s="174">
        <v>3</v>
      </c>
      <c r="M16" s="175">
        <v>4</v>
      </c>
      <c r="N16" s="202">
        <v>1</v>
      </c>
      <c r="O16" s="174">
        <v>2</v>
      </c>
      <c r="P16" s="174">
        <v>3</v>
      </c>
      <c r="Q16" s="174">
        <v>4</v>
      </c>
      <c r="R16" s="174">
        <v>5</v>
      </c>
      <c r="S16" s="175"/>
      <c r="T16" s="202">
        <v>1</v>
      </c>
      <c r="U16" s="174">
        <v>2</v>
      </c>
      <c r="V16" s="174">
        <v>3</v>
      </c>
      <c r="W16" s="174">
        <v>4</v>
      </c>
      <c r="X16" s="174">
        <v>5</v>
      </c>
      <c r="Y16" s="173"/>
      <c r="Z16" s="13" t="s">
        <v>9</v>
      </c>
      <c r="AB16" s="15"/>
      <c r="AC16" s="15"/>
    </row>
    <row r="17" spans="1:36" ht="39.950000000000003" customHeight="1" thickBot="1" x14ac:dyDescent="0.3">
      <c r="A17" s="80" t="s">
        <v>10</v>
      </c>
      <c r="B17" s="188">
        <v>1</v>
      </c>
      <c r="C17" s="168">
        <v>2</v>
      </c>
      <c r="D17" s="168">
        <v>3</v>
      </c>
      <c r="E17" s="168">
        <v>4</v>
      </c>
      <c r="F17" s="168">
        <v>5</v>
      </c>
      <c r="G17" s="168">
        <v>6</v>
      </c>
      <c r="H17" s="168">
        <v>7</v>
      </c>
      <c r="I17" s="169">
        <v>8</v>
      </c>
      <c r="J17" s="186">
        <v>1</v>
      </c>
      <c r="K17" s="174">
        <v>2</v>
      </c>
      <c r="L17" s="174">
        <v>3</v>
      </c>
      <c r="M17" s="175">
        <v>4</v>
      </c>
      <c r="N17" s="189">
        <v>1</v>
      </c>
      <c r="O17" s="168">
        <v>2</v>
      </c>
      <c r="P17" s="168">
        <v>3</v>
      </c>
      <c r="Q17" s="168">
        <v>4</v>
      </c>
      <c r="R17" s="168">
        <v>5</v>
      </c>
      <c r="S17" s="169"/>
      <c r="T17" s="189">
        <v>1</v>
      </c>
      <c r="U17" s="168">
        <v>2</v>
      </c>
      <c r="V17" s="168">
        <v>3</v>
      </c>
      <c r="W17" s="168">
        <v>4</v>
      </c>
      <c r="X17" s="168">
        <v>5</v>
      </c>
      <c r="Y17" s="169"/>
      <c r="Z17" s="13"/>
      <c r="AB17" s="2"/>
      <c r="AC17" s="15"/>
    </row>
    <row r="18" spans="1:36" ht="39.950000000000003" customHeight="1" x14ac:dyDescent="0.25">
      <c r="A18" s="96" t="s">
        <v>53</v>
      </c>
      <c r="B18" s="179"/>
      <c r="C18" s="180"/>
      <c r="D18" s="180"/>
      <c r="E18" s="180"/>
      <c r="F18" s="180"/>
      <c r="G18" s="180"/>
      <c r="H18" s="180"/>
      <c r="I18" s="190"/>
      <c r="J18" s="133"/>
      <c r="K18" s="134"/>
      <c r="L18" s="134"/>
      <c r="M18" s="156"/>
      <c r="N18" s="187"/>
      <c r="O18" s="180"/>
      <c r="P18" s="180"/>
      <c r="Q18" s="180"/>
      <c r="R18" s="180"/>
      <c r="S18" s="181"/>
      <c r="T18" s="187"/>
      <c r="U18" s="180"/>
      <c r="V18" s="180"/>
      <c r="W18" s="180"/>
      <c r="X18" s="180"/>
      <c r="Y18" s="180"/>
      <c r="Z18" s="98"/>
      <c r="AB18" s="2"/>
      <c r="AC18" s="15"/>
    </row>
    <row r="19" spans="1:36" ht="39.950000000000003" customHeight="1" x14ac:dyDescent="0.25">
      <c r="A19" s="96" t="s">
        <v>24</v>
      </c>
      <c r="B19" s="18">
        <v>26</v>
      </c>
      <c r="C19" s="19">
        <v>41.4</v>
      </c>
      <c r="D19" s="19">
        <v>57.9</v>
      </c>
      <c r="E19" s="19">
        <v>25.2</v>
      </c>
      <c r="F19" s="19">
        <v>17.8</v>
      </c>
      <c r="G19" s="19">
        <v>42.3</v>
      </c>
      <c r="H19" s="19">
        <v>42.7</v>
      </c>
      <c r="I19" s="108">
        <v>29.6</v>
      </c>
      <c r="J19" s="18">
        <v>15.6</v>
      </c>
      <c r="K19" s="19">
        <v>26.5</v>
      </c>
      <c r="L19" s="19">
        <v>29.8</v>
      </c>
      <c r="M19" s="20">
        <v>26</v>
      </c>
      <c r="N19" s="61">
        <v>31.6</v>
      </c>
      <c r="O19" s="19">
        <v>40.390375000000006</v>
      </c>
      <c r="P19" s="19">
        <v>46.6</v>
      </c>
      <c r="Q19" s="19">
        <v>38.799999999999997</v>
      </c>
      <c r="R19" s="19">
        <v>21.5</v>
      </c>
      <c r="S19" s="20"/>
      <c r="T19" s="61">
        <v>29.2</v>
      </c>
      <c r="U19" s="19">
        <v>41.5</v>
      </c>
      <c r="V19" s="19">
        <v>47.9</v>
      </c>
      <c r="W19" s="19">
        <v>35.799999999999997</v>
      </c>
      <c r="X19" s="19">
        <v>22</v>
      </c>
      <c r="Y19" s="19"/>
      <c r="Z19" s="98">
        <f>SUM(B19:Y19)</f>
        <v>736.09037500000011</v>
      </c>
      <c r="AB19" s="2"/>
      <c r="AC19" s="15"/>
    </row>
    <row r="20" spans="1:36" ht="39.75" customHeight="1" x14ac:dyDescent="0.25">
      <c r="A20" s="96" t="s">
        <v>20</v>
      </c>
      <c r="B20" s="18">
        <f>(((($B$27*$B$26)/1000)*7)-$B$19)/4</f>
        <v>25.713999999999999</v>
      </c>
      <c r="C20" s="19">
        <f>(((($C$27*$C$26)/1000)*7)-$C$19)/4</f>
        <v>41.330999999999996</v>
      </c>
      <c r="D20" s="19">
        <f>(((($D$27*$D$26)/1000)*7)-$D$19)/4</f>
        <v>57.247000000000007</v>
      </c>
      <c r="E20" s="19">
        <f>(((($E$27*$E$26)/1000)*7)-$E$19)/4</f>
        <v>24.765999999999998</v>
      </c>
      <c r="F20" s="19">
        <f>(((($F$27*$F$26)/1000)*7)-$F$19)/4</f>
        <v>17.299000000000003</v>
      </c>
      <c r="G20" s="19">
        <f>(((($G$27*$G$26)/1000)*7)-$G$19)/4</f>
        <v>41.607375000000005</v>
      </c>
      <c r="H20" s="19">
        <f>(((($H$27*$H$26)/1000)*7)-$H$19)/4</f>
        <v>42.607249999999993</v>
      </c>
      <c r="I20" s="108">
        <f>(((($I$27*$I$26)/1000)*7)-$I$19)/4</f>
        <v>29.174999999999997</v>
      </c>
      <c r="J20" s="18">
        <f>(((($J$27*$J$26)/1000)*7)-$J$19)/4</f>
        <v>13.92375</v>
      </c>
      <c r="K20" s="19">
        <f>(((($K$27*$K$26)/1000)*7)-$K$19)/4</f>
        <v>23.776</v>
      </c>
      <c r="L20" s="19">
        <f>(((($L$27*$L$26)/1000)*7)-$L$19)/4</f>
        <v>26.680250000000004</v>
      </c>
      <c r="M20" s="20">
        <f>(((($M$27*$M$26)/1000)*7)-$M$19)/4</f>
        <v>23.291124999999997</v>
      </c>
      <c r="N20" s="61">
        <f>((((($N$26*$N$27)/1000)*7)-$N$19)/4)</f>
        <v>30.059249999999999</v>
      </c>
      <c r="O20" s="19">
        <f>((((($O$26*$O$27)/1000)*7)-$O$19)/4)</f>
        <v>39.24278125</v>
      </c>
      <c r="P20" s="19">
        <f>((((($P$26*$P$27)/1000)*7)-$P$19)/4)</f>
        <v>45.312499999999993</v>
      </c>
      <c r="Q20" s="19">
        <f>((((($Q$26*$Q$27)/1000)*7)-$Q$19)/4)</f>
        <v>37.691749999999999</v>
      </c>
      <c r="R20" s="19">
        <f>((((($R$26*$R$27)/1000)*7)-$R$19)/4)</f>
        <v>20.875</v>
      </c>
      <c r="S20" s="20"/>
      <c r="T20" s="61">
        <f>((((($T$26*$T$27)/1000)*7)-$T$19)/4)</f>
        <v>28.312500000000004</v>
      </c>
      <c r="U20" s="19">
        <f>((((($U$26*$U$27)/1000)*7)-$U$19)/4)</f>
        <v>40.369749999999996</v>
      </c>
      <c r="V20" s="19">
        <f>((((($V$26*$V$27)/1000)*7)-$V$19)/4)</f>
        <v>46.549375000000005</v>
      </c>
      <c r="W20" s="19">
        <f>((((($W$26*$W$27)/1000)*7)-$W$19)/4)</f>
        <v>34.782499999999999</v>
      </c>
      <c r="X20" s="19">
        <f>((((($X$26*$X$27)/1000)*7)-$X$19)/4)</f>
        <v>21.4255</v>
      </c>
      <c r="Y20" s="19"/>
      <c r="Z20" s="98">
        <f>SUM(B20:Y20)</f>
        <v>712.03865625000003</v>
      </c>
      <c r="AB20" s="2"/>
      <c r="AC20" s="15"/>
    </row>
    <row r="21" spans="1:36" ht="39.950000000000003" customHeight="1" x14ac:dyDescent="0.25">
      <c r="A21" s="96" t="s">
        <v>28</v>
      </c>
      <c r="B21" s="18">
        <f>(((($B$27*$B$26)/1000)*7)-$B$19)/4</f>
        <v>25.713999999999999</v>
      </c>
      <c r="C21" s="19">
        <f>(((($C$27*$C$26)/1000)*7)-$C$19)/4</f>
        <v>41.330999999999996</v>
      </c>
      <c r="D21" s="19">
        <f>(((($D$27*$D$26)/1000)*7)-$D$19)/4</f>
        <v>57.247000000000007</v>
      </c>
      <c r="E21" s="19">
        <f>(((($E$27*$E$26)/1000)*7)-$E$19)/4</f>
        <v>24.765999999999998</v>
      </c>
      <c r="F21" s="19">
        <f>(((($F$27*$F$26)/1000)*7)-$F$19)/4</f>
        <v>17.299000000000003</v>
      </c>
      <c r="G21" s="19">
        <f>(((($G$27*$G$26)/1000)*7)-$G$19)/4</f>
        <v>41.607375000000005</v>
      </c>
      <c r="H21" s="19">
        <f>(((($H$27*$H$26)/1000)*7)-$H$19)/4</f>
        <v>42.607249999999993</v>
      </c>
      <c r="I21" s="108">
        <f>(((($I$27*$I$26)/1000)*7)-$I$19)/4</f>
        <v>29.174999999999997</v>
      </c>
      <c r="J21" s="18">
        <f>(((($J$27*$J$26)/1000)*7)-$J$19)/4</f>
        <v>13.92375</v>
      </c>
      <c r="K21" s="19">
        <f>(((($K$27*$K$26)/1000)*7)-$K$19)/4</f>
        <v>23.776</v>
      </c>
      <c r="L21" s="19">
        <f>(((($L$27*$L$26)/1000)*7)-$L$19)/4</f>
        <v>26.680250000000004</v>
      </c>
      <c r="M21" s="20">
        <f>(((($M$27*$M$26)/1000)*7)-$M$19)/4</f>
        <v>23.291124999999997</v>
      </c>
      <c r="N21" s="61">
        <f>((((($N$26*$N$27)/1000)*7)-$N$19)/4)</f>
        <v>30.059249999999999</v>
      </c>
      <c r="O21" s="19">
        <f>((((($O$26*$O$27)/1000)*7)-$O$19)/4)</f>
        <v>39.24278125</v>
      </c>
      <c r="P21" s="19">
        <f>((((($P$26*$P$27)/1000)*7)-$P$19)/4)</f>
        <v>45.312499999999993</v>
      </c>
      <c r="Q21" s="19">
        <f>((((($Q$26*$Q$27)/1000)*7)-$Q$19)/4)</f>
        <v>37.691749999999999</v>
      </c>
      <c r="R21" s="19">
        <f>((((($R$26*$R$27)/1000)*7)-$R$19)/4)</f>
        <v>20.875</v>
      </c>
      <c r="S21" s="20"/>
      <c r="T21" s="61">
        <f>((((($T$26*$T$27)/1000)*7)-$T$19)/4)</f>
        <v>28.312500000000004</v>
      </c>
      <c r="U21" s="19">
        <f>((((($U$26*$U$27)/1000)*7)-$U$19)/4)</f>
        <v>40.369749999999996</v>
      </c>
      <c r="V21" s="19">
        <f>((((($V$26*$V$27)/1000)*7)-$V$19)/4)</f>
        <v>46.549375000000005</v>
      </c>
      <c r="W21" s="19">
        <f>((((($W$26*$W$27)/1000)*7)-$W$19)/4)</f>
        <v>34.782499999999999</v>
      </c>
      <c r="X21" s="19">
        <f>((((($X$26*$X$27)/1000)*7)-$X$19)/4)</f>
        <v>21.4255</v>
      </c>
      <c r="Y21" s="19"/>
      <c r="Z21" s="98">
        <f>SUM(B21:Y21)</f>
        <v>712.03865625000003</v>
      </c>
      <c r="AB21" s="2"/>
      <c r="AC21" s="15"/>
    </row>
    <row r="22" spans="1:36" ht="39.950000000000003" customHeight="1" x14ac:dyDescent="0.25">
      <c r="A22" s="96" t="s">
        <v>21</v>
      </c>
      <c r="B22" s="18"/>
      <c r="C22" s="19"/>
      <c r="D22" s="19"/>
      <c r="E22" s="19"/>
      <c r="F22" s="19"/>
      <c r="G22" s="19"/>
      <c r="H22" s="19"/>
      <c r="I22" s="108"/>
      <c r="J22" s="18"/>
      <c r="K22" s="19"/>
      <c r="L22" s="19"/>
      <c r="M22" s="20"/>
      <c r="N22" s="61"/>
      <c r="O22" s="19"/>
      <c r="P22" s="19"/>
      <c r="Q22" s="19"/>
      <c r="R22" s="19"/>
      <c r="S22" s="20"/>
      <c r="T22" s="61"/>
      <c r="U22" s="19"/>
      <c r="V22" s="19"/>
      <c r="W22" s="19"/>
      <c r="X22" s="19"/>
      <c r="Y22" s="19"/>
      <c r="Z22" s="98">
        <f>SUM(B22:X22)</f>
        <v>0</v>
      </c>
      <c r="AB22" s="2"/>
      <c r="AC22" s="15"/>
    </row>
    <row r="23" spans="1:36" ht="39.950000000000003" customHeight="1" x14ac:dyDescent="0.25">
      <c r="A23" s="96" t="s">
        <v>22</v>
      </c>
      <c r="B23" s="18">
        <f>(((($B$27*$B$26)/1000)*7)-$B$19)/4</f>
        <v>25.713999999999999</v>
      </c>
      <c r="C23" s="19">
        <f>(((($C$27*$C$26)/1000)*7)-$C$19)/4</f>
        <v>41.330999999999996</v>
      </c>
      <c r="D23" s="19">
        <f>(((($D$27*$D$26)/1000)*7)-$D$19)/4</f>
        <v>57.247000000000007</v>
      </c>
      <c r="E23" s="19">
        <f>(((($E$27*$E$26)/1000)*7)-$E$19)/4</f>
        <v>24.765999999999998</v>
      </c>
      <c r="F23" s="19">
        <f>(((($F$27*$F$26)/1000)*7)-$F$19)/4</f>
        <v>17.299000000000003</v>
      </c>
      <c r="G23" s="19">
        <f>(((($G$27*$G$26)/1000)*7)-$G$19)/4</f>
        <v>41.607375000000005</v>
      </c>
      <c r="H23" s="19">
        <f>(((($H$27*$H$26)/1000)*7)-$H$19)/4</f>
        <v>42.607249999999993</v>
      </c>
      <c r="I23" s="108">
        <f>(((($I$27*$I$26)/1000)*7)-$I$19)/4</f>
        <v>29.174999999999997</v>
      </c>
      <c r="J23" s="18">
        <f>(((($J$27*$J$26)/1000)*7)-$J$19)/4</f>
        <v>13.92375</v>
      </c>
      <c r="K23" s="19">
        <f>(((($K$27*$K$26)/1000)*7)-$K$19)/4</f>
        <v>23.776</v>
      </c>
      <c r="L23" s="19">
        <f>(((($L$27*$L$26)/1000)*7)-$L$19)/4</f>
        <v>26.680250000000004</v>
      </c>
      <c r="M23" s="20">
        <f>(((($M$27*$M$26)/1000)*7)-$M$19)/4</f>
        <v>23.291124999999997</v>
      </c>
      <c r="N23" s="61">
        <f>((((($N$26*$N$27)/1000)*7)-$N$19)/4)</f>
        <v>30.059249999999999</v>
      </c>
      <c r="O23" s="19">
        <f>((((($O$26*$O$27)/1000)*7)-$O$19)/4)</f>
        <v>39.24278125</v>
      </c>
      <c r="P23" s="19">
        <f>((((($P$26*$P$27)/1000)*7)-$P$19)/4)</f>
        <v>45.312499999999993</v>
      </c>
      <c r="Q23" s="19">
        <f>((((($Q$26*$Q$27)/1000)*7)-$Q$19)/4)</f>
        <v>37.691749999999999</v>
      </c>
      <c r="R23" s="19">
        <f>((((($R$26*$R$27)/1000)*7)-$R$19)/4)</f>
        <v>20.875</v>
      </c>
      <c r="S23" s="20"/>
      <c r="T23" s="61">
        <f>((((($T$26*$T$27)/1000)*7)-$T$19)/4)</f>
        <v>28.312500000000004</v>
      </c>
      <c r="U23" s="19">
        <f>((((($U$26*$U$27)/1000)*7)-$U$19)/4)</f>
        <v>40.369749999999996</v>
      </c>
      <c r="V23" s="19">
        <f>((((($V$26*$V$27)/1000)*7)-$V$19)/4)</f>
        <v>46.549375000000005</v>
      </c>
      <c r="W23" s="19">
        <f>((((($W$26*$W$27)/1000)*7)-$W$19)/4)</f>
        <v>34.782499999999999</v>
      </c>
      <c r="X23" s="19">
        <f>((((($X$26*$X$27)/1000)*7)-$X$19)/4)</f>
        <v>21.4255</v>
      </c>
      <c r="Y23" s="19"/>
      <c r="Z23" s="98">
        <f>SUM(B23:Y23)</f>
        <v>712.03865625000003</v>
      </c>
      <c r="AB23" s="2"/>
      <c r="AC23" s="15"/>
    </row>
    <row r="24" spans="1:36" ht="39.950000000000003" customHeight="1" thickBot="1" x14ac:dyDescent="0.3">
      <c r="A24" s="96" t="s">
        <v>23</v>
      </c>
      <c r="B24" s="130">
        <f>(((($B$27*$B$26)/1000)*7)-$B$19)/4</f>
        <v>25.713999999999999</v>
      </c>
      <c r="C24" s="124">
        <f>(((($C$27*$C$26)/1000)*7)-$C$19)/4</f>
        <v>41.330999999999996</v>
      </c>
      <c r="D24" s="124">
        <f>(((($D$27*$D$26)/1000)*7)-$D$19)/4</f>
        <v>57.247000000000007</v>
      </c>
      <c r="E24" s="124">
        <f>(((($E$27*$E$26)/1000)*7)-$E$19)/4</f>
        <v>24.765999999999998</v>
      </c>
      <c r="F24" s="124">
        <f>(((($F$27*$F$26)/1000)*7)-$F$19)/4</f>
        <v>17.299000000000003</v>
      </c>
      <c r="G24" s="124">
        <v>41.7</v>
      </c>
      <c r="H24" s="124">
        <v>42.7</v>
      </c>
      <c r="I24" s="125">
        <f>(((($I$27*$I$26)/1000)*7)-$I$19)/4</f>
        <v>29.174999999999997</v>
      </c>
      <c r="J24" s="130">
        <f>(((($J$27*$J$26)/1000)*7)-$J$19)/4</f>
        <v>13.92375</v>
      </c>
      <c r="K24" s="124">
        <f>(((($K$27*$K$26)/1000)*7)-$K$19)/4</f>
        <v>23.776</v>
      </c>
      <c r="L24" s="124">
        <f>(((($L$27*$L$26)/1000)*7)-$L$19)/4</f>
        <v>26.680250000000004</v>
      </c>
      <c r="M24" s="132">
        <f>(((($M$27*$M$26)/1000)*7)-$M$19)/4</f>
        <v>23.291124999999997</v>
      </c>
      <c r="N24" s="123">
        <v>30.2</v>
      </c>
      <c r="O24" s="124">
        <f>((((($O$26*$O$27)/1000)*7)-$O$19)/4)</f>
        <v>39.24278125</v>
      </c>
      <c r="P24" s="124">
        <f>((((($P$26*$P$27)/1000)*7)-$P$19)/4)</f>
        <v>45.312499999999993</v>
      </c>
      <c r="Q24" s="124">
        <f>((((($Q$26*$Q$27)/1000)*7)-$Q$19)/4)</f>
        <v>37.691749999999999</v>
      </c>
      <c r="R24" s="124">
        <f>((((($R$26*$R$27)/1000)*7)-$R$19)/4)</f>
        <v>20.875</v>
      </c>
      <c r="S24" s="132"/>
      <c r="T24" s="123">
        <f>((((($T$26*$T$27)/1000)*7)-$T$19)/4)</f>
        <v>28.312500000000004</v>
      </c>
      <c r="U24" s="124">
        <f>((((($U$26*$U$27)/1000)*7)-$U$19)/4)</f>
        <v>40.369749999999996</v>
      </c>
      <c r="V24" s="124">
        <f>((((($V$26*$V$27)/1000)*7)-$V$19)/4)</f>
        <v>46.549375000000005</v>
      </c>
      <c r="W24" s="124">
        <v>34.9</v>
      </c>
      <c r="X24" s="124">
        <v>21.5</v>
      </c>
      <c r="Y24" s="124"/>
      <c r="Z24" s="98">
        <f>SUM(B24:Y24)</f>
        <v>712.55678124999997</v>
      </c>
      <c r="AB24" s="2"/>
    </row>
    <row r="25" spans="1:36" ht="41.45" customHeight="1" x14ac:dyDescent="0.25">
      <c r="A25" s="126" t="s">
        <v>9</v>
      </c>
      <c r="B25" s="131">
        <f t="shared" ref="B25:M25" si="0">SUM(B18:B24)</f>
        <v>128.85599999999999</v>
      </c>
      <c r="C25" s="128">
        <f t="shared" si="0"/>
        <v>206.72399999999996</v>
      </c>
      <c r="D25" s="128">
        <f t="shared" si="0"/>
        <v>286.88800000000003</v>
      </c>
      <c r="E25" s="128">
        <f t="shared" si="0"/>
        <v>124.26399999999998</v>
      </c>
      <c r="F25" s="128">
        <f t="shared" si="0"/>
        <v>86.996000000000024</v>
      </c>
      <c r="G25" s="128">
        <f t="shared" si="0"/>
        <v>208.82212500000003</v>
      </c>
      <c r="H25" s="128">
        <f t="shared" si="0"/>
        <v>213.22174999999999</v>
      </c>
      <c r="I25" s="129">
        <f t="shared" si="0"/>
        <v>146.29999999999998</v>
      </c>
      <c r="J25" s="129">
        <f t="shared" si="0"/>
        <v>71.295000000000002</v>
      </c>
      <c r="K25" s="129">
        <f t="shared" si="0"/>
        <v>121.60399999999998</v>
      </c>
      <c r="L25" s="129">
        <f t="shared" si="0"/>
        <v>136.52100000000002</v>
      </c>
      <c r="M25" s="129">
        <f t="shared" si="0"/>
        <v>119.16449999999998</v>
      </c>
      <c r="N25" s="131">
        <f>SUM(N19:N24)</f>
        <v>151.97774999999999</v>
      </c>
      <c r="O25" s="128">
        <f>SUM(O19:O24)</f>
        <v>197.36150000000004</v>
      </c>
      <c r="P25" s="128">
        <f>SUM(P19:P24)</f>
        <v>227.85</v>
      </c>
      <c r="Q25" s="128">
        <f>SUM(Q18:Q24)</f>
        <v>189.56700000000001</v>
      </c>
      <c r="R25" s="128">
        <f>SUM(R18:R24)</f>
        <v>105</v>
      </c>
      <c r="S25" s="129"/>
      <c r="T25" s="133">
        <f>SUM(T18:T24)</f>
        <v>142.45000000000002</v>
      </c>
      <c r="U25" s="134">
        <f>SUM(U18:U24)</f>
        <v>202.97899999999998</v>
      </c>
      <c r="V25" s="134">
        <f>SUM(V18:V24)</f>
        <v>234.0975</v>
      </c>
      <c r="W25" s="134">
        <f>SUM(W18:W24)</f>
        <v>175.04749999999999</v>
      </c>
      <c r="X25" s="134">
        <f>SUM(X18:X24)</f>
        <v>107.7765</v>
      </c>
      <c r="Y25" s="156"/>
      <c r="Z25" s="98">
        <f>SUM(B25:Y25)</f>
        <v>3584.7631249999995</v>
      </c>
    </row>
    <row r="26" spans="1:36" s="2" customFormat="1" ht="36.75" customHeight="1" x14ac:dyDescent="0.25">
      <c r="A26" s="70" t="s">
        <v>11</v>
      </c>
      <c r="B26" s="23">
        <v>52</v>
      </c>
      <c r="C26" s="63">
        <v>53.5</v>
      </c>
      <c r="D26" s="63">
        <v>54.5</v>
      </c>
      <c r="E26" s="63">
        <v>56</v>
      </c>
      <c r="F26" s="63">
        <v>52</v>
      </c>
      <c r="G26" s="63">
        <v>51.5</v>
      </c>
      <c r="H26" s="63">
        <v>51</v>
      </c>
      <c r="I26" s="155">
        <v>50</v>
      </c>
      <c r="J26" s="23">
        <v>52.5</v>
      </c>
      <c r="K26" s="63">
        <v>50.5</v>
      </c>
      <c r="L26" s="63">
        <v>49.5</v>
      </c>
      <c r="M26" s="155">
        <v>48.5</v>
      </c>
      <c r="N26" s="23">
        <v>54.5</v>
      </c>
      <c r="O26" s="63">
        <v>53.5</v>
      </c>
      <c r="P26" s="63">
        <v>52.5</v>
      </c>
      <c r="Q26" s="63">
        <v>51</v>
      </c>
      <c r="R26" s="63">
        <v>50</v>
      </c>
      <c r="S26" s="155"/>
      <c r="T26" s="23">
        <v>55</v>
      </c>
      <c r="U26" s="63">
        <v>53.5</v>
      </c>
      <c r="V26" s="63">
        <v>52.5</v>
      </c>
      <c r="W26" s="63">
        <v>51</v>
      </c>
      <c r="X26" s="63">
        <v>49</v>
      </c>
      <c r="Y26" s="155"/>
      <c r="Z26" s="99">
        <f>((Z25/Z27)/7)*1000</f>
        <v>52.149594486470754</v>
      </c>
    </row>
    <row r="27" spans="1:36" s="2" customFormat="1" ht="33" customHeight="1" x14ac:dyDescent="0.25">
      <c r="A27" s="71" t="s">
        <v>12</v>
      </c>
      <c r="B27" s="26">
        <v>354</v>
      </c>
      <c r="C27" s="27">
        <v>552</v>
      </c>
      <c r="D27" s="27">
        <v>752</v>
      </c>
      <c r="E27" s="27">
        <v>317</v>
      </c>
      <c r="F27" s="27">
        <v>239</v>
      </c>
      <c r="G27" s="27">
        <v>579</v>
      </c>
      <c r="H27" s="27">
        <v>597</v>
      </c>
      <c r="I27" s="28">
        <v>418</v>
      </c>
      <c r="J27" s="184">
        <v>194</v>
      </c>
      <c r="K27" s="183">
        <v>344</v>
      </c>
      <c r="L27" s="28">
        <v>394</v>
      </c>
      <c r="M27" s="28">
        <v>351</v>
      </c>
      <c r="N27" s="26">
        <v>398</v>
      </c>
      <c r="O27" s="27">
        <v>527</v>
      </c>
      <c r="P27" s="27">
        <v>620</v>
      </c>
      <c r="Q27" s="27">
        <v>531</v>
      </c>
      <c r="R27" s="27">
        <v>300</v>
      </c>
      <c r="S27" s="28"/>
      <c r="T27" s="26">
        <v>370</v>
      </c>
      <c r="U27" s="27">
        <v>542</v>
      </c>
      <c r="V27" s="27">
        <v>637</v>
      </c>
      <c r="W27" s="27">
        <v>490</v>
      </c>
      <c r="X27" s="27">
        <v>314</v>
      </c>
      <c r="Y27" s="28"/>
      <c r="Z27" s="29">
        <f>SUM(B27,C27,D27,E27,F27,G27,H27,I27,J27,K27,L27,M27,N27,O27,P27,Q27,R27,T27,U27,V27,W27,X27)</f>
        <v>9820</v>
      </c>
    </row>
    <row r="28" spans="1:36" s="2" customFormat="1" ht="33" customHeight="1" x14ac:dyDescent="0.25">
      <c r="A28" s="72" t="s">
        <v>13</v>
      </c>
      <c r="B28" s="30">
        <f t="shared" ref="B28:R28" si="1">(B27*B26)/1000</f>
        <v>18.408000000000001</v>
      </c>
      <c r="C28" s="31">
        <f t="shared" si="1"/>
        <v>29.532</v>
      </c>
      <c r="D28" s="31">
        <f t="shared" si="1"/>
        <v>40.984000000000002</v>
      </c>
      <c r="E28" s="31">
        <f t="shared" si="1"/>
        <v>17.751999999999999</v>
      </c>
      <c r="F28" s="31">
        <f t="shared" si="1"/>
        <v>12.428000000000001</v>
      </c>
      <c r="G28" s="31">
        <f t="shared" si="1"/>
        <v>29.8185</v>
      </c>
      <c r="H28" s="31">
        <f t="shared" si="1"/>
        <v>30.446999999999999</v>
      </c>
      <c r="I28" s="32">
        <f t="shared" si="1"/>
        <v>20.9</v>
      </c>
      <c r="J28" s="32">
        <f t="shared" si="1"/>
        <v>10.185</v>
      </c>
      <c r="K28" s="32">
        <f t="shared" si="1"/>
        <v>17.372</v>
      </c>
      <c r="L28" s="32">
        <f t="shared" si="1"/>
        <v>19.503</v>
      </c>
      <c r="M28" s="32">
        <f t="shared" si="1"/>
        <v>17.023499999999999</v>
      </c>
      <c r="N28" s="30">
        <f t="shared" si="1"/>
        <v>21.690999999999999</v>
      </c>
      <c r="O28" s="31">
        <f t="shared" si="1"/>
        <v>28.194500000000001</v>
      </c>
      <c r="P28" s="31">
        <f t="shared" si="1"/>
        <v>32.549999999999997</v>
      </c>
      <c r="Q28" s="31">
        <f t="shared" si="1"/>
        <v>27.081</v>
      </c>
      <c r="R28" s="31">
        <f t="shared" si="1"/>
        <v>15</v>
      </c>
      <c r="S28" s="32"/>
      <c r="T28" s="30">
        <f>(T27*T26)/1000</f>
        <v>20.350000000000001</v>
      </c>
      <c r="U28" s="31">
        <f>(U27*U26)/1000</f>
        <v>28.997</v>
      </c>
      <c r="V28" s="31">
        <f>(V27*V26)/1000</f>
        <v>33.442500000000003</v>
      </c>
      <c r="W28" s="31">
        <f>(W27*W26)/1000</f>
        <v>24.99</v>
      </c>
      <c r="X28" s="31">
        <f>(X27*X26)/1000</f>
        <v>15.385999999999999</v>
      </c>
      <c r="Y28" s="32"/>
      <c r="Z28" s="33"/>
    </row>
    <row r="29" spans="1:36" ht="33.75" customHeight="1" x14ac:dyDescent="0.25">
      <c r="A29" s="73" t="s">
        <v>14</v>
      </c>
      <c r="B29" s="34">
        <f t="shared" ref="B29:R29" si="2">((B27*B26)*7)/1000</f>
        <v>128.85599999999999</v>
      </c>
      <c r="C29" s="35">
        <f t="shared" si="2"/>
        <v>206.72399999999999</v>
      </c>
      <c r="D29" s="35">
        <f t="shared" si="2"/>
        <v>286.88799999999998</v>
      </c>
      <c r="E29" s="35">
        <f t="shared" si="2"/>
        <v>124.264</v>
      </c>
      <c r="F29" s="35">
        <f t="shared" si="2"/>
        <v>86.995999999999995</v>
      </c>
      <c r="G29" s="35">
        <f t="shared" si="2"/>
        <v>208.7295</v>
      </c>
      <c r="H29" s="35">
        <f t="shared" si="2"/>
        <v>213.12899999999999</v>
      </c>
      <c r="I29" s="68">
        <f t="shared" si="2"/>
        <v>146.30000000000001</v>
      </c>
      <c r="J29" s="68">
        <f t="shared" si="2"/>
        <v>71.295000000000002</v>
      </c>
      <c r="K29" s="68">
        <f t="shared" si="2"/>
        <v>121.604</v>
      </c>
      <c r="L29" s="68">
        <f t="shared" si="2"/>
        <v>136.52099999999999</v>
      </c>
      <c r="M29" s="68">
        <f t="shared" si="2"/>
        <v>119.1645</v>
      </c>
      <c r="N29" s="34">
        <f t="shared" si="2"/>
        <v>151.83699999999999</v>
      </c>
      <c r="O29" s="35">
        <f t="shared" si="2"/>
        <v>197.36150000000001</v>
      </c>
      <c r="P29" s="35">
        <f t="shared" si="2"/>
        <v>227.85</v>
      </c>
      <c r="Q29" s="35">
        <f t="shared" si="2"/>
        <v>189.56700000000001</v>
      </c>
      <c r="R29" s="35">
        <f t="shared" si="2"/>
        <v>105</v>
      </c>
      <c r="S29" s="68"/>
      <c r="T29" s="34">
        <f>((T27*T26)*7)/1000</f>
        <v>142.44999999999999</v>
      </c>
      <c r="U29" s="35">
        <f>((U27*U26)*7)/1000</f>
        <v>202.97900000000001</v>
      </c>
      <c r="V29" s="35">
        <f>((V27*V26)*7)/1000</f>
        <v>234.0975</v>
      </c>
      <c r="W29" s="35">
        <f>((W27*W26)*7)/1000</f>
        <v>174.93</v>
      </c>
      <c r="X29" s="35">
        <f>((X27*X26)*7)/1000</f>
        <v>107.702</v>
      </c>
      <c r="Y29" s="68"/>
      <c r="Z29" s="36"/>
    </row>
    <row r="30" spans="1:36" ht="33.75" customHeight="1" thickBot="1" x14ac:dyDescent="0.3">
      <c r="A30" s="74" t="s">
        <v>15</v>
      </c>
      <c r="B30" s="37">
        <f t="shared" ref="B30:R30" si="3">+(B25/B27)/7*1000</f>
        <v>52</v>
      </c>
      <c r="C30" s="38">
        <f t="shared" si="3"/>
        <v>53.499999999999993</v>
      </c>
      <c r="D30" s="38">
        <f t="shared" si="3"/>
        <v>54.500000000000007</v>
      </c>
      <c r="E30" s="38">
        <f t="shared" si="3"/>
        <v>55.999999999999993</v>
      </c>
      <c r="F30" s="38">
        <f t="shared" si="3"/>
        <v>52.000000000000014</v>
      </c>
      <c r="G30" s="38">
        <f t="shared" si="3"/>
        <v>51.522853441894895</v>
      </c>
      <c r="H30" s="38">
        <f t="shared" si="3"/>
        <v>51.022194304857621</v>
      </c>
      <c r="I30" s="39">
        <f t="shared" si="3"/>
        <v>49.999999999999993</v>
      </c>
      <c r="J30" s="39">
        <f t="shared" si="3"/>
        <v>52.5</v>
      </c>
      <c r="K30" s="39">
        <f t="shared" si="3"/>
        <v>50.499999999999993</v>
      </c>
      <c r="L30" s="39">
        <f t="shared" si="3"/>
        <v>49.5</v>
      </c>
      <c r="M30" s="39">
        <f t="shared" si="3"/>
        <v>48.499999999999986</v>
      </c>
      <c r="N30" s="37">
        <f t="shared" si="3"/>
        <v>54.550520459440044</v>
      </c>
      <c r="O30" s="38">
        <f t="shared" si="3"/>
        <v>53.500000000000007</v>
      </c>
      <c r="P30" s="38">
        <f t="shared" si="3"/>
        <v>52.5</v>
      </c>
      <c r="Q30" s="38">
        <f t="shared" si="3"/>
        <v>51.000000000000007</v>
      </c>
      <c r="R30" s="38">
        <f t="shared" si="3"/>
        <v>49.999999999999993</v>
      </c>
      <c r="S30" s="39"/>
      <c r="T30" s="37">
        <f>+(T25/T27)/7*1000</f>
        <v>55.000000000000007</v>
      </c>
      <c r="U30" s="38">
        <f>+(U25/U27)/7*1000</f>
        <v>53.5</v>
      </c>
      <c r="V30" s="38">
        <f>+(V25/V27)/7*1000</f>
        <v>52.5</v>
      </c>
      <c r="W30" s="38">
        <f>+(W25/W27)/7*1000</f>
        <v>51.034256559766753</v>
      </c>
      <c r="X30" s="38">
        <f>+(X25/X27)/7*1000</f>
        <v>49.033894449499549</v>
      </c>
      <c r="Y30" s="39"/>
      <c r="Z30" s="40"/>
    </row>
    <row r="31" spans="1:36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201"/>
      <c r="U31" s="201"/>
      <c r="V31" s="201"/>
      <c r="W31" s="201"/>
      <c r="X31" s="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>
        <v>41.5</v>
      </c>
      <c r="AC32" s="42"/>
      <c r="AD32" s="42"/>
      <c r="AE32" s="42"/>
      <c r="AF32" s="42"/>
      <c r="AG32" s="42"/>
      <c r="AH32" s="42"/>
      <c r="AI32" s="42"/>
      <c r="AJ32" s="41"/>
    </row>
    <row r="33" spans="1:3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>
        <v>41</v>
      </c>
      <c r="AC33" s="42"/>
      <c r="AD33" s="42"/>
      <c r="AE33" s="42"/>
      <c r="AF33" s="42"/>
      <c r="AG33" s="42"/>
      <c r="AH33" s="42"/>
      <c r="AI33" s="42"/>
      <c r="AJ33" s="41"/>
    </row>
    <row r="34" spans="1:3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>
        <v>40.5</v>
      </c>
      <c r="AC34" s="42"/>
      <c r="AD34" s="42"/>
      <c r="AE34" s="42"/>
      <c r="AF34" s="42"/>
      <c r="AG34" s="42"/>
      <c r="AH34" s="41"/>
    </row>
    <row r="35" spans="1:36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>
        <v>40</v>
      </c>
      <c r="AC35" s="43"/>
      <c r="AD35" s="43"/>
      <c r="AE35" s="43"/>
      <c r="AF35" s="43"/>
      <c r="AG35" s="43"/>
      <c r="AH35" s="3"/>
    </row>
    <row r="36" spans="1:36" ht="33.75" customHeight="1" thickBot="1" x14ac:dyDescent="0.3">
      <c r="A36" s="69" t="s">
        <v>16</v>
      </c>
      <c r="B36" s="966" t="s">
        <v>17</v>
      </c>
      <c r="C36" s="967"/>
      <c r="D36" s="967"/>
      <c r="E36" s="967"/>
      <c r="F36" s="967"/>
      <c r="G36" s="967"/>
      <c r="H36" s="75"/>
      <c r="O36" s="44"/>
      <c r="P36" s="88" t="s">
        <v>18</v>
      </c>
      <c r="Q36" s="956" t="s">
        <v>17</v>
      </c>
      <c r="R36" s="956"/>
      <c r="S36" s="956"/>
      <c r="T36" s="956"/>
      <c r="U36" s="956"/>
      <c r="V36" s="957"/>
      <c r="W36" s="81"/>
      <c r="X36" s="45"/>
      <c r="Y36" s="45"/>
      <c r="Z36" s="46"/>
      <c r="AA36" s="3"/>
      <c r="AB36" s="45">
        <v>39.5</v>
      </c>
      <c r="AC36" s="45"/>
      <c r="AD36" s="45"/>
      <c r="AE36" s="3"/>
    </row>
    <row r="37" spans="1:36" ht="33.75" customHeight="1" x14ac:dyDescent="0.25">
      <c r="A37" s="170" t="s">
        <v>34</v>
      </c>
      <c r="B37" s="141"/>
      <c r="C37" s="118"/>
      <c r="D37" s="118"/>
      <c r="E37" s="118"/>
      <c r="F37" s="118"/>
      <c r="G37" s="119"/>
      <c r="H37" s="13" t="s">
        <v>9</v>
      </c>
      <c r="I37" s="47"/>
      <c r="J37" s="47"/>
      <c r="K37" s="47"/>
      <c r="L37" s="47"/>
      <c r="M37" s="47"/>
      <c r="N37" s="970"/>
      <c r="O37" s="970"/>
      <c r="P37" s="97" t="s">
        <v>33</v>
      </c>
      <c r="Q37" s="60"/>
      <c r="R37" s="12"/>
      <c r="S37" s="12"/>
      <c r="T37" s="12"/>
      <c r="U37" s="12"/>
      <c r="V37" s="12"/>
      <c r="W37" s="76" t="s">
        <v>9</v>
      </c>
      <c r="X37" s="47"/>
      <c r="Y37" s="47"/>
      <c r="Z37" s="3"/>
      <c r="AA37" s="46"/>
      <c r="AB37" s="3">
        <v>39.5</v>
      </c>
      <c r="AC37" s="45"/>
      <c r="AD37" s="45"/>
      <c r="AE37" s="45"/>
    </row>
    <row r="38" spans="1:36" ht="33.75" customHeight="1" x14ac:dyDescent="0.25">
      <c r="A38" s="17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47"/>
      <c r="L38" s="47"/>
      <c r="M38" s="47"/>
      <c r="N38" s="144"/>
      <c r="O38" s="145"/>
      <c r="P38" s="80" t="s">
        <v>10</v>
      </c>
      <c r="Q38" s="60">
        <v>1</v>
      </c>
      <c r="R38" s="16">
        <v>2</v>
      </c>
      <c r="S38" s="16">
        <v>3</v>
      </c>
      <c r="T38" s="16" t="s">
        <v>58</v>
      </c>
      <c r="U38" s="16"/>
      <c r="V38" s="16"/>
      <c r="W38" s="76"/>
      <c r="X38" s="47"/>
      <c r="Y38" s="47"/>
      <c r="Z38" s="48"/>
      <c r="AA38" s="48"/>
      <c r="AB38" s="2"/>
      <c r="AC38" s="2"/>
      <c r="AD38" s="2"/>
      <c r="AE38" s="2"/>
    </row>
    <row r="39" spans="1:36" ht="33.75" customHeight="1" x14ac:dyDescent="0.25">
      <c r="A39" s="171" t="s">
        <v>32</v>
      </c>
      <c r="B39" s="18"/>
      <c r="C39" s="19"/>
      <c r="D39" s="19"/>
      <c r="E39" s="19"/>
      <c r="F39" s="19"/>
      <c r="G39" s="20"/>
      <c r="H39" s="136">
        <f t="shared" ref="H39:H46" si="4">SUM(B39:G39)</f>
        <v>0</v>
      </c>
      <c r="I39" s="49"/>
      <c r="J39" s="49"/>
      <c r="K39" s="49"/>
      <c r="L39" s="49"/>
      <c r="M39" s="49"/>
      <c r="N39" s="144"/>
      <c r="O39" s="145"/>
      <c r="P39" s="96" t="s">
        <v>53</v>
      </c>
      <c r="Q39" s="61"/>
      <c r="R39" s="61"/>
      <c r="S39" s="61"/>
      <c r="T39" s="61"/>
      <c r="U39" s="61"/>
      <c r="V39" s="61"/>
      <c r="W39" s="77">
        <f t="shared" ref="W39:W46" si="5">SUM(Q39:V39)</f>
        <v>0</v>
      </c>
      <c r="X39" s="2"/>
      <c r="Y39" s="49"/>
      <c r="Z39" s="48"/>
      <c r="AA39" s="48"/>
      <c r="AB39" s="2"/>
      <c r="AC39" s="2"/>
      <c r="AD39" s="2"/>
      <c r="AE39" s="2"/>
    </row>
    <row r="40" spans="1:36" ht="33.75" customHeight="1" x14ac:dyDescent="0.25">
      <c r="A40" s="171" t="s">
        <v>24</v>
      </c>
      <c r="B40" s="18">
        <v>17.100000000000001</v>
      </c>
      <c r="C40" s="19">
        <v>43.4</v>
      </c>
      <c r="D40" s="19">
        <v>64.3</v>
      </c>
      <c r="E40" s="19">
        <v>50.2</v>
      </c>
      <c r="F40" s="19">
        <v>43.1</v>
      </c>
      <c r="G40" s="20">
        <v>26</v>
      </c>
      <c r="H40" s="136">
        <f t="shared" si="4"/>
        <v>244.1</v>
      </c>
      <c r="I40" s="49"/>
      <c r="J40" s="49"/>
      <c r="K40" s="49"/>
      <c r="L40" s="49"/>
      <c r="M40" s="49"/>
      <c r="N40" s="144"/>
      <c r="O40" s="145"/>
      <c r="P40" s="96" t="s">
        <v>24</v>
      </c>
      <c r="Q40" s="61">
        <v>12.5</v>
      </c>
      <c r="R40" s="61">
        <v>13.3</v>
      </c>
      <c r="S40" s="61">
        <v>12.2</v>
      </c>
      <c r="T40" s="61">
        <v>3.9</v>
      </c>
      <c r="U40" s="61"/>
      <c r="V40" s="61"/>
      <c r="W40" s="77">
        <f t="shared" si="5"/>
        <v>41.9</v>
      </c>
      <c r="X40" s="2"/>
      <c r="Y40" s="49"/>
      <c r="Z40" s="48"/>
      <c r="AA40" s="48"/>
      <c r="AB40" s="2"/>
      <c r="AC40" s="2"/>
      <c r="AD40" s="2"/>
      <c r="AE40" s="2"/>
    </row>
    <row r="41" spans="1:36" ht="33.75" customHeight="1" x14ac:dyDescent="0.25">
      <c r="A41" s="171" t="s">
        <v>20</v>
      </c>
      <c r="B41" s="18">
        <f>(((($B$48*$B$47)/1000)*7)-$B$40)/4</f>
        <v>18.012999999999998</v>
      </c>
      <c r="C41" s="19">
        <f>(((($C$47*$C$48)/1000)*7)-$C$40)/4</f>
        <v>45.490374999999993</v>
      </c>
      <c r="D41" s="19">
        <f>(((($D$47*$D$48)/1000)*7)-$D$40)/4</f>
        <v>67.596874999999997</v>
      </c>
      <c r="E41" s="19">
        <f>(((($E$47*$E$48)/1000)*7)-$E$40)/4</f>
        <v>52.778374999999997</v>
      </c>
      <c r="F41" s="19">
        <f>(((($F$47*$F$48)/1000)*7)-$F$40)/4</f>
        <v>45.452500000000008</v>
      </c>
      <c r="G41" s="20">
        <f>(((($G$47*$G$48)/1000)*7)-$G$40)/4</f>
        <v>27.386125</v>
      </c>
      <c r="H41" s="136">
        <f t="shared" si="4"/>
        <v>256.71725000000004</v>
      </c>
      <c r="I41" s="49"/>
      <c r="J41" s="49"/>
      <c r="K41" s="49"/>
      <c r="L41" s="49"/>
      <c r="M41" s="49"/>
      <c r="N41" s="144"/>
      <c r="O41" s="145"/>
      <c r="P41" s="96" t="s">
        <v>20</v>
      </c>
      <c r="Q41" s="61">
        <f>(((($Q$48*$Q$47)/1000)*7)-$Q$40)/4</f>
        <v>12.686250000000001</v>
      </c>
      <c r="R41" s="61">
        <f>(((($R$47*$R$48)/1000)*7)-$R$40)/4</f>
        <v>13.580875000000002</v>
      </c>
      <c r="S41" s="61">
        <f>(((($S$47*$S$48)/1000)*7)-$S$40)/4</f>
        <v>12.518000000000001</v>
      </c>
      <c r="T41" s="61">
        <f>(((($T$47*$T$48)/1000)*7)-$T$40)/4</f>
        <v>3.9354999999999998</v>
      </c>
      <c r="U41" s="61"/>
      <c r="V41" s="19"/>
      <c r="W41" s="77">
        <f t="shared" si="5"/>
        <v>42.720625000000005</v>
      </c>
      <c r="X41" s="2"/>
      <c r="Y41" s="49"/>
      <c r="Z41" s="48"/>
      <c r="AA41" s="48"/>
      <c r="AB41" s="2"/>
      <c r="AC41" s="2"/>
      <c r="AD41" s="2"/>
      <c r="AE41" s="2"/>
    </row>
    <row r="42" spans="1:36" ht="33.75" customHeight="1" x14ac:dyDescent="0.25">
      <c r="A42" s="171" t="s">
        <v>28</v>
      </c>
      <c r="B42" s="18">
        <f>(((($B$48*$B$47)/1000)*7)-$B$40)/4</f>
        <v>18.012999999999998</v>
      </c>
      <c r="C42" s="19">
        <f>(((($C$47*$C$48)/1000)*7)-$C$40)/4</f>
        <v>45.490374999999993</v>
      </c>
      <c r="D42" s="19">
        <f>(((($D$47*$D$48)/1000)*7)-$D$40)/4</f>
        <v>67.596874999999997</v>
      </c>
      <c r="E42" s="19">
        <f>(((($E$47*$E$48)/1000)*7)-$E$40)/4</f>
        <v>52.778374999999997</v>
      </c>
      <c r="F42" s="19">
        <f>(((($F$47*$F$48)/1000)*7)-$F$40)/4</f>
        <v>45.452500000000008</v>
      </c>
      <c r="G42" s="20">
        <f>(((($G$47*$G$48)/1000)*7)-$G$40)/4</f>
        <v>27.386125</v>
      </c>
      <c r="H42" s="136">
        <f t="shared" si="4"/>
        <v>256.71725000000004</v>
      </c>
      <c r="I42" s="49"/>
      <c r="J42" s="49"/>
      <c r="K42" s="49"/>
      <c r="L42" s="49"/>
      <c r="M42" s="49"/>
      <c r="N42" s="144"/>
      <c r="O42" s="145"/>
      <c r="P42" s="96" t="s">
        <v>28</v>
      </c>
      <c r="Q42" s="61">
        <f>(((($Q$48*$Q$47)/1000)*7)-$Q$40)/4</f>
        <v>12.686250000000001</v>
      </c>
      <c r="R42" s="61">
        <f>(((($R$47*$R$48)/1000)*7)-$R$40)/4</f>
        <v>13.580875000000002</v>
      </c>
      <c r="S42" s="61">
        <f>(((($S$47*$S$48)/1000)*7)-$S$40)/4</f>
        <v>12.518000000000001</v>
      </c>
      <c r="T42" s="61">
        <f>(((($T$47*$T$48)/1000)*7)-$T$40)/4</f>
        <v>3.9354999999999998</v>
      </c>
      <c r="U42" s="61"/>
      <c r="V42" s="61"/>
      <c r="W42" s="77">
        <f t="shared" si="5"/>
        <v>42.720625000000005</v>
      </c>
      <c r="X42" s="2"/>
      <c r="Y42" s="49"/>
      <c r="Z42" s="48"/>
      <c r="AA42" s="48"/>
      <c r="AB42" s="2"/>
      <c r="AC42" s="2"/>
      <c r="AD42" s="2"/>
      <c r="AE42" s="2"/>
    </row>
    <row r="43" spans="1:36" ht="33.75" customHeight="1" x14ac:dyDescent="0.25">
      <c r="A43" s="171" t="s">
        <v>21</v>
      </c>
      <c r="B43" s="18"/>
      <c r="C43" s="19"/>
      <c r="D43" s="19"/>
      <c r="E43" s="19"/>
      <c r="F43" s="19"/>
      <c r="G43" s="20"/>
      <c r="H43" s="136">
        <f t="shared" si="4"/>
        <v>0</v>
      </c>
      <c r="I43" s="49"/>
      <c r="J43" s="49"/>
      <c r="K43" s="49"/>
      <c r="L43" s="49"/>
      <c r="M43" s="49"/>
      <c r="N43" s="144"/>
      <c r="O43" s="145"/>
      <c r="P43" s="96" t="s">
        <v>21</v>
      </c>
      <c r="Q43" s="61"/>
      <c r="R43" s="61"/>
      <c r="S43" s="61"/>
      <c r="T43" s="61"/>
      <c r="U43" s="61"/>
      <c r="V43" s="61"/>
      <c r="W43" s="77">
        <f t="shared" si="5"/>
        <v>0</v>
      </c>
      <c r="X43" s="2"/>
      <c r="Y43" s="49"/>
      <c r="Z43" s="48"/>
      <c r="AA43" s="48"/>
      <c r="AB43" s="2"/>
      <c r="AC43" s="2"/>
      <c r="AD43" s="2"/>
      <c r="AE43" s="2"/>
    </row>
    <row r="44" spans="1:36" ht="33.75" customHeight="1" x14ac:dyDescent="0.25">
      <c r="A44" s="171" t="s">
        <v>22</v>
      </c>
      <c r="B44" s="18">
        <f>(((($B$48*$B$47)/1000)*7)-$B$40)/4</f>
        <v>18.012999999999998</v>
      </c>
      <c r="C44" s="19">
        <f>(((($C$47*$C$48)/1000)*7)-$C$40)/4</f>
        <v>45.490374999999993</v>
      </c>
      <c r="D44" s="19">
        <f>(((($D$47*$D$48)/1000)*7)-$D$40)/4</f>
        <v>67.596874999999997</v>
      </c>
      <c r="E44" s="19">
        <f>(((($E$47*$E$48)/1000)*7)-$E$40)/4</f>
        <v>52.778374999999997</v>
      </c>
      <c r="F44" s="19">
        <f>(((($F$47*$F$48)/1000)*7)-$F$40)/4</f>
        <v>45.452500000000008</v>
      </c>
      <c r="G44" s="20">
        <f>(((($G$47*$G$48)/1000)*7)-$G$40)/4</f>
        <v>27.386125</v>
      </c>
      <c r="H44" s="136">
        <f t="shared" si="4"/>
        <v>256.71725000000004</v>
      </c>
      <c r="I44" s="49"/>
      <c r="J44" s="49"/>
      <c r="K44" s="49"/>
      <c r="L44" s="49"/>
      <c r="M44" s="49"/>
      <c r="N44" s="144"/>
      <c r="O44" s="145"/>
      <c r="P44" s="96" t="s">
        <v>22</v>
      </c>
      <c r="Q44" s="61">
        <f>(((($Q$48*$Q$47)/1000)*7)-$Q$40)/4</f>
        <v>12.686250000000001</v>
      </c>
      <c r="R44" s="61">
        <f>(((($R$47*$R$48)/1000)*7)-$R$40)/4</f>
        <v>13.580875000000002</v>
      </c>
      <c r="S44" s="61">
        <f>(((($S$47*$S$48)/1000)*7)-$S$40)/4</f>
        <v>12.518000000000001</v>
      </c>
      <c r="T44" s="61">
        <f>(((($T$47*$T$48)/1000)*7)-$T$40)/4</f>
        <v>3.9354999999999998</v>
      </c>
      <c r="U44" s="61"/>
      <c r="V44" s="61"/>
      <c r="W44" s="77">
        <f t="shared" si="5"/>
        <v>42.720625000000005</v>
      </c>
      <c r="X44" s="2"/>
      <c r="Y44" s="49"/>
      <c r="Z44" s="48"/>
      <c r="AA44" s="48"/>
      <c r="AB44" s="2"/>
      <c r="AC44" s="2"/>
      <c r="AD44" s="2"/>
      <c r="AE44" s="2"/>
    </row>
    <row r="45" spans="1:36" ht="33.75" customHeight="1" x14ac:dyDescent="0.25">
      <c r="A45" s="171" t="s">
        <v>32</v>
      </c>
      <c r="B45" s="18">
        <f>(((($B$48*$B$47)/1000)*7)-$B$40)/4</f>
        <v>18.012999999999998</v>
      </c>
      <c r="C45" s="19">
        <f>(((($C$47*$C$48)/1000)*7)-$C$40)/4</f>
        <v>45.490374999999993</v>
      </c>
      <c r="D45" s="19">
        <f>(((($D$47*$D$48)/1000)*7)-$D$40)/4</f>
        <v>67.596874999999997</v>
      </c>
      <c r="E45" s="19">
        <v>52.9</v>
      </c>
      <c r="F45" s="19">
        <v>45.6</v>
      </c>
      <c r="G45" s="20">
        <v>27.5</v>
      </c>
      <c r="H45" s="136">
        <f t="shared" si="4"/>
        <v>257.10024999999996</v>
      </c>
      <c r="I45" s="49"/>
      <c r="J45" s="49"/>
      <c r="K45" s="49"/>
      <c r="L45" s="49"/>
      <c r="M45" s="49"/>
      <c r="N45" s="144"/>
      <c r="O45" s="145"/>
      <c r="P45" s="96" t="s">
        <v>23</v>
      </c>
      <c r="Q45" s="61">
        <v>12.8</v>
      </c>
      <c r="R45" s="61">
        <v>13.7</v>
      </c>
      <c r="S45" s="61">
        <f>(((($S$47*$S$48)/1000)*7)-$S$40)/4</f>
        <v>12.518000000000001</v>
      </c>
      <c r="T45" s="61">
        <f>(((($T$47*$T$48)/1000)*7)-$T$40)/4</f>
        <v>3.9354999999999998</v>
      </c>
      <c r="U45" s="61"/>
      <c r="V45" s="61"/>
      <c r="W45" s="77">
        <f t="shared" si="5"/>
        <v>42.953499999999998</v>
      </c>
      <c r="X45" s="2"/>
      <c r="Y45" s="49"/>
      <c r="Z45" s="48"/>
      <c r="AA45" s="48"/>
      <c r="AB45" s="48"/>
      <c r="AC45" s="48"/>
      <c r="AD45" s="2"/>
      <c r="AE45" s="2"/>
      <c r="AF45" s="2"/>
      <c r="AG45" s="2"/>
    </row>
    <row r="46" spans="1:36" ht="33.75" customHeight="1" x14ac:dyDescent="0.25">
      <c r="A46" s="170" t="s">
        <v>9</v>
      </c>
      <c r="B46" s="21">
        <f t="shared" ref="B46:G46" si="6">SUM(B39:B45)</f>
        <v>89.151999999999987</v>
      </c>
      <c r="C46" s="22">
        <f t="shared" si="6"/>
        <v>225.36149999999998</v>
      </c>
      <c r="D46" s="22">
        <f t="shared" si="6"/>
        <v>334.6875</v>
      </c>
      <c r="E46" s="22">
        <f t="shared" si="6"/>
        <v>261.43512499999997</v>
      </c>
      <c r="F46" s="22">
        <f t="shared" si="6"/>
        <v>225.05750000000003</v>
      </c>
      <c r="G46" s="196">
        <f t="shared" si="6"/>
        <v>135.65837500000001</v>
      </c>
      <c r="H46" s="136">
        <f t="shared" si="4"/>
        <v>1271.3520000000001</v>
      </c>
      <c r="I46" s="49"/>
      <c r="J46" s="49"/>
      <c r="K46" s="49"/>
      <c r="L46" s="49"/>
      <c r="M46" s="49"/>
      <c r="N46" s="49"/>
      <c r="P46" s="80" t="s">
        <v>9</v>
      </c>
      <c r="Q46" s="61">
        <f>SUM(Q39:Q45)</f>
        <v>63.358750000000001</v>
      </c>
      <c r="R46" s="61">
        <f>SUM(R39:R45)</f>
        <v>67.742625000000018</v>
      </c>
      <c r="S46" s="61">
        <f>SUM(S39:S45)</f>
        <v>62.272000000000006</v>
      </c>
      <c r="T46" s="61">
        <f>SUM(T39:T45)</f>
        <v>19.641999999999999</v>
      </c>
      <c r="U46" s="22"/>
      <c r="V46" s="22"/>
      <c r="W46" s="77">
        <f t="shared" si="5"/>
        <v>213.01537500000001</v>
      </c>
      <c r="X46" s="49"/>
      <c r="Y46" s="49"/>
      <c r="Z46" s="2"/>
      <c r="AA46" s="2"/>
      <c r="AB46" s="2"/>
      <c r="AC46" s="2"/>
      <c r="AD46" s="2"/>
      <c r="AE46" s="2"/>
      <c r="AF46" s="2"/>
      <c r="AG46" s="2"/>
    </row>
    <row r="47" spans="1:36" ht="33.75" customHeight="1" x14ac:dyDescent="0.25">
      <c r="A47" s="192" t="s">
        <v>11</v>
      </c>
      <c r="B47" s="23">
        <v>64</v>
      </c>
      <c r="C47" s="24">
        <v>63.5</v>
      </c>
      <c r="D47" s="24">
        <v>62.5</v>
      </c>
      <c r="E47" s="24">
        <v>61.5</v>
      </c>
      <c r="F47" s="24">
        <v>59.5</v>
      </c>
      <c r="G47" s="25">
        <v>58.5</v>
      </c>
      <c r="H47" s="137">
        <f>+((H46/H48)/7)*1000</f>
        <v>61.587559947682024</v>
      </c>
      <c r="I47" s="50"/>
      <c r="J47" s="50"/>
      <c r="K47" s="50"/>
      <c r="L47" s="50"/>
      <c r="M47" s="50"/>
      <c r="N47" s="49"/>
      <c r="P47" s="93" t="s">
        <v>11</v>
      </c>
      <c r="Q47" s="63">
        <v>69.5</v>
      </c>
      <c r="R47" s="24">
        <v>69.5</v>
      </c>
      <c r="S47" s="24">
        <v>69.5</v>
      </c>
      <c r="T47" s="24">
        <v>61</v>
      </c>
      <c r="U47" s="24"/>
      <c r="V47" s="24"/>
      <c r="W47" s="78">
        <f>+((W46/W48)/7)*1000</f>
        <v>68.692478232828122</v>
      </c>
      <c r="X47" s="50"/>
      <c r="Y47" s="50"/>
    </row>
    <row r="48" spans="1:36" ht="33.75" customHeight="1" x14ac:dyDescent="0.25">
      <c r="A48" s="193" t="s">
        <v>12</v>
      </c>
      <c r="B48" s="26">
        <v>199</v>
      </c>
      <c r="C48" s="27">
        <v>507</v>
      </c>
      <c r="D48" s="27">
        <v>765</v>
      </c>
      <c r="E48" s="27">
        <v>607</v>
      </c>
      <c r="F48" s="27">
        <v>540</v>
      </c>
      <c r="G48" s="28">
        <v>331</v>
      </c>
      <c r="H48" s="138">
        <f>SUM(B48:G48)</f>
        <v>2949</v>
      </c>
      <c r="I48" s="198"/>
      <c r="J48" s="198"/>
      <c r="K48" s="198"/>
      <c r="L48" s="198"/>
      <c r="M48" s="198"/>
      <c r="N48" s="49"/>
      <c r="O48" s="51"/>
      <c r="P48" s="71" t="s">
        <v>12</v>
      </c>
      <c r="Q48" s="79">
        <v>130</v>
      </c>
      <c r="R48" s="79">
        <v>139</v>
      </c>
      <c r="S48" s="79">
        <v>128</v>
      </c>
      <c r="T48" s="79">
        <v>46</v>
      </c>
      <c r="U48" s="79"/>
      <c r="V48" s="79"/>
      <c r="W48" s="82">
        <f>SUM(Q48:T48)</f>
        <v>443</v>
      </c>
      <c r="X48" s="52"/>
      <c r="Y48" s="52"/>
    </row>
    <row r="49" spans="1:37" ht="33.75" customHeight="1" x14ac:dyDescent="0.25">
      <c r="A49" s="194" t="s">
        <v>13</v>
      </c>
      <c r="B49" s="30">
        <f t="shared" ref="B49:G49" si="7">(B48*B47)/1000</f>
        <v>12.736000000000001</v>
      </c>
      <c r="C49" s="31">
        <f t="shared" si="7"/>
        <v>32.194499999999998</v>
      </c>
      <c r="D49" s="31">
        <f t="shared" si="7"/>
        <v>47.8125</v>
      </c>
      <c r="E49" s="31">
        <f t="shared" si="7"/>
        <v>37.330500000000001</v>
      </c>
      <c r="F49" s="31">
        <f t="shared" si="7"/>
        <v>32.130000000000003</v>
      </c>
      <c r="G49" s="32">
        <f t="shared" si="7"/>
        <v>19.363499999999998</v>
      </c>
      <c r="H49" s="139">
        <f>((H46*1000)/H48)/7</f>
        <v>61.587559947682017</v>
      </c>
      <c r="I49" s="199"/>
      <c r="J49" s="199"/>
      <c r="K49" s="199"/>
      <c r="L49" s="199"/>
      <c r="M49" s="199"/>
      <c r="N49" s="49"/>
      <c r="P49" s="72" t="s">
        <v>13</v>
      </c>
      <c r="Q49" s="65">
        <v>81.569999999999993</v>
      </c>
      <c r="R49" s="65">
        <v>81.569999999999993</v>
      </c>
      <c r="S49" s="65">
        <v>81.569999999999993</v>
      </c>
      <c r="T49" s="65">
        <v>81.569999999999993</v>
      </c>
      <c r="U49" s="31"/>
      <c r="V49" s="31"/>
      <c r="W49" s="83">
        <f>((W46*1000)/W48)/7</f>
        <v>68.692478232828122</v>
      </c>
      <c r="X49" s="52"/>
      <c r="Y49" s="52"/>
    </row>
    <row r="50" spans="1:37" ht="33.75" customHeight="1" x14ac:dyDescent="0.25">
      <c r="A50" s="185" t="s">
        <v>14</v>
      </c>
      <c r="B50" s="34">
        <f t="shared" ref="B50:G50" si="8">((B48*B47)*7)/1000</f>
        <v>89.152000000000001</v>
      </c>
      <c r="C50" s="35">
        <f t="shared" si="8"/>
        <v>225.36150000000001</v>
      </c>
      <c r="D50" s="35">
        <f t="shared" si="8"/>
        <v>334.6875</v>
      </c>
      <c r="E50" s="35">
        <f t="shared" si="8"/>
        <v>261.31349999999998</v>
      </c>
      <c r="F50" s="35">
        <f t="shared" si="8"/>
        <v>224.91</v>
      </c>
      <c r="G50" s="68">
        <f t="shared" si="8"/>
        <v>135.5445</v>
      </c>
      <c r="H50" s="112"/>
      <c r="I50" s="41"/>
      <c r="J50" s="41"/>
      <c r="K50" s="41"/>
      <c r="L50" s="41"/>
      <c r="M50" s="41"/>
      <c r="N50" s="49"/>
      <c r="P50" s="73" t="s">
        <v>14</v>
      </c>
      <c r="Q50" s="66">
        <f>((Q48*Q47)*7)/1000</f>
        <v>63.244999999999997</v>
      </c>
      <c r="R50" s="66">
        <f>((R48*R47)*7)/1000</f>
        <v>67.623500000000007</v>
      </c>
      <c r="S50" s="66">
        <f>((S48*S47)*7)/1000</f>
        <v>62.271999999999998</v>
      </c>
      <c r="T50" s="66">
        <f>((T48*T47)*7)/1000</f>
        <v>19.641999999999999</v>
      </c>
      <c r="U50" s="35"/>
      <c r="V50" s="35"/>
      <c r="W50" s="84"/>
    </row>
    <row r="51" spans="1:37" ht="33.75" customHeight="1" thickBot="1" x14ac:dyDescent="0.3">
      <c r="A51" s="195" t="s">
        <v>15</v>
      </c>
      <c r="B51" s="37">
        <f t="shared" ref="B51:G51" si="9">+(B46/B48)/7*1000</f>
        <v>63.999999999999986</v>
      </c>
      <c r="C51" s="38">
        <f t="shared" si="9"/>
        <v>63.499999999999986</v>
      </c>
      <c r="D51" s="38">
        <f t="shared" si="9"/>
        <v>62.5</v>
      </c>
      <c r="E51" s="38">
        <f t="shared" si="9"/>
        <v>61.528624382207575</v>
      </c>
      <c r="F51" s="38">
        <f t="shared" si="9"/>
        <v>59.539021164021172</v>
      </c>
      <c r="G51" s="39">
        <f t="shared" si="9"/>
        <v>58.549147604661201</v>
      </c>
      <c r="H51" s="140"/>
      <c r="I51" s="41"/>
      <c r="J51" s="41"/>
      <c r="K51" s="41"/>
      <c r="L51" s="41"/>
      <c r="M51" s="41"/>
      <c r="N51" s="49"/>
      <c r="O51" s="41"/>
      <c r="P51" s="74" t="s">
        <v>15</v>
      </c>
      <c r="Q51" s="67">
        <f>+(Q46/Q48)/7*1000</f>
        <v>69.625</v>
      </c>
      <c r="R51" s="67">
        <f>+(R46/R48)/7*1000</f>
        <v>69.622430626927056</v>
      </c>
      <c r="S51" s="67">
        <f>+(S46/S48)/7*1000</f>
        <v>69.5</v>
      </c>
      <c r="T51" s="67">
        <f>+(T46/T48)/7*1000</f>
        <v>61</v>
      </c>
      <c r="U51" s="38"/>
      <c r="V51" s="38"/>
      <c r="W51" s="39"/>
      <c r="X51" s="42"/>
      <c r="Y51" s="42"/>
    </row>
    <row r="52" spans="1:37" ht="33.75" customHeight="1" x14ac:dyDescent="0.25">
      <c r="A52" s="41"/>
      <c r="B52" s="10"/>
      <c r="C52" s="10"/>
      <c r="D52" s="10"/>
      <c r="E52" s="10"/>
      <c r="F52" s="10"/>
      <c r="G52" s="10"/>
      <c r="H52" s="41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2"/>
      <c r="AB52" s="2"/>
      <c r="AC52" s="2"/>
      <c r="AD52" s="2"/>
      <c r="AE52" s="2"/>
    </row>
    <row r="53" spans="1:37" ht="33.75" customHeight="1" x14ac:dyDescent="0.25">
      <c r="A53" s="41"/>
      <c r="B53" s="197"/>
      <c r="C53" s="197"/>
      <c r="D53" s="197"/>
      <c r="E53" s="197"/>
      <c r="F53" s="197"/>
      <c r="G53" s="197"/>
      <c r="H53" s="41"/>
      <c r="I53" s="41"/>
      <c r="J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2"/>
      <c r="X53" s="43"/>
      <c r="Y53" s="43"/>
      <c r="Z53" s="43"/>
      <c r="AA53" s="2"/>
      <c r="AB53" s="2"/>
      <c r="AC53" s="2"/>
      <c r="AD53" s="2"/>
      <c r="AH53" s="3"/>
    </row>
    <row r="54" spans="1:37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958"/>
      <c r="P54" s="958"/>
      <c r="Q54" s="54"/>
      <c r="R54" s="54"/>
      <c r="S54" s="54"/>
      <c r="T54" s="54"/>
      <c r="U54" s="55"/>
      <c r="Z54" s="43"/>
      <c r="AA54" s="43"/>
      <c r="AB54" s="43"/>
      <c r="AC54" s="2"/>
      <c r="AD54" s="2"/>
      <c r="AE54" s="2"/>
      <c r="AF54" s="2"/>
      <c r="AH54" s="2"/>
      <c r="AI54" s="2"/>
      <c r="AJ54" s="2"/>
    </row>
    <row r="55" spans="1:37" ht="33.75" customHeight="1" x14ac:dyDescent="0.25">
      <c r="A55" s="88" t="s">
        <v>19</v>
      </c>
      <c r="B55" s="956" t="s">
        <v>30</v>
      </c>
      <c r="C55" s="956"/>
      <c r="D55" s="956"/>
      <c r="E55" s="956"/>
      <c r="F55" s="957"/>
      <c r="G55" s="158"/>
      <c r="H55" s="85"/>
      <c r="I55" s="56"/>
      <c r="J55" s="56"/>
      <c r="K55" s="56"/>
      <c r="L55" s="56"/>
      <c r="M55" s="56"/>
      <c r="N55" s="56"/>
      <c r="O55" s="56"/>
      <c r="AA55" s="43"/>
      <c r="AB55" s="43"/>
      <c r="AC55" s="43"/>
      <c r="AD55" s="2"/>
      <c r="AE55" s="2"/>
      <c r="AF55" s="2"/>
      <c r="AG55" s="2"/>
      <c r="AI55" s="2"/>
      <c r="AJ55" s="2"/>
      <c r="AK55" s="2"/>
    </row>
    <row r="56" spans="1:37" ht="33.75" customHeight="1" x14ac:dyDescent="0.25">
      <c r="A56" s="80" t="s">
        <v>34</v>
      </c>
      <c r="B56" s="60"/>
      <c r="C56" s="12"/>
      <c r="D56" s="12"/>
      <c r="E56" s="12"/>
      <c r="F56" s="12"/>
      <c r="G56" s="159"/>
      <c r="H56" s="76" t="s">
        <v>9</v>
      </c>
      <c r="O56" s="45"/>
      <c r="P56" s="45"/>
      <c r="Q56" s="45"/>
      <c r="R56" s="45"/>
      <c r="S56" s="57"/>
      <c r="T56" s="57"/>
      <c r="U56" s="57"/>
      <c r="V56" s="57"/>
      <c r="W56" s="45"/>
      <c r="X56" s="45"/>
      <c r="Y56" s="58"/>
      <c r="Z56" s="58"/>
      <c r="AA56" s="58"/>
      <c r="AB56" s="2"/>
      <c r="AC56" s="2"/>
      <c r="AD56" s="2"/>
      <c r="AE56" s="2"/>
      <c r="AG56" s="2"/>
      <c r="AH56" s="2"/>
      <c r="AI56" s="2"/>
    </row>
    <row r="57" spans="1:37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107" t="s">
        <v>59</v>
      </c>
      <c r="H57" s="76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57"/>
      <c r="T57" s="57"/>
      <c r="U57" s="57"/>
      <c r="V57" s="57"/>
      <c r="W57" s="45"/>
      <c r="X57" s="45"/>
      <c r="Y57" s="58"/>
      <c r="Z57" s="58"/>
      <c r="AA57" s="58"/>
      <c r="AB57" s="2"/>
      <c r="AC57" s="2"/>
      <c r="AD57" s="2"/>
      <c r="AE57" s="2"/>
      <c r="AF57" s="2"/>
      <c r="AG57" s="2"/>
      <c r="AH57" s="2"/>
      <c r="AI57" s="2"/>
    </row>
    <row r="58" spans="1:37" ht="33.75" customHeight="1" x14ac:dyDescent="0.25">
      <c r="A58" s="96" t="s">
        <v>53</v>
      </c>
      <c r="B58" s="61"/>
      <c r="C58" s="61"/>
      <c r="D58" s="61"/>
      <c r="E58" s="61"/>
      <c r="F58" s="61"/>
      <c r="G58" s="160"/>
      <c r="H58" s="77">
        <f>SUM(B58:F58)</f>
        <v>0</v>
      </c>
      <c r="I58" s="42"/>
      <c r="J58" s="42"/>
      <c r="K58" s="42"/>
      <c r="L58" s="42"/>
      <c r="M58" s="42"/>
      <c r="N58" s="42"/>
      <c r="O58" s="2"/>
      <c r="P58" s="45"/>
      <c r="Q58" s="45"/>
      <c r="R58" s="45"/>
      <c r="S58" s="57"/>
      <c r="T58" s="57"/>
      <c r="U58" s="57"/>
      <c r="V58" s="57"/>
      <c r="W58" s="45"/>
      <c r="X58" s="45"/>
      <c r="Y58" s="58"/>
      <c r="Z58" s="58"/>
      <c r="AA58" s="58"/>
      <c r="AB58" s="2"/>
      <c r="AC58" s="2"/>
      <c r="AD58" s="2"/>
      <c r="AE58" s="2"/>
      <c r="AF58" s="2"/>
      <c r="AG58" s="2"/>
      <c r="AH58" s="2"/>
      <c r="AI58" s="2"/>
    </row>
    <row r="59" spans="1:37" ht="33.75" customHeight="1" x14ac:dyDescent="0.25">
      <c r="A59" s="96" t="s">
        <v>24</v>
      </c>
      <c r="B59" s="61">
        <v>21.7</v>
      </c>
      <c r="C59" s="61">
        <v>24.1</v>
      </c>
      <c r="D59" s="61">
        <v>31</v>
      </c>
      <c r="E59" s="61">
        <v>26.5</v>
      </c>
      <c r="F59" s="61">
        <v>30.4</v>
      </c>
      <c r="G59" s="160">
        <v>12.1</v>
      </c>
      <c r="H59" s="77">
        <f>SUM(B59:G59)</f>
        <v>145.79999999999998</v>
      </c>
      <c r="I59" s="42"/>
      <c r="J59" s="42"/>
      <c r="K59" s="42"/>
      <c r="L59" s="42"/>
      <c r="M59" s="42"/>
      <c r="N59" s="42"/>
      <c r="O59" s="2"/>
      <c r="P59" s="45"/>
      <c r="Q59" s="45"/>
      <c r="R59" s="45"/>
      <c r="S59" s="57"/>
      <c r="T59" s="57"/>
      <c r="U59" s="57"/>
      <c r="V59" s="57"/>
      <c r="W59" s="45"/>
      <c r="X59" s="45"/>
      <c r="Y59" s="58"/>
      <c r="Z59" s="58"/>
      <c r="AA59" s="58"/>
      <c r="AB59" s="2"/>
      <c r="AC59" s="2"/>
      <c r="AD59" s="2"/>
      <c r="AE59" s="2"/>
      <c r="AF59" s="2"/>
      <c r="AG59" s="2"/>
      <c r="AH59" s="2"/>
      <c r="AI59" s="2"/>
    </row>
    <row r="60" spans="1:37" ht="33.75" customHeight="1" x14ac:dyDescent="0.25">
      <c r="A60" s="96" t="s">
        <v>20</v>
      </c>
      <c r="B60" s="61">
        <f>(((($B$67*$B$66)/1000)*7)-$B$59)/4</f>
        <v>22.357999999999997</v>
      </c>
      <c r="C60" s="61">
        <f>(((($C$66*$C$67)/1000)*7)-$C$59)/4</f>
        <v>24.844999999999999</v>
      </c>
      <c r="D60" s="61">
        <f>(((($D$66*$D$67)/1000)*7)-$D$59)/4</f>
        <v>31.866500000000002</v>
      </c>
      <c r="E60" s="61">
        <f>(((($E$66*$E$67)/1000)*7)-$E$59)/4</f>
        <v>27.203375000000001</v>
      </c>
      <c r="F60" s="61">
        <f>(((($F$66*$F$67)/1000)*7)-$F$59)/4</f>
        <v>31.244749999999996</v>
      </c>
      <c r="G60" s="160">
        <f>(((($G$66*$G$67)/1000)*7)-$G$59)/4</f>
        <v>12.558749999999998</v>
      </c>
      <c r="H60" s="77">
        <f>SUM(B60:F60)</f>
        <v>137.51762500000001</v>
      </c>
      <c r="I60" s="42"/>
      <c r="J60" s="42"/>
      <c r="K60" s="42"/>
      <c r="L60" s="42"/>
      <c r="M60" s="42"/>
      <c r="N60" s="42"/>
      <c r="O60" s="2"/>
      <c r="P60" s="45"/>
      <c r="Q60" s="45"/>
      <c r="R60" s="45"/>
      <c r="S60" s="57"/>
      <c r="T60" s="57"/>
      <c r="U60" s="57"/>
      <c r="V60" s="57"/>
      <c r="W60" s="45"/>
      <c r="X60" s="45"/>
      <c r="Y60" s="58"/>
      <c r="Z60" s="58"/>
      <c r="AA60" s="58"/>
      <c r="AB60" s="2"/>
      <c r="AC60" s="2"/>
      <c r="AD60" s="2"/>
      <c r="AE60" s="2"/>
      <c r="AF60" s="2"/>
      <c r="AG60" s="2"/>
      <c r="AH60" s="2"/>
      <c r="AI60" s="2"/>
    </row>
    <row r="61" spans="1:37" ht="33.75" customHeight="1" x14ac:dyDescent="0.25">
      <c r="A61" s="96" t="s">
        <v>28</v>
      </c>
      <c r="B61" s="61">
        <f>(((($B$67*$B$66)/1000)*7)-$B$59)/4</f>
        <v>22.357999999999997</v>
      </c>
      <c r="C61" s="61">
        <f>(((($C$66*$C$67)/1000)*7)-$C$59)/4</f>
        <v>24.844999999999999</v>
      </c>
      <c r="D61" s="61">
        <f>(((($D$66*$D$67)/1000)*7)-$D$59)/4</f>
        <v>31.866500000000002</v>
      </c>
      <c r="E61" s="61">
        <f>(((($E$66*$E$67)/1000)*7)-$E$59)/4</f>
        <v>27.203375000000001</v>
      </c>
      <c r="F61" s="61">
        <f>(((($F$66*$F$67)/1000)*7)-$F$59)/4</f>
        <v>31.244749999999996</v>
      </c>
      <c r="G61" s="160">
        <f>(((($G$66*$G$67)/1000)*7)-$G$59)/4</f>
        <v>12.558749999999998</v>
      </c>
      <c r="H61" s="77">
        <f>SUM(B61:F61)</f>
        <v>137.51762500000001</v>
      </c>
      <c r="I61" s="42"/>
      <c r="J61" s="42"/>
      <c r="K61" s="42"/>
      <c r="L61" s="42"/>
      <c r="M61" s="42"/>
      <c r="N61" s="42"/>
      <c r="O61" s="2"/>
      <c r="P61" s="45"/>
      <c r="Q61" s="45"/>
      <c r="R61" s="45"/>
      <c r="S61" s="57"/>
      <c r="T61" s="57"/>
      <c r="U61" s="57"/>
      <c r="V61" s="57"/>
      <c r="W61" s="45"/>
      <c r="X61" s="45"/>
      <c r="Y61" s="58"/>
      <c r="Z61" s="58"/>
      <c r="AA61" s="58"/>
      <c r="AB61" s="3"/>
      <c r="AC61" s="3"/>
      <c r="AD61" s="2"/>
      <c r="AE61" s="2"/>
      <c r="AF61" s="2"/>
      <c r="AG61" s="2"/>
      <c r="AH61" s="2"/>
      <c r="AI61" s="2"/>
    </row>
    <row r="62" spans="1:37" ht="33.75" customHeight="1" x14ac:dyDescent="0.25">
      <c r="A62" s="96" t="s">
        <v>21</v>
      </c>
      <c r="B62" s="61"/>
      <c r="C62" s="61"/>
      <c r="D62" s="61"/>
      <c r="E62" s="61"/>
      <c r="F62" s="61"/>
      <c r="G62" s="160"/>
      <c r="H62" s="77">
        <f>SUM(B62:F62)</f>
        <v>0</v>
      </c>
      <c r="I62" s="42"/>
      <c r="J62" s="42"/>
      <c r="K62" s="42"/>
      <c r="L62" s="42"/>
      <c r="M62" s="42"/>
      <c r="N62" s="42"/>
      <c r="O62" s="2"/>
      <c r="P62" s="45"/>
      <c r="Q62" s="45"/>
      <c r="R62" s="45"/>
      <c r="S62" s="57"/>
      <c r="T62" s="57"/>
      <c r="U62" s="57"/>
      <c r="V62" s="57"/>
      <c r="W62" s="45"/>
      <c r="X62" s="45"/>
      <c r="Y62" s="58"/>
      <c r="Z62" s="58"/>
      <c r="AA62" s="58"/>
      <c r="AB62" s="3"/>
      <c r="AC62" s="3"/>
      <c r="AD62" s="2"/>
      <c r="AE62" s="2"/>
      <c r="AF62" s="2"/>
      <c r="AG62" s="2"/>
      <c r="AH62" s="2"/>
      <c r="AI62" s="2"/>
    </row>
    <row r="63" spans="1:37" ht="33.75" customHeight="1" x14ac:dyDescent="0.25">
      <c r="A63" s="96" t="s">
        <v>22</v>
      </c>
      <c r="B63" s="61">
        <f>(((($B$67*$B$66)/1000)*7)-$B$59)/4</f>
        <v>22.357999999999997</v>
      </c>
      <c r="C63" s="61">
        <f>(((($C$66*$C$67)/1000)*7)-$C$59)/4</f>
        <v>24.844999999999999</v>
      </c>
      <c r="D63" s="61">
        <f>(((($D$66*$D$67)/1000)*7)-$D$59)/4</f>
        <v>31.866500000000002</v>
      </c>
      <c r="E63" s="61">
        <f>(((($E$66*$E$67)/1000)*7)-$E$59)/4</f>
        <v>27.203375000000001</v>
      </c>
      <c r="F63" s="61">
        <f>(((($F$66*$F$67)/1000)*7)-$F$59)/4</f>
        <v>31.244749999999996</v>
      </c>
      <c r="G63" s="160">
        <f>(((($G$66*$G$67)/1000)*7)-$G$59)/4</f>
        <v>12.558749999999998</v>
      </c>
      <c r="H63" s="77">
        <f>SUM(B63:F63)</f>
        <v>137.51762500000001</v>
      </c>
      <c r="I63" s="42"/>
      <c r="J63" s="42"/>
      <c r="K63" s="42"/>
      <c r="L63" s="42"/>
      <c r="M63" s="42"/>
      <c r="N63" s="42"/>
      <c r="O63" s="2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3"/>
      <c r="AC63" s="3"/>
      <c r="AF63" s="2"/>
      <c r="AG63" s="2"/>
      <c r="AH63" s="2"/>
      <c r="AI63" s="2"/>
    </row>
    <row r="64" spans="1:37" ht="33.75" customHeight="1" x14ac:dyDescent="0.25">
      <c r="A64" s="96" t="s">
        <v>23</v>
      </c>
      <c r="B64" s="61">
        <v>22.5</v>
      </c>
      <c r="C64" s="61">
        <f>(((($C$66*$C$67)/1000)*7)-$C$59)/4</f>
        <v>24.844999999999999</v>
      </c>
      <c r="D64" s="61">
        <f>(((($D$66*$D$67)/1000)*7)-$D$59)/4</f>
        <v>31.866500000000002</v>
      </c>
      <c r="E64" s="61">
        <v>27.3</v>
      </c>
      <c r="F64" s="61">
        <f>(((($F$66*$F$67)/1000)*7)-$F$59)/4</f>
        <v>31.244749999999996</v>
      </c>
      <c r="G64" s="160">
        <f>(((($G$66*$G$67)/1000)*7)-$G$59)/4</f>
        <v>12.558749999999998</v>
      </c>
      <c r="H64" s="77">
        <f>SUM(B64:F64)</f>
        <v>137.75624999999999</v>
      </c>
      <c r="I64" s="42"/>
      <c r="J64" s="42"/>
      <c r="K64" s="42"/>
      <c r="L64" s="42"/>
      <c r="M64" s="42"/>
      <c r="N64" s="42"/>
      <c r="O64" s="2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3"/>
      <c r="AC64" s="3"/>
      <c r="AF64" s="2"/>
      <c r="AG64" s="2"/>
      <c r="AH64" s="2"/>
      <c r="AI64" s="2"/>
    </row>
    <row r="65" spans="1:35" ht="33.75" customHeight="1" x14ac:dyDescent="0.25">
      <c r="A65" s="80" t="s">
        <v>9</v>
      </c>
      <c r="B65" s="62">
        <f t="shared" ref="B65:G65" si="10">SUM(B58:B64)</f>
        <v>111.274</v>
      </c>
      <c r="C65" s="62">
        <f t="shared" si="10"/>
        <v>123.47999999999999</v>
      </c>
      <c r="D65" s="62">
        <f t="shared" si="10"/>
        <v>158.46600000000001</v>
      </c>
      <c r="E65" s="62">
        <f t="shared" si="10"/>
        <v>135.41012500000002</v>
      </c>
      <c r="F65" s="62">
        <f t="shared" si="10"/>
        <v>155.37899999999999</v>
      </c>
      <c r="G65" s="62">
        <f t="shared" si="10"/>
        <v>62.334999999999987</v>
      </c>
      <c r="H65" s="77">
        <f>SUM(B65:G65)</f>
        <v>746.34412500000008</v>
      </c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3"/>
      <c r="AC65" s="3"/>
      <c r="AD65" s="3"/>
      <c r="AE65" s="3"/>
      <c r="AF65" s="2"/>
      <c r="AG65" s="2"/>
      <c r="AH65" s="2"/>
      <c r="AI65" s="2"/>
    </row>
    <row r="66" spans="1:35" ht="33.75" customHeight="1" x14ac:dyDescent="0.25">
      <c r="A66" s="70" t="s">
        <v>11</v>
      </c>
      <c r="B66" s="63">
        <v>73.5</v>
      </c>
      <c r="C66" s="63">
        <v>73.5</v>
      </c>
      <c r="D66" s="63">
        <v>73.5</v>
      </c>
      <c r="E66" s="63">
        <v>73.5</v>
      </c>
      <c r="F66" s="63">
        <v>73.5</v>
      </c>
      <c r="G66" s="161">
        <v>65</v>
      </c>
      <c r="H66" s="78">
        <f>+((H65/H67)/7)*1000</f>
        <v>72.728914928863787</v>
      </c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3"/>
      <c r="AC66" s="3"/>
      <c r="AD66" s="3"/>
      <c r="AE66" s="3"/>
      <c r="AF66" s="2"/>
      <c r="AG66" s="2"/>
      <c r="AH66" s="2"/>
      <c r="AI66" s="2"/>
    </row>
    <row r="67" spans="1:35" ht="33.75" customHeight="1" x14ac:dyDescent="0.25">
      <c r="A67" s="71" t="s">
        <v>12</v>
      </c>
      <c r="B67" s="79">
        <v>216</v>
      </c>
      <c r="C67" s="79">
        <v>240</v>
      </c>
      <c r="D67" s="79">
        <v>308</v>
      </c>
      <c r="E67" s="79">
        <v>263</v>
      </c>
      <c r="F67" s="79">
        <v>302</v>
      </c>
      <c r="G67" s="162">
        <v>137</v>
      </c>
      <c r="H67" s="82">
        <f>SUM(B67:G67)</f>
        <v>1466</v>
      </c>
      <c r="O67" s="59"/>
      <c r="S67" s="3"/>
      <c r="T67" s="3"/>
      <c r="U67" s="3"/>
      <c r="V67" s="3"/>
      <c r="W67" s="3"/>
      <c r="X67" s="3"/>
    </row>
    <row r="68" spans="1:35" ht="33.75" customHeight="1" x14ac:dyDescent="0.25">
      <c r="A68" s="72" t="s">
        <v>13</v>
      </c>
      <c r="B68" s="65">
        <v>83.71</v>
      </c>
      <c r="C68" s="31">
        <f>(C67*C66)/1000</f>
        <v>17.64</v>
      </c>
      <c r="D68" s="31">
        <f>(D67*D66)/1000</f>
        <v>22.638000000000002</v>
      </c>
      <c r="E68" s="31">
        <f>(E67*E66)/1000</f>
        <v>19.330500000000001</v>
      </c>
      <c r="F68" s="31">
        <f>(F67*F66)/1000</f>
        <v>22.196999999999999</v>
      </c>
      <c r="G68" s="31">
        <f>(G67*G66)/1000</f>
        <v>8.9049999999999994</v>
      </c>
      <c r="H68" s="86">
        <f>((H65*1000)/H67)/7</f>
        <v>72.728914928863773</v>
      </c>
      <c r="S68" s="3"/>
      <c r="T68" s="3"/>
      <c r="U68" s="3"/>
      <c r="V68" s="3"/>
      <c r="W68" s="3"/>
      <c r="X68" s="3"/>
    </row>
    <row r="69" spans="1:35" ht="33.75" customHeight="1" x14ac:dyDescent="0.25">
      <c r="A69" s="73" t="s">
        <v>14</v>
      </c>
      <c r="B69" s="66">
        <f t="shared" ref="B69:G69" si="11">((B67*B66)*7)/1000</f>
        <v>111.13200000000001</v>
      </c>
      <c r="C69" s="35">
        <f t="shared" si="11"/>
        <v>123.48</v>
      </c>
      <c r="D69" s="35">
        <f t="shared" si="11"/>
        <v>158.46600000000001</v>
      </c>
      <c r="E69" s="35">
        <f t="shared" si="11"/>
        <v>135.3135</v>
      </c>
      <c r="F69" s="35">
        <f t="shared" si="11"/>
        <v>155.37899999999999</v>
      </c>
      <c r="G69" s="35">
        <f t="shared" si="11"/>
        <v>62.335000000000001</v>
      </c>
      <c r="H69" s="68"/>
      <c r="I69" s="41"/>
      <c r="J69" s="41"/>
      <c r="K69" s="41"/>
      <c r="L69" s="41"/>
      <c r="M69" s="41"/>
      <c r="N69" s="41"/>
      <c r="X69" s="3"/>
    </row>
    <row r="70" spans="1:35" ht="33.75" customHeight="1" thickBot="1" x14ac:dyDescent="0.3">
      <c r="A70" s="74" t="s">
        <v>15</v>
      </c>
      <c r="B70" s="67">
        <f t="shared" ref="B70:G70" si="12">+(B65/B67)/7*1000</f>
        <v>73.593915343915356</v>
      </c>
      <c r="C70" s="67">
        <f t="shared" si="12"/>
        <v>73.5</v>
      </c>
      <c r="D70" s="67">
        <f t="shared" si="12"/>
        <v>73.500000000000014</v>
      </c>
      <c r="E70" s="67">
        <f t="shared" si="12"/>
        <v>73.552485062466062</v>
      </c>
      <c r="F70" s="67">
        <f t="shared" si="12"/>
        <v>73.5</v>
      </c>
      <c r="G70" s="67">
        <f t="shared" si="12"/>
        <v>64.999999999999986</v>
      </c>
      <c r="H70" s="87"/>
      <c r="X70" s="3"/>
    </row>
    <row r="71" spans="1:35" ht="33.75" customHeight="1" x14ac:dyDescent="0.25">
      <c r="B71" s="148"/>
    </row>
    <row r="72" spans="1:35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52"/>
    </row>
    <row r="73" spans="1:35" ht="33.75" customHeight="1" x14ac:dyDescent="0.25"/>
    <row r="74" spans="1:35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  <c r="M74" s="45"/>
      <c r="N74" s="45"/>
      <c r="O74" s="45"/>
    </row>
    <row r="75" spans="1:35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5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5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5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5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55:F55"/>
    <mergeCell ref="X9:Y9"/>
    <mergeCell ref="P11:Q11"/>
    <mergeCell ref="B15:I15"/>
    <mergeCell ref="J15:M15"/>
    <mergeCell ref="N15:S15"/>
    <mergeCell ref="T15:Y15"/>
    <mergeCell ref="O54:P54"/>
    <mergeCell ref="A3:C3"/>
    <mergeCell ref="E9:G9"/>
    <mergeCell ref="B36:G36"/>
    <mergeCell ref="Q36:V36"/>
    <mergeCell ref="N37:O37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AK239"/>
  <sheetViews>
    <sheetView workbookViewId="0"/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9.140625" style="14" customWidth="1"/>
    <col min="9" max="13" width="20.140625" style="14" customWidth="1"/>
    <col min="14" max="14" width="28.28515625" style="14" bestFit="1" customWidth="1"/>
    <col min="15" max="16" width="33.42578125" style="14" bestFit="1" customWidth="1"/>
    <col min="17" max="17" width="22.7109375" style="14" customWidth="1"/>
    <col min="18" max="20" width="21.28515625" style="14" customWidth="1"/>
    <col min="21" max="21" width="21.28515625" style="14" bestFit="1" customWidth="1"/>
    <col min="22" max="22" width="21.28515625" style="14" customWidth="1"/>
    <col min="23" max="23" width="27.85546875" style="14" customWidth="1"/>
    <col min="24" max="24" width="25.85546875" style="14" customWidth="1"/>
    <col min="25" max="25" width="21.42578125" style="14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 t="s">
        <v>3</v>
      </c>
      <c r="X9" s="960" t="s">
        <v>35</v>
      </c>
      <c r="Y9" s="960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65" t="s">
        <v>68</v>
      </c>
      <c r="Q11" s="965"/>
      <c r="R11" s="6"/>
      <c r="S11" s="6"/>
      <c r="T11" s="6"/>
      <c r="U11" s="1"/>
      <c r="V11" s="1"/>
      <c r="W11" s="1" t="s">
        <v>6</v>
      </c>
      <c r="X11" s="95">
        <v>45413</v>
      </c>
      <c r="Y11" s="6"/>
      <c r="Z11" s="6"/>
      <c r="AA11" s="6"/>
      <c r="AB11" s="6"/>
      <c r="AC11" s="6"/>
      <c r="AD11" s="6"/>
      <c r="AE11" s="1"/>
      <c r="AF11" s="1"/>
      <c r="AG11" s="1"/>
      <c r="AH11" s="1"/>
      <c r="AI11" s="1"/>
      <c r="AJ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1"/>
      <c r="AD13" s="1"/>
      <c r="AE13" s="1"/>
    </row>
    <row r="14" spans="1:3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1"/>
      <c r="AE14" s="1"/>
      <c r="AF14" s="1"/>
    </row>
    <row r="15" spans="1:36" s="10" customFormat="1" ht="36" thickBot="1" x14ac:dyDescent="0.3">
      <c r="A15" s="69" t="s">
        <v>7</v>
      </c>
      <c r="B15" s="971" t="s">
        <v>8</v>
      </c>
      <c r="C15" s="968"/>
      <c r="D15" s="968"/>
      <c r="E15" s="968"/>
      <c r="F15" s="968"/>
      <c r="G15" s="968"/>
      <c r="H15" s="968"/>
      <c r="I15" s="968"/>
      <c r="J15" s="971" t="s">
        <v>30</v>
      </c>
      <c r="K15" s="968"/>
      <c r="L15" s="968"/>
      <c r="M15" s="969"/>
      <c r="N15" s="971" t="s">
        <v>29</v>
      </c>
      <c r="O15" s="968"/>
      <c r="P15" s="968"/>
      <c r="Q15" s="968"/>
      <c r="R15" s="969"/>
      <c r="S15" s="962" t="s">
        <v>31</v>
      </c>
      <c r="T15" s="963"/>
      <c r="U15" s="963"/>
      <c r="V15" s="963"/>
      <c r="W15" s="963"/>
      <c r="X15" s="964"/>
    </row>
    <row r="16" spans="1:36" ht="39.950000000000003" customHeight="1" thickBot="1" x14ac:dyDescent="0.3">
      <c r="A16" s="80" t="s">
        <v>34</v>
      </c>
      <c r="B16" s="186">
        <v>4</v>
      </c>
      <c r="C16" s="174">
        <v>3</v>
      </c>
      <c r="D16" s="174">
        <v>2</v>
      </c>
      <c r="E16" s="174">
        <v>1</v>
      </c>
      <c r="F16" s="174">
        <v>1</v>
      </c>
      <c r="G16" s="174">
        <v>2</v>
      </c>
      <c r="H16" s="174">
        <v>3</v>
      </c>
      <c r="I16" s="175">
        <v>4</v>
      </c>
      <c r="J16" s="186">
        <v>1</v>
      </c>
      <c r="K16" s="174">
        <v>2</v>
      </c>
      <c r="L16" s="174">
        <v>3</v>
      </c>
      <c r="M16" s="175">
        <v>4</v>
      </c>
      <c r="N16" s="202">
        <v>1</v>
      </c>
      <c r="O16" s="174">
        <v>2</v>
      </c>
      <c r="P16" s="174">
        <v>3</v>
      </c>
      <c r="Q16" s="174">
        <v>4</v>
      </c>
      <c r="R16" s="203">
        <v>5</v>
      </c>
      <c r="S16" s="186">
        <v>1</v>
      </c>
      <c r="T16" s="174">
        <v>2</v>
      </c>
      <c r="U16" s="174">
        <v>3</v>
      </c>
      <c r="V16" s="174">
        <v>4</v>
      </c>
      <c r="W16" s="175">
        <v>5</v>
      </c>
      <c r="X16" s="126" t="s">
        <v>9</v>
      </c>
      <c r="AB16" s="15"/>
      <c r="AC16" s="15"/>
    </row>
    <row r="17" spans="1:36" ht="39.950000000000003" customHeight="1" thickBot="1" x14ac:dyDescent="0.3">
      <c r="A17" s="80" t="s">
        <v>10</v>
      </c>
      <c r="B17" s="188">
        <v>1</v>
      </c>
      <c r="C17" s="168">
        <v>2</v>
      </c>
      <c r="D17" s="168">
        <v>3</v>
      </c>
      <c r="E17" s="168">
        <v>4</v>
      </c>
      <c r="F17" s="168">
        <v>5</v>
      </c>
      <c r="G17" s="168">
        <v>6</v>
      </c>
      <c r="H17" s="168">
        <v>7</v>
      </c>
      <c r="I17" s="169">
        <v>8</v>
      </c>
      <c r="J17" s="186">
        <v>1</v>
      </c>
      <c r="K17" s="174">
        <v>2</v>
      </c>
      <c r="L17" s="174">
        <v>3</v>
      </c>
      <c r="M17" s="175">
        <v>4</v>
      </c>
      <c r="N17" s="189">
        <v>1</v>
      </c>
      <c r="O17" s="168">
        <v>2</v>
      </c>
      <c r="P17" s="168">
        <v>3</v>
      </c>
      <c r="Q17" s="168">
        <v>4</v>
      </c>
      <c r="R17" s="204">
        <v>5</v>
      </c>
      <c r="S17" s="188">
        <v>1</v>
      </c>
      <c r="T17" s="168">
        <v>2</v>
      </c>
      <c r="U17" s="168">
        <v>3</v>
      </c>
      <c r="V17" s="168">
        <v>4</v>
      </c>
      <c r="W17" s="169">
        <v>5</v>
      </c>
      <c r="X17" s="208"/>
      <c r="AB17" s="2"/>
      <c r="AC17" s="15"/>
    </row>
    <row r="18" spans="1:36" ht="39.950000000000003" customHeight="1" x14ac:dyDescent="0.25">
      <c r="A18" s="96" t="s">
        <v>53</v>
      </c>
      <c r="B18" s="179"/>
      <c r="C18" s="180"/>
      <c r="D18" s="180"/>
      <c r="E18" s="180"/>
      <c r="F18" s="180"/>
      <c r="G18" s="180"/>
      <c r="H18" s="180"/>
      <c r="I18" s="190"/>
      <c r="J18" s="133"/>
      <c r="K18" s="134"/>
      <c r="L18" s="134"/>
      <c r="M18" s="156"/>
      <c r="N18" s="187"/>
      <c r="O18" s="180"/>
      <c r="P18" s="180"/>
      <c r="Q18" s="180"/>
      <c r="R18" s="190"/>
      <c r="S18" s="179"/>
      <c r="T18" s="180"/>
      <c r="U18" s="180"/>
      <c r="V18" s="180"/>
      <c r="W18" s="181"/>
      <c r="X18" s="209"/>
      <c r="AB18" s="2"/>
      <c r="AC18" s="15"/>
    </row>
    <row r="19" spans="1:36" ht="39.950000000000003" customHeight="1" x14ac:dyDescent="0.25">
      <c r="A19" s="96" t="s">
        <v>24</v>
      </c>
      <c r="B19" s="18">
        <v>25.7</v>
      </c>
      <c r="C19" s="19">
        <v>41.3</v>
      </c>
      <c r="D19" s="19">
        <v>57.2</v>
      </c>
      <c r="E19" s="19">
        <v>24.8</v>
      </c>
      <c r="F19" s="19">
        <v>17.3</v>
      </c>
      <c r="G19" s="19">
        <v>41.7</v>
      </c>
      <c r="H19" s="19">
        <v>42.7</v>
      </c>
      <c r="I19" s="108">
        <v>29.2</v>
      </c>
      <c r="J19" s="18">
        <v>13.9</v>
      </c>
      <c r="K19" s="19">
        <v>23.8</v>
      </c>
      <c r="L19" s="19">
        <v>26.7</v>
      </c>
      <c r="M19" s="20">
        <v>23.3</v>
      </c>
      <c r="N19" s="61">
        <v>30.2</v>
      </c>
      <c r="O19" s="19">
        <v>39.200000000000003</v>
      </c>
      <c r="P19" s="19">
        <v>45.3</v>
      </c>
      <c r="Q19" s="19">
        <v>37.700000000000003</v>
      </c>
      <c r="R19" s="108">
        <v>20.9</v>
      </c>
      <c r="S19" s="18">
        <v>28.3</v>
      </c>
      <c r="T19" s="19">
        <v>40.4</v>
      </c>
      <c r="U19" s="19">
        <v>46.5</v>
      </c>
      <c r="V19" s="19">
        <v>34.9</v>
      </c>
      <c r="W19" s="20">
        <v>21.5</v>
      </c>
      <c r="X19" s="209">
        <f t="shared" ref="X19:X24" si="0">SUM(B19:W19)</f>
        <v>712.49999999999989</v>
      </c>
      <c r="AB19" s="2"/>
      <c r="AC19" s="15"/>
    </row>
    <row r="20" spans="1:36" ht="39.75" customHeight="1" x14ac:dyDescent="0.25">
      <c r="A20" s="96" t="s">
        <v>20</v>
      </c>
      <c r="B20" s="18">
        <v>27.6</v>
      </c>
      <c r="C20" s="19">
        <v>44.2</v>
      </c>
      <c r="D20" s="19">
        <v>61.2</v>
      </c>
      <c r="E20" s="19">
        <v>26.8</v>
      </c>
      <c r="F20" s="19">
        <v>18.899999999999999</v>
      </c>
      <c r="G20" s="19">
        <v>44.8</v>
      </c>
      <c r="H20" s="19">
        <v>45.7</v>
      </c>
      <c r="I20" s="108">
        <v>31.5</v>
      </c>
      <c r="J20" s="18">
        <v>15.3</v>
      </c>
      <c r="K20" s="19">
        <v>26.3</v>
      </c>
      <c r="L20" s="19">
        <v>29.5</v>
      </c>
      <c r="M20" s="20">
        <v>25.8</v>
      </c>
      <c r="N20" s="61">
        <v>32.4</v>
      </c>
      <c r="O20" s="19">
        <v>42.3</v>
      </c>
      <c r="P20" s="19">
        <v>49.4</v>
      </c>
      <c r="Q20" s="19">
        <v>40.799999999999997</v>
      </c>
      <c r="R20" s="108">
        <v>22.6</v>
      </c>
      <c r="S20" s="18">
        <v>30.4</v>
      </c>
      <c r="T20" s="19">
        <v>43.5</v>
      </c>
      <c r="U20" s="19">
        <v>50.2</v>
      </c>
      <c r="V20" s="19">
        <v>38</v>
      </c>
      <c r="W20" s="20">
        <v>23.5</v>
      </c>
      <c r="X20" s="209">
        <f t="shared" si="0"/>
        <v>770.7</v>
      </c>
      <c r="AB20" s="2"/>
      <c r="AC20" s="15"/>
    </row>
    <row r="21" spans="1:36" ht="39.950000000000003" customHeight="1" x14ac:dyDescent="0.25">
      <c r="A21" s="96" t="s">
        <v>28</v>
      </c>
      <c r="B21" s="18">
        <f>(((($B$27*$B$26)/1000)*7)-$B$19-$B$20)/3</f>
        <v>27.663333333333327</v>
      </c>
      <c r="C21" s="19">
        <f>(((($C$27*$C$26)/1000)*7)-$C$19-$C$20)/3</f>
        <v>44.140166666666666</v>
      </c>
      <c r="D21" s="19">
        <f>(((($D$27*$D$26)/1000)*7)-$D$19-$D$20)/3</f>
        <v>61.158333333333339</v>
      </c>
      <c r="E21" s="19">
        <f>(((($E$27*$E$26)/1000)*7)-$E$19-$E$20)/3</f>
        <v>26.810166666666664</v>
      </c>
      <c r="F21" s="19">
        <f>(((($F$27*$F$26)/1000)*7)-$F$19-$F$20)/3</f>
        <v>18.883833333333335</v>
      </c>
      <c r="G21" s="19">
        <f>(((($G$27*$G$26)/1000)*7)-$G$19-$G$20)/3</f>
        <v>44.796166666666657</v>
      </c>
      <c r="H21" s="19">
        <f>(((($H$27*$H$26)/1000)*7)-$H$19-$H$20)/3</f>
        <v>45.75533333333334</v>
      </c>
      <c r="I21" s="108">
        <f>(((($I$27*$I$26)/1000)*7)-$I$19-$I$20)/3</f>
        <v>31.459333333333333</v>
      </c>
      <c r="J21" s="18">
        <f>(((($J$27*$J$26)/1000)*7)-$J$19-$J$20)/3</f>
        <v>15.260166666666663</v>
      </c>
      <c r="K21" s="19">
        <f>(((($K$27*$K$26)/1000)*7)-$K$19-$K$20)/3</f>
        <v>26.242666666666668</v>
      </c>
      <c r="L21" s="19">
        <f>(((($L$27*$L$26)/1000)*7)-$L$19-$L$20)/3</f>
        <v>29.531666666666663</v>
      </c>
      <c r="M21" s="20">
        <f>(((($M$27*$M$26)/1000)*7)-$M$19-$M$20)/3</f>
        <v>25.811833333333336</v>
      </c>
      <c r="N21" s="61">
        <f>((((($N$26*$N$27)/1000)*7)-$N$19-$N$20)/3)</f>
        <v>32.397500000000008</v>
      </c>
      <c r="O21" s="19">
        <f>((((($O$26*$O$27)/1000)*7)-$O$19-$O$20)/3)</f>
        <v>42.3095</v>
      </c>
      <c r="P21" s="19">
        <f>((((($P$26*$P$27)/1000)*7)-$P$19-$P$20)/3)</f>
        <v>49.446666666666665</v>
      </c>
      <c r="Q21" s="19">
        <f>((((($Q$26*$Q$27)/1000)*7)-$Q$19-$Q$20)/3)</f>
        <v>40.739333333333327</v>
      </c>
      <c r="R21" s="108">
        <f>((((($R$26*$R$27)/1000)*7)-$R$19-$R$20)/3)</f>
        <v>22.600000000000005</v>
      </c>
      <c r="S21" s="18">
        <f>((((($S$26*$S$27)/1000)*7)-$S$19-$S$20)/3)</f>
        <v>30.371333333333343</v>
      </c>
      <c r="T21" s="19">
        <f>((((($T$26*$T$27)/1000)*7)-$T$19-$T$20)/3)</f>
        <v>43.487000000000002</v>
      </c>
      <c r="U21" s="19">
        <f>((((($U$26*$U$27)/1000)*7)-$U$19-$U$20)/3)</f>
        <v>50.258166666666661</v>
      </c>
      <c r="V21" s="19">
        <f>((((($V$26*$V$27)/1000)*7)-$V$19-$V$20)/3)</f>
        <v>38.011666666666663</v>
      </c>
      <c r="W21" s="20">
        <f>((((($W$26*$W$27)/1000)*7)-$W$19-$W$20)/3)</f>
        <v>23.465</v>
      </c>
      <c r="X21" s="209">
        <f t="shared" si="0"/>
        <v>770.59916666666663</v>
      </c>
      <c r="AB21" s="2"/>
      <c r="AC21" s="15"/>
    </row>
    <row r="22" spans="1:36" ht="39.950000000000003" customHeight="1" x14ac:dyDescent="0.25">
      <c r="A22" s="96" t="s">
        <v>21</v>
      </c>
      <c r="B22" s="18"/>
      <c r="C22" s="19"/>
      <c r="D22" s="19"/>
      <c r="E22" s="19"/>
      <c r="F22" s="19"/>
      <c r="G22" s="19"/>
      <c r="H22" s="19"/>
      <c r="I22" s="108"/>
      <c r="J22" s="18"/>
      <c r="K22" s="19"/>
      <c r="L22" s="19"/>
      <c r="M22" s="20"/>
      <c r="N22" s="61"/>
      <c r="O22" s="19"/>
      <c r="P22" s="19"/>
      <c r="Q22" s="19"/>
      <c r="R22" s="108"/>
      <c r="S22" s="18"/>
      <c r="T22" s="19"/>
      <c r="U22" s="19"/>
      <c r="V22" s="19"/>
      <c r="W22" s="20"/>
      <c r="X22" s="209">
        <f t="shared" si="0"/>
        <v>0</v>
      </c>
      <c r="AB22" s="2"/>
      <c r="AC22" s="15"/>
    </row>
    <row r="23" spans="1:36" ht="39.950000000000003" customHeight="1" x14ac:dyDescent="0.25">
      <c r="A23" s="96" t="s">
        <v>22</v>
      </c>
      <c r="B23" s="18">
        <f>(((($B$27*$B$26)/1000)*7)-$B$19-$B$20)/3</f>
        <v>27.663333333333327</v>
      </c>
      <c r="C23" s="19">
        <f>(((($C$27*$C$26)/1000)*7)-$C$19-$C$20)/3</f>
        <v>44.140166666666666</v>
      </c>
      <c r="D23" s="19">
        <f>(((($D$27*$D$26)/1000)*7)-$D$19-$D$20)/3</f>
        <v>61.158333333333339</v>
      </c>
      <c r="E23" s="19">
        <f>(((($E$27*$E$26)/1000)*7)-$E$19-$E$20)/3</f>
        <v>26.810166666666664</v>
      </c>
      <c r="F23" s="19">
        <f>(((($F$27*$F$26)/1000)*7)-$F$19-$F$20)/3</f>
        <v>18.883833333333335</v>
      </c>
      <c r="G23" s="19">
        <f>(((($G$27*$G$26)/1000)*7)-$G$19-$G$20)/3</f>
        <v>44.796166666666657</v>
      </c>
      <c r="H23" s="19">
        <f>(((($H$27*$H$26)/1000)*7)-$H$19-$H$20)/3</f>
        <v>45.75533333333334</v>
      </c>
      <c r="I23" s="108">
        <f>(((($I$27*$I$26)/1000)*7)-$I$19-$I$20)/3</f>
        <v>31.459333333333333</v>
      </c>
      <c r="J23" s="18">
        <f>(((($J$27*$J$26)/1000)*7)-$J$19-$J$20)/3</f>
        <v>15.260166666666663</v>
      </c>
      <c r="K23" s="19">
        <f>(((($K$27*$K$26)/1000)*7)-$K$19-$K$20)/3</f>
        <v>26.242666666666668</v>
      </c>
      <c r="L23" s="19">
        <f>(((($L$27*$L$26)/1000)*7)-$L$19-$L$20)/3</f>
        <v>29.531666666666663</v>
      </c>
      <c r="M23" s="20">
        <f>(((($M$27*$M$26)/1000)*7)-$M$19-$M$20)/3</f>
        <v>25.811833333333336</v>
      </c>
      <c r="N23" s="61">
        <f>((((($N$26*$N$27)/1000)*7)-$N$19-$N$20)/3)</f>
        <v>32.397500000000008</v>
      </c>
      <c r="O23" s="19">
        <f>((((($O$26*$O$27)/1000)*7)-$O$19-$O$20)/3)</f>
        <v>42.3095</v>
      </c>
      <c r="P23" s="19">
        <f>((((($P$26*$P$27)/1000)*7)-$P$19-$P$20)/3)</f>
        <v>49.446666666666665</v>
      </c>
      <c r="Q23" s="19">
        <f>((((($Q$26*$Q$27)/1000)*7)-$Q$19-$Q$20)/3)</f>
        <v>40.739333333333327</v>
      </c>
      <c r="R23" s="108">
        <f>((((($R$26*$R$27)/1000)*7)-$R$19-$R$20)/3)</f>
        <v>22.600000000000005</v>
      </c>
      <c r="S23" s="18">
        <f>((((($S$26*$S$27)/1000)*7)-$S$19-$S$20)/3)</f>
        <v>30.371333333333343</v>
      </c>
      <c r="T23" s="19">
        <f>((((($T$26*$T$27)/1000)*7)-$T$19-$T$20)/3)</f>
        <v>43.487000000000002</v>
      </c>
      <c r="U23" s="19">
        <f>((((($U$26*$U$27)/1000)*7)-$U$19-$U$20)/3)</f>
        <v>50.258166666666661</v>
      </c>
      <c r="V23" s="19">
        <f>((((($V$26*$V$27)/1000)*7)-$V$19-$V$20)/3)</f>
        <v>38.011666666666663</v>
      </c>
      <c r="W23" s="20">
        <f>((((($W$26*$W$27)/1000)*7)-$W$19-$W$20)/3)</f>
        <v>23.465</v>
      </c>
      <c r="X23" s="209">
        <f t="shared" si="0"/>
        <v>770.59916666666663</v>
      </c>
      <c r="AB23" s="2"/>
      <c r="AC23" s="15"/>
    </row>
    <row r="24" spans="1:36" ht="39.950000000000003" customHeight="1" thickBot="1" x14ac:dyDescent="0.3">
      <c r="A24" s="96" t="s">
        <v>23</v>
      </c>
      <c r="B24" s="18">
        <f>(((($B$27*$B$26)/1000)*7)-$B$19-$B$20)/3</f>
        <v>27.663333333333327</v>
      </c>
      <c r="C24" s="19">
        <f>(((($C$27*$C$26)/1000)*7)-$C$19-$C$20)/3</f>
        <v>44.140166666666666</v>
      </c>
      <c r="D24" s="19">
        <f>(((($D$27*$D$26)/1000)*7)-$D$19-$D$20)/3</f>
        <v>61.158333333333339</v>
      </c>
      <c r="E24" s="19">
        <f>(((($E$27*$E$26)/1000)*7)-$E$19-$E$20)/3</f>
        <v>26.810166666666664</v>
      </c>
      <c r="F24" s="19">
        <f>(((($F$27*$F$26)/1000)*7)-$F$19-$F$20)/3</f>
        <v>18.883833333333335</v>
      </c>
      <c r="G24" s="19">
        <f>(((($G$27*$G$26)/1000)*7)-$G$19-$G$20)/3</f>
        <v>44.796166666666657</v>
      </c>
      <c r="H24" s="19">
        <f>(((($H$27*$H$26)/1000)*7)-$H$19-$H$20)/3</f>
        <v>45.75533333333334</v>
      </c>
      <c r="I24" s="108">
        <f>(((($I$27*$I$26)/1000)*7)-$I$19-$I$20)/3</f>
        <v>31.459333333333333</v>
      </c>
      <c r="J24" s="18">
        <f>(((($J$27*$J$26)/1000)*7)-$J$19-$J$20)/3</f>
        <v>15.260166666666663</v>
      </c>
      <c r="K24" s="19">
        <f>(((($K$27*$K$26)/1000)*7)-$K$19-$K$20)/3</f>
        <v>26.242666666666668</v>
      </c>
      <c r="L24" s="19">
        <f>(((($L$27*$L$26)/1000)*7)-$L$19-$L$20)/3</f>
        <v>29.531666666666663</v>
      </c>
      <c r="M24" s="20">
        <f>(((($M$27*$M$26)/1000)*7)-$M$19-$M$20)/3</f>
        <v>25.811833333333336</v>
      </c>
      <c r="N24" s="61">
        <f>((((($N$26*$N$27)/1000)*7)-$N$19-$N$20)/3)</f>
        <v>32.397500000000008</v>
      </c>
      <c r="O24" s="19">
        <f>((((($O$26*$O$27)/1000)*7)-$O$19-$O$20)/3)</f>
        <v>42.3095</v>
      </c>
      <c r="P24" s="19">
        <f>((((($P$26*$P$27)/1000)*7)-$P$19-$P$20)/3)</f>
        <v>49.446666666666665</v>
      </c>
      <c r="Q24" s="19">
        <f>((((($Q$26*$Q$27)/1000)*7)-$Q$19-$Q$20)/3)</f>
        <v>40.739333333333327</v>
      </c>
      <c r="R24" s="108">
        <f>((((($R$26*$R$27)/1000)*7)-$R$19-$R$20)/3)</f>
        <v>22.600000000000005</v>
      </c>
      <c r="S24" s="18">
        <f>((((($S$26*$S$27)/1000)*7)-$S$19-$S$20)/3)</f>
        <v>30.371333333333343</v>
      </c>
      <c r="T24" s="19">
        <f>((((($T$26*$T$27)/1000)*7)-$T$19-$T$20)/3)</f>
        <v>43.487000000000002</v>
      </c>
      <c r="U24" s="19">
        <f>((((($U$26*$U$27)/1000)*7)-$U$19-$U$20)/3)</f>
        <v>50.258166666666661</v>
      </c>
      <c r="V24" s="19">
        <f>((((($V$26*$V$27)/1000)*7)-$V$19-$V$20)/3)</f>
        <v>38.011666666666663</v>
      </c>
      <c r="W24" s="20">
        <f>((((($W$26*$W$27)/1000)*7)-$W$19-$W$20)/3)</f>
        <v>23.465</v>
      </c>
      <c r="X24" s="209">
        <f t="shared" si="0"/>
        <v>770.59916666666663</v>
      </c>
      <c r="AB24" s="2"/>
    </row>
    <row r="25" spans="1:36" ht="41.45" customHeight="1" x14ac:dyDescent="0.25">
      <c r="A25" s="126" t="s">
        <v>9</v>
      </c>
      <c r="B25" s="131">
        <f t="shared" ref="B25:W25" si="1">SUM(B18:B24)</f>
        <v>136.28999999999996</v>
      </c>
      <c r="C25" s="128">
        <f t="shared" si="1"/>
        <v>217.92049999999998</v>
      </c>
      <c r="D25" s="128">
        <f t="shared" si="1"/>
        <v>301.875</v>
      </c>
      <c r="E25" s="128">
        <f t="shared" si="1"/>
        <v>132.03049999999999</v>
      </c>
      <c r="F25" s="128">
        <f t="shared" si="1"/>
        <v>92.851500000000016</v>
      </c>
      <c r="G25" s="128">
        <f t="shared" si="1"/>
        <v>220.88849999999999</v>
      </c>
      <c r="H25" s="128">
        <f t="shared" si="1"/>
        <v>225.66600000000003</v>
      </c>
      <c r="I25" s="129">
        <f t="shared" si="1"/>
        <v>155.078</v>
      </c>
      <c r="J25" s="129">
        <f t="shared" si="1"/>
        <v>74.980499999999992</v>
      </c>
      <c r="K25" s="129">
        <f t="shared" si="1"/>
        <v>128.828</v>
      </c>
      <c r="L25" s="129">
        <f t="shared" si="1"/>
        <v>144.79499999999999</v>
      </c>
      <c r="M25" s="129">
        <f t="shared" si="1"/>
        <v>126.53550000000001</v>
      </c>
      <c r="N25" s="131">
        <f t="shared" si="1"/>
        <v>159.79250000000002</v>
      </c>
      <c r="O25" s="128">
        <f t="shared" si="1"/>
        <v>208.42849999999999</v>
      </c>
      <c r="P25" s="128">
        <f t="shared" si="1"/>
        <v>243.03999999999996</v>
      </c>
      <c r="Q25" s="128">
        <f t="shared" si="1"/>
        <v>200.71799999999996</v>
      </c>
      <c r="R25" s="205">
        <f t="shared" si="1"/>
        <v>111.30000000000003</v>
      </c>
      <c r="S25" s="133">
        <f t="shared" si="1"/>
        <v>149.81400000000002</v>
      </c>
      <c r="T25" s="134">
        <f t="shared" si="1"/>
        <v>214.36099999999999</v>
      </c>
      <c r="U25" s="134">
        <f t="shared" si="1"/>
        <v>247.47449999999998</v>
      </c>
      <c r="V25" s="134">
        <f t="shared" si="1"/>
        <v>186.93499999999997</v>
      </c>
      <c r="W25" s="156">
        <f t="shared" si="1"/>
        <v>115.39500000000001</v>
      </c>
      <c r="X25" s="209">
        <f>SUM(X19,X20,X21,X23,X24)</f>
        <v>3794.9975000000004</v>
      </c>
    </row>
    <row r="26" spans="1:36" s="2" customFormat="1" ht="36.75" customHeight="1" x14ac:dyDescent="0.25">
      <c r="A26" s="70" t="s">
        <v>11</v>
      </c>
      <c r="B26" s="23">
        <v>55</v>
      </c>
      <c r="C26" s="63">
        <v>56.5</v>
      </c>
      <c r="D26" s="63">
        <v>57.5</v>
      </c>
      <c r="E26" s="63">
        <v>59.5</v>
      </c>
      <c r="F26" s="63">
        <v>55.5</v>
      </c>
      <c r="G26" s="63">
        <v>54.5</v>
      </c>
      <c r="H26" s="63">
        <v>54</v>
      </c>
      <c r="I26" s="155">
        <v>53</v>
      </c>
      <c r="J26" s="23">
        <v>55.5</v>
      </c>
      <c r="K26" s="63">
        <v>53.5</v>
      </c>
      <c r="L26" s="63">
        <v>52.5</v>
      </c>
      <c r="M26" s="155">
        <v>51.5</v>
      </c>
      <c r="N26" s="23">
        <v>57.5</v>
      </c>
      <c r="O26" s="63">
        <v>56.5</v>
      </c>
      <c r="P26" s="63">
        <v>56</v>
      </c>
      <c r="Q26" s="63">
        <v>54</v>
      </c>
      <c r="R26" s="161">
        <v>53</v>
      </c>
      <c r="S26" s="23">
        <v>58</v>
      </c>
      <c r="T26" s="63">
        <v>56.5</v>
      </c>
      <c r="U26" s="63">
        <v>55.5</v>
      </c>
      <c r="V26" s="63">
        <v>54.5</v>
      </c>
      <c r="W26" s="155">
        <v>52.5</v>
      </c>
      <c r="X26" s="210">
        <f>(((X25*1000)/7)/X27)</f>
        <v>55.241746484613827</v>
      </c>
    </row>
    <row r="27" spans="1:36" s="2" customFormat="1" ht="33" customHeight="1" x14ac:dyDescent="0.25">
      <c r="A27" s="71" t="s">
        <v>12</v>
      </c>
      <c r="B27" s="26">
        <v>354</v>
      </c>
      <c r="C27" s="27">
        <v>551</v>
      </c>
      <c r="D27" s="27">
        <v>750</v>
      </c>
      <c r="E27" s="27">
        <v>317</v>
      </c>
      <c r="F27" s="27">
        <v>239</v>
      </c>
      <c r="G27" s="27">
        <v>579</v>
      </c>
      <c r="H27" s="27">
        <v>597</v>
      </c>
      <c r="I27" s="28">
        <v>418</v>
      </c>
      <c r="J27" s="184">
        <v>193</v>
      </c>
      <c r="K27" s="183">
        <v>344</v>
      </c>
      <c r="L27" s="28">
        <v>394</v>
      </c>
      <c r="M27" s="28">
        <v>351</v>
      </c>
      <c r="N27" s="26">
        <v>397</v>
      </c>
      <c r="O27" s="27">
        <v>527</v>
      </c>
      <c r="P27" s="27">
        <v>620</v>
      </c>
      <c r="Q27" s="27">
        <v>531</v>
      </c>
      <c r="R27" s="183">
        <v>300</v>
      </c>
      <c r="S27" s="26">
        <v>369</v>
      </c>
      <c r="T27" s="27">
        <v>542</v>
      </c>
      <c r="U27" s="27">
        <v>637</v>
      </c>
      <c r="V27" s="27">
        <v>490</v>
      </c>
      <c r="W27" s="28">
        <v>314</v>
      </c>
      <c r="X27" s="211">
        <f>SUM(B27,C27,D27,E27,F27,G27,H27,I27,J27,K27,L27,M27,N27,O27,P27,Q27,R27,S27,T27,U27,V27,W27)</f>
        <v>9814</v>
      </c>
    </row>
    <row r="28" spans="1:36" s="2" customFormat="1" ht="33" customHeight="1" x14ac:dyDescent="0.25">
      <c r="A28" s="72" t="s">
        <v>13</v>
      </c>
      <c r="B28" s="30">
        <f t="shared" ref="B28:W28" si="2">(B27*B26)/1000</f>
        <v>19.47</v>
      </c>
      <c r="C28" s="31">
        <f t="shared" si="2"/>
        <v>31.131499999999999</v>
      </c>
      <c r="D28" s="31">
        <f t="shared" si="2"/>
        <v>43.125</v>
      </c>
      <c r="E28" s="31">
        <f t="shared" si="2"/>
        <v>18.861499999999999</v>
      </c>
      <c r="F28" s="31">
        <f t="shared" si="2"/>
        <v>13.2645</v>
      </c>
      <c r="G28" s="31">
        <f t="shared" si="2"/>
        <v>31.555499999999999</v>
      </c>
      <c r="H28" s="31">
        <f t="shared" si="2"/>
        <v>32.238</v>
      </c>
      <c r="I28" s="32">
        <f t="shared" si="2"/>
        <v>22.154</v>
      </c>
      <c r="J28" s="32">
        <f t="shared" si="2"/>
        <v>10.711499999999999</v>
      </c>
      <c r="K28" s="32">
        <f t="shared" si="2"/>
        <v>18.404</v>
      </c>
      <c r="L28" s="32">
        <f t="shared" si="2"/>
        <v>20.684999999999999</v>
      </c>
      <c r="M28" s="32">
        <f t="shared" si="2"/>
        <v>18.076499999999999</v>
      </c>
      <c r="N28" s="30">
        <f t="shared" si="2"/>
        <v>22.827500000000001</v>
      </c>
      <c r="O28" s="31">
        <f t="shared" si="2"/>
        <v>29.775500000000001</v>
      </c>
      <c r="P28" s="31">
        <f t="shared" si="2"/>
        <v>34.72</v>
      </c>
      <c r="Q28" s="31">
        <f t="shared" si="2"/>
        <v>28.673999999999999</v>
      </c>
      <c r="R28" s="163">
        <f t="shared" si="2"/>
        <v>15.9</v>
      </c>
      <c r="S28" s="30">
        <f t="shared" si="2"/>
        <v>21.402000000000001</v>
      </c>
      <c r="T28" s="31">
        <f t="shared" si="2"/>
        <v>30.623000000000001</v>
      </c>
      <c r="U28" s="31">
        <f t="shared" si="2"/>
        <v>35.353499999999997</v>
      </c>
      <c r="V28" s="31">
        <f t="shared" si="2"/>
        <v>26.704999999999998</v>
      </c>
      <c r="W28" s="32">
        <f t="shared" si="2"/>
        <v>16.484999999999999</v>
      </c>
      <c r="X28" s="212"/>
    </row>
    <row r="29" spans="1:36" ht="33.75" customHeight="1" x14ac:dyDescent="0.25">
      <c r="A29" s="73" t="s">
        <v>14</v>
      </c>
      <c r="B29" s="34">
        <f t="shared" ref="B29:W29" si="3">((B27*B26)*7)/1000</f>
        <v>136.29</v>
      </c>
      <c r="C29" s="35">
        <f t="shared" si="3"/>
        <v>217.9205</v>
      </c>
      <c r="D29" s="35">
        <f t="shared" si="3"/>
        <v>301.875</v>
      </c>
      <c r="E29" s="35">
        <f t="shared" si="3"/>
        <v>132.03049999999999</v>
      </c>
      <c r="F29" s="35">
        <f t="shared" si="3"/>
        <v>92.851500000000001</v>
      </c>
      <c r="G29" s="35">
        <f t="shared" si="3"/>
        <v>220.88849999999999</v>
      </c>
      <c r="H29" s="35">
        <f t="shared" si="3"/>
        <v>225.666</v>
      </c>
      <c r="I29" s="68">
        <f t="shared" si="3"/>
        <v>155.078</v>
      </c>
      <c r="J29" s="68">
        <f t="shared" si="3"/>
        <v>74.980500000000006</v>
      </c>
      <c r="K29" s="68">
        <f t="shared" si="3"/>
        <v>128.828</v>
      </c>
      <c r="L29" s="68">
        <f t="shared" si="3"/>
        <v>144.79499999999999</v>
      </c>
      <c r="M29" s="68">
        <f t="shared" si="3"/>
        <v>126.5355</v>
      </c>
      <c r="N29" s="34">
        <f t="shared" si="3"/>
        <v>159.79249999999999</v>
      </c>
      <c r="O29" s="35">
        <f t="shared" si="3"/>
        <v>208.42850000000001</v>
      </c>
      <c r="P29" s="35">
        <f t="shared" si="3"/>
        <v>243.04</v>
      </c>
      <c r="Q29" s="35">
        <f t="shared" si="3"/>
        <v>200.71799999999999</v>
      </c>
      <c r="R29" s="206">
        <f t="shared" si="3"/>
        <v>111.3</v>
      </c>
      <c r="S29" s="34">
        <f t="shared" si="3"/>
        <v>149.81399999999999</v>
      </c>
      <c r="T29" s="35">
        <f t="shared" si="3"/>
        <v>214.36099999999999</v>
      </c>
      <c r="U29" s="35">
        <f t="shared" si="3"/>
        <v>247.47450000000001</v>
      </c>
      <c r="V29" s="35">
        <f t="shared" si="3"/>
        <v>186.935</v>
      </c>
      <c r="W29" s="68">
        <f t="shared" si="3"/>
        <v>115.395</v>
      </c>
      <c r="X29" s="213"/>
    </row>
    <row r="30" spans="1:36" ht="33.75" customHeight="1" thickBot="1" x14ac:dyDescent="0.3">
      <c r="A30" s="74" t="s">
        <v>15</v>
      </c>
      <c r="B30" s="37">
        <f t="shared" ref="B30:W30" si="4">+(B25/B27)/7*1000</f>
        <v>54.999999999999986</v>
      </c>
      <c r="C30" s="38">
        <f t="shared" si="4"/>
        <v>56.499999999999993</v>
      </c>
      <c r="D30" s="38">
        <f t="shared" si="4"/>
        <v>57.5</v>
      </c>
      <c r="E30" s="38">
        <f t="shared" si="4"/>
        <v>59.5</v>
      </c>
      <c r="F30" s="38">
        <f t="shared" si="4"/>
        <v>55.500000000000007</v>
      </c>
      <c r="G30" s="38">
        <f t="shared" si="4"/>
        <v>54.5</v>
      </c>
      <c r="H30" s="38">
        <f t="shared" si="4"/>
        <v>54.000000000000007</v>
      </c>
      <c r="I30" s="39">
        <f t="shared" si="4"/>
        <v>53</v>
      </c>
      <c r="J30" s="39">
        <f t="shared" si="4"/>
        <v>55.499999999999993</v>
      </c>
      <c r="K30" s="39">
        <f t="shared" si="4"/>
        <v>53.5</v>
      </c>
      <c r="L30" s="39">
        <f t="shared" si="4"/>
        <v>52.5</v>
      </c>
      <c r="M30" s="39">
        <f t="shared" si="4"/>
        <v>51.500000000000007</v>
      </c>
      <c r="N30" s="37">
        <f t="shared" si="4"/>
        <v>57.5</v>
      </c>
      <c r="O30" s="38">
        <f t="shared" si="4"/>
        <v>56.499999999999993</v>
      </c>
      <c r="P30" s="38">
        <f t="shared" si="4"/>
        <v>55.999999999999993</v>
      </c>
      <c r="Q30" s="38">
        <f t="shared" si="4"/>
        <v>53.999999999999993</v>
      </c>
      <c r="R30" s="207">
        <f t="shared" si="4"/>
        <v>53.000000000000014</v>
      </c>
      <c r="S30" s="37">
        <f t="shared" si="4"/>
        <v>58.000000000000007</v>
      </c>
      <c r="T30" s="38">
        <f t="shared" si="4"/>
        <v>56.499999999999993</v>
      </c>
      <c r="U30" s="38">
        <f t="shared" si="4"/>
        <v>55.499999999999993</v>
      </c>
      <c r="V30" s="38">
        <f t="shared" si="4"/>
        <v>54.499999999999993</v>
      </c>
      <c r="W30" s="39">
        <f t="shared" si="4"/>
        <v>52.500000000000007</v>
      </c>
      <c r="X30" s="214"/>
    </row>
    <row r="31" spans="1:36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201"/>
      <c r="U31" s="201"/>
      <c r="V31" s="201"/>
      <c r="W31" s="201"/>
      <c r="X31" s="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>
        <v>41.5</v>
      </c>
      <c r="AC32" s="42"/>
      <c r="AD32" s="42"/>
      <c r="AE32" s="42"/>
      <c r="AF32" s="42"/>
      <c r="AG32" s="42"/>
      <c r="AH32" s="42"/>
      <c r="AI32" s="42"/>
      <c r="AJ32" s="41"/>
    </row>
    <row r="33" spans="1:3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>
        <v>41</v>
      </c>
      <c r="AC33" s="42"/>
      <c r="AD33" s="42"/>
      <c r="AE33" s="42"/>
      <c r="AF33" s="42"/>
      <c r="AG33" s="42"/>
      <c r="AH33" s="42"/>
      <c r="AI33" s="42"/>
      <c r="AJ33" s="41"/>
    </row>
    <row r="34" spans="1:3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>
        <v>40.5</v>
      </c>
      <c r="AC34" s="42"/>
      <c r="AD34" s="42"/>
      <c r="AE34" s="42"/>
      <c r="AF34" s="42"/>
      <c r="AG34" s="42"/>
      <c r="AH34" s="41"/>
    </row>
    <row r="35" spans="1:36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>
        <v>40</v>
      </c>
      <c r="AC35" s="43"/>
      <c r="AD35" s="43"/>
      <c r="AE35" s="43"/>
      <c r="AF35" s="43"/>
      <c r="AG35" s="43"/>
      <c r="AH35" s="3"/>
    </row>
    <row r="36" spans="1:36" ht="33.75" customHeight="1" thickBot="1" x14ac:dyDescent="0.3">
      <c r="A36" s="69" t="s">
        <v>16</v>
      </c>
      <c r="B36" s="966" t="s">
        <v>17</v>
      </c>
      <c r="C36" s="967"/>
      <c r="D36" s="967"/>
      <c r="E36" s="967"/>
      <c r="F36" s="967"/>
      <c r="G36" s="967"/>
      <c r="H36" s="75"/>
      <c r="O36" s="44"/>
      <c r="P36" s="88" t="s">
        <v>18</v>
      </c>
      <c r="Q36" s="956" t="s">
        <v>17</v>
      </c>
      <c r="R36" s="956"/>
      <c r="S36" s="956"/>
      <c r="T36" s="956"/>
      <c r="U36" s="956"/>
      <c r="V36" s="957"/>
      <c r="W36" s="81"/>
      <c r="X36" s="45"/>
      <c r="Y36" s="45"/>
      <c r="Z36" s="46"/>
      <c r="AA36" s="3"/>
      <c r="AB36" s="45">
        <v>39.5</v>
      </c>
      <c r="AC36" s="45"/>
      <c r="AD36" s="45"/>
      <c r="AE36" s="3"/>
    </row>
    <row r="37" spans="1:36" ht="33.75" customHeight="1" x14ac:dyDescent="0.25">
      <c r="A37" s="170" t="s">
        <v>34</v>
      </c>
      <c r="B37" s="141"/>
      <c r="C37" s="118"/>
      <c r="D37" s="118"/>
      <c r="E37" s="118"/>
      <c r="F37" s="118"/>
      <c r="G37" s="119"/>
      <c r="H37" s="13" t="s">
        <v>9</v>
      </c>
      <c r="I37" s="47"/>
      <c r="J37" s="47"/>
      <c r="K37" s="47"/>
      <c r="L37" s="47"/>
      <c r="M37" s="47"/>
      <c r="N37" s="970"/>
      <c r="O37" s="970"/>
      <c r="P37" s="97" t="s">
        <v>33</v>
      </c>
      <c r="Q37" s="60"/>
      <c r="R37" s="12"/>
      <c r="S37" s="12"/>
      <c r="T37" s="12"/>
      <c r="U37" s="12"/>
      <c r="V37" s="12"/>
      <c r="W37" s="76" t="s">
        <v>9</v>
      </c>
      <c r="X37" s="47"/>
      <c r="Y37" s="47"/>
      <c r="Z37" s="3"/>
      <c r="AA37" s="46"/>
      <c r="AB37" s="3">
        <v>39.5</v>
      </c>
      <c r="AC37" s="45"/>
      <c r="AD37" s="45"/>
      <c r="AE37" s="45"/>
    </row>
    <row r="38" spans="1:36" ht="33.75" customHeight="1" x14ac:dyDescent="0.25">
      <c r="A38" s="17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47"/>
      <c r="L38" s="47"/>
      <c r="M38" s="47"/>
      <c r="N38" s="144"/>
      <c r="O38" s="145"/>
      <c r="P38" s="80" t="s">
        <v>10</v>
      </c>
      <c r="Q38" s="60">
        <v>1</v>
      </c>
      <c r="R38" s="16">
        <v>2</v>
      </c>
      <c r="S38" s="16">
        <v>3</v>
      </c>
      <c r="T38" s="16"/>
      <c r="U38" s="16"/>
      <c r="V38" s="16"/>
      <c r="W38" s="76"/>
      <c r="X38" s="47"/>
      <c r="Y38" s="47"/>
      <c r="Z38" s="48"/>
      <c r="AA38" s="48"/>
      <c r="AB38" s="2"/>
      <c r="AC38" s="2"/>
      <c r="AD38" s="2"/>
      <c r="AE38" s="2"/>
    </row>
    <row r="39" spans="1:36" ht="33.75" customHeight="1" x14ac:dyDescent="0.25">
      <c r="A39" s="171" t="s">
        <v>32</v>
      </c>
      <c r="B39" s="18"/>
      <c r="C39" s="19"/>
      <c r="D39" s="19"/>
      <c r="E39" s="19"/>
      <c r="F39" s="19"/>
      <c r="G39" s="20"/>
      <c r="H39" s="136">
        <f t="shared" ref="H39:H46" si="5">SUM(B39:G39)</f>
        <v>0</v>
      </c>
      <c r="I39" s="49"/>
      <c r="J39" s="49"/>
      <c r="K39" s="49"/>
      <c r="L39" s="49"/>
      <c r="M39" s="49"/>
      <c r="N39" s="144"/>
      <c r="O39" s="145"/>
      <c r="P39" s="96" t="s">
        <v>53</v>
      </c>
      <c r="Q39" s="61"/>
      <c r="R39" s="61"/>
      <c r="S39" s="61"/>
      <c r="T39" s="61"/>
      <c r="U39" s="61"/>
      <c r="V39" s="61"/>
      <c r="W39" s="77">
        <f t="shared" ref="W39:W45" si="6">SUM(Q39:V39)</f>
        <v>0</v>
      </c>
      <c r="X39" s="2"/>
      <c r="Y39" s="49"/>
      <c r="Z39" s="48"/>
      <c r="AA39" s="48"/>
      <c r="AB39" s="2"/>
      <c r="AC39" s="2"/>
      <c r="AD39" s="2"/>
      <c r="AE39" s="2"/>
    </row>
    <row r="40" spans="1:36" ht="33.75" customHeight="1" x14ac:dyDescent="0.25">
      <c r="A40" s="171" t="s">
        <v>24</v>
      </c>
      <c r="B40" s="18">
        <v>18</v>
      </c>
      <c r="C40" s="19">
        <v>45.5</v>
      </c>
      <c r="D40" s="19">
        <v>67.599999999999994</v>
      </c>
      <c r="E40" s="19">
        <v>52.9</v>
      </c>
      <c r="F40" s="19">
        <v>45.6</v>
      </c>
      <c r="G40" s="20">
        <v>27.5</v>
      </c>
      <c r="H40" s="136">
        <f t="shared" si="5"/>
        <v>257.10000000000002</v>
      </c>
      <c r="I40" s="49"/>
      <c r="J40" s="49"/>
      <c r="K40" s="49"/>
      <c r="L40" s="49"/>
      <c r="M40" s="49"/>
      <c r="N40" s="144"/>
      <c r="O40" s="145"/>
      <c r="P40" s="96" t="s">
        <v>24</v>
      </c>
      <c r="Q40" s="61">
        <v>12.5</v>
      </c>
      <c r="R40" s="61">
        <v>13.3</v>
      </c>
      <c r="S40" s="61">
        <v>12.2</v>
      </c>
      <c r="T40" s="61"/>
      <c r="U40" s="61"/>
      <c r="V40" s="61"/>
      <c r="W40" s="77">
        <f t="shared" si="6"/>
        <v>38</v>
      </c>
      <c r="X40" s="2"/>
      <c r="Y40" s="49"/>
      <c r="Z40" s="48"/>
      <c r="AA40" s="48"/>
      <c r="AB40" s="2"/>
      <c r="AC40" s="2"/>
      <c r="AD40" s="2"/>
      <c r="AE40" s="2"/>
    </row>
    <row r="41" spans="1:36" ht="33.75" customHeight="1" x14ac:dyDescent="0.25">
      <c r="A41" s="171" t="s">
        <v>20</v>
      </c>
      <c r="B41" s="18">
        <v>18.8</v>
      </c>
      <c r="C41" s="19">
        <v>47.5</v>
      </c>
      <c r="D41" s="19">
        <v>71.3</v>
      </c>
      <c r="E41" s="19">
        <v>55.3</v>
      </c>
      <c r="F41" s="19">
        <v>47.7</v>
      </c>
      <c r="G41" s="20">
        <v>29</v>
      </c>
      <c r="H41" s="136">
        <f t="shared" si="5"/>
        <v>269.59999999999997</v>
      </c>
      <c r="I41" s="49"/>
      <c r="J41" s="49"/>
      <c r="K41" s="49"/>
      <c r="L41" s="49"/>
      <c r="M41" s="49"/>
      <c r="N41" s="144"/>
      <c r="O41" s="145"/>
      <c r="P41" s="96" t="s">
        <v>20</v>
      </c>
      <c r="Q41" s="61">
        <f>(((($Q$48*$Q$47)/1000)*7)-$Q$40)/4</f>
        <v>13.254999999999999</v>
      </c>
      <c r="R41" s="61">
        <f>(((($R$47*$R$48)/1000)*7)-$R$40)/4</f>
        <v>14.189</v>
      </c>
      <c r="S41" s="61">
        <f>(((($S$47*$S$48)/1000)*7)-$S$40)/4</f>
        <v>13.077999999999999</v>
      </c>
      <c r="T41" s="61"/>
      <c r="U41" s="61"/>
      <c r="V41" s="19"/>
      <c r="W41" s="77">
        <f t="shared" si="6"/>
        <v>40.521999999999998</v>
      </c>
      <c r="X41" s="2"/>
      <c r="Y41" s="49"/>
      <c r="Z41" s="48"/>
      <c r="AA41" s="48"/>
      <c r="AB41" s="2"/>
      <c r="AC41" s="2"/>
      <c r="AD41" s="2"/>
      <c r="AE41" s="2"/>
    </row>
    <row r="42" spans="1:36" ht="33.75" customHeight="1" x14ac:dyDescent="0.25">
      <c r="A42" s="171" t="s">
        <v>28</v>
      </c>
      <c r="B42" s="18">
        <f>(((($B$48*$B$47)/1000)*7)-$B$40-$B$41)/3</f>
        <v>18.843666666666667</v>
      </c>
      <c r="C42" s="19">
        <f>(((($C$47*$C$48)/1000)*7)-$C$40-$C$41)/3</f>
        <v>47.514333333333333</v>
      </c>
      <c r="D42" s="19">
        <f>(((($D$47*$D$48)/1000)*7)-$D$40-$D$41)/3</f>
        <v>71.356000000000009</v>
      </c>
      <c r="E42" s="19">
        <f>(((($E$47*$E$48)/1000)*7)-$E$40-$E$41)/3</f>
        <v>55.286833333333334</v>
      </c>
      <c r="F42" s="19">
        <f>(((($F$47*$F$48)/1000)*7)-$F$40-$F$41)/3</f>
        <v>47.65</v>
      </c>
      <c r="G42" s="20">
        <f>(((($G$47*$G$48)/1000)*7)-$G$40-$G$41)/3</f>
        <v>29.051333333333332</v>
      </c>
      <c r="H42" s="136">
        <f t="shared" si="5"/>
        <v>269.7021666666667</v>
      </c>
      <c r="I42" s="49"/>
      <c r="J42" s="49"/>
      <c r="K42" s="49"/>
      <c r="L42" s="49"/>
      <c r="M42" s="49"/>
      <c r="N42" s="144"/>
      <c r="O42" s="145"/>
      <c r="P42" s="96" t="s">
        <v>28</v>
      </c>
      <c r="Q42" s="61">
        <f>(((($Q$48*$Q$47)/1000)*7)-$Q$40-$Q$41)/3</f>
        <v>13.255000000000001</v>
      </c>
      <c r="R42" s="61">
        <f>(((($R$47*$R$48)/1000)*7)-$R$40-$R$41)/3</f>
        <v>14.189</v>
      </c>
      <c r="S42" s="61">
        <f>(((($S$47*$S$48)/1000)*7)-$S$40-$S$41)/3</f>
        <v>13.077999999999998</v>
      </c>
      <c r="T42" s="61"/>
      <c r="U42" s="61"/>
      <c r="V42" s="61"/>
      <c r="W42" s="77">
        <f t="shared" si="6"/>
        <v>40.521999999999998</v>
      </c>
      <c r="X42" s="2"/>
      <c r="Y42" s="49"/>
      <c r="Z42" s="48"/>
      <c r="AA42" s="48"/>
      <c r="AB42" s="2"/>
      <c r="AC42" s="2"/>
      <c r="AD42" s="2"/>
      <c r="AE42" s="2"/>
    </row>
    <row r="43" spans="1:36" ht="33.75" customHeight="1" x14ac:dyDescent="0.25">
      <c r="A43" s="171" t="s">
        <v>21</v>
      </c>
      <c r="B43" s="18"/>
      <c r="C43" s="19"/>
      <c r="D43" s="19"/>
      <c r="E43" s="19"/>
      <c r="F43" s="19"/>
      <c r="G43" s="20"/>
      <c r="H43" s="136">
        <f t="shared" si="5"/>
        <v>0</v>
      </c>
      <c r="I43" s="49"/>
      <c r="J43" s="49"/>
      <c r="K43" s="49"/>
      <c r="L43" s="49"/>
      <c r="M43" s="49"/>
      <c r="N43" s="144"/>
      <c r="O43" s="145"/>
      <c r="P43" s="96" t="s">
        <v>21</v>
      </c>
      <c r="Q43" s="61"/>
      <c r="R43" s="61"/>
      <c r="S43" s="61"/>
      <c r="T43" s="61"/>
      <c r="U43" s="61"/>
      <c r="V43" s="61"/>
      <c r="W43" s="77">
        <f t="shared" si="6"/>
        <v>0</v>
      </c>
      <c r="X43" s="2"/>
      <c r="Y43" s="49"/>
      <c r="Z43" s="48"/>
      <c r="AA43" s="48"/>
      <c r="AB43" s="2"/>
      <c r="AC43" s="2"/>
      <c r="AD43" s="2"/>
      <c r="AE43" s="2"/>
    </row>
    <row r="44" spans="1:36" ht="33.75" customHeight="1" x14ac:dyDescent="0.25">
      <c r="A44" s="171" t="s">
        <v>22</v>
      </c>
      <c r="B44" s="18">
        <f>(((($B$48*$B$47)/1000)*7)-$B$40-$B$41)/3</f>
        <v>18.843666666666667</v>
      </c>
      <c r="C44" s="19">
        <f>(((($C$47*$C$48)/1000)*7)-$C$40-$C$41)/3</f>
        <v>47.514333333333333</v>
      </c>
      <c r="D44" s="19">
        <f>(((($D$47*$D$48)/1000)*7)-$D$40-$D$41)/3</f>
        <v>71.356000000000009</v>
      </c>
      <c r="E44" s="19">
        <f>(((($E$47*$E$48)/1000)*7)-$E$40-$E$41)/3</f>
        <v>55.286833333333334</v>
      </c>
      <c r="F44" s="19">
        <f>(((($F$47*$F$48)/1000)*7)-$F$40-$F$41)/3</f>
        <v>47.65</v>
      </c>
      <c r="G44" s="20">
        <f>(((($G$47*$G$48)/1000)*7)-$G$40-$G$41)/3</f>
        <v>29.051333333333332</v>
      </c>
      <c r="H44" s="136">
        <f t="shared" si="5"/>
        <v>269.7021666666667</v>
      </c>
      <c r="I44" s="49"/>
      <c r="J44" s="49"/>
      <c r="K44" s="49"/>
      <c r="L44" s="49"/>
      <c r="M44" s="49"/>
      <c r="N44" s="144"/>
      <c r="O44" s="145"/>
      <c r="P44" s="96" t="s">
        <v>22</v>
      </c>
      <c r="Q44" s="61">
        <f>(((($Q$48*$Q$47)/1000)*7)-$Q$40-$Q$41)/3</f>
        <v>13.255000000000001</v>
      </c>
      <c r="R44" s="61">
        <f>(((($R$47*$R$48)/1000)*7)-$R$40-$R$41)/3</f>
        <v>14.189</v>
      </c>
      <c r="S44" s="61">
        <f>(((($S$47*$S$48)/1000)*7)-$S$40-$S$41)/3</f>
        <v>13.077999999999998</v>
      </c>
      <c r="T44" s="61"/>
      <c r="U44" s="61"/>
      <c r="V44" s="61"/>
      <c r="W44" s="77">
        <f t="shared" si="6"/>
        <v>40.521999999999998</v>
      </c>
      <c r="X44" s="2"/>
      <c r="Y44" s="49"/>
      <c r="Z44" s="48"/>
      <c r="AA44" s="48"/>
      <c r="AB44" s="2"/>
      <c r="AC44" s="2"/>
      <c r="AD44" s="2"/>
      <c r="AE44" s="2"/>
    </row>
    <row r="45" spans="1:36" ht="33.75" customHeight="1" x14ac:dyDescent="0.25">
      <c r="A45" s="171" t="s">
        <v>32</v>
      </c>
      <c r="B45" s="18">
        <f>(((($B$48*$B$47)/1000)*7)-$B$40-$B$41)/3</f>
        <v>18.843666666666667</v>
      </c>
      <c r="C45" s="19">
        <f>(((($C$47*$C$48)/1000)*7)-$C$40-$C$41)/3</f>
        <v>47.514333333333333</v>
      </c>
      <c r="D45" s="19">
        <f>(((($D$47*$D$48)/1000)*7)-$D$40-$D$41)/3</f>
        <v>71.356000000000009</v>
      </c>
      <c r="E45" s="19">
        <f>(((($E$47*$E$48)/1000)*7)-$E$40-$E$41)/3</f>
        <v>55.286833333333334</v>
      </c>
      <c r="F45" s="19">
        <f>(((($F$47*$F$48)/1000)*7)-$F$40-$F$41)/3</f>
        <v>47.65</v>
      </c>
      <c r="G45" s="20">
        <f>(((($G$47*$G$48)/1000)*7)-$G$40-$G$41)/3</f>
        <v>29.051333333333332</v>
      </c>
      <c r="H45" s="136">
        <f t="shared" si="5"/>
        <v>269.7021666666667</v>
      </c>
      <c r="I45" s="49"/>
      <c r="J45" s="49"/>
      <c r="K45" s="49"/>
      <c r="L45" s="49"/>
      <c r="M45" s="49"/>
      <c r="N45" s="144"/>
      <c r="O45" s="145"/>
      <c r="P45" s="96" t="s">
        <v>23</v>
      </c>
      <c r="Q45" s="61">
        <f>(((($Q$48*$Q$47)/1000)*7)-$Q$40-$Q$41)/3</f>
        <v>13.255000000000001</v>
      </c>
      <c r="R45" s="61">
        <f>(((($R$47*$R$48)/1000)*7)-$R$40-$R$41)/3</f>
        <v>14.189</v>
      </c>
      <c r="S45" s="61">
        <f>(((($S$47*$S$48)/1000)*7)-$S$40-$S$41)/3</f>
        <v>13.077999999999998</v>
      </c>
      <c r="T45" s="61"/>
      <c r="U45" s="61"/>
      <c r="V45" s="61"/>
      <c r="W45" s="77">
        <f t="shared" si="6"/>
        <v>40.521999999999998</v>
      </c>
      <c r="X45" s="2"/>
      <c r="Y45" s="49"/>
      <c r="Z45" s="48"/>
      <c r="AA45" s="48"/>
      <c r="AB45" s="48"/>
      <c r="AC45" s="48"/>
      <c r="AD45" s="2"/>
      <c r="AE45" s="2"/>
      <c r="AF45" s="2"/>
      <c r="AG45" s="2"/>
    </row>
    <row r="46" spans="1:36" ht="33.75" customHeight="1" x14ac:dyDescent="0.25">
      <c r="A46" s="170" t="s">
        <v>9</v>
      </c>
      <c r="B46" s="21">
        <f t="shared" ref="B46:G46" si="7">SUM(B39:B45)</f>
        <v>93.330999999999989</v>
      </c>
      <c r="C46" s="22">
        <f t="shared" si="7"/>
        <v>235.54299999999998</v>
      </c>
      <c r="D46" s="22">
        <f t="shared" si="7"/>
        <v>352.96799999999996</v>
      </c>
      <c r="E46" s="22">
        <f t="shared" si="7"/>
        <v>274.06049999999999</v>
      </c>
      <c r="F46" s="22">
        <f t="shared" si="7"/>
        <v>236.25000000000003</v>
      </c>
      <c r="G46" s="196">
        <f t="shared" si="7"/>
        <v>143.654</v>
      </c>
      <c r="H46" s="136">
        <f t="shared" si="5"/>
        <v>1335.8064999999999</v>
      </c>
      <c r="I46" s="49"/>
      <c r="J46" s="49"/>
      <c r="K46" s="49"/>
      <c r="L46" s="49"/>
      <c r="M46" s="49"/>
      <c r="N46" s="49"/>
      <c r="P46" s="80" t="s">
        <v>9</v>
      </c>
      <c r="Q46" s="61">
        <f>SUM(Q39:Q45)</f>
        <v>65.52</v>
      </c>
      <c r="R46" s="61">
        <f>SUM(R39:R45)</f>
        <v>70.055999999999997</v>
      </c>
      <c r="S46" s="61">
        <f>(((($S$47*$S$48)/1000)*7)-$S$40-$S$41)/3</f>
        <v>13.077999999999998</v>
      </c>
      <c r="T46" s="61"/>
      <c r="U46" s="22"/>
      <c r="V46" s="22"/>
      <c r="W46" s="77">
        <f>SUM(W40,W41,W42,W44,W45)</f>
        <v>200.08799999999997</v>
      </c>
      <c r="X46" s="49"/>
      <c r="Y46" s="49"/>
      <c r="Z46" s="2"/>
      <c r="AA46" s="2"/>
      <c r="AB46" s="2"/>
      <c r="AC46" s="2"/>
      <c r="AD46" s="2"/>
      <c r="AE46" s="2"/>
      <c r="AF46" s="2"/>
      <c r="AG46" s="2"/>
    </row>
    <row r="47" spans="1:36" ht="33.75" customHeight="1" x14ac:dyDescent="0.25">
      <c r="A47" s="192" t="s">
        <v>11</v>
      </c>
      <c r="B47" s="23">
        <v>67</v>
      </c>
      <c r="C47" s="24">
        <v>66.5</v>
      </c>
      <c r="D47" s="24">
        <v>66</v>
      </c>
      <c r="E47" s="24">
        <v>64.5</v>
      </c>
      <c r="F47" s="24">
        <v>62.5</v>
      </c>
      <c r="G47" s="25">
        <v>62</v>
      </c>
      <c r="H47" s="137">
        <f>+((H46/H48)/7)*1000</f>
        <v>64.753817441465898</v>
      </c>
      <c r="I47" s="50"/>
      <c r="J47" s="50"/>
      <c r="K47" s="50"/>
      <c r="L47" s="50"/>
      <c r="M47" s="50"/>
      <c r="N47" s="49"/>
      <c r="P47" s="93" t="s">
        <v>11</v>
      </c>
      <c r="Q47" s="63">
        <v>72</v>
      </c>
      <c r="R47" s="24">
        <v>72</v>
      </c>
      <c r="S47" s="24">
        <v>72</v>
      </c>
      <c r="T47" s="24"/>
      <c r="U47" s="24"/>
      <c r="V47" s="24"/>
      <c r="W47" s="78">
        <f>+((W46/W48)/7)*1000</f>
        <v>71.999999999999986</v>
      </c>
      <c r="X47" s="50"/>
      <c r="Y47" s="50"/>
    </row>
    <row r="48" spans="1:36" ht="33.75" customHeight="1" x14ac:dyDescent="0.25">
      <c r="A48" s="193" t="s">
        <v>12</v>
      </c>
      <c r="B48" s="26">
        <v>199</v>
      </c>
      <c r="C48" s="27">
        <v>506</v>
      </c>
      <c r="D48" s="27">
        <v>764</v>
      </c>
      <c r="E48" s="27">
        <v>607</v>
      </c>
      <c r="F48" s="27">
        <v>540</v>
      </c>
      <c r="G48" s="28">
        <v>331</v>
      </c>
      <c r="H48" s="138">
        <f>SUM(B48:G48)</f>
        <v>2947</v>
      </c>
      <c r="I48" s="198"/>
      <c r="J48" s="198"/>
      <c r="K48" s="198"/>
      <c r="L48" s="198"/>
      <c r="M48" s="198"/>
      <c r="N48" s="49"/>
      <c r="O48" s="51"/>
      <c r="P48" s="71" t="s">
        <v>12</v>
      </c>
      <c r="Q48" s="79">
        <v>130</v>
      </c>
      <c r="R48" s="79">
        <v>139</v>
      </c>
      <c r="S48" s="79">
        <v>128</v>
      </c>
      <c r="T48" s="79"/>
      <c r="U48" s="79"/>
      <c r="V48" s="79"/>
      <c r="W48" s="82">
        <f>SUM(Q48:T48)</f>
        <v>397</v>
      </c>
      <c r="X48" s="52"/>
      <c r="Y48" s="52"/>
    </row>
    <row r="49" spans="1:37" ht="33.75" customHeight="1" x14ac:dyDescent="0.25">
      <c r="A49" s="194" t="s">
        <v>13</v>
      </c>
      <c r="B49" s="30">
        <f t="shared" ref="B49:G49" si="8">(B48*B47)/1000</f>
        <v>13.333</v>
      </c>
      <c r="C49" s="31">
        <f t="shared" si="8"/>
        <v>33.649000000000001</v>
      </c>
      <c r="D49" s="31">
        <f t="shared" si="8"/>
        <v>50.423999999999999</v>
      </c>
      <c r="E49" s="31">
        <f t="shared" si="8"/>
        <v>39.151499999999999</v>
      </c>
      <c r="F49" s="31">
        <f t="shared" si="8"/>
        <v>33.75</v>
      </c>
      <c r="G49" s="32">
        <f t="shared" si="8"/>
        <v>20.521999999999998</v>
      </c>
      <c r="H49" s="139">
        <f>((H46*1000)/H48)/7</f>
        <v>64.753817441465898</v>
      </c>
      <c r="I49" s="199"/>
      <c r="J49" s="199"/>
      <c r="K49" s="199"/>
      <c r="L49" s="199"/>
      <c r="M49" s="199"/>
      <c r="N49" s="49"/>
      <c r="P49" s="72" t="s">
        <v>13</v>
      </c>
      <c r="Q49" s="65">
        <v>81.569999999999993</v>
      </c>
      <c r="R49" s="65">
        <v>81.569999999999993</v>
      </c>
      <c r="S49" s="65">
        <v>81.569999999999993</v>
      </c>
      <c r="T49" s="65"/>
      <c r="U49" s="31"/>
      <c r="V49" s="31"/>
      <c r="W49" s="83">
        <f>((W46*1000)/W48)/7</f>
        <v>71.999999999999986</v>
      </c>
      <c r="X49" s="52"/>
      <c r="Y49" s="52"/>
    </row>
    <row r="50" spans="1:37" ht="33.75" customHeight="1" x14ac:dyDescent="0.25">
      <c r="A50" s="185" t="s">
        <v>14</v>
      </c>
      <c r="B50" s="34">
        <f t="shared" ref="B50:G50" si="9">((B48*B47)*7)/1000</f>
        <v>93.331000000000003</v>
      </c>
      <c r="C50" s="35">
        <f t="shared" si="9"/>
        <v>235.54300000000001</v>
      </c>
      <c r="D50" s="35">
        <f t="shared" si="9"/>
        <v>352.96800000000002</v>
      </c>
      <c r="E50" s="35">
        <f t="shared" si="9"/>
        <v>274.06049999999999</v>
      </c>
      <c r="F50" s="35">
        <f t="shared" si="9"/>
        <v>236.25</v>
      </c>
      <c r="G50" s="68">
        <f t="shared" si="9"/>
        <v>143.654</v>
      </c>
      <c r="H50" s="112"/>
      <c r="I50" s="41"/>
      <c r="J50" s="41"/>
      <c r="K50" s="41"/>
      <c r="L50" s="41"/>
      <c r="M50" s="41"/>
      <c r="N50" s="49"/>
      <c r="P50" s="73" t="s">
        <v>14</v>
      </c>
      <c r="Q50" s="66">
        <f>((Q48*Q47)*7)/1000</f>
        <v>65.52</v>
      </c>
      <c r="R50" s="66">
        <f>((R48*R47)*7)/1000</f>
        <v>70.055999999999997</v>
      </c>
      <c r="S50" s="66">
        <f>((S48*S47)*7)/1000</f>
        <v>64.512</v>
      </c>
      <c r="T50" s="66"/>
      <c r="U50" s="35"/>
      <c r="V50" s="35"/>
      <c r="W50" s="84"/>
    </row>
    <row r="51" spans="1:37" ht="33.75" customHeight="1" thickBot="1" x14ac:dyDescent="0.3">
      <c r="A51" s="195" t="s">
        <v>15</v>
      </c>
      <c r="B51" s="37">
        <f t="shared" ref="B51:G51" si="10">+(B46/B48)/7*1000</f>
        <v>66.999999999999986</v>
      </c>
      <c r="C51" s="38">
        <f t="shared" si="10"/>
        <v>66.499999999999986</v>
      </c>
      <c r="D51" s="38">
        <f t="shared" si="10"/>
        <v>65.999999999999986</v>
      </c>
      <c r="E51" s="38">
        <f t="shared" si="10"/>
        <v>64.499999999999986</v>
      </c>
      <c r="F51" s="38">
        <f t="shared" si="10"/>
        <v>62.500000000000014</v>
      </c>
      <c r="G51" s="39">
        <f t="shared" si="10"/>
        <v>62</v>
      </c>
      <c r="H51" s="140"/>
      <c r="I51" s="41"/>
      <c r="J51" s="41"/>
      <c r="K51" s="41"/>
      <c r="L51" s="41"/>
      <c r="M51" s="41"/>
      <c r="N51" s="49"/>
      <c r="O51" s="41"/>
      <c r="P51" s="74" t="s">
        <v>15</v>
      </c>
      <c r="Q51" s="67">
        <f>+(Q46/Q48)/7*1000</f>
        <v>72</v>
      </c>
      <c r="R51" s="67">
        <f>+(R46/R48)/7*1000</f>
        <v>72</v>
      </c>
      <c r="S51" s="67">
        <f>+(S46/S48)/7*1000</f>
        <v>14.595982142857141</v>
      </c>
      <c r="T51" s="67"/>
      <c r="U51" s="38"/>
      <c r="V51" s="38"/>
      <c r="W51" s="39"/>
      <c r="X51" s="42"/>
      <c r="Y51" s="42"/>
    </row>
    <row r="52" spans="1:37" ht="33.75" customHeight="1" x14ac:dyDescent="0.25">
      <c r="A52" s="41"/>
      <c r="B52" s="10"/>
      <c r="C52" s="10"/>
      <c r="D52" s="10"/>
      <c r="E52" s="10"/>
      <c r="F52" s="10"/>
      <c r="G52" s="10"/>
      <c r="H52" s="41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2"/>
      <c r="AB52" s="2"/>
      <c r="AC52" s="2"/>
      <c r="AD52" s="2"/>
      <c r="AE52" s="2"/>
    </row>
    <row r="53" spans="1:37" ht="33.75" customHeight="1" x14ac:dyDescent="0.25">
      <c r="A53" s="41"/>
      <c r="B53" s="197"/>
      <c r="C53" s="197"/>
      <c r="D53" s="197"/>
      <c r="E53" s="197"/>
      <c r="F53" s="197"/>
      <c r="G53" s="197"/>
      <c r="H53" s="41"/>
      <c r="I53" s="41"/>
      <c r="J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2"/>
      <c r="X53" s="43"/>
      <c r="Y53" s="43"/>
      <c r="Z53" s="43"/>
      <c r="AA53" s="2"/>
      <c r="AB53" s="2"/>
      <c r="AC53" s="2"/>
      <c r="AD53" s="2"/>
      <c r="AH53" s="3"/>
    </row>
    <row r="54" spans="1:37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958"/>
      <c r="P54" s="958"/>
      <c r="Q54" s="54"/>
      <c r="R54" s="54"/>
      <c r="S54" s="54"/>
      <c r="T54" s="54"/>
      <c r="U54" s="55"/>
      <c r="Z54" s="43"/>
      <c r="AA54" s="43"/>
      <c r="AB54" s="43"/>
      <c r="AC54" s="2"/>
      <c r="AD54" s="2"/>
      <c r="AE54" s="2"/>
      <c r="AF54" s="2"/>
      <c r="AH54" s="2"/>
      <c r="AI54" s="2"/>
      <c r="AJ54" s="2"/>
    </row>
    <row r="55" spans="1:37" ht="33.75" customHeight="1" x14ac:dyDescent="0.25">
      <c r="A55" s="88" t="s">
        <v>19</v>
      </c>
      <c r="B55" s="956" t="s">
        <v>30</v>
      </c>
      <c r="C55" s="956"/>
      <c r="D55" s="956"/>
      <c r="E55" s="956"/>
      <c r="F55" s="957"/>
      <c r="G55" s="158"/>
      <c r="H55" s="85"/>
      <c r="I55" s="56"/>
      <c r="J55" s="56"/>
      <c r="K55" s="56"/>
      <c r="L55" s="56"/>
      <c r="M55" s="56"/>
      <c r="N55" s="56"/>
      <c r="O55" s="56"/>
      <c r="AA55" s="43"/>
      <c r="AB55" s="43"/>
      <c r="AC55" s="43"/>
      <c r="AD55" s="2"/>
      <c r="AE55" s="2"/>
      <c r="AF55" s="2"/>
      <c r="AG55" s="2"/>
      <c r="AI55" s="2"/>
      <c r="AJ55" s="2"/>
      <c r="AK55" s="2"/>
    </row>
    <row r="56" spans="1:37" ht="33.75" customHeight="1" x14ac:dyDescent="0.25">
      <c r="A56" s="80" t="s">
        <v>34</v>
      </c>
      <c r="B56" s="60"/>
      <c r="C56" s="12"/>
      <c r="D56" s="12"/>
      <c r="E56" s="12"/>
      <c r="F56" s="12"/>
      <c r="G56" s="159"/>
      <c r="H56" s="76" t="s">
        <v>9</v>
      </c>
      <c r="O56" s="45"/>
      <c r="P56" s="45"/>
      <c r="Q56" s="45"/>
      <c r="R56" s="45"/>
      <c r="S56" s="57"/>
      <c r="T56" s="57"/>
      <c r="U56" s="57"/>
      <c r="V56" s="57"/>
      <c r="W56" s="45"/>
      <c r="X56" s="45"/>
      <c r="Y56" s="58"/>
      <c r="Z56" s="58"/>
      <c r="AA56" s="58"/>
      <c r="AB56" s="2"/>
      <c r="AC56" s="2"/>
      <c r="AD56" s="2"/>
      <c r="AE56" s="2"/>
      <c r="AG56" s="2"/>
      <c r="AH56" s="2"/>
      <c r="AI56" s="2"/>
    </row>
    <row r="57" spans="1:37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107" t="s">
        <v>59</v>
      </c>
      <c r="H57" s="76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57"/>
      <c r="T57" s="57"/>
      <c r="U57" s="57"/>
      <c r="V57" s="57"/>
      <c r="W57" s="45"/>
      <c r="X57" s="45"/>
      <c r="Y57" s="58"/>
      <c r="Z57" s="58"/>
      <c r="AA57" s="58"/>
      <c r="AB57" s="2"/>
      <c r="AC57" s="2"/>
      <c r="AD57" s="2"/>
      <c r="AE57" s="2"/>
      <c r="AF57" s="2"/>
      <c r="AG57" s="2"/>
      <c r="AH57" s="2"/>
      <c r="AI57" s="2"/>
    </row>
    <row r="58" spans="1:37" ht="33.75" customHeight="1" x14ac:dyDescent="0.25">
      <c r="A58" s="96" t="s">
        <v>53</v>
      </c>
      <c r="B58" s="61"/>
      <c r="C58" s="61"/>
      <c r="D58" s="61"/>
      <c r="E58" s="61"/>
      <c r="F58" s="61"/>
      <c r="G58" s="160"/>
      <c r="H58" s="77">
        <f>SUM(B58:F58)</f>
        <v>0</v>
      </c>
      <c r="I58" s="42"/>
      <c r="J58" s="42"/>
      <c r="K58" s="42"/>
      <c r="L58" s="42"/>
      <c r="M58" s="42"/>
      <c r="N58" s="42"/>
      <c r="O58" s="2"/>
      <c r="P58" s="45"/>
      <c r="Q58" s="45"/>
      <c r="R58" s="45"/>
      <c r="S58" s="57"/>
      <c r="T58" s="57"/>
      <c r="U58" s="57"/>
      <c r="V58" s="57"/>
      <c r="W58" s="45"/>
      <c r="X58" s="45"/>
      <c r="Y58" s="58"/>
      <c r="Z58" s="58"/>
      <c r="AA58" s="58"/>
      <c r="AB58" s="2"/>
      <c r="AC58" s="2"/>
      <c r="AD58" s="2"/>
      <c r="AE58" s="2"/>
      <c r="AF58" s="2"/>
      <c r="AG58" s="2"/>
      <c r="AH58" s="2"/>
      <c r="AI58" s="2"/>
    </row>
    <row r="59" spans="1:37" ht="33.75" customHeight="1" x14ac:dyDescent="0.25">
      <c r="A59" s="96" t="s">
        <v>24</v>
      </c>
      <c r="B59" s="61">
        <v>22.5</v>
      </c>
      <c r="C59" s="61">
        <v>24.8</v>
      </c>
      <c r="D59" s="61">
        <v>31.9</v>
      </c>
      <c r="E59" s="61">
        <v>27.3</v>
      </c>
      <c r="F59" s="61">
        <v>31.2</v>
      </c>
      <c r="G59" s="160"/>
      <c r="H59" s="77">
        <f>SUM(B59:G59)</f>
        <v>137.69999999999999</v>
      </c>
      <c r="I59" s="42"/>
      <c r="J59" s="42"/>
      <c r="K59" s="42"/>
      <c r="L59" s="42"/>
      <c r="M59" s="42"/>
      <c r="N59" s="42"/>
      <c r="O59" s="2"/>
      <c r="P59" s="45"/>
      <c r="Q59" s="45"/>
      <c r="R59" s="45"/>
      <c r="S59" s="57"/>
      <c r="T59" s="57"/>
      <c r="U59" s="57"/>
      <c r="V59" s="57"/>
      <c r="W59" s="45"/>
      <c r="X59" s="45"/>
      <c r="Y59" s="58"/>
      <c r="Z59" s="58"/>
      <c r="AA59" s="58"/>
      <c r="AB59" s="2"/>
      <c r="AC59" s="2"/>
      <c r="AD59" s="2"/>
      <c r="AE59" s="2"/>
      <c r="AF59" s="2"/>
      <c r="AG59" s="2"/>
      <c r="AH59" s="2"/>
      <c r="AI59" s="2"/>
    </row>
    <row r="60" spans="1:37" ht="33.75" customHeight="1" x14ac:dyDescent="0.25">
      <c r="A60" s="96" t="s">
        <v>20</v>
      </c>
      <c r="B60" s="61">
        <v>22.9</v>
      </c>
      <c r="C60" s="61">
        <v>25.5</v>
      </c>
      <c r="D60" s="61">
        <v>32</v>
      </c>
      <c r="E60" s="61">
        <v>27.9</v>
      </c>
      <c r="F60" s="61">
        <v>32.1</v>
      </c>
      <c r="G60" s="160"/>
      <c r="H60" s="77">
        <f>SUM(B60:F60)</f>
        <v>140.4</v>
      </c>
      <c r="I60" s="42"/>
      <c r="J60" s="42"/>
      <c r="K60" s="42"/>
      <c r="L60" s="42"/>
      <c r="M60" s="42"/>
      <c r="N60" s="42"/>
      <c r="O60" s="2"/>
      <c r="P60" s="45"/>
      <c r="Q60" s="45"/>
      <c r="R60" s="45"/>
      <c r="S60" s="57"/>
      <c r="T60" s="57"/>
      <c r="U60" s="57"/>
      <c r="V60" s="57"/>
      <c r="W60" s="45"/>
      <c r="X60" s="45"/>
      <c r="Y60" s="58"/>
      <c r="Z60" s="58"/>
      <c r="AA60" s="58"/>
      <c r="AB60" s="2"/>
      <c r="AC60" s="2"/>
      <c r="AD60" s="2"/>
      <c r="AE60" s="2"/>
      <c r="AF60" s="2"/>
      <c r="AG60" s="2"/>
      <c r="AH60" s="2"/>
      <c r="AI60" s="2"/>
    </row>
    <row r="61" spans="1:37" ht="33.75" customHeight="1" x14ac:dyDescent="0.25">
      <c r="A61" s="96" t="s">
        <v>28</v>
      </c>
      <c r="B61" s="61">
        <f>(((($B$67*$B$66)/1000)*7)-$B$59-$B$60)/3</f>
        <v>22.918666666666667</v>
      </c>
      <c r="C61" s="61">
        <f>(((($C$66*$C$67)/1000)*7)-$C$59-$C$60)/3</f>
        <v>25.513333333333335</v>
      </c>
      <c r="D61" s="61">
        <f>(((($D$66*$D$67)/1000)*7)-$D$59-$D$60)/3</f>
        <v>32.95933333333334</v>
      </c>
      <c r="E61" s="61">
        <f>(((($E$66*$E$67)/1000)*7)-$E$59-$E$60)/3</f>
        <v>27.931833333333334</v>
      </c>
      <c r="F61" s="61">
        <f>(((($F$66*$F$67)/1000)*7)-$F$59-$F$60)/3</f>
        <v>32.102333333333341</v>
      </c>
      <c r="G61" s="160"/>
      <c r="H61" s="77">
        <f>SUM(B61:F61)</f>
        <v>141.4255</v>
      </c>
      <c r="I61" s="42"/>
      <c r="J61" s="42"/>
      <c r="K61" s="42"/>
      <c r="L61" s="42"/>
      <c r="M61" s="42"/>
      <c r="N61" s="42"/>
      <c r="O61" s="2"/>
      <c r="P61" s="45"/>
      <c r="Q61" s="45"/>
      <c r="R61" s="45"/>
      <c r="S61" s="57"/>
      <c r="T61" s="57"/>
      <c r="U61" s="57"/>
      <c r="V61" s="57"/>
      <c r="W61" s="45"/>
      <c r="X61" s="45"/>
      <c r="Y61" s="58"/>
      <c r="Z61" s="58"/>
      <c r="AA61" s="58"/>
      <c r="AB61" s="3"/>
      <c r="AC61" s="3"/>
      <c r="AD61" s="2"/>
      <c r="AE61" s="2"/>
      <c r="AF61" s="2"/>
      <c r="AG61" s="2"/>
      <c r="AH61" s="2"/>
      <c r="AI61" s="2"/>
    </row>
    <row r="62" spans="1:37" ht="33.75" customHeight="1" x14ac:dyDescent="0.25">
      <c r="A62" s="96" t="s">
        <v>21</v>
      </c>
      <c r="B62" s="61"/>
      <c r="C62" s="61"/>
      <c r="D62" s="61"/>
      <c r="E62" s="61"/>
      <c r="F62" s="61"/>
      <c r="G62" s="160"/>
      <c r="H62" s="77">
        <f>SUM(B62:F62)</f>
        <v>0</v>
      </c>
      <c r="I62" s="42"/>
      <c r="J62" s="42"/>
      <c r="K62" s="42"/>
      <c r="L62" s="42"/>
      <c r="M62" s="42"/>
      <c r="N62" s="42"/>
      <c r="O62" s="2"/>
      <c r="P62" s="45"/>
      <c r="Q62" s="45"/>
      <c r="R62" s="45"/>
      <c r="S62" s="57"/>
      <c r="T62" s="57"/>
      <c r="U62" s="57"/>
      <c r="V62" s="57"/>
      <c r="W62" s="45"/>
      <c r="X62" s="45"/>
      <c r="Y62" s="58"/>
      <c r="Z62" s="58"/>
      <c r="AA62" s="58"/>
      <c r="AB62" s="3"/>
      <c r="AC62" s="3"/>
      <c r="AD62" s="2"/>
      <c r="AE62" s="2"/>
      <c r="AF62" s="2"/>
      <c r="AG62" s="2"/>
      <c r="AH62" s="2"/>
      <c r="AI62" s="2"/>
    </row>
    <row r="63" spans="1:37" ht="33.75" customHeight="1" x14ac:dyDescent="0.25">
      <c r="A63" s="96" t="s">
        <v>22</v>
      </c>
      <c r="B63" s="61">
        <f>(((($B$67*$B$66)/1000)*7)-$B$59-$B$60)/3</f>
        <v>22.918666666666667</v>
      </c>
      <c r="C63" s="61">
        <f>(((($C$66*$C$67)/1000)*7)-$C$59-$C$60)/3</f>
        <v>25.513333333333335</v>
      </c>
      <c r="D63" s="61">
        <f>(((($D$66*$D$67)/1000)*7)-$D$59-$D$60)/3</f>
        <v>32.95933333333334</v>
      </c>
      <c r="E63" s="61">
        <f>(((($E$66*$E$67)/1000)*7)-$E$59-$E$60)/3</f>
        <v>27.931833333333334</v>
      </c>
      <c r="F63" s="61">
        <f>(((($F$66*$F$67)/1000)*7)-$F$59-$F$60)/3</f>
        <v>32.102333333333341</v>
      </c>
      <c r="G63" s="160"/>
      <c r="H63" s="77">
        <f>SUM(B63:F63)</f>
        <v>141.4255</v>
      </c>
      <c r="I63" s="42"/>
      <c r="J63" s="42"/>
      <c r="K63" s="42"/>
      <c r="L63" s="42"/>
      <c r="M63" s="42"/>
      <c r="N63" s="42"/>
      <c r="O63" s="2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3"/>
      <c r="AC63" s="3"/>
      <c r="AF63" s="2"/>
      <c r="AG63" s="2"/>
      <c r="AH63" s="2"/>
      <c r="AI63" s="2"/>
    </row>
    <row r="64" spans="1:37" ht="33.75" customHeight="1" x14ac:dyDescent="0.25">
      <c r="A64" s="96" t="s">
        <v>23</v>
      </c>
      <c r="B64" s="61">
        <f>(((($B$67*$B$66)/1000)*7)-$B$59-$B$60)/3</f>
        <v>22.918666666666667</v>
      </c>
      <c r="C64" s="61">
        <f>(((($C$66*$C$67)/1000)*7)-$C$59-$C$60)/3</f>
        <v>25.513333333333335</v>
      </c>
      <c r="D64" s="61">
        <f>(((($D$66*$D$67)/1000)*7)-$D$59-$D$60)/3</f>
        <v>32.95933333333334</v>
      </c>
      <c r="E64" s="61">
        <f>(((($E$66*$E$67)/1000)*7)-$E$59-$E$60)/3</f>
        <v>27.931833333333334</v>
      </c>
      <c r="F64" s="61">
        <f>(((($F$66*$F$67)/1000)*7)-$F$59-$F$60)/3</f>
        <v>32.102333333333341</v>
      </c>
      <c r="G64" s="160"/>
      <c r="H64" s="77">
        <f>SUM(B64:F64)</f>
        <v>141.4255</v>
      </c>
      <c r="I64" s="42"/>
      <c r="J64" s="42"/>
      <c r="K64" s="42"/>
      <c r="L64" s="42"/>
      <c r="M64" s="42"/>
      <c r="N64" s="42"/>
      <c r="O64" s="2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3"/>
      <c r="AC64" s="3"/>
      <c r="AF64" s="2"/>
      <c r="AG64" s="2"/>
      <c r="AH64" s="2"/>
      <c r="AI64" s="2"/>
    </row>
    <row r="65" spans="1:35" ht="33.75" customHeight="1" x14ac:dyDescent="0.25">
      <c r="A65" s="80" t="s">
        <v>9</v>
      </c>
      <c r="B65" s="62">
        <f>SUM(B58:B64)</f>
        <v>114.15600000000001</v>
      </c>
      <c r="C65" s="62">
        <f>SUM(C58:C64)</f>
        <v>126.84</v>
      </c>
      <c r="D65" s="62">
        <f>SUM(D58:D64)</f>
        <v>162.77800000000002</v>
      </c>
      <c r="E65" s="62">
        <f>SUM(E58:E64)</f>
        <v>138.99549999999999</v>
      </c>
      <c r="F65" s="62">
        <f>SUM(F58:F64)</f>
        <v>159.60700000000003</v>
      </c>
      <c r="G65" s="62"/>
      <c r="H65" s="77">
        <f>SUM(B65:G65)</f>
        <v>702.37650000000008</v>
      </c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3"/>
      <c r="AC65" s="3"/>
      <c r="AD65" s="3"/>
      <c r="AE65" s="3"/>
      <c r="AF65" s="2"/>
      <c r="AG65" s="2"/>
      <c r="AH65" s="2"/>
      <c r="AI65" s="2"/>
    </row>
    <row r="66" spans="1:35" ht="33.75" customHeight="1" x14ac:dyDescent="0.25">
      <c r="A66" s="70" t="s">
        <v>11</v>
      </c>
      <c r="B66" s="63">
        <v>75.5</v>
      </c>
      <c r="C66" s="63">
        <v>75.5</v>
      </c>
      <c r="D66" s="63">
        <v>75.5</v>
      </c>
      <c r="E66" s="63">
        <v>75.5</v>
      </c>
      <c r="F66" s="63">
        <v>75.5</v>
      </c>
      <c r="G66" s="161"/>
      <c r="H66" s="78">
        <f>+((H65/H67)/7)*1000</f>
        <v>75.500000000000014</v>
      </c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3"/>
      <c r="AC66" s="3"/>
      <c r="AD66" s="3"/>
      <c r="AE66" s="3"/>
      <c r="AF66" s="2"/>
      <c r="AG66" s="2"/>
      <c r="AH66" s="2"/>
      <c r="AI66" s="2"/>
    </row>
    <row r="67" spans="1:35" ht="33.75" customHeight="1" x14ac:dyDescent="0.25">
      <c r="A67" s="71" t="s">
        <v>12</v>
      </c>
      <c r="B67" s="79">
        <v>216</v>
      </c>
      <c r="C67" s="79">
        <v>240</v>
      </c>
      <c r="D67" s="79">
        <v>308</v>
      </c>
      <c r="E67" s="79">
        <v>263</v>
      </c>
      <c r="F67" s="79">
        <v>302</v>
      </c>
      <c r="G67" s="162"/>
      <c r="H67" s="82">
        <f>SUM(B67:G67)</f>
        <v>1329</v>
      </c>
      <c r="O67" s="59"/>
      <c r="S67" s="3"/>
      <c r="T67" s="3"/>
      <c r="U67" s="3"/>
      <c r="V67" s="3"/>
      <c r="W67" s="3"/>
      <c r="X67" s="3"/>
    </row>
    <row r="68" spans="1:35" ht="33.75" customHeight="1" x14ac:dyDescent="0.25">
      <c r="A68" s="72" t="s">
        <v>13</v>
      </c>
      <c r="B68" s="65">
        <v>83.71</v>
      </c>
      <c r="C68" s="31">
        <f>(C67*C66)/1000</f>
        <v>18.12</v>
      </c>
      <c r="D68" s="31">
        <f>(D67*D66)/1000</f>
        <v>23.254000000000001</v>
      </c>
      <c r="E68" s="31">
        <f>(E67*E66)/1000</f>
        <v>19.8565</v>
      </c>
      <c r="F68" s="31">
        <f>(F67*F66)/1000</f>
        <v>22.800999999999998</v>
      </c>
      <c r="G68" s="31"/>
      <c r="H68" s="86">
        <f>((H65*1000)/H67)/7</f>
        <v>75.500000000000014</v>
      </c>
      <c r="S68" s="3"/>
      <c r="T68" s="3"/>
      <c r="U68" s="3"/>
      <c r="V68" s="3"/>
      <c r="W68" s="3"/>
      <c r="X68" s="3"/>
    </row>
    <row r="69" spans="1:35" ht="33.75" customHeight="1" x14ac:dyDescent="0.25">
      <c r="A69" s="73" t="s">
        <v>14</v>
      </c>
      <c r="B69" s="66">
        <f>((B67*B66)*7)/1000</f>
        <v>114.15600000000001</v>
      </c>
      <c r="C69" s="35">
        <f>((C67*C66)*7)/1000</f>
        <v>126.84</v>
      </c>
      <c r="D69" s="35">
        <f>((D67*D66)*7)/1000</f>
        <v>162.77799999999999</v>
      </c>
      <c r="E69" s="35">
        <f>((E67*E66)*7)/1000</f>
        <v>138.99549999999999</v>
      </c>
      <c r="F69" s="35">
        <f>((F67*F66)*7)/1000</f>
        <v>159.607</v>
      </c>
      <c r="G69" s="35"/>
      <c r="H69" s="68"/>
      <c r="I69" s="41"/>
      <c r="J69" s="41"/>
      <c r="K69" s="41"/>
      <c r="L69" s="41"/>
      <c r="M69" s="41"/>
      <c r="N69" s="41"/>
      <c r="X69" s="3"/>
    </row>
    <row r="70" spans="1:35" ht="33.75" customHeight="1" thickBot="1" x14ac:dyDescent="0.3">
      <c r="A70" s="74" t="s">
        <v>15</v>
      </c>
      <c r="B70" s="67">
        <f>+(B65/B67)/7*1000</f>
        <v>75.500000000000014</v>
      </c>
      <c r="C70" s="67">
        <f>+(C65/C67)/7*1000</f>
        <v>75.5</v>
      </c>
      <c r="D70" s="67">
        <f>+(D65/D67)/7*1000</f>
        <v>75.500000000000014</v>
      </c>
      <c r="E70" s="67">
        <f>+(E65/E67)/7*1000</f>
        <v>75.5</v>
      </c>
      <c r="F70" s="67">
        <f>+(F65/F67)/7*1000</f>
        <v>75.500000000000014</v>
      </c>
      <c r="G70" s="67"/>
      <c r="H70" s="87"/>
      <c r="X70" s="3"/>
    </row>
    <row r="71" spans="1:35" ht="33.75" customHeight="1" x14ac:dyDescent="0.25">
      <c r="B71" s="148"/>
    </row>
    <row r="72" spans="1:35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52"/>
    </row>
    <row r="73" spans="1:35" ht="33.75" customHeight="1" x14ac:dyDescent="0.25"/>
    <row r="74" spans="1:35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  <c r="M74" s="45"/>
      <c r="N74" s="45"/>
      <c r="O74" s="45"/>
    </row>
    <row r="75" spans="1:35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5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5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5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5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G36"/>
    <mergeCell ref="Q36:V36"/>
    <mergeCell ref="N37:O37"/>
    <mergeCell ref="O54:P54"/>
    <mergeCell ref="B55:F55"/>
    <mergeCell ref="A3:C3"/>
    <mergeCell ref="E9:G9"/>
    <mergeCell ref="X9:Y9"/>
    <mergeCell ref="P11:Q11"/>
    <mergeCell ref="B15:I15"/>
    <mergeCell ref="J15:M15"/>
    <mergeCell ref="S15:X15"/>
    <mergeCell ref="N15:R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K239"/>
  <sheetViews>
    <sheetView workbookViewId="0"/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9.140625" style="14" customWidth="1"/>
    <col min="9" max="13" width="20.140625" style="14" customWidth="1"/>
    <col min="14" max="14" width="28.28515625" style="14" bestFit="1" customWidth="1"/>
    <col min="15" max="16" width="33.42578125" style="14" bestFit="1" customWidth="1"/>
    <col min="17" max="17" width="22.7109375" style="14" customWidth="1"/>
    <col min="18" max="20" width="21.28515625" style="14" customWidth="1"/>
    <col min="21" max="21" width="21.28515625" style="14" bestFit="1" customWidth="1"/>
    <col min="22" max="22" width="21.28515625" style="14" customWidth="1"/>
    <col min="23" max="23" width="27.85546875" style="14" customWidth="1"/>
    <col min="24" max="24" width="25.85546875" style="14" customWidth="1"/>
    <col min="25" max="25" width="21.42578125" style="14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 t="s">
        <v>3</v>
      </c>
      <c r="X9" s="960" t="s">
        <v>35</v>
      </c>
      <c r="Y9" s="960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65" t="s">
        <v>69</v>
      </c>
      <c r="Q11" s="965"/>
      <c r="R11" s="6"/>
      <c r="S11" s="6"/>
      <c r="T11" s="6"/>
      <c r="U11" s="1"/>
      <c r="V11" s="1"/>
      <c r="W11" s="1" t="s">
        <v>6</v>
      </c>
      <c r="X11" s="95">
        <v>45420</v>
      </c>
      <c r="Y11" s="6"/>
      <c r="Z11" s="6"/>
      <c r="AA11" s="6"/>
      <c r="AB11" s="6"/>
      <c r="AC11" s="6"/>
      <c r="AD11" s="6"/>
      <c r="AE11" s="1"/>
      <c r="AF11" s="1"/>
      <c r="AG11" s="1"/>
      <c r="AH11" s="1"/>
      <c r="AI11" s="1"/>
      <c r="AJ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1"/>
      <c r="AD13" s="1"/>
      <c r="AE13" s="1"/>
    </row>
    <row r="14" spans="1:3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1"/>
      <c r="AE14" s="1"/>
      <c r="AF14" s="1"/>
    </row>
    <row r="15" spans="1:36" s="10" customFormat="1" ht="36" thickBot="1" x14ac:dyDescent="0.3">
      <c r="A15" s="69" t="s">
        <v>7</v>
      </c>
      <c r="B15" s="971" t="s">
        <v>8</v>
      </c>
      <c r="C15" s="968"/>
      <c r="D15" s="968"/>
      <c r="E15" s="968"/>
      <c r="F15" s="968"/>
      <c r="G15" s="968"/>
      <c r="H15" s="968"/>
      <c r="I15" s="968"/>
      <c r="J15" s="971" t="s">
        <v>30</v>
      </c>
      <c r="K15" s="968"/>
      <c r="L15" s="968"/>
      <c r="M15" s="969"/>
      <c r="N15" s="971" t="s">
        <v>29</v>
      </c>
      <c r="O15" s="968"/>
      <c r="P15" s="968"/>
      <c r="Q15" s="968"/>
      <c r="R15" s="969"/>
      <c r="S15" s="962" t="s">
        <v>31</v>
      </c>
      <c r="T15" s="963"/>
      <c r="U15" s="963"/>
      <c r="V15" s="963"/>
      <c r="W15" s="963"/>
      <c r="X15" s="964"/>
    </row>
    <row r="16" spans="1:36" ht="39.950000000000003" customHeight="1" thickBot="1" x14ac:dyDescent="0.3">
      <c r="A16" s="80" t="s">
        <v>34</v>
      </c>
      <c r="B16" s="186">
        <v>4</v>
      </c>
      <c r="C16" s="174">
        <v>3</v>
      </c>
      <c r="D16" s="174">
        <v>2</v>
      </c>
      <c r="E16" s="174">
        <v>1</v>
      </c>
      <c r="F16" s="174">
        <v>1</v>
      </c>
      <c r="G16" s="174">
        <v>2</v>
      </c>
      <c r="H16" s="174">
        <v>3</v>
      </c>
      <c r="I16" s="175">
        <v>4</v>
      </c>
      <c r="J16" s="186">
        <v>1</v>
      </c>
      <c r="K16" s="174">
        <v>2</v>
      </c>
      <c r="L16" s="174">
        <v>3</v>
      </c>
      <c r="M16" s="175">
        <v>4</v>
      </c>
      <c r="N16" s="202">
        <v>1</v>
      </c>
      <c r="O16" s="174">
        <v>2</v>
      </c>
      <c r="P16" s="174">
        <v>3</v>
      </c>
      <c r="Q16" s="174">
        <v>4</v>
      </c>
      <c r="R16" s="203">
        <v>5</v>
      </c>
      <c r="S16" s="186">
        <v>1</v>
      </c>
      <c r="T16" s="174">
        <v>2</v>
      </c>
      <c r="U16" s="174">
        <v>3</v>
      </c>
      <c r="V16" s="174">
        <v>4</v>
      </c>
      <c r="W16" s="175">
        <v>5</v>
      </c>
      <c r="X16" s="126" t="s">
        <v>9</v>
      </c>
      <c r="AB16" s="15"/>
      <c r="AC16" s="15"/>
    </row>
    <row r="17" spans="1:36" ht="39.950000000000003" customHeight="1" thickBot="1" x14ac:dyDescent="0.3">
      <c r="A17" s="80" t="s">
        <v>10</v>
      </c>
      <c r="B17" s="186">
        <v>1</v>
      </c>
      <c r="C17" s="174">
        <v>2</v>
      </c>
      <c r="D17" s="174">
        <v>3</v>
      </c>
      <c r="E17" s="174">
        <v>4</v>
      </c>
      <c r="F17" s="174">
        <v>5</v>
      </c>
      <c r="G17" s="174">
        <v>6</v>
      </c>
      <c r="H17" s="174">
        <v>7</v>
      </c>
      <c r="I17" s="175">
        <v>8</v>
      </c>
      <c r="J17" s="186">
        <v>1</v>
      </c>
      <c r="K17" s="174">
        <v>2</v>
      </c>
      <c r="L17" s="174">
        <v>3</v>
      </c>
      <c r="M17" s="175">
        <v>4</v>
      </c>
      <c r="N17" s="202">
        <v>1</v>
      </c>
      <c r="O17" s="174">
        <v>2</v>
      </c>
      <c r="P17" s="174">
        <v>3</v>
      </c>
      <c r="Q17" s="174">
        <v>4</v>
      </c>
      <c r="R17" s="203">
        <v>5</v>
      </c>
      <c r="S17" s="186">
        <v>1</v>
      </c>
      <c r="T17" s="174">
        <v>2</v>
      </c>
      <c r="U17" s="174">
        <v>3</v>
      </c>
      <c r="V17" s="174">
        <v>4</v>
      </c>
      <c r="W17" s="175">
        <v>5</v>
      </c>
      <c r="X17" s="208"/>
      <c r="AB17" s="2"/>
      <c r="AC17" s="15"/>
    </row>
    <row r="18" spans="1:36" ht="39.950000000000003" customHeight="1" x14ac:dyDescent="0.25">
      <c r="A18" s="171" t="s">
        <v>53</v>
      </c>
      <c r="B18" s="133"/>
      <c r="C18" s="134"/>
      <c r="D18" s="134"/>
      <c r="E18" s="134"/>
      <c r="F18" s="134"/>
      <c r="G18" s="134"/>
      <c r="H18" s="134"/>
      <c r="I18" s="156"/>
      <c r="J18" s="133"/>
      <c r="K18" s="134"/>
      <c r="L18" s="134"/>
      <c r="M18" s="156"/>
      <c r="N18" s="133"/>
      <c r="O18" s="134"/>
      <c r="P18" s="134"/>
      <c r="Q18" s="134"/>
      <c r="R18" s="156"/>
      <c r="S18" s="225"/>
      <c r="T18" s="134"/>
      <c r="U18" s="134"/>
      <c r="V18" s="134"/>
      <c r="W18" s="156"/>
      <c r="X18" s="98"/>
      <c r="AB18" s="2"/>
      <c r="AC18" s="15"/>
    </row>
    <row r="19" spans="1:36" ht="39.950000000000003" customHeight="1" x14ac:dyDescent="0.25">
      <c r="A19" s="171" t="s">
        <v>24</v>
      </c>
      <c r="B19" s="18">
        <v>27.7</v>
      </c>
      <c r="C19" s="19">
        <v>44.2</v>
      </c>
      <c r="D19" s="19">
        <v>61.2</v>
      </c>
      <c r="E19" s="19">
        <v>26.9</v>
      </c>
      <c r="F19" s="19">
        <v>18.899999999999999</v>
      </c>
      <c r="G19" s="19">
        <v>44.8</v>
      </c>
      <c r="H19" s="19">
        <v>45.8</v>
      </c>
      <c r="I19" s="20">
        <v>31.5</v>
      </c>
      <c r="J19" s="18">
        <v>15.3</v>
      </c>
      <c r="K19" s="19">
        <v>26.3</v>
      </c>
      <c r="L19" s="19">
        <v>29.6</v>
      </c>
      <c r="M19" s="20">
        <v>25.9</v>
      </c>
      <c r="N19" s="18">
        <v>32.4</v>
      </c>
      <c r="O19" s="19">
        <v>42.4</v>
      </c>
      <c r="P19" s="19">
        <v>49.5</v>
      </c>
      <c r="Q19" s="19">
        <v>40.799999999999997</v>
      </c>
      <c r="R19" s="20">
        <v>22.6</v>
      </c>
      <c r="S19" s="61">
        <v>30.4</v>
      </c>
      <c r="T19" s="19">
        <v>43.5</v>
      </c>
      <c r="U19" s="19">
        <v>50.3</v>
      </c>
      <c r="V19" s="19">
        <v>38.1</v>
      </c>
      <c r="W19" s="20">
        <v>23.5</v>
      </c>
      <c r="X19" s="98">
        <f t="shared" ref="X19:X24" si="0">SUM(B19:W19)</f>
        <v>771.6</v>
      </c>
      <c r="AB19" s="2"/>
      <c r="AC19" s="15"/>
    </row>
    <row r="20" spans="1:36" ht="39.75" customHeight="1" x14ac:dyDescent="0.25">
      <c r="A20" s="171" t="s">
        <v>20</v>
      </c>
      <c r="B20" s="18">
        <f>((((($B$26*$B$27)/1000)*7)-$B$19)/4)</f>
        <v>29.213375000000003</v>
      </c>
      <c r="C20" s="19">
        <f>((((($C$26*$C$27)/1000)*7)-$C$19)/4)</f>
        <v>47.181249999999991</v>
      </c>
      <c r="D20" s="19">
        <f>((((($D$26*$D$27)/1000)*7)-$D$19)/4)</f>
        <v>64.762500000000003</v>
      </c>
      <c r="E20" s="19">
        <f>((((($E$26*$E$27)/1000)*7)-$E$19)/4)</f>
        <v>28.113999999999997</v>
      </c>
      <c r="F20" s="19">
        <f>((((($F$26*$F$27)/1000)*7)-$F$19)/4)</f>
        <v>20.160874999999997</v>
      </c>
      <c r="G20" s="19">
        <f>((((($G$26*$G$27)/1000)*7)-$G$19)/4)</f>
        <v>48.075125</v>
      </c>
      <c r="H20" s="19">
        <f>((((($H$26*$H$27)/1000)*7)-$H$19)/4)</f>
        <v>48.623125000000002</v>
      </c>
      <c r="I20" s="20">
        <f>((((($I$26*$I$27)/1000)*7)-$I$19)/4)</f>
        <v>33.820500000000003</v>
      </c>
      <c r="J20" s="18">
        <f>((((($J$26*$J$27)/1000)*7)-$J$19)/4)</f>
        <v>16.271125000000001</v>
      </c>
      <c r="K20" s="19">
        <f>((((($K$26*$K$27)/1000)*7)-$K$19)/4)</f>
        <v>28.040000000000003</v>
      </c>
      <c r="L20" s="19">
        <f>((((($L$26*$L$27)/1000)*7)-$L$19)/4)</f>
        <v>31.556750000000001</v>
      </c>
      <c r="M20" s="20">
        <f>((((($M$26*$M$27)/1000)*7)-$M$19)/4)</f>
        <v>27.615874999999996</v>
      </c>
      <c r="N20" s="18">
        <f>((((($N$26*$N$27)/1000)*7)-$N$19)/4)</f>
        <v>34.27975</v>
      </c>
      <c r="O20" s="19">
        <f>((((($O$26*$O$27)/1000)*7)-$O$19)/4)</f>
        <v>44.734999999999999</v>
      </c>
      <c r="P20" s="19">
        <f>((((($P$26*$P$27)/1000)*7)-$P$19)/4)</f>
        <v>52.725000000000009</v>
      </c>
      <c r="Q20" s="19">
        <f>((((($Q$26*$Q$27)/1000)*7)-$Q$19)/4)</f>
        <v>43.594999999999999</v>
      </c>
      <c r="R20" s="20">
        <f>((((($R$26*$R$27)/1000)*7)-$R$19)/4)</f>
        <v>24.275000000000006</v>
      </c>
      <c r="S20" s="61">
        <f>((((($S$26*$S$27)/1000)*7)-$S$19)/4)</f>
        <v>32.219500000000004</v>
      </c>
      <c r="T20" s="19">
        <f>((((($T$26*$T$27)/1000)*7)-$T$19)/4)</f>
        <v>46.035000000000004</v>
      </c>
      <c r="U20" s="19">
        <f>((((($U$26*$U$27)/1000)*7)-$U$19)/4)</f>
        <v>53.544374999999988</v>
      </c>
      <c r="V20" s="19">
        <f>((((($V$26*$V$27)/1000)*7)-$V$19)/4)</f>
        <v>40.638750000000002</v>
      </c>
      <c r="W20" s="20">
        <f>((((($W$26*$W$27)/1000)*7)-$W$19)/4)</f>
        <v>25.171749999999999</v>
      </c>
      <c r="X20" s="98">
        <f t="shared" si="0"/>
        <v>820.65362499999992</v>
      </c>
      <c r="AB20" s="2"/>
      <c r="AC20" s="15"/>
    </row>
    <row r="21" spans="1:36" ht="39.950000000000003" customHeight="1" x14ac:dyDescent="0.25">
      <c r="A21" s="171" t="s">
        <v>28</v>
      </c>
      <c r="B21" s="18">
        <f>((((($B$26*$B$27)/1000)*7)-$B$19)/4)</f>
        <v>29.213375000000003</v>
      </c>
      <c r="C21" s="19">
        <f>((((($C$26*$C$27)/1000)*7)-$C$19)/4)</f>
        <v>47.181249999999991</v>
      </c>
      <c r="D21" s="19">
        <f>((((($D$26*$D$27)/1000)*7)-$D$19)/4)</f>
        <v>64.762500000000003</v>
      </c>
      <c r="E21" s="19">
        <f>((((($E$26*$E$27)/1000)*7)-$E$19)/4)</f>
        <v>28.113999999999997</v>
      </c>
      <c r="F21" s="19">
        <f>((((($F$26*$F$27)/1000)*7)-$F$19)/4)</f>
        <v>20.160874999999997</v>
      </c>
      <c r="G21" s="19">
        <f>((((($G$26*$G$27)/1000)*7)-$G$19)/4)</f>
        <v>48.075125</v>
      </c>
      <c r="H21" s="19">
        <f>((((($H$26*$H$27)/1000)*7)-$H$19)/4)</f>
        <v>48.623125000000002</v>
      </c>
      <c r="I21" s="20">
        <f>((((($I$26*$I$27)/1000)*7)-$I$19)/4)</f>
        <v>33.820500000000003</v>
      </c>
      <c r="J21" s="18">
        <f>((((($J$26*$J$27)/1000)*7)-$J$19)/4)</f>
        <v>16.271125000000001</v>
      </c>
      <c r="K21" s="19">
        <f>((((($K$26*$K$27)/1000)*7)-$K$19)/4)</f>
        <v>28.040000000000003</v>
      </c>
      <c r="L21" s="19">
        <f>((((($L$26*$L$27)/1000)*7)-$L$19)/4)</f>
        <v>31.556750000000001</v>
      </c>
      <c r="M21" s="20">
        <f>((((($M$26*$M$27)/1000)*7)-$M$19)/4)</f>
        <v>27.615874999999996</v>
      </c>
      <c r="N21" s="18">
        <f>((((($N$26*$N$27)/1000)*7)-$N$19)/4)</f>
        <v>34.27975</v>
      </c>
      <c r="O21" s="19">
        <f>((((($O$26*$O$27)/1000)*7)-$O$19)/4)</f>
        <v>44.734999999999999</v>
      </c>
      <c r="P21" s="19">
        <f>((((($P$26*$P$27)/1000)*7)-$P$19)/4)</f>
        <v>52.725000000000009</v>
      </c>
      <c r="Q21" s="19">
        <f>((((($Q$26*$Q$27)/1000)*7)-$Q$19)/4)</f>
        <v>43.594999999999999</v>
      </c>
      <c r="R21" s="20">
        <f>((((($R$26*$R$27)/1000)*7)-$R$19)/4)</f>
        <v>24.275000000000006</v>
      </c>
      <c r="S21" s="61">
        <f>((((($S$26*$S$27)/1000)*7)-$S$19)/4)</f>
        <v>32.219500000000004</v>
      </c>
      <c r="T21" s="19">
        <f>((((($T$26*$T$27)/1000)*7)-$T$19)/4)</f>
        <v>46.035000000000004</v>
      </c>
      <c r="U21" s="19">
        <f>((((($U$26*$U$27)/1000)*7)-$U$19)/4)</f>
        <v>53.544374999999988</v>
      </c>
      <c r="V21" s="19">
        <f>((((($V$26*$V$27)/1000)*7)-$V$19)/4)</f>
        <v>40.638750000000002</v>
      </c>
      <c r="W21" s="20">
        <f>((((($W$26*$W$27)/1000)*7)-$W$19)/4)</f>
        <v>25.171749999999999</v>
      </c>
      <c r="X21" s="98">
        <f t="shared" si="0"/>
        <v>820.65362499999992</v>
      </c>
      <c r="AB21" s="2"/>
      <c r="AC21" s="15"/>
    </row>
    <row r="22" spans="1:36" ht="39.950000000000003" customHeight="1" x14ac:dyDescent="0.25">
      <c r="A22" s="171" t="s">
        <v>21</v>
      </c>
      <c r="B22" s="18"/>
      <c r="C22" s="19"/>
      <c r="D22" s="19"/>
      <c r="E22" s="19"/>
      <c r="F22" s="19"/>
      <c r="G22" s="19"/>
      <c r="H22" s="19"/>
      <c r="I22" s="20"/>
      <c r="J22" s="18"/>
      <c r="K22" s="19"/>
      <c r="L22" s="19"/>
      <c r="M22" s="20"/>
      <c r="N22" s="18"/>
      <c r="O22" s="19"/>
      <c r="P22" s="19"/>
      <c r="Q22" s="19"/>
      <c r="R22" s="20"/>
      <c r="S22" s="61"/>
      <c r="T22" s="19"/>
      <c r="U22" s="19"/>
      <c r="V22" s="19"/>
      <c r="W22" s="20"/>
      <c r="X22" s="98">
        <f t="shared" si="0"/>
        <v>0</v>
      </c>
      <c r="AB22" s="2"/>
      <c r="AC22" s="15"/>
    </row>
    <row r="23" spans="1:36" ht="39.950000000000003" customHeight="1" x14ac:dyDescent="0.25">
      <c r="A23" s="171" t="s">
        <v>22</v>
      </c>
      <c r="B23" s="18">
        <f>((((($B$26*$B$27)/1000)*7)-$B$19)/4)</f>
        <v>29.213375000000003</v>
      </c>
      <c r="C23" s="19">
        <f>((((($C$26*$C$27)/1000)*7)-$C$19)/4)</f>
        <v>47.181249999999991</v>
      </c>
      <c r="D23" s="19">
        <f>((((($D$26*$D$27)/1000)*7)-$D$19)/4)</f>
        <v>64.762500000000003</v>
      </c>
      <c r="E23" s="19">
        <f>((((($E$26*$E$27)/1000)*7)-$E$19)/4)</f>
        <v>28.113999999999997</v>
      </c>
      <c r="F23" s="19">
        <f>((((($F$26*$F$27)/1000)*7)-$F$19)/4)</f>
        <v>20.160874999999997</v>
      </c>
      <c r="G23" s="19">
        <f>((((($G$26*$G$27)/1000)*7)-$G$19)/4)</f>
        <v>48.075125</v>
      </c>
      <c r="H23" s="19">
        <f>((((($H$26*$H$27)/1000)*7)-$H$19)/4)</f>
        <v>48.623125000000002</v>
      </c>
      <c r="I23" s="20">
        <f>((((($I$26*$I$27)/1000)*7)-$I$19)/4)</f>
        <v>33.820500000000003</v>
      </c>
      <c r="J23" s="18">
        <f>((((($J$26*$J$27)/1000)*7)-$J$19)/4)</f>
        <v>16.271125000000001</v>
      </c>
      <c r="K23" s="19">
        <f>((((($K$26*$K$27)/1000)*7)-$K$19)/4)</f>
        <v>28.040000000000003</v>
      </c>
      <c r="L23" s="19">
        <f>((((($L$26*$L$27)/1000)*7)-$L$19)/4)</f>
        <v>31.556750000000001</v>
      </c>
      <c r="M23" s="20">
        <f>((((($M$26*$M$27)/1000)*7)-$M$19)/4)</f>
        <v>27.615874999999996</v>
      </c>
      <c r="N23" s="18">
        <f>((((($N$26*$N$27)/1000)*7)-$N$19)/4)</f>
        <v>34.27975</v>
      </c>
      <c r="O23" s="19">
        <f>((((($O$26*$O$27)/1000)*7)-$O$19)/4)</f>
        <v>44.734999999999999</v>
      </c>
      <c r="P23" s="19">
        <f>((((($P$26*$P$27)/1000)*7)-$P$19)/4)</f>
        <v>52.725000000000009</v>
      </c>
      <c r="Q23" s="19">
        <f>((((($Q$26*$Q$27)/1000)*7)-$Q$19)/4)</f>
        <v>43.594999999999999</v>
      </c>
      <c r="R23" s="20">
        <f>((((($R$26*$R$27)/1000)*7)-$R$19)/4)</f>
        <v>24.275000000000006</v>
      </c>
      <c r="S23" s="61">
        <f>((((($S$26*$S$27)/1000)*7)-$S$19)/4)</f>
        <v>32.219500000000004</v>
      </c>
      <c r="T23" s="19">
        <f>((((($T$26*$T$27)/1000)*7)-$T$19)/4)</f>
        <v>46.035000000000004</v>
      </c>
      <c r="U23" s="19">
        <f>((((($U$26*$U$27)/1000)*7)-$U$19)/4)</f>
        <v>53.544374999999988</v>
      </c>
      <c r="V23" s="19">
        <f>((((($V$26*$V$27)/1000)*7)-$V$19)/4)</f>
        <v>40.638750000000002</v>
      </c>
      <c r="W23" s="20">
        <f>((((($W$26*$W$27)/1000)*7)-$W$19)/4)</f>
        <v>25.171749999999999</v>
      </c>
      <c r="X23" s="98">
        <f t="shared" si="0"/>
        <v>820.65362499999992</v>
      </c>
      <c r="AB23" s="2"/>
      <c r="AC23" s="15"/>
    </row>
    <row r="24" spans="1:36" ht="39.950000000000003" customHeight="1" thickBot="1" x14ac:dyDescent="0.3">
      <c r="A24" s="171" t="s">
        <v>23</v>
      </c>
      <c r="B24" s="153">
        <f>((((($B$26*$B$27)/1000)*7)-$B$19)/4)</f>
        <v>29.213375000000003</v>
      </c>
      <c r="C24" s="154">
        <f>((((($C$26*$C$27)/1000)*7)-$C$19)/4)</f>
        <v>47.181249999999991</v>
      </c>
      <c r="D24" s="154">
        <f>((((($D$26*$D$27)/1000)*7)-$D$19)/4)</f>
        <v>64.762500000000003</v>
      </c>
      <c r="E24" s="154">
        <f>((((($E$26*$E$27)/1000)*7)-$E$19)/4)</f>
        <v>28.113999999999997</v>
      </c>
      <c r="F24" s="154">
        <f>((((($F$26*$F$27)/1000)*7)-$F$19)/4)</f>
        <v>20.160874999999997</v>
      </c>
      <c r="G24" s="154">
        <f>((((($G$26*$G$27)/1000)*7)-$G$19)/4)</f>
        <v>48.075125</v>
      </c>
      <c r="H24" s="154">
        <f>(((($H$27*$H$26)/1000)*7)-$H$19-$H$20)/3</f>
        <v>48.623124999999995</v>
      </c>
      <c r="I24" s="182">
        <f>((((($I$26*$I$27)/1000)*7)-$I$19)/4)</f>
        <v>33.820500000000003</v>
      </c>
      <c r="J24" s="153">
        <f>(((($J$27*$J$26)/1000)*7)-$J$19-$J$20)/3</f>
        <v>16.271125000000001</v>
      </c>
      <c r="K24" s="154">
        <f>((((($K$26*$K$27)/1000)*7)-$K$19)/4)</f>
        <v>28.040000000000003</v>
      </c>
      <c r="L24" s="154">
        <f>((((($L$26*$L$27)/1000)*7)-$L$19)/4)</f>
        <v>31.556750000000001</v>
      </c>
      <c r="M24" s="182">
        <f>((((($M$26*$M$27)/1000)*7)-$M$19)/4)</f>
        <v>27.615874999999996</v>
      </c>
      <c r="N24" s="153">
        <f>((((($N$26*$N$27)/1000)*7)-$N$19-$N$20)/3)</f>
        <v>34.27975</v>
      </c>
      <c r="O24" s="154">
        <f>((((($O$26*$O$27)/1000)*7)-$O$19-$O$20)/3)</f>
        <v>44.734999999999992</v>
      </c>
      <c r="P24" s="154">
        <f>((((($P$26*$P$27)/1000)*7)-$P$19)/4)</f>
        <v>52.725000000000009</v>
      </c>
      <c r="Q24" s="154">
        <f>((((($Q$26*$Q$27)/1000)*7)-$Q$19)/4)</f>
        <v>43.594999999999999</v>
      </c>
      <c r="R24" s="182">
        <f>((((($R$26*$R$27)/1000)*7)-$R$19)/4)</f>
        <v>24.275000000000006</v>
      </c>
      <c r="S24" s="226">
        <f>((((($S$26*$S$27)/1000)*7)-$S$19)/4)</f>
        <v>32.219500000000004</v>
      </c>
      <c r="T24" s="154">
        <f>((((($T$26*$T$27)/1000)*7)-$T$19)/4)</f>
        <v>46.035000000000004</v>
      </c>
      <c r="U24" s="154">
        <f>((((($U$26*$U$27)/1000)*7)-$U$19-$U$20)/3)</f>
        <v>53.544374999999981</v>
      </c>
      <c r="V24" s="154">
        <f>((((($V$26*$V$27)/1000)*7)-$V$19)/4)</f>
        <v>40.638750000000002</v>
      </c>
      <c r="W24" s="182">
        <f>((((($W$26*$W$27)/1000)*7)-$W$19)/4)</f>
        <v>25.171749999999999</v>
      </c>
      <c r="X24" s="98">
        <f t="shared" si="0"/>
        <v>820.65362499999992</v>
      </c>
      <c r="AB24" s="2"/>
    </row>
    <row r="25" spans="1:36" ht="41.45" customHeight="1" x14ac:dyDescent="0.25">
      <c r="A25" s="126" t="s">
        <v>9</v>
      </c>
      <c r="B25" s="217">
        <f t="shared" ref="B25:W25" si="1">SUM(B18:B24)</f>
        <v>144.55350000000001</v>
      </c>
      <c r="C25" s="218">
        <f t="shared" si="1"/>
        <v>232.92499999999995</v>
      </c>
      <c r="D25" s="218">
        <f t="shared" si="1"/>
        <v>320.25</v>
      </c>
      <c r="E25" s="218">
        <f t="shared" si="1"/>
        <v>139.35599999999999</v>
      </c>
      <c r="F25" s="218">
        <f t="shared" si="1"/>
        <v>99.543499999999995</v>
      </c>
      <c r="G25" s="218">
        <f t="shared" si="1"/>
        <v>237.10050000000001</v>
      </c>
      <c r="H25" s="218">
        <f t="shared" si="1"/>
        <v>240.29249999999999</v>
      </c>
      <c r="I25" s="219">
        <f t="shared" si="1"/>
        <v>166.78200000000004</v>
      </c>
      <c r="J25" s="131">
        <f t="shared" si="1"/>
        <v>80.384500000000003</v>
      </c>
      <c r="K25" s="128">
        <f t="shared" si="1"/>
        <v>138.46</v>
      </c>
      <c r="L25" s="128">
        <f t="shared" si="1"/>
        <v>155.827</v>
      </c>
      <c r="M25" s="129">
        <f t="shared" si="1"/>
        <v>136.36349999999996</v>
      </c>
      <c r="N25" s="220">
        <f t="shared" si="1"/>
        <v>169.51900000000001</v>
      </c>
      <c r="O25" s="218">
        <f t="shared" si="1"/>
        <v>221.34</v>
      </c>
      <c r="P25" s="218">
        <f t="shared" si="1"/>
        <v>260.40000000000003</v>
      </c>
      <c r="Q25" s="218">
        <f t="shared" si="1"/>
        <v>215.17999999999998</v>
      </c>
      <c r="R25" s="219">
        <f t="shared" si="1"/>
        <v>119.70000000000002</v>
      </c>
      <c r="S25" s="179">
        <f t="shared" si="1"/>
        <v>159.27800000000002</v>
      </c>
      <c r="T25" s="180">
        <f t="shared" si="1"/>
        <v>227.64</v>
      </c>
      <c r="U25" s="180">
        <f t="shared" si="1"/>
        <v>264.47749999999996</v>
      </c>
      <c r="V25" s="180">
        <f t="shared" si="1"/>
        <v>200.65500000000003</v>
      </c>
      <c r="W25" s="181">
        <f t="shared" si="1"/>
        <v>124.18700000000001</v>
      </c>
      <c r="X25" s="209">
        <f>SUM(X19,X20,X21,X23,X24)</f>
        <v>4054.2144999999996</v>
      </c>
    </row>
    <row r="26" spans="1:36" s="2" customFormat="1" ht="36.75" customHeight="1" x14ac:dyDescent="0.25">
      <c r="A26" s="70" t="s">
        <v>11</v>
      </c>
      <c r="B26" s="23">
        <v>58.5</v>
      </c>
      <c r="C26" s="63">
        <v>60.5</v>
      </c>
      <c r="D26" s="63">
        <v>61</v>
      </c>
      <c r="E26" s="63">
        <v>63</v>
      </c>
      <c r="F26" s="63">
        <v>59.5</v>
      </c>
      <c r="G26" s="63">
        <v>58.5</v>
      </c>
      <c r="H26" s="63">
        <v>57.5</v>
      </c>
      <c r="I26" s="161">
        <v>57</v>
      </c>
      <c r="J26" s="23">
        <v>59.5</v>
      </c>
      <c r="K26" s="24">
        <v>57.5</v>
      </c>
      <c r="L26" s="24">
        <v>56.5</v>
      </c>
      <c r="M26" s="25">
        <v>55.5</v>
      </c>
      <c r="N26" s="63">
        <v>61</v>
      </c>
      <c r="O26" s="63">
        <v>60</v>
      </c>
      <c r="P26" s="63">
        <v>60</v>
      </c>
      <c r="Q26" s="63">
        <v>58</v>
      </c>
      <c r="R26" s="161">
        <v>57</v>
      </c>
      <c r="S26" s="23">
        <v>62</v>
      </c>
      <c r="T26" s="63">
        <v>60</v>
      </c>
      <c r="U26" s="63">
        <v>59.5</v>
      </c>
      <c r="V26" s="63">
        <v>58.5</v>
      </c>
      <c r="W26" s="155">
        <v>56.5</v>
      </c>
      <c r="X26" s="210">
        <f>(((X25*1000)/7)/X27)</f>
        <v>59.063175606771352</v>
      </c>
    </row>
    <row r="27" spans="1:36" s="2" customFormat="1" ht="33" customHeight="1" x14ac:dyDescent="0.25">
      <c r="A27" s="71" t="s">
        <v>12</v>
      </c>
      <c r="B27" s="26">
        <v>353</v>
      </c>
      <c r="C27" s="27">
        <v>550</v>
      </c>
      <c r="D27" s="27">
        <v>750</v>
      </c>
      <c r="E27" s="27">
        <v>316</v>
      </c>
      <c r="F27" s="27">
        <v>239</v>
      </c>
      <c r="G27" s="27">
        <v>579</v>
      </c>
      <c r="H27" s="27">
        <v>597</v>
      </c>
      <c r="I27" s="183">
        <v>418</v>
      </c>
      <c r="J27" s="26">
        <v>193</v>
      </c>
      <c r="K27" s="27">
        <v>344</v>
      </c>
      <c r="L27" s="27">
        <v>394</v>
      </c>
      <c r="M27" s="28">
        <v>351</v>
      </c>
      <c r="N27" s="64">
        <v>397</v>
      </c>
      <c r="O27" s="27">
        <v>527</v>
      </c>
      <c r="P27" s="27">
        <v>620</v>
      </c>
      <c r="Q27" s="27">
        <v>530</v>
      </c>
      <c r="R27" s="183">
        <v>300</v>
      </c>
      <c r="S27" s="26">
        <v>367</v>
      </c>
      <c r="T27" s="27">
        <v>542</v>
      </c>
      <c r="U27" s="27">
        <v>635</v>
      </c>
      <c r="V27" s="27">
        <v>490</v>
      </c>
      <c r="W27" s="28">
        <v>314</v>
      </c>
      <c r="X27" s="211">
        <f>SUM(B27,C27,D27,E27,F27,G27,H27,I27,J27,K27,L27,M27,N27,O27,P27,Q27,R27,S27,T27,U27,V27,W27)</f>
        <v>9806</v>
      </c>
    </row>
    <row r="28" spans="1:36" s="2" customFormat="1" ht="33" customHeight="1" x14ac:dyDescent="0.25">
      <c r="A28" s="72" t="s">
        <v>13</v>
      </c>
      <c r="B28" s="30">
        <f t="shared" ref="B28:W28" si="2">(B27*B26)/1000</f>
        <v>20.650500000000001</v>
      </c>
      <c r="C28" s="31">
        <f t="shared" si="2"/>
        <v>33.274999999999999</v>
      </c>
      <c r="D28" s="31">
        <f t="shared" si="2"/>
        <v>45.75</v>
      </c>
      <c r="E28" s="31">
        <f t="shared" si="2"/>
        <v>19.908000000000001</v>
      </c>
      <c r="F28" s="31">
        <f t="shared" si="2"/>
        <v>14.220499999999999</v>
      </c>
      <c r="G28" s="31">
        <f t="shared" si="2"/>
        <v>33.871499999999997</v>
      </c>
      <c r="H28" s="31">
        <f t="shared" si="2"/>
        <v>34.327500000000001</v>
      </c>
      <c r="I28" s="163">
        <f t="shared" si="2"/>
        <v>23.826000000000001</v>
      </c>
      <c r="J28" s="30">
        <f t="shared" si="2"/>
        <v>11.483499999999999</v>
      </c>
      <c r="K28" s="31">
        <f t="shared" si="2"/>
        <v>19.78</v>
      </c>
      <c r="L28" s="31">
        <f t="shared" si="2"/>
        <v>22.260999999999999</v>
      </c>
      <c r="M28" s="32">
        <f t="shared" si="2"/>
        <v>19.480499999999999</v>
      </c>
      <c r="N28" s="65">
        <f t="shared" si="2"/>
        <v>24.216999999999999</v>
      </c>
      <c r="O28" s="31">
        <f t="shared" si="2"/>
        <v>31.62</v>
      </c>
      <c r="P28" s="31">
        <f t="shared" si="2"/>
        <v>37.200000000000003</v>
      </c>
      <c r="Q28" s="31">
        <f t="shared" si="2"/>
        <v>30.74</v>
      </c>
      <c r="R28" s="163">
        <f t="shared" si="2"/>
        <v>17.100000000000001</v>
      </c>
      <c r="S28" s="30">
        <f t="shared" si="2"/>
        <v>22.754000000000001</v>
      </c>
      <c r="T28" s="31">
        <f t="shared" si="2"/>
        <v>32.520000000000003</v>
      </c>
      <c r="U28" s="31">
        <f t="shared" si="2"/>
        <v>37.782499999999999</v>
      </c>
      <c r="V28" s="31">
        <f t="shared" si="2"/>
        <v>28.664999999999999</v>
      </c>
      <c r="W28" s="32">
        <f t="shared" si="2"/>
        <v>17.741</v>
      </c>
      <c r="X28" s="212"/>
    </row>
    <row r="29" spans="1:36" ht="33.75" customHeight="1" x14ac:dyDescent="0.25">
      <c r="A29" s="73" t="s">
        <v>14</v>
      </c>
      <c r="B29" s="34">
        <f t="shared" ref="B29:W29" si="3">((B27*B26)*7)/1000</f>
        <v>144.55350000000001</v>
      </c>
      <c r="C29" s="35">
        <f t="shared" si="3"/>
        <v>232.92500000000001</v>
      </c>
      <c r="D29" s="35">
        <f t="shared" si="3"/>
        <v>320.25</v>
      </c>
      <c r="E29" s="35">
        <f t="shared" si="3"/>
        <v>139.35599999999999</v>
      </c>
      <c r="F29" s="35">
        <f t="shared" si="3"/>
        <v>99.543499999999995</v>
      </c>
      <c r="G29" s="35">
        <f t="shared" si="3"/>
        <v>237.10050000000001</v>
      </c>
      <c r="H29" s="35">
        <f t="shared" si="3"/>
        <v>240.29249999999999</v>
      </c>
      <c r="I29" s="206">
        <f t="shared" si="3"/>
        <v>166.78200000000001</v>
      </c>
      <c r="J29" s="34">
        <f t="shared" si="3"/>
        <v>80.384500000000003</v>
      </c>
      <c r="K29" s="35">
        <f t="shared" si="3"/>
        <v>138.46</v>
      </c>
      <c r="L29" s="35">
        <f t="shared" si="3"/>
        <v>155.827</v>
      </c>
      <c r="M29" s="68">
        <f t="shared" si="3"/>
        <v>136.36349999999999</v>
      </c>
      <c r="N29" s="66">
        <f t="shared" si="3"/>
        <v>169.51900000000001</v>
      </c>
      <c r="O29" s="35">
        <f t="shared" si="3"/>
        <v>221.34</v>
      </c>
      <c r="P29" s="35">
        <f t="shared" si="3"/>
        <v>260.39999999999998</v>
      </c>
      <c r="Q29" s="35">
        <f t="shared" si="3"/>
        <v>215.18</v>
      </c>
      <c r="R29" s="206">
        <f t="shared" si="3"/>
        <v>119.7</v>
      </c>
      <c r="S29" s="34">
        <f t="shared" si="3"/>
        <v>159.27799999999999</v>
      </c>
      <c r="T29" s="35">
        <f t="shared" si="3"/>
        <v>227.64</v>
      </c>
      <c r="U29" s="35">
        <f t="shared" si="3"/>
        <v>264.47750000000002</v>
      </c>
      <c r="V29" s="35">
        <f t="shared" si="3"/>
        <v>200.655</v>
      </c>
      <c r="W29" s="68">
        <f t="shared" si="3"/>
        <v>124.187</v>
      </c>
      <c r="X29" s="213"/>
    </row>
    <row r="30" spans="1:36" ht="33.75" customHeight="1" thickBot="1" x14ac:dyDescent="0.3">
      <c r="A30" s="74" t="s">
        <v>15</v>
      </c>
      <c r="B30" s="37">
        <f t="shared" ref="B30:W30" si="4">+(B25/B27)/7*1000</f>
        <v>58.5</v>
      </c>
      <c r="C30" s="38">
        <f t="shared" si="4"/>
        <v>60.499999999999993</v>
      </c>
      <c r="D30" s="38">
        <f t="shared" si="4"/>
        <v>61</v>
      </c>
      <c r="E30" s="38">
        <f t="shared" si="4"/>
        <v>63</v>
      </c>
      <c r="F30" s="38">
        <f t="shared" si="4"/>
        <v>59.5</v>
      </c>
      <c r="G30" s="38">
        <f t="shared" si="4"/>
        <v>58.5</v>
      </c>
      <c r="H30" s="38">
        <f t="shared" si="4"/>
        <v>57.499999999999993</v>
      </c>
      <c r="I30" s="207">
        <f t="shared" si="4"/>
        <v>57.000000000000007</v>
      </c>
      <c r="J30" s="37">
        <f t="shared" si="4"/>
        <v>59.500000000000007</v>
      </c>
      <c r="K30" s="38">
        <f t="shared" si="4"/>
        <v>57.5</v>
      </c>
      <c r="L30" s="38">
        <f t="shared" si="4"/>
        <v>56.5</v>
      </c>
      <c r="M30" s="39">
        <f t="shared" si="4"/>
        <v>55.499999999999986</v>
      </c>
      <c r="N30" s="67">
        <f t="shared" si="4"/>
        <v>61</v>
      </c>
      <c r="O30" s="38">
        <f t="shared" si="4"/>
        <v>60</v>
      </c>
      <c r="P30" s="38">
        <f t="shared" si="4"/>
        <v>60.000000000000007</v>
      </c>
      <c r="Q30" s="38">
        <f t="shared" si="4"/>
        <v>57.999999999999993</v>
      </c>
      <c r="R30" s="207">
        <f t="shared" si="4"/>
        <v>57.000000000000007</v>
      </c>
      <c r="S30" s="37">
        <f t="shared" si="4"/>
        <v>62.000000000000007</v>
      </c>
      <c r="T30" s="38">
        <f t="shared" si="4"/>
        <v>60</v>
      </c>
      <c r="U30" s="38">
        <f t="shared" si="4"/>
        <v>59.499999999999993</v>
      </c>
      <c r="V30" s="38">
        <f t="shared" si="4"/>
        <v>58.500000000000007</v>
      </c>
      <c r="W30" s="39">
        <f t="shared" si="4"/>
        <v>56.5</v>
      </c>
      <c r="X30" s="214"/>
    </row>
    <row r="31" spans="1:36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201"/>
      <c r="U31" s="201"/>
      <c r="V31" s="201"/>
      <c r="W31" s="201"/>
      <c r="X31" s="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>
        <v>41.5</v>
      </c>
      <c r="AC32" s="42"/>
      <c r="AD32" s="42"/>
      <c r="AE32" s="42"/>
      <c r="AF32" s="42"/>
      <c r="AG32" s="42"/>
      <c r="AH32" s="42"/>
      <c r="AI32" s="42"/>
      <c r="AJ32" s="41"/>
    </row>
    <row r="33" spans="1:3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>
        <v>41</v>
      </c>
      <c r="AC33" s="42"/>
      <c r="AD33" s="42"/>
      <c r="AE33" s="42"/>
      <c r="AF33" s="42"/>
      <c r="AG33" s="42"/>
      <c r="AH33" s="42"/>
      <c r="AI33" s="42"/>
      <c r="AJ33" s="41"/>
    </row>
    <row r="34" spans="1:3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>
        <v>40.5</v>
      </c>
      <c r="AC34" s="42"/>
      <c r="AD34" s="42"/>
      <c r="AE34" s="42"/>
      <c r="AF34" s="42"/>
      <c r="AG34" s="42"/>
      <c r="AH34" s="41"/>
    </row>
    <row r="35" spans="1:36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>
        <v>40</v>
      </c>
      <c r="AC35" s="43"/>
      <c r="AD35" s="43"/>
      <c r="AE35" s="43"/>
      <c r="AF35" s="43"/>
      <c r="AG35" s="43"/>
      <c r="AH35" s="3"/>
    </row>
    <row r="36" spans="1:36" ht="33.75" customHeight="1" thickBot="1" x14ac:dyDescent="0.3">
      <c r="A36" s="69" t="s">
        <v>16</v>
      </c>
      <c r="B36" s="966" t="s">
        <v>17</v>
      </c>
      <c r="C36" s="967"/>
      <c r="D36" s="967"/>
      <c r="E36" s="967"/>
      <c r="F36" s="967"/>
      <c r="G36" s="967"/>
      <c r="H36" s="237"/>
      <c r="O36" s="44"/>
      <c r="P36" s="88" t="s">
        <v>18</v>
      </c>
      <c r="Q36" s="956" t="s">
        <v>17</v>
      </c>
      <c r="R36" s="956"/>
      <c r="S36" s="956"/>
      <c r="T36" s="956"/>
      <c r="U36" s="956"/>
      <c r="V36" s="957"/>
      <c r="W36" s="229"/>
      <c r="X36" s="45"/>
      <c r="Y36" s="45"/>
      <c r="Z36" s="46"/>
      <c r="AA36" s="3"/>
      <c r="AB36" s="45">
        <v>39.5</v>
      </c>
      <c r="AC36" s="45"/>
      <c r="AD36" s="45"/>
      <c r="AE36" s="3"/>
    </row>
    <row r="37" spans="1:36" ht="33.75" customHeight="1" thickBot="1" x14ac:dyDescent="0.3">
      <c r="A37" s="170" t="s">
        <v>34</v>
      </c>
      <c r="B37" s="141"/>
      <c r="C37" s="118"/>
      <c r="D37" s="118"/>
      <c r="E37" s="118"/>
      <c r="F37" s="118"/>
      <c r="G37" s="119"/>
      <c r="H37" s="236" t="s">
        <v>9</v>
      </c>
      <c r="I37" s="47"/>
      <c r="J37" s="47"/>
      <c r="K37" s="47"/>
      <c r="L37" s="47"/>
      <c r="M37" s="47"/>
      <c r="N37" s="970"/>
      <c r="O37" s="970"/>
      <c r="P37" s="97" t="s">
        <v>33</v>
      </c>
      <c r="Q37" s="60"/>
      <c r="R37" s="12"/>
      <c r="S37" s="12"/>
      <c r="T37" s="12"/>
      <c r="U37" s="12"/>
      <c r="V37" s="159"/>
      <c r="W37" s="236" t="s">
        <v>9</v>
      </c>
      <c r="X37" s="47"/>
      <c r="Y37" s="47"/>
      <c r="Z37" s="3"/>
      <c r="AA37" s="46"/>
      <c r="AB37" s="3">
        <v>39.5</v>
      </c>
      <c r="AC37" s="45"/>
      <c r="AD37" s="45"/>
      <c r="AE37" s="45"/>
    </row>
    <row r="38" spans="1:36" ht="33.75" customHeight="1" thickBot="1" x14ac:dyDescent="0.3">
      <c r="A38" s="170" t="s">
        <v>10</v>
      </c>
      <c r="B38" s="221">
        <v>1</v>
      </c>
      <c r="C38" s="222">
        <v>2</v>
      </c>
      <c r="D38" s="222">
        <v>3</v>
      </c>
      <c r="E38" s="222">
        <v>4</v>
      </c>
      <c r="F38" s="222">
        <v>5</v>
      </c>
      <c r="G38" s="223">
        <v>6</v>
      </c>
      <c r="H38" s="238"/>
      <c r="I38" s="47"/>
      <c r="J38" s="47"/>
      <c r="K38" s="47"/>
      <c r="L38" s="47"/>
      <c r="M38" s="47"/>
      <c r="N38" s="144"/>
      <c r="O38" s="145"/>
      <c r="P38" s="80" t="s">
        <v>10</v>
      </c>
      <c r="Q38" s="224">
        <v>1</v>
      </c>
      <c r="R38" s="222">
        <v>2</v>
      </c>
      <c r="S38" s="222">
        <v>3</v>
      </c>
      <c r="T38" s="222"/>
      <c r="U38" s="222"/>
      <c r="V38" s="227"/>
      <c r="W38" s="235"/>
      <c r="X38" s="47"/>
      <c r="Y38" s="47"/>
      <c r="Z38" s="48"/>
      <c r="AA38" s="48"/>
      <c r="AB38" s="2"/>
      <c r="AC38" s="2"/>
      <c r="AD38" s="2"/>
      <c r="AE38" s="2"/>
    </row>
    <row r="39" spans="1:36" ht="33.75" customHeight="1" x14ac:dyDescent="0.25">
      <c r="A39" s="171" t="s">
        <v>32</v>
      </c>
      <c r="B39" s="133"/>
      <c r="C39" s="134"/>
      <c r="D39" s="134"/>
      <c r="E39" s="134"/>
      <c r="F39" s="134"/>
      <c r="G39" s="156"/>
      <c r="H39" s="240">
        <f t="shared" ref="H39:H46" si="5">SUM(B39:G39)</f>
        <v>0</v>
      </c>
      <c r="I39" s="49"/>
      <c r="J39" s="49"/>
      <c r="K39" s="49"/>
      <c r="L39" s="49"/>
      <c r="M39" s="49"/>
      <c r="N39" s="144"/>
      <c r="O39" s="145"/>
      <c r="P39" s="171" t="s">
        <v>53</v>
      </c>
      <c r="Q39" s="133"/>
      <c r="R39" s="134"/>
      <c r="S39" s="134"/>
      <c r="T39" s="134"/>
      <c r="U39" s="134"/>
      <c r="V39" s="156"/>
      <c r="W39" s="136">
        <f t="shared" ref="W39:W45" si="6">SUM(Q39:V39)</f>
        <v>0</v>
      </c>
      <c r="X39" s="2"/>
      <c r="Y39" s="49"/>
      <c r="Z39" s="48"/>
      <c r="AA39" s="48"/>
      <c r="AB39" s="2"/>
      <c r="AC39" s="2"/>
      <c r="AD39" s="2"/>
      <c r="AE39" s="2"/>
    </row>
    <row r="40" spans="1:36" ht="33.75" customHeight="1" x14ac:dyDescent="0.25">
      <c r="A40" s="171" t="s">
        <v>24</v>
      </c>
      <c r="B40" s="18">
        <v>18.899999999999999</v>
      </c>
      <c r="C40" s="19">
        <v>47.8</v>
      </c>
      <c r="D40" s="19">
        <v>71.5</v>
      </c>
      <c r="E40" s="19">
        <v>55.3</v>
      </c>
      <c r="F40" s="19">
        <v>47.7</v>
      </c>
      <c r="G40" s="20">
        <v>29.1</v>
      </c>
      <c r="H40" s="231">
        <f t="shared" si="5"/>
        <v>270.3</v>
      </c>
      <c r="I40" s="49"/>
      <c r="J40" s="49"/>
      <c r="K40" s="49"/>
      <c r="L40" s="49"/>
      <c r="M40" s="49"/>
      <c r="N40" s="144"/>
      <c r="O40" s="145"/>
      <c r="P40" s="171" t="s">
        <v>24</v>
      </c>
      <c r="Q40" s="18">
        <v>13.4</v>
      </c>
      <c r="R40" s="19">
        <v>14.3</v>
      </c>
      <c r="S40" s="19">
        <v>13.2</v>
      </c>
      <c r="T40" s="19"/>
      <c r="U40" s="19"/>
      <c r="V40" s="20"/>
      <c r="W40" s="136">
        <f t="shared" si="6"/>
        <v>40.900000000000006</v>
      </c>
      <c r="X40" s="2"/>
      <c r="Y40" s="49"/>
      <c r="Z40" s="48"/>
      <c r="AA40" s="48"/>
      <c r="AB40" s="2"/>
      <c r="AC40" s="2"/>
      <c r="AD40" s="2"/>
      <c r="AE40" s="2"/>
    </row>
    <row r="41" spans="1:36" ht="33.75" customHeight="1" x14ac:dyDescent="0.25">
      <c r="A41" s="171" t="s">
        <v>20</v>
      </c>
      <c r="B41" s="18">
        <f>((((($B$47*$B$48)/1000)*7)-$B$40)/4)</f>
        <v>19.652499999999996</v>
      </c>
      <c r="C41" s="19">
        <f>((((($C$47*$C$48)/1000)*7)-$C$40)/4)</f>
        <v>49.592250000000007</v>
      </c>
      <c r="D41" s="19">
        <f>((((($D$47*$D$48)/1000)*7)-$D$40)/4)</f>
        <v>74.378</v>
      </c>
      <c r="E41" s="19">
        <f>((((($E$47*$E$48)/1000)*7)-$E$40)/4)</f>
        <v>57.876874999999998</v>
      </c>
      <c r="F41" s="19">
        <f>((((($F$47*$F$48)/1000)*7)-$F$40)/4)</f>
        <v>49.972499999999997</v>
      </c>
      <c r="G41" s="20">
        <f>((((($G$47*$G$48)/1000)*7)-$G$40)/4)</f>
        <v>30.086624999999998</v>
      </c>
      <c r="H41" s="231">
        <f t="shared" si="5"/>
        <v>281.55874999999997</v>
      </c>
      <c r="I41" s="49"/>
      <c r="J41" s="49"/>
      <c r="K41" s="49"/>
      <c r="L41" s="49"/>
      <c r="M41" s="49"/>
      <c r="N41" s="144"/>
      <c r="O41" s="145"/>
      <c r="P41" s="171" t="s">
        <v>20</v>
      </c>
      <c r="Q41" s="18">
        <f>((((($Q$47*$Q$48)/1000)*7)-$Q$40)/4)</f>
        <v>13.7125</v>
      </c>
      <c r="R41" s="19">
        <f>(((((R$47*R$48)/1000)*7)-$S$41)/4)</f>
        <v>14.737500000000001</v>
      </c>
      <c r="S41" s="19">
        <f>((((($S$47*$S$48)/1000)*7)-$S$40)/4)</f>
        <v>13.5</v>
      </c>
      <c r="T41" s="19"/>
      <c r="U41" s="19"/>
      <c r="V41" s="20"/>
      <c r="W41" s="136">
        <f t="shared" si="6"/>
        <v>41.95</v>
      </c>
      <c r="X41" s="2"/>
      <c r="Y41" s="49"/>
      <c r="Z41" s="48"/>
      <c r="AA41" s="48"/>
      <c r="AB41" s="2"/>
      <c r="AC41" s="2"/>
      <c r="AD41" s="2"/>
      <c r="AE41" s="2"/>
    </row>
    <row r="42" spans="1:36" ht="33.75" customHeight="1" x14ac:dyDescent="0.25">
      <c r="A42" s="171" t="s">
        <v>28</v>
      </c>
      <c r="B42" s="18">
        <f>((((($B$47*$B$48)/1000)*7)-$B$40)/4)</f>
        <v>19.652499999999996</v>
      </c>
      <c r="C42" s="19">
        <f>((((($C$47*$C$48)/1000)*7)-$C$40)/4)</f>
        <v>49.592250000000007</v>
      </c>
      <c r="D42" s="19">
        <f>((((($D$47*$D$48)/1000)*7)-$D$40)/4)</f>
        <v>74.378</v>
      </c>
      <c r="E42" s="19">
        <f>((((($E$47*$E$48)/1000)*7)-$E$40)/4)</f>
        <v>57.876874999999998</v>
      </c>
      <c r="F42" s="19">
        <f>((((($F$47*$F$48)/1000)*7)-$F$40)/4)</f>
        <v>49.972499999999997</v>
      </c>
      <c r="G42" s="20">
        <f>((((($G$47*$G$48)/1000)*7)-$G$40)/4)</f>
        <v>30.086624999999998</v>
      </c>
      <c r="H42" s="231">
        <f t="shared" si="5"/>
        <v>281.55874999999997</v>
      </c>
      <c r="I42" s="49"/>
      <c r="J42" s="49"/>
      <c r="K42" s="49"/>
      <c r="L42" s="49"/>
      <c r="M42" s="49"/>
      <c r="N42" s="144"/>
      <c r="O42" s="145"/>
      <c r="P42" s="171" t="s">
        <v>28</v>
      </c>
      <c r="Q42" s="18">
        <f>((((($Q$47*$Q$48)/1000)*7)-$Q$40)/4)</f>
        <v>13.7125</v>
      </c>
      <c r="R42" s="19">
        <f>(((((R$47*R$48)/1000)*7)-$S$41)/4)</f>
        <v>14.737500000000001</v>
      </c>
      <c r="S42" s="19">
        <f>((((($S$47*$S$48)/1000)*7)-$S$40)/4)</f>
        <v>13.5</v>
      </c>
      <c r="T42" s="19"/>
      <c r="U42" s="19"/>
      <c r="V42" s="20"/>
      <c r="W42" s="136">
        <f t="shared" si="6"/>
        <v>41.95</v>
      </c>
      <c r="X42" s="2"/>
      <c r="Y42" s="49"/>
      <c r="Z42" s="48"/>
      <c r="AA42" s="48"/>
      <c r="AB42" s="2"/>
      <c r="AC42" s="2"/>
      <c r="AD42" s="2"/>
      <c r="AE42" s="2"/>
    </row>
    <row r="43" spans="1:36" ht="33.75" customHeight="1" x14ac:dyDescent="0.25">
      <c r="A43" s="171" t="s">
        <v>21</v>
      </c>
      <c r="B43" s="18"/>
      <c r="C43" s="19"/>
      <c r="D43" s="19"/>
      <c r="E43" s="19"/>
      <c r="F43" s="19"/>
      <c r="G43" s="20"/>
      <c r="H43" s="231">
        <f t="shared" si="5"/>
        <v>0</v>
      </c>
      <c r="I43" s="49"/>
      <c r="J43" s="49"/>
      <c r="K43" s="49"/>
      <c r="L43" s="49"/>
      <c r="M43" s="49"/>
      <c r="N43" s="144"/>
      <c r="O43" s="145"/>
      <c r="P43" s="171" t="s">
        <v>21</v>
      </c>
      <c r="Q43" s="18"/>
      <c r="R43" s="19"/>
      <c r="S43" s="19"/>
      <c r="T43" s="19"/>
      <c r="U43" s="19"/>
      <c r="V43" s="20"/>
      <c r="W43" s="136">
        <f t="shared" si="6"/>
        <v>0</v>
      </c>
      <c r="X43" s="2"/>
      <c r="Y43" s="49"/>
      <c r="Z43" s="48"/>
      <c r="AA43" s="48"/>
      <c r="AB43" s="2"/>
      <c r="AC43" s="2"/>
      <c r="AD43" s="2"/>
      <c r="AE43" s="2"/>
    </row>
    <row r="44" spans="1:36" ht="33.75" customHeight="1" x14ac:dyDescent="0.25">
      <c r="A44" s="171" t="s">
        <v>22</v>
      </c>
      <c r="B44" s="18">
        <f>((((($B$47*$B$48)/1000)*7)-$B$40)/4)</f>
        <v>19.652499999999996</v>
      </c>
      <c r="C44" s="19">
        <f>((((($C$47*$C$48)/1000)*7)-$C$40)/4)</f>
        <v>49.592250000000007</v>
      </c>
      <c r="D44" s="19">
        <f>((((($D$47*$D$48)/1000)*7)-$D$40)/4)</f>
        <v>74.378</v>
      </c>
      <c r="E44" s="19">
        <f>((((($E$47*$E$48)/1000)*7)-$E$40)/4)</f>
        <v>57.876874999999998</v>
      </c>
      <c r="F44" s="19">
        <f>((((($F$47*$F$48)/1000)*7)-$F$40)/4)</f>
        <v>49.972499999999997</v>
      </c>
      <c r="G44" s="20">
        <f>((((($G$47*$G$48)/1000)*7)-$G$40)/4)</f>
        <v>30.086624999999998</v>
      </c>
      <c r="H44" s="231">
        <f t="shared" si="5"/>
        <v>281.55874999999997</v>
      </c>
      <c r="I44" s="49"/>
      <c r="J44" s="49"/>
      <c r="K44" s="49"/>
      <c r="L44" s="49"/>
      <c r="M44" s="49"/>
      <c r="N44" s="144"/>
      <c r="O44" s="145"/>
      <c r="P44" s="171" t="s">
        <v>22</v>
      </c>
      <c r="Q44" s="18">
        <f>((((($Q$47*$Q$48)/1000)*7)-$Q$40)/4)</f>
        <v>13.7125</v>
      </c>
      <c r="R44" s="19">
        <f>(((((R$47*R$48)/1000)*7)-$S$41)/4)</f>
        <v>14.737500000000001</v>
      </c>
      <c r="S44" s="19">
        <f>((((($S$47*$S$48)/1000)*7)-$S$40)/4)</f>
        <v>13.5</v>
      </c>
      <c r="T44" s="19"/>
      <c r="U44" s="19"/>
      <c r="V44" s="20"/>
      <c r="W44" s="136">
        <f t="shared" si="6"/>
        <v>41.95</v>
      </c>
      <c r="X44" s="2"/>
      <c r="Y44" s="49"/>
      <c r="Z44" s="48"/>
      <c r="AA44" s="48"/>
      <c r="AB44" s="2"/>
      <c r="AC44" s="2"/>
      <c r="AD44" s="2"/>
      <c r="AE44" s="2"/>
    </row>
    <row r="45" spans="1:36" ht="33.75" customHeight="1" thickBot="1" x14ac:dyDescent="0.3">
      <c r="A45" s="171" t="s">
        <v>32</v>
      </c>
      <c r="B45" s="153">
        <f>((((($B$47*$B$48)/1000)*7)-$B$40)/4)</f>
        <v>19.652499999999996</v>
      </c>
      <c r="C45" s="154">
        <f>((((($C$47*$C$48)/1000)*7)-$C$40)/4)</f>
        <v>49.592250000000007</v>
      </c>
      <c r="D45" s="154">
        <f>((((($D$47*$D$48)/1000)*7)-$D$40)/4)</f>
        <v>74.378</v>
      </c>
      <c r="E45" s="154">
        <f>((((($E$47*$E$48)/1000)*7)-$E$40)/4)</f>
        <v>57.876874999999998</v>
      </c>
      <c r="F45" s="154">
        <f>((((($F$47*$F$48)/1000)*7)-$F$40)/4)</f>
        <v>49.972499999999997</v>
      </c>
      <c r="G45" s="182">
        <f>((((($G$47*$G$48)/1000)*7)-$G$40)/4)</f>
        <v>30.086624999999998</v>
      </c>
      <c r="H45" s="241">
        <f t="shared" si="5"/>
        <v>281.55874999999997</v>
      </c>
      <c r="I45" s="49"/>
      <c r="J45" s="49"/>
      <c r="K45" s="49"/>
      <c r="L45" s="49"/>
      <c r="M45" s="49"/>
      <c r="N45" s="144"/>
      <c r="O45" s="145"/>
      <c r="P45" s="171" t="s">
        <v>23</v>
      </c>
      <c r="Q45" s="153">
        <f>((((($Q$47*$Q$48)/1000)*7)-$Q$40)/4)</f>
        <v>13.7125</v>
      </c>
      <c r="R45" s="154">
        <v>14.7</v>
      </c>
      <c r="S45" s="154">
        <f>((((($S$47*$S$48)/1000)*7)-$S$40)/4)</f>
        <v>13.5</v>
      </c>
      <c r="T45" s="154"/>
      <c r="U45" s="154"/>
      <c r="V45" s="182"/>
      <c r="W45" s="136">
        <f t="shared" si="6"/>
        <v>41.912500000000001</v>
      </c>
      <c r="X45" s="2"/>
      <c r="Y45" s="49"/>
      <c r="Z45" s="48"/>
      <c r="AA45" s="48"/>
      <c r="AB45" s="48"/>
      <c r="AC45" s="48"/>
      <c r="AD45" s="2"/>
      <c r="AE45" s="2"/>
      <c r="AF45" s="2"/>
      <c r="AG45" s="2"/>
    </row>
    <row r="46" spans="1:36" ht="33.75" customHeight="1" x14ac:dyDescent="0.25">
      <c r="A46" s="170" t="s">
        <v>9</v>
      </c>
      <c r="B46" s="217">
        <f t="shared" ref="B46:G46" si="7">SUM(B39:B45)</f>
        <v>97.509999999999991</v>
      </c>
      <c r="C46" s="218">
        <f t="shared" si="7"/>
        <v>246.16900000000004</v>
      </c>
      <c r="D46" s="218">
        <f t="shared" si="7"/>
        <v>369.01199999999994</v>
      </c>
      <c r="E46" s="218">
        <f t="shared" si="7"/>
        <v>286.80749999999995</v>
      </c>
      <c r="F46" s="218">
        <f t="shared" si="7"/>
        <v>247.58999999999997</v>
      </c>
      <c r="G46" s="178">
        <f t="shared" si="7"/>
        <v>149.44649999999999</v>
      </c>
      <c r="H46" s="239">
        <f t="shared" si="5"/>
        <v>1396.5349999999999</v>
      </c>
      <c r="I46" s="49"/>
      <c r="J46" s="49"/>
      <c r="K46" s="49"/>
      <c r="L46" s="49"/>
      <c r="M46" s="49"/>
      <c r="N46" s="49"/>
      <c r="P46" s="80" t="s">
        <v>9</v>
      </c>
      <c r="Q46" s="187">
        <f>SUM(Q39:Q45)</f>
        <v>68.25</v>
      </c>
      <c r="R46" s="187">
        <f>SUM(R39:R45)</f>
        <v>73.212500000000006</v>
      </c>
      <c r="S46" s="187">
        <f>SUM(S39:S45)</f>
        <v>67.2</v>
      </c>
      <c r="T46" s="187"/>
      <c r="U46" s="218"/>
      <c r="V46" s="219"/>
      <c r="W46" s="231">
        <f>SUM(W40,W41,W42,W44,W45)</f>
        <v>208.66249999999999</v>
      </c>
      <c r="X46" s="49"/>
      <c r="Y46" s="49"/>
      <c r="Z46" s="2"/>
      <c r="AA46" s="2"/>
      <c r="AB46" s="2"/>
      <c r="AC46" s="2"/>
      <c r="AD46" s="2"/>
      <c r="AE46" s="2"/>
      <c r="AF46" s="2"/>
      <c r="AG46" s="2"/>
    </row>
    <row r="47" spans="1:36" ht="33.75" customHeight="1" x14ac:dyDescent="0.25">
      <c r="A47" s="192" t="s">
        <v>11</v>
      </c>
      <c r="B47" s="23">
        <v>70</v>
      </c>
      <c r="C47" s="24">
        <v>69.5</v>
      </c>
      <c r="D47" s="24">
        <v>69</v>
      </c>
      <c r="E47" s="24">
        <v>67.5</v>
      </c>
      <c r="F47" s="24">
        <v>65.5</v>
      </c>
      <c r="G47" s="25">
        <v>64.5</v>
      </c>
      <c r="H47" s="137">
        <f>+((H46/H48)/7)*1000</f>
        <v>67.697658635900908</v>
      </c>
      <c r="I47" s="50"/>
      <c r="J47" s="50"/>
      <c r="K47" s="50"/>
      <c r="L47" s="50"/>
      <c r="M47" s="50"/>
      <c r="N47" s="49"/>
      <c r="P47" s="93" t="s">
        <v>11</v>
      </c>
      <c r="Q47" s="63">
        <v>75</v>
      </c>
      <c r="R47" s="24">
        <v>75</v>
      </c>
      <c r="S47" s="24">
        <v>75</v>
      </c>
      <c r="T47" s="24"/>
      <c r="U47" s="24"/>
      <c r="V47" s="228"/>
      <c r="W47" s="232">
        <f>+((W46/W48)/7)*1000</f>
        <v>75.275072150072148</v>
      </c>
      <c r="X47" s="50"/>
      <c r="Y47" s="50"/>
    </row>
    <row r="48" spans="1:36" ht="33.75" customHeight="1" x14ac:dyDescent="0.25">
      <c r="A48" s="193" t="s">
        <v>12</v>
      </c>
      <c r="B48" s="26">
        <v>199</v>
      </c>
      <c r="C48" s="27">
        <v>506</v>
      </c>
      <c r="D48" s="27">
        <v>764</v>
      </c>
      <c r="E48" s="27">
        <v>607</v>
      </c>
      <c r="F48" s="27">
        <v>540</v>
      </c>
      <c r="G48" s="28">
        <v>331</v>
      </c>
      <c r="H48" s="138">
        <f>SUM(B48:G48)</f>
        <v>2947</v>
      </c>
      <c r="I48" s="198"/>
      <c r="J48" s="198"/>
      <c r="K48" s="198"/>
      <c r="L48" s="198"/>
      <c r="M48" s="198"/>
      <c r="N48" s="49"/>
      <c r="O48" s="51"/>
      <c r="P48" s="71" t="s">
        <v>12</v>
      </c>
      <c r="Q48" s="79">
        <v>130</v>
      </c>
      <c r="R48" s="79">
        <v>138</v>
      </c>
      <c r="S48" s="79">
        <v>128</v>
      </c>
      <c r="T48" s="79"/>
      <c r="U48" s="79"/>
      <c r="V48" s="162"/>
      <c r="W48" s="233">
        <f>SUM(Q48:T48)</f>
        <v>396</v>
      </c>
      <c r="X48" s="52"/>
      <c r="Y48" s="52"/>
    </row>
    <row r="49" spans="1:37" ht="33.75" customHeight="1" x14ac:dyDescent="0.25">
      <c r="A49" s="194" t="s">
        <v>13</v>
      </c>
      <c r="B49" s="30">
        <f t="shared" ref="B49:G49" si="8">(B48*B47)/1000</f>
        <v>13.93</v>
      </c>
      <c r="C49" s="31">
        <f t="shared" si="8"/>
        <v>35.167000000000002</v>
      </c>
      <c r="D49" s="31">
        <f t="shared" si="8"/>
        <v>52.716000000000001</v>
      </c>
      <c r="E49" s="31">
        <f t="shared" si="8"/>
        <v>40.972499999999997</v>
      </c>
      <c r="F49" s="31">
        <f t="shared" si="8"/>
        <v>35.369999999999997</v>
      </c>
      <c r="G49" s="32">
        <f t="shared" si="8"/>
        <v>21.349499999999999</v>
      </c>
      <c r="H49" s="139">
        <f>((H46*1000)/H48)/7</f>
        <v>67.697658635900908</v>
      </c>
      <c r="I49" s="199"/>
      <c r="J49" s="199"/>
      <c r="K49" s="199"/>
      <c r="L49" s="199"/>
      <c r="M49" s="199"/>
      <c r="N49" s="49"/>
      <c r="P49" s="72" t="s">
        <v>13</v>
      </c>
      <c r="Q49" s="65">
        <v>81.569999999999993</v>
      </c>
      <c r="R49" s="65">
        <v>81.569999999999993</v>
      </c>
      <c r="S49" s="65">
        <v>81.569999999999993</v>
      </c>
      <c r="T49" s="65"/>
      <c r="U49" s="31"/>
      <c r="V49" s="163"/>
      <c r="W49" s="234">
        <f>((W46*1000)/W48)/7</f>
        <v>75.275072150072148</v>
      </c>
      <c r="X49" s="52"/>
      <c r="Y49" s="52"/>
    </row>
    <row r="50" spans="1:37" ht="33.75" customHeight="1" thickBot="1" x14ac:dyDescent="0.3">
      <c r="A50" s="185" t="s">
        <v>14</v>
      </c>
      <c r="B50" s="34">
        <f t="shared" ref="B50:G50" si="9">((B48*B47)*7)/1000</f>
        <v>97.51</v>
      </c>
      <c r="C50" s="35">
        <f t="shared" si="9"/>
        <v>246.16900000000001</v>
      </c>
      <c r="D50" s="35">
        <f t="shared" si="9"/>
        <v>369.012</v>
      </c>
      <c r="E50" s="35">
        <f t="shared" si="9"/>
        <v>286.8075</v>
      </c>
      <c r="F50" s="35">
        <f t="shared" si="9"/>
        <v>247.59</v>
      </c>
      <c r="G50" s="68">
        <f t="shared" si="9"/>
        <v>149.44649999999999</v>
      </c>
      <c r="H50" s="112"/>
      <c r="I50" s="41"/>
      <c r="J50" s="41"/>
      <c r="K50" s="41"/>
      <c r="L50" s="41"/>
      <c r="M50" s="41"/>
      <c r="N50" s="49"/>
      <c r="P50" s="73" t="s">
        <v>14</v>
      </c>
      <c r="Q50" s="66">
        <f>((Q48*Q47)*7)/1000</f>
        <v>68.25</v>
      </c>
      <c r="R50" s="66">
        <f>((R48*R47)*7)/1000</f>
        <v>72.45</v>
      </c>
      <c r="S50" s="66">
        <f>((S48*S47)*7)/1000</f>
        <v>67.2</v>
      </c>
      <c r="T50" s="66"/>
      <c r="U50" s="35"/>
      <c r="V50" s="206"/>
      <c r="W50" s="214"/>
    </row>
    <row r="51" spans="1:37" ht="33.75" customHeight="1" thickBot="1" x14ac:dyDescent="0.3">
      <c r="A51" s="195" t="s">
        <v>15</v>
      </c>
      <c r="B51" s="37">
        <f t="shared" ref="B51:G51" si="10">+(B46/B48)/7*1000</f>
        <v>69.999999999999986</v>
      </c>
      <c r="C51" s="38">
        <f t="shared" si="10"/>
        <v>69.500000000000014</v>
      </c>
      <c r="D51" s="38">
        <f t="shared" si="10"/>
        <v>68.999999999999986</v>
      </c>
      <c r="E51" s="38">
        <f t="shared" si="10"/>
        <v>67.499999999999986</v>
      </c>
      <c r="F51" s="38">
        <f t="shared" si="10"/>
        <v>65.499999999999986</v>
      </c>
      <c r="G51" s="39">
        <f t="shared" si="10"/>
        <v>64.499999999999986</v>
      </c>
      <c r="H51" s="140"/>
      <c r="I51" s="41"/>
      <c r="J51" s="41"/>
      <c r="K51" s="41"/>
      <c r="L51" s="41"/>
      <c r="M51" s="41"/>
      <c r="N51" s="49"/>
      <c r="O51" s="41"/>
      <c r="P51" s="74" t="s">
        <v>15</v>
      </c>
      <c r="Q51" s="67">
        <f>+(Q46/Q48)/7*1000</f>
        <v>75</v>
      </c>
      <c r="R51" s="67">
        <f>+(R46/R48)/7*1000</f>
        <v>75.789337474120089</v>
      </c>
      <c r="S51" s="67">
        <f>+(S46/S48)/7*1000</f>
        <v>75</v>
      </c>
      <c r="T51" s="67"/>
      <c r="U51" s="38"/>
      <c r="V51" s="38"/>
      <c r="W51" s="230"/>
      <c r="X51" s="42"/>
      <c r="Y51" s="42"/>
    </row>
    <row r="52" spans="1:37" ht="33.75" customHeight="1" x14ac:dyDescent="0.25">
      <c r="A52" s="41"/>
      <c r="B52" s="10"/>
      <c r="C52" s="10"/>
      <c r="D52" s="10"/>
      <c r="E52" s="10"/>
      <c r="F52" s="10"/>
      <c r="G52" s="10"/>
      <c r="H52" s="41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2"/>
      <c r="AB52" s="2"/>
      <c r="AC52" s="2"/>
      <c r="AD52" s="2"/>
      <c r="AE52" s="2"/>
    </row>
    <row r="53" spans="1:37" ht="33.75" customHeight="1" x14ac:dyDescent="0.25">
      <c r="A53" s="41"/>
      <c r="B53" s="197"/>
      <c r="C53" s="197"/>
      <c r="D53" s="197"/>
      <c r="E53" s="197"/>
      <c r="F53" s="197"/>
      <c r="G53" s="197"/>
      <c r="H53" s="41"/>
      <c r="I53" s="41"/>
      <c r="J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2"/>
      <c r="X53" s="43"/>
      <c r="Y53" s="43"/>
      <c r="Z53" s="43"/>
      <c r="AA53" s="2"/>
      <c r="AB53" s="2"/>
      <c r="AC53" s="2"/>
      <c r="AD53" s="2"/>
      <c r="AH53" s="3"/>
    </row>
    <row r="54" spans="1:37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958"/>
      <c r="P54" s="958"/>
      <c r="Q54" s="54"/>
      <c r="R54" s="54"/>
      <c r="S54" s="54"/>
      <c r="T54" s="54"/>
      <c r="U54" s="55"/>
      <c r="Z54" s="43"/>
      <c r="AA54" s="43"/>
      <c r="AB54" s="43"/>
      <c r="AC54" s="2"/>
      <c r="AD54" s="2"/>
      <c r="AE54" s="2"/>
      <c r="AF54" s="2"/>
      <c r="AH54" s="2"/>
      <c r="AI54" s="2"/>
      <c r="AJ54" s="2"/>
    </row>
    <row r="55" spans="1:37" ht="33.75" customHeight="1" x14ac:dyDescent="0.25">
      <c r="A55" s="88" t="s">
        <v>19</v>
      </c>
      <c r="B55" s="956" t="s">
        <v>30</v>
      </c>
      <c r="C55" s="956"/>
      <c r="D55" s="956"/>
      <c r="E55" s="956"/>
      <c r="F55" s="957"/>
      <c r="G55" s="158"/>
      <c r="H55" s="85"/>
      <c r="I55" s="56"/>
      <c r="J55" s="56"/>
      <c r="K55" s="56"/>
      <c r="L55" s="56"/>
      <c r="M55" s="56"/>
      <c r="N55" s="56"/>
      <c r="O55" s="56"/>
      <c r="AA55" s="43"/>
      <c r="AB55" s="43"/>
      <c r="AC55" s="43"/>
      <c r="AD55" s="2"/>
      <c r="AE55" s="2"/>
      <c r="AF55" s="2"/>
      <c r="AG55" s="2"/>
      <c r="AI55" s="2"/>
      <c r="AJ55" s="2"/>
      <c r="AK55" s="2"/>
    </row>
    <row r="56" spans="1:37" ht="33.75" customHeight="1" x14ac:dyDescent="0.25">
      <c r="A56" s="80" t="s">
        <v>34</v>
      </c>
      <c r="B56" s="60"/>
      <c r="C56" s="12"/>
      <c r="D56" s="12"/>
      <c r="E56" s="12"/>
      <c r="F56" s="12"/>
      <c r="G56" s="159"/>
      <c r="H56" s="76" t="s">
        <v>9</v>
      </c>
      <c r="O56" s="45"/>
      <c r="P56" s="45"/>
      <c r="Q56" s="45"/>
      <c r="R56" s="45"/>
      <c r="S56" s="57"/>
      <c r="T56" s="57"/>
      <c r="U56" s="57"/>
      <c r="V56" s="57"/>
      <c r="W56" s="45"/>
      <c r="X56" s="45"/>
      <c r="Y56" s="58"/>
      <c r="Z56" s="58"/>
      <c r="AA56" s="58"/>
      <c r="AB56" s="2"/>
      <c r="AC56" s="2"/>
      <c r="AD56" s="2"/>
      <c r="AE56" s="2"/>
      <c r="AG56" s="2"/>
      <c r="AH56" s="2"/>
      <c r="AI56" s="2"/>
    </row>
    <row r="57" spans="1:37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107"/>
      <c r="H57" s="76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57"/>
      <c r="T57" s="57"/>
      <c r="U57" s="57"/>
      <c r="V57" s="57"/>
      <c r="W57" s="45"/>
      <c r="X57" s="45"/>
      <c r="Y57" s="58"/>
      <c r="Z57" s="58"/>
      <c r="AA57" s="58"/>
      <c r="AB57" s="2"/>
      <c r="AC57" s="2"/>
      <c r="AD57" s="2"/>
      <c r="AE57" s="2"/>
      <c r="AF57" s="2"/>
      <c r="AG57" s="2"/>
      <c r="AH57" s="2"/>
      <c r="AI57" s="2"/>
    </row>
    <row r="58" spans="1:37" ht="33.75" customHeight="1" x14ac:dyDescent="0.25">
      <c r="A58" s="96" t="s">
        <v>53</v>
      </c>
      <c r="B58" s="61"/>
      <c r="C58" s="61"/>
      <c r="D58" s="61"/>
      <c r="E58" s="61"/>
      <c r="F58" s="61"/>
      <c r="G58" s="160"/>
      <c r="H58" s="77">
        <f>SUM(B58:F58)</f>
        <v>0</v>
      </c>
      <c r="I58" s="42"/>
      <c r="J58" s="42"/>
      <c r="K58" s="42"/>
      <c r="L58" s="42"/>
      <c r="M58" s="42"/>
      <c r="N58" s="42"/>
      <c r="O58" s="2"/>
      <c r="P58" s="45"/>
      <c r="Q58" s="45"/>
      <c r="R58" s="45"/>
      <c r="S58" s="57"/>
      <c r="T58" s="57"/>
      <c r="U58" s="57"/>
      <c r="V58" s="57"/>
      <c r="W58" s="45"/>
      <c r="X58" s="45"/>
      <c r="Y58" s="58"/>
      <c r="Z58" s="58"/>
      <c r="AA58" s="58"/>
      <c r="AB58" s="2"/>
      <c r="AC58" s="2"/>
      <c r="AD58" s="2"/>
      <c r="AE58" s="2"/>
      <c r="AF58" s="2"/>
      <c r="AG58" s="2"/>
      <c r="AH58" s="2"/>
      <c r="AI58" s="2"/>
    </row>
    <row r="59" spans="1:37" ht="33.75" customHeight="1" x14ac:dyDescent="0.25">
      <c r="A59" s="96" t="s">
        <v>24</v>
      </c>
      <c r="B59" s="61">
        <v>23</v>
      </c>
      <c r="C59" s="61">
        <v>25.6</v>
      </c>
      <c r="D59" s="61">
        <v>33</v>
      </c>
      <c r="E59" s="61">
        <v>28</v>
      </c>
      <c r="F59" s="61">
        <v>32.1</v>
      </c>
      <c r="G59" s="160"/>
      <c r="H59" s="77">
        <f>SUM(B59:G59)</f>
        <v>141.69999999999999</v>
      </c>
      <c r="I59" s="42"/>
      <c r="J59" s="42"/>
      <c r="K59" s="42"/>
      <c r="L59" s="42"/>
      <c r="M59" s="42"/>
      <c r="N59" s="42"/>
      <c r="O59" s="2"/>
      <c r="P59" s="45"/>
      <c r="Q59" s="45"/>
      <c r="R59" s="45"/>
      <c r="S59" s="57"/>
      <c r="T59" s="57"/>
      <c r="U59" s="57"/>
      <c r="V59" s="57"/>
      <c r="W59" s="45"/>
      <c r="X59" s="45"/>
      <c r="Y59" s="58"/>
      <c r="Z59" s="58"/>
      <c r="AA59" s="58"/>
      <c r="AB59" s="2"/>
      <c r="AC59" s="2"/>
      <c r="AD59" s="2"/>
      <c r="AE59" s="2"/>
      <c r="AF59" s="2"/>
      <c r="AG59" s="2"/>
      <c r="AH59" s="2"/>
      <c r="AI59" s="2"/>
    </row>
    <row r="60" spans="1:37" ht="33.75" customHeight="1" x14ac:dyDescent="0.25">
      <c r="A60" s="96" t="s">
        <v>20</v>
      </c>
      <c r="B60" s="61">
        <f>((((($B$66*$B$67)/1000)*7)-$B$59)/4)</f>
        <v>23.922999999999998</v>
      </c>
      <c r="C60" s="61">
        <f>((((($C$66*$C$67)/1000)*7)-$C$59)/4)</f>
        <v>26.57</v>
      </c>
      <c r="D60" s="61">
        <f>((((($D$66*$D$67)/1000)*7)-$D$59)/4)</f>
        <v>33.924124999999997</v>
      </c>
      <c r="E60" s="61">
        <f>((((($E$66*$E$67)/1000)*7)-$E$59)/4)</f>
        <v>29.129624999999997</v>
      </c>
      <c r="F60" s="61">
        <f>((((($F$66*$F$67)/1000)*7)-$F$59)/4)</f>
        <v>33.462250000000004</v>
      </c>
      <c r="G60" s="160"/>
      <c r="H60" s="77">
        <f>SUM(B60:F60)</f>
        <v>147.00900000000001</v>
      </c>
      <c r="I60" s="42"/>
      <c r="J60" s="42"/>
      <c r="K60" s="42"/>
      <c r="L60" s="42"/>
      <c r="M60" s="42"/>
      <c r="N60" s="42"/>
      <c r="O60" s="2"/>
      <c r="P60" s="45"/>
      <c r="Q60" s="45"/>
      <c r="R60" s="45"/>
      <c r="S60" s="57"/>
      <c r="T60" s="57"/>
      <c r="U60" s="57"/>
      <c r="V60" s="57"/>
      <c r="W60" s="45"/>
      <c r="X60" s="45"/>
      <c r="Y60" s="58"/>
      <c r="Z60" s="58"/>
      <c r="AA60" s="58"/>
      <c r="AB60" s="2"/>
      <c r="AC60" s="2"/>
      <c r="AD60" s="2"/>
      <c r="AE60" s="2"/>
      <c r="AF60" s="2"/>
      <c r="AG60" s="2"/>
      <c r="AH60" s="2"/>
      <c r="AI60" s="2"/>
    </row>
    <row r="61" spans="1:37" ht="33.75" customHeight="1" x14ac:dyDescent="0.25">
      <c r="A61" s="96" t="s">
        <v>28</v>
      </c>
      <c r="B61" s="61">
        <f>((((($B$66*$B$67)/1000)*7)-$B$59)/4)</f>
        <v>23.922999999999998</v>
      </c>
      <c r="C61" s="61">
        <f>((((($C$66*$C$67)/1000)*7)-$C$59)/4)</f>
        <v>26.57</v>
      </c>
      <c r="D61" s="61">
        <f>((((($D$66*$D$67)/1000)*7)-$D$59)/4)</f>
        <v>33.924124999999997</v>
      </c>
      <c r="E61" s="61">
        <f>((((($E$66*$E$67)/1000)*7)-$E$59)/4)</f>
        <v>29.129624999999997</v>
      </c>
      <c r="F61" s="61">
        <f>((((($F$66*$F$67)/1000)*7)-$F$59)/4)</f>
        <v>33.462250000000004</v>
      </c>
      <c r="G61" s="160"/>
      <c r="H61" s="77">
        <f>SUM(B61:F61)</f>
        <v>147.00900000000001</v>
      </c>
      <c r="I61" s="42"/>
      <c r="J61" s="42"/>
      <c r="K61" s="42"/>
      <c r="L61" s="42"/>
      <c r="M61" s="42"/>
      <c r="N61" s="42"/>
      <c r="O61" s="2"/>
      <c r="P61" s="45"/>
      <c r="Q61" s="45"/>
      <c r="R61" s="45"/>
      <c r="S61" s="57"/>
      <c r="T61" s="57"/>
      <c r="U61" s="57"/>
      <c r="V61" s="57"/>
      <c r="W61" s="45"/>
      <c r="X61" s="45"/>
      <c r="Y61" s="58"/>
      <c r="Z61" s="58"/>
      <c r="AA61" s="58"/>
      <c r="AB61" s="3"/>
      <c r="AC61" s="3"/>
      <c r="AD61" s="2"/>
      <c r="AE61" s="2"/>
      <c r="AF61" s="2"/>
      <c r="AG61" s="2"/>
      <c r="AH61" s="2"/>
      <c r="AI61" s="2"/>
    </row>
    <row r="62" spans="1:37" ht="33.75" customHeight="1" x14ac:dyDescent="0.25">
      <c r="A62" s="96" t="s">
        <v>21</v>
      </c>
      <c r="B62" s="61"/>
      <c r="C62" s="61"/>
      <c r="D62" s="61"/>
      <c r="E62" s="61"/>
      <c r="F62" s="61"/>
      <c r="G62" s="160"/>
      <c r="H62" s="77">
        <f>SUM(B62:F62)</f>
        <v>0</v>
      </c>
      <c r="I62" s="42"/>
      <c r="J62" s="42"/>
      <c r="K62" s="42"/>
      <c r="L62" s="42"/>
      <c r="M62" s="42"/>
      <c r="N62" s="42"/>
      <c r="O62" s="2"/>
      <c r="P62" s="45"/>
      <c r="Q62" s="45"/>
      <c r="R62" s="45"/>
      <c r="S62" s="57"/>
      <c r="T62" s="57"/>
      <c r="U62" s="57"/>
      <c r="V62" s="57"/>
      <c r="W62" s="45"/>
      <c r="X62" s="45"/>
      <c r="Y62" s="58"/>
      <c r="Z62" s="58"/>
      <c r="AA62" s="58"/>
      <c r="AB62" s="3"/>
      <c r="AC62" s="3"/>
      <c r="AD62" s="2"/>
      <c r="AE62" s="2"/>
      <c r="AF62" s="2"/>
      <c r="AG62" s="2"/>
      <c r="AH62" s="2"/>
      <c r="AI62" s="2"/>
    </row>
    <row r="63" spans="1:37" ht="33.75" customHeight="1" x14ac:dyDescent="0.25">
      <c r="A63" s="96" t="s">
        <v>22</v>
      </c>
      <c r="B63" s="61">
        <f>((((($B$66*$B$67)/1000)*7)-$B$59)/4)</f>
        <v>23.922999999999998</v>
      </c>
      <c r="C63" s="61">
        <f>((((($C$66*$C$67)/1000)*7)-$C$59)/4)</f>
        <v>26.57</v>
      </c>
      <c r="D63" s="61">
        <f>((((($D$66*$D$67)/1000)*7)-$D$59)/4)</f>
        <v>33.924124999999997</v>
      </c>
      <c r="E63" s="61">
        <f>((((($E$66*$E$67)/1000)*7)-$E$59)/4)</f>
        <v>29.129624999999997</v>
      </c>
      <c r="F63" s="61">
        <f>((((($F$66*$F$67)/1000)*7)-$F$59)/4)</f>
        <v>33.462250000000004</v>
      </c>
      <c r="G63" s="160"/>
      <c r="H63" s="77">
        <f>SUM(B63:F63)</f>
        <v>147.00900000000001</v>
      </c>
      <c r="I63" s="42"/>
      <c r="J63" s="42"/>
      <c r="K63" s="42"/>
      <c r="L63" s="42"/>
      <c r="M63" s="42"/>
      <c r="N63" s="42"/>
      <c r="O63" s="2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3"/>
      <c r="AC63" s="3"/>
      <c r="AF63" s="2"/>
      <c r="AG63" s="2"/>
      <c r="AH63" s="2"/>
      <c r="AI63" s="2"/>
    </row>
    <row r="64" spans="1:37" ht="33.75" customHeight="1" x14ac:dyDescent="0.25">
      <c r="A64" s="96" t="s">
        <v>23</v>
      </c>
      <c r="B64" s="61">
        <f>((((($B$66*$B$67)/1000)*7)-$B$59)/4)</f>
        <v>23.922999999999998</v>
      </c>
      <c r="C64" s="61">
        <f>((((($C$66*$C$67)/1000)*7)-$C$59)/4)</f>
        <v>26.57</v>
      </c>
      <c r="D64" s="61">
        <f>((((($D$66*$D$67)/1000)*7)-$D$59)/4)</f>
        <v>33.924124999999997</v>
      </c>
      <c r="E64" s="61">
        <f>((((($E$66*$E$67)/1000)*7)-$E$59)/4)</f>
        <v>29.129624999999997</v>
      </c>
      <c r="F64" s="61">
        <f>((((($F$66*$F$67)/1000)*7)-$F$59)/4)</f>
        <v>33.462250000000004</v>
      </c>
      <c r="G64" s="160"/>
      <c r="H64" s="77">
        <f>SUM(B64:F64)</f>
        <v>147.00900000000001</v>
      </c>
      <c r="I64" s="42"/>
      <c r="J64" s="42"/>
      <c r="K64" s="42"/>
      <c r="L64" s="42"/>
      <c r="M64" s="42"/>
      <c r="N64" s="42"/>
      <c r="O64" s="2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3"/>
      <c r="AC64" s="3"/>
      <c r="AF64" s="2"/>
      <c r="AG64" s="2"/>
      <c r="AH64" s="2"/>
      <c r="AI64" s="2"/>
    </row>
    <row r="65" spans="1:35" ht="33.75" customHeight="1" x14ac:dyDescent="0.25">
      <c r="A65" s="80" t="s">
        <v>9</v>
      </c>
      <c r="B65" s="62">
        <f>SUM(B58:B64)</f>
        <v>118.69200000000001</v>
      </c>
      <c r="C65" s="62">
        <f>SUM(C58:C64)</f>
        <v>131.88</v>
      </c>
      <c r="D65" s="62">
        <f>SUM(D58:D64)</f>
        <v>168.69650000000001</v>
      </c>
      <c r="E65" s="62">
        <f>SUM(E58:E64)</f>
        <v>144.51849999999999</v>
      </c>
      <c r="F65" s="62">
        <f>SUM(F58:F64)</f>
        <v>165.94900000000004</v>
      </c>
      <c r="G65" s="62"/>
      <c r="H65" s="77">
        <f>SUM(B65:G65)</f>
        <v>729.7360000000001</v>
      </c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3"/>
      <c r="AC65" s="3"/>
      <c r="AD65" s="3"/>
      <c r="AE65" s="3"/>
      <c r="AF65" s="2"/>
      <c r="AG65" s="2"/>
      <c r="AH65" s="2"/>
      <c r="AI65" s="2"/>
    </row>
    <row r="66" spans="1:35" ht="33.75" customHeight="1" x14ac:dyDescent="0.25">
      <c r="A66" s="70" t="s">
        <v>11</v>
      </c>
      <c r="B66" s="63">
        <v>78.5</v>
      </c>
      <c r="C66" s="63">
        <v>78.5</v>
      </c>
      <c r="D66" s="63">
        <v>78.5</v>
      </c>
      <c r="E66" s="63">
        <v>78.5</v>
      </c>
      <c r="F66" s="63">
        <v>78.5</v>
      </c>
      <c r="G66" s="161"/>
      <c r="H66" s="78">
        <f>+((H65/H67)/7)*1000</f>
        <v>78.500000000000014</v>
      </c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3"/>
      <c r="AC66" s="3"/>
      <c r="AD66" s="3"/>
      <c r="AE66" s="3"/>
      <c r="AF66" s="2"/>
      <c r="AG66" s="2"/>
      <c r="AH66" s="2"/>
      <c r="AI66" s="2"/>
    </row>
    <row r="67" spans="1:35" ht="33.75" customHeight="1" x14ac:dyDescent="0.25">
      <c r="A67" s="71" t="s">
        <v>12</v>
      </c>
      <c r="B67" s="79">
        <v>216</v>
      </c>
      <c r="C67" s="79">
        <v>240</v>
      </c>
      <c r="D67" s="79">
        <v>307</v>
      </c>
      <c r="E67" s="79">
        <v>263</v>
      </c>
      <c r="F67" s="79">
        <v>302</v>
      </c>
      <c r="G67" s="162"/>
      <c r="H67" s="82">
        <f>SUM(B67:G67)</f>
        <v>1328</v>
      </c>
      <c r="O67" s="59"/>
      <c r="S67" s="3"/>
      <c r="T67" s="3"/>
      <c r="U67" s="3"/>
      <c r="V67" s="3"/>
      <c r="W67" s="3"/>
      <c r="X67" s="3"/>
    </row>
    <row r="68" spans="1:35" ht="33.75" customHeight="1" x14ac:dyDescent="0.25">
      <c r="A68" s="72" t="s">
        <v>13</v>
      </c>
      <c r="B68" s="65">
        <v>83.71</v>
      </c>
      <c r="C68" s="31">
        <f>(C67*C66)/1000</f>
        <v>18.84</v>
      </c>
      <c r="D68" s="31">
        <f>(D67*D66)/1000</f>
        <v>24.099499999999999</v>
      </c>
      <c r="E68" s="31">
        <f>(E67*E66)/1000</f>
        <v>20.645499999999998</v>
      </c>
      <c r="F68" s="31">
        <f>(F67*F66)/1000</f>
        <v>23.707000000000001</v>
      </c>
      <c r="G68" s="31"/>
      <c r="H68" s="86">
        <f>((H65*1000)/H67)/7</f>
        <v>78.500000000000014</v>
      </c>
      <c r="S68" s="3"/>
      <c r="T68" s="3"/>
      <c r="U68" s="3"/>
      <c r="V68" s="3"/>
      <c r="W68" s="3"/>
      <c r="X68" s="3"/>
    </row>
    <row r="69" spans="1:35" ht="33.75" customHeight="1" x14ac:dyDescent="0.25">
      <c r="A69" s="73" t="s">
        <v>14</v>
      </c>
      <c r="B69" s="66">
        <f>((B67*B66)*7)/1000</f>
        <v>118.69199999999999</v>
      </c>
      <c r="C69" s="35">
        <f>((C67*C66)*7)/1000</f>
        <v>131.88</v>
      </c>
      <c r="D69" s="35">
        <f>((D67*D66)*7)/1000</f>
        <v>168.69649999999999</v>
      </c>
      <c r="E69" s="35">
        <f>((E67*E66)*7)/1000</f>
        <v>144.51849999999999</v>
      </c>
      <c r="F69" s="35">
        <f>((F67*F66)*7)/1000</f>
        <v>165.94900000000001</v>
      </c>
      <c r="G69" s="35"/>
      <c r="H69" s="68"/>
      <c r="I69" s="41"/>
      <c r="J69" s="41"/>
      <c r="K69" s="41"/>
      <c r="L69" s="41"/>
      <c r="M69" s="41"/>
      <c r="N69" s="41"/>
      <c r="X69" s="3"/>
    </row>
    <row r="70" spans="1:35" ht="33.75" customHeight="1" thickBot="1" x14ac:dyDescent="0.3">
      <c r="A70" s="74" t="s">
        <v>15</v>
      </c>
      <c r="B70" s="67">
        <f>+(B65/B67)/7*1000</f>
        <v>78.5</v>
      </c>
      <c r="C70" s="67">
        <f>+(C65/C67)/7*1000</f>
        <v>78.5</v>
      </c>
      <c r="D70" s="67">
        <f>+(D65/D67)/7*1000</f>
        <v>78.500000000000014</v>
      </c>
      <c r="E70" s="67">
        <f>+(E65/E67)/7*1000</f>
        <v>78.5</v>
      </c>
      <c r="F70" s="67">
        <f>+(F65/F67)/7*1000</f>
        <v>78.500000000000014</v>
      </c>
      <c r="G70" s="67"/>
      <c r="H70" s="87"/>
      <c r="X70" s="3"/>
    </row>
    <row r="71" spans="1:35" ht="33.75" customHeight="1" x14ac:dyDescent="0.25">
      <c r="B71" s="148"/>
    </row>
    <row r="72" spans="1:35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52"/>
    </row>
    <row r="73" spans="1:35" ht="33.75" customHeight="1" x14ac:dyDescent="0.25"/>
    <row r="74" spans="1:35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  <c r="M74" s="45"/>
      <c r="N74" s="45"/>
      <c r="O74" s="45"/>
    </row>
    <row r="75" spans="1:35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5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5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5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5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G36"/>
    <mergeCell ref="Q36:V36"/>
    <mergeCell ref="N37:O37"/>
    <mergeCell ref="O54:P54"/>
    <mergeCell ref="B55:F55"/>
    <mergeCell ref="A3:C3"/>
    <mergeCell ref="E9:G9"/>
    <mergeCell ref="X9:Y9"/>
    <mergeCell ref="P11:Q11"/>
    <mergeCell ref="B15:I15"/>
    <mergeCell ref="J15:M15"/>
    <mergeCell ref="N15:R15"/>
    <mergeCell ref="S15:X15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K239"/>
  <sheetViews>
    <sheetView workbookViewId="0"/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9.140625" style="14" customWidth="1"/>
    <col min="9" max="13" width="20.140625" style="14" customWidth="1"/>
    <col min="14" max="14" width="28.28515625" style="14" bestFit="1" customWidth="1"/>
    <col min="15" max="16" width="33.42578125" style="14" bestFit="1" customWidth="1"/>
    <col min="17" max="17" width="22.7109375" style="14" customWidth="1"/>
    <col min="18" max="20" width="21.28515625" style="14" customWidth="1"/>
    <col min="21" max="21" width="21.28515625" style="14" bestFit="1" customWidth="1"/>
    <col min="22" max="22" width="21.28515625" style="14" customWidth="1"/>
    <col min="23" max="23" width="27.85546875" style="14" customWidth="1"/>
    <col min="24" max="24" width="25.85546875" style="14" customWidth="1"/>
    <col min="25" max="25" width="21.42578125" style="14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 t="s">
        <v>3</v>
      </c>
      <c r="X9" s="960" t="s">
        <v>35</v>
      </c>
      <c r="Y9" s="960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65" t="s">
        <v>70</v>
      </c>
      <c r="Q11" s="965"/>
      <c r="R11" s="6"/>
      <c r="S11" s="6"/>
      <c r="T11" s="6"/>
      <c r="U11" s="1"/>
      <c r="V11" s="1"/>
      <c r="W11" s="1" t="s">
        <v>6</v>
      </c>
      <c r="X11" s="95">
        <v>45427</v>
      </c>
      <c r="Y11" s="6"/>
      <c r="Z11" s="6"/>
      <c r="AA11" s="6"/>
      <c r="AB11" s="6"/>
      <c r="AC11" s="6"/>
      <c r="AD11" s="6"/>
      <c r="AE11" s="1"/>
      <c r="AF11" s="1"/>
      <c r="AG11" s="1"/>
      <c r="AH11" s="1"/>
      <c r="AI11" s="1"/>
      <c r="AJ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1"/>
      <c r="AD13" s="1"/>
      <c r="AE13" s="1"/>
    </row>
    <row r="14" spans="1:3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1"/>
      <c r="AE14" s="1"/>
      <c r="AF14" s="1"/>
    </row>
    <row r="15" spans="1:36" s="10" customFormat="1" ht="36" thickBot="1" x14ac:dyDescent="0.3">
      <c r="A15" s="69" t="s">
        <v>7</v>
      </c>
      <c r="B15" s="971" t="s">
        <v>8</v>
      </c>
      <c r="C15" s="968"/>
      <c r="D15" s="968"/>
      <c r="E15" s="968"/>
      <c r="F15" s="968"/>
      <c r="G15" s="968"/>
      <c r="H15" s="968"/>
      <c r="I15" s="968"/>
      <c r="J15" s="971" t="s">
        <v>30</v>
      </c>
      <c r="K15" s="968"/>
      <c r="L15" s="968"/>
      <c r="M15" s="969"/>
      <c r="N15" s="971" t="s">
        <v>29</v>
      </c>
      <c r="O15" s="968"/>
      <c r="P15" s="968"/>
      <c r="Q15" s="968"/>
      <c r="R15" s="969"/>
      <c r="S15" s="962" t="s">
        <v>31</v>
      </c>
      <c r="T15" s="963"/>
      <c r="U15" s="963"/>
      <c r="V15" s="963"/>
      <c r="W15" s="963"/>
      <c r="X15" s="964"/>
    </row>
    <row r="16" spans="1:36" ht="39.950000000000003" customHeight="1" thickBot="1" x14ac:dyDescent="0.3">
      <c r="A16" s="80" t="s">
        <v>34</v>
      </c>
      <c r="B16" s="186">
        <v>4</v>
      </c>
      <c r="C16" s="174">
        <v>3</v>
      </c>
      <c r="D16" s="174">
        <v>2</v>
      </c>
      <c r="E16" s="174">
        <v>1</v>
      </c>
      <c r="F16" s="174">
        <v>1</v>
      </c>
      <c r="G16" s="174">
        <v>2</v>
      </c>
      <c r="H16" s="174">
        <v>3</v>
      </c>
      <c r="I16" s="175">
        <v>4</v>
      </c>
      <c r="J16" s="186">
        <v>1</v>
      </c>
      <c r="K16" s="174">
        <v>2</v>
      </c>
      <c r="L16" s="174">
        <v>3</v>
      </c>
      <c r="M16" s="175">
        <v>4</v>
      </c>
      <c r="N16" s="202">
        <v>1</v>
      </c>
      <c r="O16" s="174">
        <v>2</v>
      </c>
      <c r="P16" s="174">
        <v>3</v>
      </c>
      <c r="Q16" s="174">
        <v>4</v>
      </c>
      <c r="R16" s="203">
        <v>5</v>
      </c>
      <c r="S16" s="186">
        <v>1</v>
      </c>
      <c r="T16" s="174">
        <v>2</v>
      </c>
      <c r="U16" s="174">
        <v>3</v>
      </c>
      <c r="V16" s="174">
        <v>4</v>
      </c>
      <c r="W16" s="175">
        <v>5</v>
      </c>
      <c r="X16" s="126" t="s">
        <v>9</v>
      </c>
      <c r="AB16" s="15"/>
      <c r="AC16" s="15"/>
    </row>
    <row r="17" spans="1:36" ht="39.950000000000003" customHeight="1" thickBot="1" x14ac:dyDescent="0.3">
      <c r="A17" s="80" t="s">
        <v>10</v>
      </c>
      <c r="B17" s="186">
        <v>1</v>
      </c>
      <c r="C17" s="174">
        <v>2</v>
      </c>
      <c r="D17" s="174">
        <v>3</v>
      </c>
      <c r="E17" s="174">
        <v>4</v>
      </c>
      <c r="F17" s="174">
        <v>5</v>
      </c>
      <c r="G17" s="174">
        <v>6</v>
      </c>
      <c r="H17" s="174">
        <v>7</v>
      </c>
      <c r="I17" s="175">
        <v>8</v>
      </c>
      <c r="J17" s="186">
        <v>1</v>
      </c>
      <c r="K17" s="174">
        <v>2</v>
      </c>
      <c r="L17" s="174">
        <v>3</v>
      </c>
      <c r="M17" s="175">
        <v>4</v>
      </c>
      <c r="N17" s="202">
        <v>1</v>
      </c>
      <c r="O17" s="174">
        <v>2</v>
      </c>
      <c r="P17" s="174">
        <v>3</v>
      </c>
      <c r="Q17" s="174">
        <v>4</v>
      </c>
      <c r="R17" s="203">
        <v>5</v>
      </c>
      <c r="S17" s="186">
        <v>1</v>
      </c>
      <c r="T17" s="174">
        <v>2</v>
      </c>
      <c r="U17" s="174">
        <v>3</v>
      </c>
      <c r="V17" s="174">
        <v>4</v>
      </c>
      <c r="W17" s="175">
        <v>5</v>
      </c>
      <c r="X17" s="208"/>
      <c r="AB17" s="2"/>
      <c r="AC17" s="15"/>
    </row>
    <row r="18" spans="1:36" ht="39.950000000000003" customHeight="1" x14ac:dyDescent="0.25">
      <c r="A18" s="171" t="s">
        <v>53</v>
      </c>
      <c r="B18" s="133"/>
      <c r="C18" s="134"/>
      <c r="D18" s="134"/>
      <c r="E18" s="134"/>
      <c r="F18" s="134"/>
      <c r="G18" s="134"/>
      <c r="H18" s="134"/>
      <c r="I18" s="156"/>
      <c r="J18" s="133"/>
      <c r="K18" s="134"/>
      <c r="L18" s="134"/>
      <c r="M18" s="156"/>
      <c r="N18" s="133"/>
      <c r="O18" s="134"/>
      <c r="P18" s="134"/>
      <c r="Q18" s="134"/>
      <c r="R18" s="156"/>
      <c r="S18" s="225"/>
      <c r="T18" s="134"/>
      <c r="U18" s="134"/>
      <c r="V18" s="134"/>
      <c r="W18" s="156"/>
      <c r="X18" s="98"/>
      <c r="AB18" s="2"/>
      <c r="AC18" s="15"/>
    </row>
    <row r="19" spans="1:36" ht="39.950000000000003" customHeight="1" x14ac:dyDescent="0.25">
      <c r="A19" s="171" t="s">
        <v>24</v>
      </c>
      <c r="B19" s="18">
        <v>29.3</v>
      </c>
      <c r="C19" s="19">
        <v>47.2</v>
      </c>
      <c r="D19" s="19">
        <v>64.8</v>
      </c>
      <c r="E19" s="19">
        <v>28.2</v>
      </c>
      <c r="F19" s="19">
        <v>20.2</v>
      </c>
      <c r="G19" s="19">
        <v>48.1</v>
      </c>
      <c r="H19" s="19">
        <v>48.7</v>
      </c>
      <c r="I19" s="20">
        <v>33.9</v>
      </c>
      <c r="J19" s="18">
        <v>16.3</v>
      </c>
      <c r="K19" s="19">
        <v>28.2</v>
      </c>
      <c r="L19" s="19">
        <v>31.7</v>
      </c>
      <c r="M19" s="20">
        <v>27.7</v>
      </c>
      <c r="N19" s="18">
        <v>34.299999999999997</v>
      </c>
      <c r="O19" s="19">
        <v>44.8</v>
      </c>
      <c r="P19" s="19">
        <v>52.8</v>
      </c>
      <c r="Q19" s="19">
        <v>43.6</v>
      </c>
      <c r="R19" s="20">
        <v>24.3</v>
      </c>
      <c r="S19" s="61">
        <v>32.299999999999997</v>
      </c>
      <c r="T19" s="19">
        <v>46.1</v>
      </c>
      <c r="U19" s="19">
        <v>53.6</v>
      </c>
      <c r="V19" s="19">
        <v>40.700000000000003</v>
      </c>
      <c r="W19" s="20">
        <v>25.2</v>
      </c>
      <c r="X19" s="98">
        <f t="shared" ref="X19:X24" si="0">SUM(B19:W19)</f>
        <v>822</v>
      </c>
      <c r="AB19" s="2"/>
      <c r="AC19" s="15"/>
    </row>
    <row r="20" spans="1:36" ht="39.75" customHeight="1" x14ac:dyDescent="0.25">
      <c r="A20" s="171" t="s">
        <v>20</v>
      </c>
      <c r="B20" s="18">
        <v>29.3</v>
      </c>
      <c r="C20" s="19">
        <v>47.2</v>
      </c>
      <c r="D20" s="19">
        <v>64.8</v>
      </c>
      <c r="E20" s="19">
        <v>28.2</v>
      </c>
      <c r="F20" s="19">
        <v>20.2</v>
      </c>
      <c r="G20" s="19">
        <v>48.1</v>
      </c>
      <c r="H20" s="19">
        <v>48.7</v>
      </c>
      <c r="I20" s="20">
        <v>33.9</v>
      </c>
      <c r="J20" s="18">
        <v>16.3</v>
      </c>
      <c r="K20" s="19">
        <v>28.2</v>
      </c>
      <c r="L20" s="19">
        <v>31.7</v>
      </c>
      <c r="M20" s="20">
        <v>27.7</v>
      </c>
      <c r="N20" s="18">
        <v>34.299999999999997</v>
      </c>
      <c r="O20" s="19">
        <v>44.8</v>
      </c>
      <c r="P20" s="19">
        <v>52.8</v>
      </c>
      <c r="Q20" s="19">
        <v>43.6</v>
      </c>
      <c r="R20" s="20">
        <v>24.3</v>
      </c>
      <c r="S20" s="61">
        <v>32.299999999999997</v>
      </c>
      <c r="T20" s="19">
        <v>46.1</v>
      </c>
      <c r="U20" s="19">
        <v>53.6</v>
      </c>
      <c r="V20" s="19">
        <v>40.700000000000003</v>
      </c>
      <c r="W20" s="20">
        <v>25.2</v>
      </c>
      <c r="X20" s="98">
        <f t="shared" si="0"/>
        <v>822</v>
      </c>
      <c r="AB20" s="2"/>
      <c r="AC20" s="15"/>
    </row>
    <row r="21" spans="1:36" ht="39.950000000000003" customHeight="1" x14ac:dyDescent="0.25">
      <c r="A21" s="171" t="s">
        <v>28</v>
      </c>
      <c r="B21" s="18">
        <f>((((($B$26*$B$27)/1000)*7)-$B$19-$B$20)/3)</f>
        <v>31.8</v>
      </c>
      <c r="C21" s="19">
        <f>((((($C$26*$C$27)/1000)*7)-$C$19-$C$20)/3)</f>
        <v>51.798333333333346</v>
      </c>
      <c r="D21" s="19">
        <f>((((($D$26*$D$27)/1000)*7)-$D$19-$D$20)/3)</f>
        <v>71.424999999999997</v>
      </c>
      <c r="E21" s="19">
        <f>((((($E$26*$E$27)/1000)*7)-$E$19-$E$20)/3)</f>
        <v>30.97</v>
      </c>
      <c r="F21" s="19">
        <f>((((($F$26*$F$27)/1000)*7)-$F$19-$F$20)/3)</f>
        <v>22.224</v>
      </c>
      <c r="G21" s="19">
        <f>((((($G$26*$G$27)/1000)*7)-$G$19-$G$20)/3)</f>
        <v>53.04633333333333</v>
      </c>
      <c r="H21" s="19">
        <f>((((($H$26*$H$27)/1000)*7)-$H$19-$H$20)/3)</f>
        <v>53.899333333333345</v>
      </c>
      <c r="I21" s="20">
        <f>((((($I$26*$I$27)/1000)*7)-$I$19-$I$20)/3)</f>
        <v>37.383000000000003</v>
      </c>
      <c r="J21" s="18">
        <f>((((($J$26*$J$27)/1000)*7)-$J$19-$J$20)/3)</f>
        <v>17.954666666666668</v>
      </c>
      <c r="K21" s="19">
        <f>((((($K$26*$K$27)/1000)*7)-$K$19-$K$20)/3)</f>
        <v>30.96533333333333</v>
      </c>
      <c r="L21" s="19">
        <f>((((($L$26*$L$27)/1000)*7)-$L$19-$L$20)/3)</f>
        <v>34.803666666666665</v>
      </c>
      <c r="M21" s="20">
        <f>((((($M$26*$M$27)/1000)*7)-$M$19-$M$20)/3)</f>
        <v>30.673333333333328</v>
      </c>
      <c r="N21" s="18">
        <f>((((($N$26*$N$27)/1000)*7)-$N$19-$N$20)/3)</f>
        <v>36.889999999999993</v>
      </c>
      <c r="O21" s="19">
        <f>((((($O$26*$O$27)/1000)*7)-$O$19-$O$20)/3)</f>
        <v>48.68266666666667</v>
      </c>
      <c r="P21" s="19">
        <f>((((($P$26*$P$27)/1000)*7)-$P$19-$P$20)/3)</f>
        <v>57.087999999999987</v>
      </c>
      <c r="Q21" s="19">
        <f>((((($Q$26*$Q$27)/1000)*7)-$Q$19-$Q$20)/3)</f>
        <v>47.606666666666662</v>
      </c>
      <c r="R21" s="20">
        <f>((((($R$26*$R$27)/1000)*7)-$R$19-$R$20)/3)</f>
        <v>26.706500000000005</v>
      </c>
      <c r="S21" s="61">
        <f>((((($S$26*$S$27)/1000)*7)-$S$19-$S$20)/3)</f>
        <v>34.984666666666676</v>
      </c>
      <c r="T21" s="19">
        <f>((((($T$26*$T$27)/1000)*7)-$T$19-$T$20)/3)</f>
        <v>50.837666666666678</v>
      </c>
      <c r="U21" s="19">
        <f>((((($U$26*$U$27)/1000)*7)-$U$19-$U$20)/3)</f>
        <v>59.093333333333341</v>
      </c>
      <c r="V21" s="19">
        <f>((((($V$26*$V$27)/1000)*7)-$V$19-$V$20)/3)</f>
        <v>44.896666666666668</v>
      </c>
      <c r="W21" s="20">
        <f>((((($W$26*$W$27)/1000)*7)-$W$19-$W$20)/3)</f>
        <v>27.892666666666667</v>
      </c>
      <c r="X21" s="98">
        <f t="shared" si="0"/>
        <v>901.62183333333337</v>
      </c>
      <c r="AB21" s="2"/>
      <c r="AC21" s="15"/>
    </row>
    <row r="22" spans="1:36" ht="39.950000000000003" customHeight="1" x14ac:dyDescent="0.25">
      <c r="A22" s="171" t="s">
        <v>21</v>
      </c>
      <c r="B22" s="18"/>
      <c r="C22" s="19"/>
      <c r="D22" s="19"/>
      <c r="E22" s="19"/>
      <c r="F22" s="19"/>
      <c r="G22" s="19"/>
      <c r="H22" s="19"/>
      <c r="I22" s="20"/>
      <c r="J22" s="18"/>
      <c r="K22" s="19"/>
      <c r="L22" s="19"/>
      <c r="M22" s="20"/>
      <c r="N22" s="18"/>
      <c r="O22" s="19"/>
      <c r="P22" s="19"/>
      <c r="Q22" s="19"/>
      <c r="R22" s="20"/>
      <c r="S22" s="61"/>
      <c r="T22" s="19"/>
      <c r="U22" s="19"/>
      <c r="V22" s="19"/>
      <c r="W22" s="20"/>
      <c r="X22" s="98">
        <f t="shared" si="0"/>
        <v>0</v>
      </c>
      <c r="AB22" s="2"/>
      <c r="AC22" s="15"/>
    </row>
    <row r="23" spans="1:36" ht="39.950000000000003" customHeight="1" x14ac:dyDescent="0.25">
      <c r="A23" s="171" t="s">
        <v>22</v>
      </c>
      <c r="B23" s="18">
        <f>((((($B$26*$B$27)/1000)*7)-$B$19-$B$20)/3)</f>
        <v>31.8</v>
      </c>
      <c r="C23" s="19">
        <f>((((($C$26*$C$27)/1000)*7)-$C$19-$C$20)/3)</f>
        <v>51.798333333333346</v>
      </c>
      <c r="D23" s="19">
        <f>((((($D$26*$D$27)/1000)*7)-$D$19-$D$20)/3)</f>
        <v>71.424999999999997</v>
      </c>
      <c r="E23" s="19">
        <f>((((($E$26*$E$27)/1000)*7)-$E$19-$E$20)/3)</f>
        <v>30.97</v>
      </c>
      <c r="F23" s="19">
        <f>((((($F$26*$F$27)/1000)*7)-$F$19-$F$20)/3)</f>
        <v>22.224</v>
      </c>
      <c r="G23" s="19">
        <f>((((($G$26*$G$27)/1000)*7)-$G$19-$G$20)/3)</f>
        <v>53.04633333333333</v>
      </c>
      <c r="H23" s="19">
        <f>((((($H$26*$H$27)/1000)*7)-$H$19-$H$20)/3)</f>
        <v>53.899333333333345</v>
      </c>
      <c r="I23" s="20">
        <f>((((($I$26*$I$27)/1000)*7)-$I$19-$I$20)/3)</f>
        <v>37.383000000000003</v>
      </c>
      <c r="J23" s="18">
        <f>((((($J$26*$J$27)/1000)*7)-$J$19-$J$20)/3)</f>
        <v>17.954666666666668</v>
      </c>
      <c r="K23" s="19">
        <f>((((($K$26*$K$27)/1000)*7)-$K$19-$K$20)/3)</f>
        <v>30.96533333333333</v>
      </c>
      <c r="L23" s="19">
        <f>((((($L$26*$L$27)/1000)*7)-$L$19-$L$20)/3)</f>
        <v>34.803666666666665</v>
      </c>
      <c r="M23" s="20">
        <f>((((($M$26*$M$27)/1000)*7)-$M$19-$M$20)/3)</f>
        <v>30.673333333333328</v>
      </c>
      <c r="N23" s="18">
        <f>((((($N$26*$N$27)/1000)*7)-$N$19-$N$20)/3)</f>
        <v>36.889999999999993</v>
      </c>
      <c r="O23" s="19">
        <f>((((($O$26*$O$27)/1000)*7)-$O$19-$O$20)/3)</f>
        <v>48.68266666666667</v>
      </c>
      <c r="P23" s="19">
        <f>((((($P$26*$P$27)/1000)*7)-$P$19-$P$20)/3)</f>
        <v>57.087999999999987</v>
      </c>
      <c r="Q23" s="19">
        <f>((((($Q$26*$Q$27)/1000)*7)-$Q$19-$Q$20)/3)</f>
        <v>47.606666666666662</v>
      </c>
      <c r="R23" s="20">
        <f>((((($R$26*$R$27)/1000)*7)-$R$19-$R$20)/3)</f>
        <v>26.706500000000005</v>
      </c>
      <c r="S23" s="61">
        <f>((((($S$26*$S$27)/1000)*7)-$S$19-$S$20)/3)</f>
        <v>34.984666666666676</v>
      </c>
      <c r="T23" s="19">
        <f>((((($T$26*$T$27)/1000)*7)-$T$19-$T$20)/3)</f>
        <v>50.837666666666678</v>
      </c>
      <c r="U23" s="19">
        <f>((((($U$26*$U$27)/1000)*7)-$U$19-$U$20)/3)</f>
        <v>59.093333333333341</v>
      </c>
      <c r="V23" s="19">
        <f>((((($V$26*$V$27)/1000)*7)-$V$19-$V$20)/3)</f>
        <v>44.896666666666668</v>
      </c>
      <c r="W23" s="20">
        <f>((((($W$26*$W$27)/1000)*7)-$W$19-$W$20)/3)</f>
        <v>27.892666666666667</v>
      </c>
      <c r="X23" s="98">
        <f t="shared" si="0"/>
        <v>901.62183333333337</v>
      </c>
      <c r="AB23" s="2"/>
      <c r="AC23" s="15"/>
    </row>
    <row r="24" spans="1:36" ht="39.950000000000003" customHeight="1" thickBot="1" x14ac:dyDescent="0.3">
      <c r="A24" s="171" t="s">
        <v>23</v>
      </c>
      <c r="B24" s="153">
        <f>((((($B$26*$B$27)/1000)*7)-$B$19-$B$20)/3)</f>
        <v>31.8</v>
      </c>
      <c r="C24" s="154">
        <f>((((($C$26*$C$27)/1000)*7)-$C$19-$C$20)/3)</f>
        <v>51.798333333333346</v>
      </c>
      <c r="D24" s="154">
        <f>((((($D$26*$D$27)/1000)*7)-$D$19-$D$20)/3)</f>
        <v>71.424999999999997</v>
      </c>
      <c r="E24" s="154">
        <f>((((($E$26*$E$27)/1000)*7)-$E$19-$E$20)/3)</f>
        <v>30.97</v>
      </c>
      <c r="F24" s="154">
        <f>((((($F$26*$F$27)/1000)*7)-$F$19-$F$20)/3)</f>
        <v>22.224</v>
      </c>
      <c r="G24" s="154">
        <f>((((($G$26*$G$27)/1000)*7)-$G$19-$G$20)/3)</f>
        <v>53.04633333333333</v>
      </c>
      <c r="H24" s="154">
        <f>((((($H$26*$H$27)/1000)*7)-$H$19-$H$20)/3)</f>
        <v>53.899333333333345</v>
      </c>
      <c r="I24" s="182">
        <f>((((($I$26*$I$27)/1000)*7)-$I$19-$I$20)/3)</f>
        <v>37.383000000000003</v>
      </c>
      <c r="J24" s="18">
        <f>((((($J$26*$J$27)/1000)*7)-$J$19-$J$20)/3)</f>
        <v>17.954666666666668</v>
      </c>
      <c r="K24" s="19">
        <f>((((($K$26*$K$27)/1000)*7)-$K$19-$K$20)/3)</f>
        <v>30.96533333333333</v>
      </c>
      <c r="L24" s="19">
        <f>((((($L$26*$L$27)/1000)*7)-$L$19-$L$20)/3)</f>
        <v>34.803666666666665</v>
      </c>
      <c r="M24" s="20">
        <f>((((($M$26*$M$27)/1000)*7)-$M$19-$M$20)/3)</f>
        <v>30.673333333333328</v>
      </c>
      <c r="N24" s="153">
        <f>((((($N$26*$N$27)/1000)*7)-$N$19-$N$20)/3)</f>
        <v>36.889999999999993</v>
      </c>
      <c r="O24" s="154">
        <f>((((($O$26*$O$27)/1000)*7)-$O$19-$O$20)/3)</f>
        <v>48.68266666666667</v>
      </c>
      <c r="P24" s="154">
        <f>((((($P$26*$P$27)/1000)*7)-$P$19-$P$20)/3)</f>
        <v>57.087999999999987</v>
      </c>
      <c r="Q24" s="154">
        <f>((((($Q$26*$Q$27)/1000)*7)-$Q$19-$Q$20)/3)</f>
        <v>47.606666666666662</v>
      </c>
      <c r="R24" s="182">
        <f>((((($R$26*$R$27)/1000)*7)-$R$19-$R$20)/3)</f>
        <v>26.706500000000005</v>
      </c>
      <c r="S24" s="226">
        <f>((((($S$26*$S$27)/1000)*7)-$S$19-$S$20)/3)</f>
        <v>34.984666666666676</v>
      </c>
      <c r="T24" s="154">
        <f>((((($T$26*$T$27)/1000)*7)-$T$19-$T$20)/3)</f>
        <v>50.837666666666678</v>
      </c>
      <c r="U24" s="154">
        <f>((((($U$26*$U$27)/1000)*7)-$U$19-$U$20)/3)</f>
        <v>59.093333333333341</v>
      </c>
      <c r="V24" s="154">
        <f>((((($V$26*$V$27)/1000)*7)-$V$19-$V$20)/3)</f>
        <v>44.896666666666668</v>
      </c>
      <c r="W24" s="182">
        <f>((((($W$26*$W$27)/1000)*7)-$W$19-$W$20)/3)</f>
        <v>27.892666666666667</v>
      </c>
      <c r="X24" s="98">
        <f t="shared" si="0"/>
        <v>901.62183333333337</v>
      </c>
      <c r="AB24" s="2"/>
    </row>
    <row r="25" spans="1:36" ht="41.45" customHeight="1" x14ac:dyDescent="0.25">
      <c r="A25" s="126" t="s">
        <v>9</v>
      </c>
      <c r="B25" s="217">
        <f t="shared" ref="B25:W25" si="1">SUM(B18:B24)</f>
        <v>154</v>
      </c>
      <c r="C25" s="218">
        <f t="shared" si="1"/>
        <v>249.79500000000004</v>
      </c>
      <c r="D25" s="218">
        <f t="shared" si="1"/>
        <v>343.875</v>
      </c>
      <c r="E25" s="218">
        <f t="shared" si="1"/>
        <v>149.31</v>
      </c>
      <c r="F25" s="218">
        <f t="shared" si="1"/>
        <v>107.072</v>
      </c>
      <c r="G25" s="218">
        <f t="shared" si="1"/>
        <v>255.339</v>
      </c>
      <c r="H25" s="218">
        <f t="shared" si="1"/>
        <v>259.09800000000007</v>
      </c>
      <c r="I25" s="219">
        <f t="shared" si="1"/>
        <v>179.94900000000001</v>
      </c>
      <c r="J25" s="131">
        <f t="shared" si="1"/>
        <v>86.463999999999999</v>
      </c>
      <c r="K25" s="128">
        <f t="shared" si="1"/>
        <v>149.29599999999999</v>
      </c>
      <c r="L25" s="128">
        <f t="shared" si="1"/>
        <v>167.81099999999998</v>
      </c>
      <c r="M25" s="129">
        <f t="shared" si="1"/>
        <v>147.41999999999999</v>
      </c>
      <c r="N25" s="220">
        <f t="shared" si="1"/>
        <v>179.26999999999995</v>
      </c>
      <c r="O25" s="218">
        <f t="shared" si="1"/>
        <v>235.64800000000002</v>
      </c>
      <c r="P25" s="218">
        <f t="shared" si="1"/>
        <v>276.86399999999998</v>
      </c>
      <c r="Q25" s="218">
        <f t="shared" si="1"/>
        <v>230.01999999999998</v>
      </c>
      <c r="R25" s="219">
        <f t="shared" si="1"/>
        <v>128.71950000000001</v>
      </c>
      <c r="S25" s="179">
        <f t="shared" si="1"/>
        <v>169.554</v>
      </c>
      <c r="T25" s="180">
        <f t="shared" si="1"/>
        <v>244.71300000000002</v>
      </c>
      <c r="U25" s="180">
        <f t="shared" si="1"/>
        <v>284.48</v>
      </c>
      <c r="V25" s="180">
        <f t="shared" si="1"/>
        <v>216.09000000000003</v>
      </c>
      <c r="W25" s="181">
        <f t="shared" si="1"/>
        <v>134.078</v>
      </c>
      <c r="X25" s="209">
        <f>SUM(X19,X20,X21,X23,X24)</f>
        <v>4348.8655000000008</v>
      </c>
    </row>
    <row r="26" spans="1:36" s="2" customFormat="1" ht="36.75" customHeight="1" x14ac:dyDescent="0.25">
      <c r="A26" s="70" t="s">
        <v>11</v>
      </c>
      <c r="B26" s="23">
        <v>62.5</v>
      </c>
      <c r="C26" s="63">
        <v>65</v>
      </c>
      <c r="D26" s="63">
        <v>65.5</v>
      </c>
      <c r="E26" s="63">
        <v>67.5</v>
      </c>
      <c r="F26" s="63">
        <v>64</v>
      </c>
      <c r="G26" s="63">
        <v>63</v>
      </c>
      <c r="H26" s="63">
        <v>62</v>
      </c>
      <c r="I26" s="161">
        <v>61.5</v>
      </c>
      <c r="J26" s="23">
        <v>64</v>
      </c>
      <c r="K26" s="24">
        <v>62</v>
      </c>
      <c r="L26" s="24">
        <v>61</v>
      </c>
      <c r="M26" s="25">
        <v>60</v>
      </c>
      <c r="N26" s="63">
        <v>65</v>
      </c>
      <c r="O26" s="63">
        <v>64</v>
      </c>
      <c r="P26" s="63">
        <v>64</v>
      </c>
      <c r="Q26" s="63">
        <v>62</v>
      </c>
      <c r="R26" s="161">
        <v>61.5</v>
      </c>
      <c r="S26" s="23">
        <v>66</v>
      </c>
      <c r="T26" s="63">
        <v>64.5</v>
      </c>
      <c r="U26" s="63">
        <v>64</v>
      </c>
      <c r="V26" s="63">
        <v>63</v>
      </c>
      <c r="W26" s="155">
        <v>61</v>
      </c>
      <c r="X26" s="210">
        <f>(((X25*1000)/7)/X27)</f>
        <v>63.420426704777469</v>
      </c>
    </row>
    <row r="27" spans="1:36" s="2" customFormat="1" ht="33" customHeight="1" x14ac:dyDescent="0.25">
      <c r="A27" s="71" t="s">
        <v>12</v>
      </c>
      <c r="B27" s="26">
        <v>352</v>
      </c>
      <c r="C27" s="27">
        <v>549</v>
      </c>
      <c r="D27" s="27">
        <v>750</v>
      </c>
      <c r="E27" s="27">
        <v>316</v>
      </c>
      <c r="F27" s="27">
        <v>239</v>
      </c>
      <c r="G27" s="27">
        <v>579</v>
      </c>
      <c r="H27" s="27">
        <v>597</v>
      </c>
      <c r="I27" s="183">
        <v>418</v>
      </c>
      <c r="J27" s="26">
        <v>193</v>
      </c>
      <c r="K27" s="27">
        <v>344</v>
      </c>
      <c r="L27" s="27">
        <v>393</v>
      </c>
      <c r="M27" s="28">
        <v>351</v>
      </c>
      <c r="N27" s="64">
        <v>394</v>
      </c>
      <c r="O27" s="27">
        <v>526</v>
      </c>
      <c r="P27" s="27">
        <v>618</v>
      </c>
      <c r="Q27" s="27">
        <v>530</v>
      </c>
      <c r="R27" s="183">
        <v>299</v>
      </c>
      <c r="S27" s="26">
        <v>367</v>
      </c>
      <c r="T27" s="27">
        <v>542</v>
      </c>
      <c r="U27" s="27">
        <v>635</v>
      </c>
      <c r="V27" s="27">
        <v>490</v>
      </c>
      <c r="W27" s="28">
        <v>314</v>
      </c>
      <c r="X27" s="211">
        <f>SUM(B27,C27,D27,E27,F27,G27,H27,I27,J27,K27,L27,M27,N27,O27,P27,Q27,R27,S27,T27,U27,V27,W27)</f>
        <v>9796</v>
      </c>
    </row>
    <row r="28" spans="1:36" s="2" customFormat="1" ht="33" customHeight="1" x14ac:dyDescent="0.25">
      <c r="A28" s="72" t="s">
        <v>13</v>
      </c>
      <c r="B28" s="30">
        <f t="shared" ref="B28:W28" si="2">(B27*B26)/1000</f>
        <v>22</v>
      </c>
      <c r="C28" s="31">
        <f t="shared" si="2"/>
        <v>35.685000000000002</v>
      </c>
      <c r="D28" s="31">
        <f t="shared" si="2"/>
        <v>49.125</v>
      </c>
      <c r="E28" s="31">
        <f t="shared" si="2"/>
        <v>21.33</v>
      </c>
      <c r="F28" s="31">
        <f t="shared" si="2"/>
        <v>15.295999999999999</v>
      </c>
      <c r="G28" s="31">
        <f t="shared" si="2"/>
        <v>36.476999999999997</v>
      </c>
      <c r="H28" s="31">
        <f t="shared" si="2"/>
        <v>37.014000000000003</v>
      </c>
      <c r="I28" s="163">
        <f t="shared" si="2"/>
        <v>25.707000000000001</v>
      </c>
      <c r="J28" s="30">
        <f t="shared" si="2"/>
        <v>12.352</v>
      </c>
      <c r="K28" s="31">
        <f t="shared" si="2"/>
        <v>21.327999999999999</v>
      </c>
      <c r="L28" s="31">
        <f t="shared" si="2"/>
        <v>23.972999999999999</v>
      </c>
      <c r="M28" s="32">
        <f t="shared" si="2"/>
        <v>21.06</v>
      </c>
      <c r="N28" s="65">
        <f t="shared" si="2"/>
        <v>25.61</v>
      </c>
      <c r="O28" s="31">
        <f t="shared" si="2"/>
        <v>33.664000000000001</v>
      </c>
      <c r="P28" s="31">
        <f t="shared" si="2"/>
        <v>39.552</v>
      </c>
      <c r="Q28" s="31">
        <f t="shared" si="2"/>
        <v>32.86</v>
      </c>
      <c r="R28" s="163">
        <f t="shared" si="2"/>
        <v>18.388500000000001</v>
      </c>
      <c r="S28" s="30">
        <f t="shared" si="2"/>
        <v>24.222000000000001</v>
      </c>
      <c r="T28" s="31">
        <f t="shared" si="2"/>
        <v>34.959000000000003</v>
      </c>
      <c r="U28" s="31">
        <f t="shared" si="2"/>
        <v>40.64</v>
      </c>
      <c r="V28" s="31">
        <f t="shared" si="2"/>
        <v>30.87</v>
      </c>
      <c r="W28" s="32">
        <f t="shared" si="2"/>
        <v>19.154</v>
      </c>
      <c r="X28" s="212"/>
    </row>
    <row r="29" spans="1:36" ht="33.75" customHeight="1" x14ac:dyDescent="0.25">
      <c r="A29" s="73" t="s">
        <v>14</v>
      </c>
      <c r="B29" s="34">
        <f t="shared" ref="B29:W29" si="3">((B27*B26)*7)/1000</f>
        <v>154</v>
      </c>
      <c r="C29" s="35">
        <f t="shared" si="3"/>
        <v>249.79499999999999</v>
      </c>
      <c r="D29" s="35">
        <f t="shared" si="3"/>
        <v>343.875</v>
      </c>
      <c r="E29" s="35">
        <f t="shared" si="3"/>
        <v>149.31</v>
      </c>
      <c r="F29" s="35">
        <f t="shared" si="3"/>
        <v>107.072</v>
      </c>
      <c r="G29" s="35">
        <f t="shared" si="3"/>
        <v>255.339</v>
      </c>
      <c r="H29" s="35">
        <f t="shared" si="3"/>
        <v>259.09800000000001</v>
      </c>
      <c r="I29" s="206">
        <f t="shared" si="3"/>
        <v>179.94900000000001</v>
      </c>
      <c r="J29" s="34">
        <f t="shared" si="3"/>
        <v>86.463999999999999</v>
      </c>
      <c r="K29" s="35">
        <f t="shared" si="3"/>
        <v>149.29599999999999</v>
      </c>
      <c r="L29" s="35">
        <f t="shared" si="3"/>
        <v>167.81100000000001</v>
      </c>
      <c r="M29" s="68">
        <f t="shared" si="3"/>
        <v>147.41999999999999</v>
      </c>
      <c r="N29" s="66">
        <f t="shared" si="3"/>
        <v>179.27</v>
      </c>
      <c r="O29" s="35">
        <f t="shared" si="3"/>
        <v>235.648</v>
      </c>
      <c r="P29" s="35">
        <f t="shared" si="3"/>
        <v>276.86399999999998</v>
      </c>
      <c r="Q29" s="35">
        <f t="shared" si="3"/>
        <v>230.02</v>
      </c>
      <c r="R29" s="206">
        <f t="shared" si="3"/>
        <v>128.71950000000001</v>
      </c>
      <c r="S29" s="34">
        <f t="shared" si="3"/>
        <v>169.554</v>
      </c>
      <c r="T29" s="35">
        <f t="shared" si="3"/>
        <v>244.71299999999999</v>
      </c>
      <c r="U29" s="35">
        <f t="shared" si="3"/>
        <v>284.48</v>
      </c>
      <c r="V29" s="35">
        <f t="shared" si="3"/>
        <v>216.09</v>
      </c>
      <c r="W29" s="68">
        <f t="shared" si="3"/>
        <v>134.078</v>
      </c>
      <c r="X29" s="213"/>
    </row>
    <row r="30" spans="1:36" ht="33.75" customHeight="1" thickBot="1" x14ac:dyDescent="0.3">
      <c r="A30" s="74" t="s">
        <v>15</v>
      </c>
      <c r="B30" s="37">
        <f t="shared" ref="B30:W30" si="4">+(B25/B27)/7*1000</f>
        <v>62.5</v>
      </c>
      <c r="C30" s="38">
        <f t="shared" si="4"/>
        <v>65.000000000000014</v>
      </c>
      <c r="D30" s="38">
        <f t="shared" si="4"/>
        <v>65.5</v>
      </c>
      <c r="E30" s="38">
        <f t="shared" si="4"/>
        <v>67.5</v>
      </c>
      <c r="F30" s="38">
        <f t="shared" si="4"/>
        <v>64</v>
      </c>
      <c r="G30" s="38">
        <f t="shared" si="4"/>
        <v>63</v>
      </c>
      <c r="H30" s="38">
        <f t="shared" si="4"/>
        <v>62.000000000000014</v>
      </c>
      <c r="I30" s="207">
        <f t="shared" si="4"/>
        <v>61.500000000000007</v>
      </c>
      <c r="J30" s="37">
        <f t="shared" si="4"/>
        <v>64</v>
      </c>
      <c r="K30" s="38">
        <f t="shared" si="4"/>
        <v>62</v>
      </c>
      <c r="L30" s="38">
        <f t="shared" si="4"/>
        <v>60.999999999999993</v>
      </c>
      <c r="M30" s="39">
        <f t="shared" si="4"/>
        <v>60</v>
      </c>
      <c r="N30" s="67">
        <f t="shared" si="4"/>
        <v>64.999999999999986</v>
      </c>
      <c r="O30" s="38">
        <f t="shared" si="4"/>
        <v>64.000000000000014</v>
      </c>
      <c r="P30" s="38">
        <f t="shared" si="4"/>
        <v>63.999999999999986</v>
      </c>
      <c r="Q30" s="38">
        <f t="shared" si="4"/>
        <v>61.999999999999993</v>
      </c>
      <c r="R30" s="207">
        <f t="shared" si="4"/>
        <v>61.500000000000007</v>
      </c>
      <c r="S30" s="37">
        <f t="shared" si="4"/>
        <v>66</v>
      </c>
      <c r="T30" s="38">
        <f t="shared" si="4"/>
        <v>64.500000000000014</v>
      </c>
      <c r="U30" s="38">
        <f t="shared" si="4"/>
        <v>64</v>
      </c>
      <c r="V30" s="38">
        <f t="shared" si="4"/>
        <v>63.000000000000014</v>
      </c>
      <c r="W30" s="39">
        <f t="shared" si="4"/>
        <v>61</v>
      </c>
      <c r="X30" s="214"/>
    </row>
    <row r="31" spans="1:36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201"/>
      <c r="U31" s="201"/>
      <c r="V31" s="201"/>
      <c r="W31" s="201"/>
      <c r="X31" s="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>
        <v>41.5</v>
      </c>
      <c r="AC32" s="42"/>
      <c r="AD32" s="42"/>
      <c r="AE32" s="42"/>
      <c r="AF32" s="42"/>
      <c r="AG32" s="42"/>
      <c r="AH32" s="42"/>
      <c r="AI32" s="42"/>
      <c r="AJ32" s="41"/>
    </row>
    <row r="33" spans="1:3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>
        <v>41</v>
      </c>
      <c r="AC33" s="42"/>
      <c r="AD33" s="42"/>
      <c r="AE33" s="42"/>
      <c r="AF33" s="42"/>
      <c r="AG33" s="42"/>
      <c r="AH33" s="42"/>
      <c r="AI33" s="42"/>
      <c r="AJ33" s="41"/>
    </row>
    <row r="34" spans="1:3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>
        <v>40.5</v>
      </c>
      <c r="AC34" s="42"/>
      <c r="AD34" s="42"/>
      <c r="AE34" s="42"/>
      <c r="AF34" s="42"/>
      <c r="AG34" s="42"/>
      <c r="AH34" s="41"/>
    </row>
    <row r="35" spans="1:36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>
        <v>40</v>
      </c>
      <c r="AC35" s="43"/>
      <c r="AD35" s="43"/>
      <c r="AE35" s="43"/>
      <c r="AF35" s="43"/>
      <c r="AG35" s="43"/>
      <c r="AH35" s="3"/>
    </row>
    <row r="36" spans="1:36" ht="33.75" customHeight="1" thickBot="1" x14ac:dyDescent="0.3">
      <c r="A36" s="69" t="s">
        <v>16</v>
      </c>
      <c r="B36" s="966" t="s">
        <v>17</v>
      </c>
      <c r="C36" s="967"/>
      <c r="D36" s="967"/>
      <c r="E36" s="967"/>
      <c r="F36" s="967"/>
      <c r="G36" s="967"/>
      <c r="H36" s="237"/>
      <c r="O36" s="44"/>
      <c r="P36" s="88" t="s">
        <v>18</v>
      </c>
      <c r="Q36" s="972" t="s">
        <v>17</v>
      </c>
      <c r="R36" s="972"/>
      <c r="S36" s="972"/>
      <c r="T36" s="972"/>
      <c r="U36" s="972"/>
      <c r="V36" s="966"/>
      <c r="W36" s="229"/>
      <c r="X36" s="45"/>
      <c r="Y36" s="45"/>
      <c r="Z36" s="46"/>
      <c r="AA36" s="3"/>
      <c r="AB36" s="45">
        <v>39.5</v>
      </c>
      <c r="AC36" s="45"/>
      <c r="AD36" s="45"/>
      <c r="AE36" s="3"/>
    </row>
    <row r="37" spans="1:36" ht="33.75" customHeight="1" thickBot="1" x14ac:dyDescent="0.3">
      <c r="A37" s="170" t="s">
        <v>34</v>
      </c>
      <c r="B37" s="141"/>
      <c r="C37" s="118"/>
      <c r="D37" s="118"/>
      <c r="E37" s="118"/>
      <c r="F37" s="118"/>
      <c r="G37" s="119"/>
      <c r="H37" s="236" t="s">
        <v>9</v>
      </c>
      <c r="I37" s="47"/>
      <c r="J37" s="47"/>
      <c r="K37" s="47"/>
      <c r="L37" s="47"/>
      <c r="M37" s="47"/>
      <c r="N37" s="970"/>
      <c r="O37" s="970"/>
      <c r="P37" s="97" t="s">
        <v>33</v>
      </c>
      <c r="Q37" s="186"/>
      <c r="R37" s="173"/>
      <c r="S37" s="173"/>
      <c r="T37" s="173"/>
      <c r="U37" s="173"/>
      <c r="V37" s="176"/>
      <c r="W37" s="236" t="s">
        <v>9</v>
      </c>
      <c r="X37" s="47"/>
      <c r="Y37" s="47"/>
      <c r="Z37" s="3"/>
      <c r="AA37" s="46"/>
      <c r="AB37" s="3">
        <v>39.5</v>
      </c>
      <c r="AC37" s="45"/>
      <c r="AD37" s="45"/>
      <c r="AE37" s="45"/>
    </row>
    <row r="38" spans="1:36" ht="33.75" customHeight="1" thickBot="1" x14ac:dyDescent="0.3">
      <c r="A38" s="170" t="s">
        <v>10</v>
      </c>
      <c r="B38" s="221">
        <v>1</v>
      </c>
      <c r="C38" s="222">
        <v>2</v>
      </c>
      <c r="D38" s="222">
        <v>3</v>
      </c>
      <c r="E38" s="222">
        <v>4</v>
      </c>
      <c r="F38" s="222">
        <v>5</v>
      </c>
      <c r="G38" s="223">
        <v>6</v>
      </c>
      <c r="H38" s="238"/>
      <c r="I38" s="47"/>
      <c r="J38" s="47"/>
      <c r="K38" s="47"/>
      <c r="L38" s="47"/>
      <c r="M38" s="47"/>
      <c r="N38" s="144"/>
      <c r="O38" s="145"/>
      <c r="P38" s="80" t="s">
        <v>10</v>
      </c>
      <c r="Q38" s="188">
        <v>1</v>
      </c>
      <c r="R38" s="168">
        <v>2</v>
      </c>
      <c r="S38" s="168">
        <v>3</v>
      </c>
      <c r="T38" s="168"/>
      <c r="U38" s="168"/>
      <c r="V38" s="169"/>
      <c r="W38" s="235"/>
      <c r="X38" s="47"/>
      <c r="Y38" s="47"/>
      <c r="Z38" s="48"/>
      <c r="AA38" s="48"/>
      <c r="AB38" s="2"/>
      <c r="AC38" s="2"/>
      <c r="AD38" s="2"/>
      <c r="AE38" s="2"/>
    </row>
    <row r="39" spans="1:36" ht="33.75" customHeight="1" x14ac:dyDescent="0.25">
      <c r="A39" s="171" t="s">
        <v>32</v>
      </c>
      <c r="B39" s="133"/>
      <c r="C39" s="134"/>
      <c r="D39" s="134"/>
      <c r="E39" s="134"/>
      <c r="F39" s="134"/>
      <c r="G39" s="156"/>
      <c r="H39" s="240">
        <f t="shared" ref="H39:H46" si="5">SUM(B39:G39)</f>
        <v>0</v>
      </c>
      <c r="I39" s="49"/>
      <c r="J39" s="49"/>
      <c r="K39" s="49"/>
      <c r="L39" s="49"/>
      <c r="M39" s="49"/>
      <c r="N39" s="144"/>
      <c r="O39" s="145"/>
      <c r="P39" s="171" t="s">
        <v>53</v>
      </c>
      <c r="Q39" s="133"/>
      <c r="R39" s="134"/>
      <c r="S39" s="134"/>
      <c r="T39" s="134"/>
      <c r="U39" s="134"/>
      <c r="V39" s="156"/>
      <c r="W39" s="136">
        <f t="shared" ref="W39:W45" si="6">SUM(Q39:V39)</f>
        <v>0</v>
      </c>
      <c r="X39" s="2"/>
      <c r="Y39" s="49"/>
      <c r="Z39" s="48"/>
      <c r="AA39" s="48"/>
      <c r="AB39" s="2"/>
      <c r="AC39" s="2"/>
      <c r="AD39" s="2"/>
      <c r="AE39" s="2"/>
    </row>
    <row r="40" spans="1:36" ht="33.75" customHeight="1" x14ac:dyDescent="0.25">
      <c r="A40" s="171" t="s">
        <v>24</v>
      </c>
      <c r="B40" s="18">
        <v>19.7</v>
      </c>
      <c r="C40" s="19">
        <v>49.6</v>
      </c>
      <c r="D40" s="19">
        <v>74.400000000000006</v>
      </c>
      <c r="E40" s="19">
        <v>57.9</v>
      </c>
      <c r="F40" s="19">
        <v>50</v>
      </c>
      <c r="G40" s="20">
        <v>30.1</v>
      </c>
      <c r="H40" s="231">
        <f t="shared" si="5"/>
        <v>281.7</v>
      </c>
      <c r="I40" s="49"/>
      <c r="J40" s="49"/>
      <c r="K40" s="49"/>
      <c r="L40" s="49"/>
      <c r="M40" s="49"/>
      <c r="N40" s="144"/>
      <c r="O40" s="145"/>
      <c r="P40" s="171" t="s">
        <v>24</v>
      </c>
      <c r="Q40" s="18">
        <v>13.8</v>
      </c>
      <c r="R40" s="19">
        <v>14.6</v>
      </c>
      <c r="S40" s="19">
        <v>13.5</v>
      </c>
      <c r="T40" s="19"/>
      <c r="U40" s="19"/>
      <c r="V40" s="20"/>
      <c r="W40" s="136">
        <f t="shared" si="6"/>
        <v>41.9</v>
      </c>
      <c r="X40" s="2"/>
      <c r="Y40" s="49"/>
      <c r="Z40" s="48"/>
      <c r="AA40" s="48"/>
      <c r="AB40" s="2"/>
      <c r="AC40" s="2"/>
      <c r="AD40" s="2"/>
      <c r="AE40" s="2"/>
    </row>
    <row r="41" spans="1:36" ht="33.75" customHeight="1" x14ac:dyDescent="0.25">
      <c r="A41" s="171" t="s">
        <v>20</v>
      </c>
      <c r="B41" s="18">
        <v>19.7</v>
      </c>
      <c r="C41" s="19">
        <v>49.6</v>
      </c>
      <c r="D41" s="19">
        <v>74.400000000000006</v>
      </c>
      <c r="E41" s="19">
        <v>57.9</v>
      </c>
      <c r="F41" s="19">
        <v>50</v>
      </c>
      <c r="G41" s="20">
        <v>30.1</v>
      </c>
      <c r="H41" s="231">
        <f t="shared" si="5"/>
        <v>281.7</v>
      </c>
      <c r="I41" s="49"/>
      <c r="J41" s="49"/>
      <c r="K41" s="49"/>
      <c r="L41" s="49"/>
      <c r="M41" s="49"/>
      <c r="N41" s="144"/>
      <c r="O41" s="145"/>
      <c r="P41" s="171" t="s">
        <v>20</v>
      </c>
      <c r="Q41" s="18">
        <v>13.8</v>
      </c>
      <c r="R41" s="19">
        <v>14.6</v>
      </c>
      <c r="S41" s="19">
        <v>13.5</v>
      </c>
      <c r="T41" s="19"/>
      <c r="U41" s="19"/>
      <c r="V41" s="20"/>
      <c r="W41" s="136">
        <f t="shared" si="6"/>
        <v>41.9</v>
      </c>
      <c r="X41" s="2"/>
      <c r="Y41" s="49"/>
      <c r="Z41" s="48"/>
      <c r="AA41" s="48"/>
      <c r="AB41" s="2"/>
      <c r="AC41" s="2"/>
      <c r="AD41" s="2"/>
      <c r="AE41" s="2"/>
    </row>
    <row r="42" spans="1:36" ht="33.75" customHeight="1" x14ac:dyDescent="0.25">
      <c r="A42" s="171" t="s">
        <v>28</v>
      </c>
      <c r="B42" s="18">
        <f>((((($B$47*$B$48)/1000)*7)-$B$40-$B$41)/3)</f>
        <v>20.995166666666666</v>
      </c>
      <c r="C42" s="19">
        <f>((((($C$47*$C$48)/1000)*7)-$C$40-$C$41)/3)</f>
        <v>52.531666666666673</v>
      </c>
      <c r="D42" s="19">
        <f>((((($D$47*$D$48)/1000)*7)-$D$40-$D$41)/3)</f>
        <v>78.752000000000024</v>
      </c>
      <c r="E42" s="19">
        <f>((((($E$47*$E$48)/1000)*7)-$E$40-$E$41)/3)</f>
        <v>61.086999999999989</v>
      </c>
      <c r="F42" s="19">
        <f>((((($F$47*$F$48)/1000)*7)-$F$40-$F$41)/3)</f>
        <v>52.976666666666667</v>
      </c>
      <c r="G42" s="20">
        <f>((((($G$47*$G$48)/1000)*7)-$G$40-$G$41)/3)</f>
        <v>32.065833333333337</v>
      </c>
      <c r="H42" s="231">
        <f t="shared" si="5"/>
        <v>298.40833333333336</v>
      </c>
      <c r="I42" s="49"/>
      <c r="J42" s="49"/>
      <c r="K42" s="49"/>
      <c r="L42" s="49"/>
      <c r="M42" s="49"/>
      <c r="N42" s="144"/>
      <c r="O42" s="145"/>
      <c r="P42" s="171" t="s">
        <v>28</v>
      </c>
      <c r="Q42" s="18">
        <f>((((($Q$47*$Q$48)/1000)*7)-$Q$40-$Q$41)/3)</f>
        <v>14.460000000000003</v>
      </c>
      <c r="R42" s="19">
        <f>(((((R$47*R$48)/1000)*7)-$R$40-$R$41)/3)</f>
        <v>15.382666666666665</v>
      </c>
      <c r="S42" s="19">
        <f>((((($S$47*$S$48)/1000)*7)-$S$40-$S$41)/3)</f>
        <v>14.296000000000001</v>
      </c>
      <c r="T42" s="19"/>
      <c r="U42" s="19"/>
      <c r="V42" s="20"/>
      <c r="W42" s="136">
        <f t="shared" si="6"/>
        <v>44.138666666666666</v>
      </c>
      <c r="X42" s="2"/>
      <c r="Y42" s="49"/>
      <c r="Z42" s="48"/>
      <c r="AA42" s="48"/>
      <c r="AB42" s="2"/>
      <c r="AC42" s="2"/>
      <c r="AD42" s="2"/>
      <c r="AE42" s="2"/>
    </row>
    <row r="43" spans="1:36" ht="33.75" customHeight="1" x14ac:dyDescent="0.25">
      <c r="A43" s="171" t="s">
        <v>21</v>
      </c>
      <c r="B43" s="18"/>
      <c r="C43" s="19"/>
      <c r="D43" s="19"/>
      <c r="E43" s="19"/>
      <c r="F43" s="19"/>
      <c r="G43" s="20"/>
      <c r="H43" s="231">
        <f t="shared" si="5"/>
        <v>0</v>
      </c>
      <c r="I43" s="49"/>
      <c r="J43" s="49"/>
      <c r="K43" s="49"/>
      <c r="L43" s="49"/>
      <c r="M43" s="49"/>
      <c r="N43" s="144"/>
      <c r="O43" s="145"/>
      <c r="P43" s="171" t="s">
        <v>21</v>
      </c>
      <c r="Q43" s="18"/>
      <c r="R43" s="19"/>
      <c r="S43" s="19"/>
      <c r="T43" s="19"/>
      <c r="U43" s="19"/>
      <c r="V43" s="20"/>
      <c r="W43" s="136">
        <f t="shared" si="6"/>
        <v>0</v>
      </c>
      <c r="X43" s="2"/>
      <c r="Y43" s="49"/>
      <c r="Z43" s="48"/>
      <c r="AA43" s="48"/>
      <c r="AB43" s="2"/>
      <c r="AC43" s="2"/>
      <c r="AD43" s="2"/>
      <c r="AE43" s="2"/>
    </row>
    <row r="44" spans="1:36" ht="33.75" customHeight="1" x14ac:dyDescent="0.25">
      <c r="A44" s="171" t="s">
        <v>22</v>
      </c>
      <c r="B44" s="18">
        <f>((((($B$47*$B$48)/1000)*7)-$B$40-$B$41)/3)</f>
        <v>20.995166666666666</v>
      </c>
      <c r="C44" s="19">
        <f>((((($C$47*$C$48)/1000)*7)-$C$40-$C$41)/3)</f>
        <v>52.531666666666673</v>
      </c>
      <c r="D44" s="19">
        <f>((((($D$47*$D$48)/1000)*7)-$D$40-$D$41)/3)</f>
        <v>78.752000000000024</v>
      </c>
      <c r="E44" s="19">
        <f>((((($E$47*$E$48)/1000)*7)-$E$40-$E$41)/3)</f>
        <v>61.086999999999989</v>
      </c>
      <c r="F44" s="19">
        <f>((((($F$47*$F$48)/1000)*7)-$F$40-$F$41)/3)</f>
        <v>52.976666666666667</v>
      </c>
      <c r="G44" s="20">
        <f>((((($G$47*$G$48)/1000)*7)-$G$40-$G$41)/3)</f>
        <v>32.065833333333337</v>
      </c>
      <c r="H44" s="231">
        <f t="shared" si="5"/>
        <v>298.40833333333336</v>
      </c>
      <c r="I44" s="49"/>
      <c r="J44" s="49"/>
      <c r="K44" s="49"/>
      <c r="L44" s="49"/>
      <c r="M44" s="49"/>
      <c r="N44" s="144"/>
      <c r="O44" s="145"/>
      <c r="P44" s="171" t="s">
        <v>22</v>
      </c>
      <c r="Q44" s="18">
        <f>((((($Q$47*$Q$48)/1000)*7)-$Q$40-$Q$41)/3)</f>
        <v>14.460000000000003</v>
      </c>
      <c r="R44" s="19">
        <f>(((((R$47*R$48)/1000)*7)-$R$40-$R$41)/3)</f>
        <v>15.382666666666665</v>
      </c>
      <c r="S44" s="19">
        <f>((((($S$47*$S$48)/1000)*7)-$S$40-$S$41)/3)</f>
        <v>14.296000000000001</v>
      </c>
      <c r="T44" s="19"/>
      <c r="U44" s="19"/>
      <c r="V44" s="20"/>
      <c r="W44" s="136">
        <f t="shared" si="6"/>
        <v>44.138666666666666</v>
      </c>
      <c r="X44" s="2"/>
      <c r="Y44" s="49"/>
      <c r="Z44" s="48"/>
      <c r="AA44" s="48"/>
      <c r="AB44" s="2"/>
      <c r="AC44" s="2"/>
      <c r="AD44" s="2"/>
      <c r="AE44" s="2"/>
    </row>
    <row r="45" spans="1:36" ht="33.75" customHeight="1" thickBot="1" x14ac:dyDescent="0.3">
      <c r="A45" s="171" t="s">
        <v>32</v>
      </c>
      <c r="B45" s="153">
        <f>((((($B$47*$B$48)/1000)*7)-$B$40-$B$41)/3)</f>
        <v>20.995166666666666</v>
      </c>
      <c r="C45" s="154">
        <f>((((($C$47*$C$48)/1000)*7)-$C$40-$C$41)/3)</f>
        <v>52.531666666666673</v>
      </c>
      <c r="D45" s="154">
        <f>((((($D$47*$D$48)/1000)*7)-$D$40-$D$41)/3)</f>
        <v>78.752000000000024</v>
      </c>
      <c r="E45" s="154">
        <f>((((($E$47*$E$48)/1000)*7)-$E$40-$E$41)/3)</f>
        <v>61.086999999999989</v>
      </c>
      <c r="F45" s="154">
        <f>((((($F$47*$F$48)/1000)*7)-$F$40-$F$41)/3)</f>
        <v>52.976666666666667</v>
      </c>
      <c r="G45" s="182">
        <f>((((($G$47*$G$48)/1000)*7)-$G$40-$G$41)/3)</f>
        <v>32.065833333333337</v>
      </c>
      <c r="H45" s="241">
        <f t="shared" si="5"/>
        <v>298.40833333333336</v>
      </c>
      <c r="I45" s="49"/>
      <c r="J45" s="49"/>
      <c r="K45" s="49"/>
      <c r="L45" s="49"/>
      <c r="M45" s="49"/>
      <c r="N45" s="144"/>
      <c r="O45" s="145"/>
      <c r="P45" s="171" t="s">
        <v>23</v>
      </c>
      <c r="Q45" s="153">
        <f>((((($Q$47*$Q$48)/1000)*7)-$Q$40-$Q$41)/3)</f>
        <v>14.460000000000003</v>
      </c>
      <c r="R45" s="154">
        <f>(((((R$47*R$48)/1000)*7)-$R$40-$R$41)/3)</f>
        <v>15.382666666666665</v>
      </c>
      <c r="S45" s="154">
        <f>((((($S$47*$S$48)/1000)*7)-$S$40-$S$41)/3)</f>
        <v>14.296000000000001</v>
      </c>
      <c r="T45" s="154"/>
      <c r="U45" s="154"/>
      <c r="V45" s="182"/>
      <c r="W45" s="136">
        <f t="shared" si="6"/>
        <v>44.138666666666666</v>
      </c>
      <c r="X45" s="2"/>
      <c r="Y45" s="49"/>
      <c r="Z45" s="48"/>
      <c r="AA45" s="48"/>
      <c r="AB45" s="48"/>
      <c r="AC45" s="48"/>
      <c r="AD45" s="2"/>
      <c r="AE45" s="2"/>
      <c r="AF45" s="2"/>
      <c r="AG45" s="2"/>
    </row>
    <row r="46" spans="1:36" ht="33.75" customHeight="1" x14ac:dyDescent="0.25">
      <c r="A46" s="170" t="s">
        <v>9</v>
      </c>
      <c r="B46" s="217">
        <f t="shared" ref="B46:G46" si="7">SUM(B39:B45)</f>
        <v>102.38549999999999</v>
      </c>
      <c r="C46" s="218">
        <f t="shared" si="7"/>
        <v>256.79500000000002</v>
      </c>
      <c r="D46" s="218">
        <f t="shared" si="7"/>
        <v>385.05600000000004</v>
      </c>
      <c r="E46" s="218">
        <f t="shared" si="7"/>
        <v>299.06099999999998</v>
      </c>
      <c r="F46" s="218">
        <f t="shared" si="7"/>
        <v>258.93</v>
      </c>
      <c r="G46" s="178">
        <f t="shared" si="7"/>
        <v>156.39750000000001</v>
      </c>
      <c r="H46" s="239">
        <f t="shared" si="5"/>
        <v>1458.625</v>
      </c>
      <c r="I46" s="49"/>
      <c r="J46" s="49"/>
      <c r="K46" s="49"/>
      <c r="L46" s="49"/>
      <c r="M46" s="49"/>
      <c r="N46" s="49"/>
      <c r="P46" s="80" t="s">
        <v>9</v>
      </c>
      <c r="Q46" s="187">
        <f>SUM(Q39:Q45)</f>
        <v>70.98</v>
      </c>
      <c r="R46" s="187">
        <f>SUM(R39:R45)</f>
        <v>75.347999999999999</v>
      </c>
      <c r="S46" s="187">
        <f>SUM(S39:S45)</f>
        <v>69.888000000000005</v>
      </c>
      <c r="T46" s="187"/>
      <c r="U46" s="218"/>
      <c r="V46" s="219"/>
      <c r="W46" s="231">
        <f>SUM(W40,W41,W42,W44,W45)</f>
        <v>216.21600000000001</v>
      </c>
      <c r="X46" s="49"/>
      <c r="Y46" s="49"/>
      <c r="Z46" s="2"/>
      <c r="AA46" s="2"/>
      <c r="AB46" s="2"/>
      <c r="AC46" s="2"/>
      <c r="AD46" s="2"/>
      <c r="AE46" s="2"/>
      <c r="AF46" s="2"/>
      <c r="AG46" s="2"/>
    </row>
    <row r="47" spans="1:36" ht="33.75" customHeight="1" x14ac:dyDescent="0.25">
      <c r="A47" s="192" t="s">
        <v>11</v>
      </c>
      <c r="B47" s="23">
        <v>73.5</v>
      </c>
      <c r="C47" s="24">
        <v>72.5</v>
      </c>
      <c r="D47" s="24">
        <v>72</v>
      </c>
      <c r="E47" s="24">
        <v>70.5</v>
      </c>
      <c r="F47" s="24">
        <v>68.5</v>
      </c>
      <c r="G47" s="25">
        <v>67.5</v>
      </c>
      <c r="H47" s="137">
        <f>+((H46/H48)/7)*1000</f>
        <v>70.731500339443315</v>
      </c>
      <c r="I47" s="50"/>
      <c r="J47" s="50"/>
      <c r="K47" s="50"/>
      <c r="L47" s="50"/>
      <c r="M47" s="50"/>
      <c r="N47" s="49"/>
      <c r="P47" s="93" t="s">
        <v>11</v>
      </c>
      <c r="Q47" s="63">
        <v>78</v>
      </c>
      <c r="R47" s="24">
        <v>78</v>
      </c>
      <c r="S47" s="24">
        <v>78</v>
      </c>
      <c r="T47" s="24"/>
      <c r="U47" s="24"/>
      <c r="V47" s="228"/>
      <c r="W47" s="232">
        <f>+((W46/W48)/7)*1000</f>
        <v>78</v>
      </c>
      <c r="X47" s="50"/>
      <c r="Y47" s="50"/>
    </row>
    <row r="48" spans="1:36" ht="33.75" customHeight="1" x14ac:dyDescent="0.25">
      <c r="A48" s="193" t="s">
        <v>12</v>
      </c>
      <c r="B48" s="26">
        <v>199</v>
      </c>
      <c r="C48" s="27">
        <v>506</v>
      </c>
      <c r="D48" s="27">
        <v>764</v>
      </c>
      <c r="E48" s="27">
        <v>606</v>
      </c>
      <c r="F48" s="27">
        <v>540</v>
      </c>
      <c r="G48" s="28">
        <v>331</v>
      </c>
      <c r="H48" s="138">
        <f>SUM(B48:G48)</f>
        <v>2946</v>
      </c>
      <c r="I48" s="198"/>
      <c r="J48" s="198"/>
      <c r="K48" s="198"/>
      <c r="L48" s="198"/>
      <c r="M48" s="198"/>
      <c r="N48" s="49"/>
      <c r="O48" s="51"/>
      <c r="P48" s="71" t="s">
        <v>12</v>
      </c>
      <c r="Q48" s="79">
        <v>130</v>
      </c>
      <c r="R48" s="79">
        <v>138</v>
      </c>
      <c r="S48" s="79">
        <v>128</v>
      </c>
      <c r="T48" s="79"/>
      <c r="U48" s="79"/>
      <c r="V48" s="162"/>
      <c r="W48" s="233">
        <f>SUM(Q48:T48)</f>
        <v>396</v>
      </c>
      <c r="X48" s="52"/>
      <c r="Y48" s="52"/>
    </row>
    <row r="49" spans="1:37" ht="33.75" customHeight="1" x14ac:dyDescent="0.25">
      <c r="A49" s="194" t="s">
        <v>13</v>
      </c>
      <c r="B49" s="30">
        <f t="shared" ref="B49:G49" si="8">(B48*B47)/1000</f>
        <v>14.6265</v>
      </c>
      <c r="C49" s="31">
        <f t="shared" si="8"/>
        <v>36.685000000000002</v>
      </c>
      <c r="D49" s="31">
        <f t="shared" si="8"/>
        <v>55.008000000000003</v>
      </c>
      <c r="E49" s="31">
        <f t="shared" si="8"/>
        <v>42.722999999999999</v>
      </c>
      <c r="F49" s="31">
        <f t="shared" si="8"/>
        <v>36.99</v>
      </c>
      <c r="G49" s="32">
        <f t="shared" si="8"/>
        <v>22.342500000000001</v>
      </c>
      <c r="H49" s="139">
        <f>((H46*1000)/H48)/7</f>
        <v>70.731500339443315</v>
      </c>
      <c r="I49" s="199"/>
      <c r="J49" s="199"/>
      <c r="K49" s="199"/>
      <c r="L49" s="199"/>
      <c r="M49" s="199"/>
      <c r="N49" s="49"/>
      <c r="P49" s="72" t="s">
        <v>13</v>
      </c>
      <c r="Q49" s="65">
        <v>81.569999999999993</v>
      </c>
      <c r="R49" s="65">
        <v>81.569999999999993</v>
      </c>
      <c r="S49" s="65">
        <v>81.569999999999993</v>
      </c>
      <c r="T49" s="65"/>
      <c r="U49" s="31"/>
      <c r="V49" s="163"/>
      <c r="W49" s="234">
        <f>((W46*1000)/W48)/7</f>
        <v>78</v>
      </c>
      <c r="X49" s="52"/>
      <c r="Y49" s="52"/>
    </row>
    <row r="50" spans="1:37" ht="33.75" customHeight="1" thickBot="1" x14ac:dyDescent="0.3">
      <c r="A50" s="185" t="s">
        <v>14</v>
      </c>
      <c r="B50" s="34">
        <f t="shared" ref="B50:G50" si="9">((B48*B47)*7)/1000</f>
        <v>102.38549999999999</v>
      </c>
      <c r="C50" s="35">
        <f t="shared" si="9"/>
        <v>256.79500000000002</v>
      </c>
      <c r="D50" s="35">
        <f t="shared" si="9"/>
        <v>385.05599999999998</v>
      </c>
      <c r="E50" s="35">
        <f t="shared" si="9"/>
        <v>299.06099999999998</v>
      </c>
      <c r="F50" s="35">
        <f t="shared" si="9"/>
        <v>258.93</v>
      </c>
      <c r="G50" s="68">
        <f t="shared" si="9"/>
        <v>156.39750000000001</v>
      </c>
      <c r="H50" s="112"/>
      <c r="I50" s="41"/>
      <c r="J50" s="41"/>
      <c r="K50" s="41"/>
      <c r="L50" s="41"/>
      <c r="M50" s="41"/>
      <c r="N50" s="49"/>
      <c r="P50" s="73" t="s">
        <v>14</v>
      </c>
      <c r="Q50" s="66">
        <f>((Q48*Q47)*7)/1000</f>
        <v>70.98</v>
      </c>
      <c r="R50" s="66">
        <f>((R48*R47)*7)/1000</f>
        <v>75.347999999999999</v>
      </c>
      <c r="S50" s="66">
        <f>((S48*S47)*7)/1000</f>
        <v>69.888000000000005</v>
      </c>
      <c r="T50" s="66"/>
      <c r="U50" s="35"/>
      <c r="V50" s="206"/>
      <c r="W50" s="214"/>
    </row>
    <row r="51" spans="1:37" ht="33.75" customHeight="1" thickBot="1" x14ac:dyDescent="0.3">
      <c r="A51" s="195" t="s">
        <v>15</v>
      </c>
      <c r="B51" s="37">
        <f t="shared" ref="B51:G51" si="10">+(B46/B48)/7*1000</f>
        <v>73.5</v>
      </c>
      <c r="C51" s="38">
        <f t="shared" si="10"/>
        <v>72.500000000000014</v>
      </c>
      <c r="D51" s="38">
        <f t="shared" si="10"/>
        <v>72</v>
      </c>
      <c r="E51" s="38">
        <f t="shared" si="10"/>
        <v>70.5</v>
      </c>
      <c r="F51" s="38">
        <f t="shared" si="10"/>
        <v>68.5</v>
      </c>
      <c r="G51" s="39">
        <f t="shared" si="10"/>
        <v>67.5</v>
      </c>
      <c r="H51" s="140"/>
      <c r="I51" s="41"/>
      <c r="J51" s="41"/>
      <c r="K51" s="41"/>
      <c r="L51" s="41"/>
      <c r="M51" s="41"/>
      <c r="N51" s="49"/>
      <c r="O51" s="41"/>
      <c r="P51" s="74" t="s">
        <v>15</v>
      </c>
      <c r="Q51" s="67">
        <f>+(Q46/Q48)/7*1000</f>
        <v>78</v>
      </c>
      <c r="R51" s="67">
        <f>+(R46/R48)/7*1000</f>
        <v>78</v>
      </c>
      <c r="S51" s="67">
        <f>+(S46/S48)/7*1000</f>
        <v>78</v>
      </c>
      <c r="T51" s="67"/>
      <c r="U51" s="38"/>
      <c r="V51" s="38"/>
      <c r="W51" s="230"/>
      <c r="X51" s="42"/>
      <c r="Y51" s="42"/>
    </row>
    <row r="52" spans="1:37" ht="33.75" customHeight="1" x14ac:dyDescent="0.25">
      <c r="A52" s="41"/>
      <c r="B52" s="2"/>
      <c r="C52" s="2"/>
      <c r="D52" s="2"/>
      <c r="E52" s="2"/>
      <c r="F52" s="2"/>
      <c r="G52" s="2"/>
      <c r="H52" s="41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2"/>
      <c r="AB52" s="2"/>
      <c r="AC52" s="2"/>
      <c r="AD52" s="2"/>
      <c r="AE52" s="2"/>
    </row>
    <row r="53" spans="1:37" ht="33.75" customHeight="1" x14ac:dyDescent="0.25">
      <c r="A53" s="41"/>
      <c r="B53" s="197"/>
      <c r="C53" s="197"/>
      <c r="D53" s="197"/>
      <c r="E53" s="197"/>
      <c r="F53" s="197"/>
      <c r="G53" s="197"/>
      <c r="H53" s="41"/>
      <c r="I53" s="41"/>
      <c r="J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2"/>
      <c r="X53" s="43"/>
      <c r="Y53" s="43"/>
      <c r="Z53" s="43"/>
      <c r="AA53" s="2"/>
      <c r="AB53" s="2"/>
      <c r="AC53" s="2"/>
      <c r="AD53" s="2"/>
      <c r="AH53" s="3"/>
    </row>
    <row r="54" spans="1:37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958"/>
      <c r="P54" s="958"/>
      <c r="Q54" s="54"/>
      <c r="R54" s="54"/>
      <c r="S54" s="54"/>
      <c r="T54" s="54"/>
      <c r="U54" s="55"/>
      <c r="Z54" s="43"/>
      <c r="AA54" s="43"/>
      <c r="AB54" s="43"/>
      <c r="AC54" s="2"/>
      <c r="AD54" s="2"/>
      <c r="AE54" s="2"/>
      <c r="AF54" s="2"/>
      <c r="AH54" s="2"/>
      <c r="AI54" s="2"/>
      <c r="AJ54" s="2"/>
    </row>
    <row r="55" spans="1:37" ht="33.75" customHeight="1" thickBot="1" x14ac:dyDescent="0.3">
      <c r="A55" s="88" t="s">
        <v>19</v>
      </c>
      <c r="B55" s="972" t="s">
        <v>30</v>
      </c>
      <c r="C55" s="972"/>
      <c r="D55" s="972"/>
      <c r="E55" s="972"/>
      <c r="F55" s="966"/>
      <c r="G55" s="248"/>
      <c r="H55" s="85"/>
      <c r="I55" s="56"/>
      <c r="J55" s="56"/>
      <c r="K55" s="56"/>
      <c r="L55" s="56"/>
      <c r="M55" s="56"/>
      <c r="N55" s="56"/>
      <c r="O55" s="56"/>
      <c r="AA55" s="43"/>
      <c r="AB55" s="43"/>
      <c r="AC55" s="43"/>
      <c r="AD55" s="2"/>
      <c r="AE55" s="2"/>
      <c r="AF55" s="2"/>
      <c r="AG55" s="2"/>
      <c r="AI55" s="2"/>
      <c r="AJ55" s="2"/>
      <c r="AK55" s="2"/>
    </row>
    <row r="56" spans="1:37" ht="33.75" customHeight="1" thickBot="1" x14ac:dyDescent="0.3">
      <c r="A56" s="80" t="s">
        <v>34</v>
      </c>
      <c r="B56" s="188"/>
      <c r="C56" s="249"/>
      <c r="D56" s="249"/>
      <c r="E56" s="249"/>
      <c r="F56" s="249"/>
      <c r="G56" s="250"/>
      <c r="H56" s="13" t="s">
        <v>9</v>
      </c>
      <c r="O56" s="45"/>
      <c r="P56" s="45"/>
      <c r="Q56" s="45"/>
      <c r="R56" s="45"/>
      <c r="S56" s="57"/>
      <c r="T56" s="57"/>
      <c r="U56" s="57"/>
      <c r="V56" s="57"/>
      <c r="W56" s="45"/>
      <c r="X56" s="45"/>
      <c r="Y56" s="58"/>
      <c r="Z56" s="58"/>
      <c r="AA56" s="58"/>
      <c r="AB56" s="2"/>
      <c r="AC56" s="2"/>
      <c r="AD56" s="2"/>
      <c r="AE56" s="2"/>
      <c r="AG56" s="2"/>
      <c r="AH56" s="2"/>
      <c r="AI56" s="2"/>
    </row>
    <row r="57" spans="1:37" ht="33.75" customHeight="1" x14ac:dyDescent="0.25">
      <c r="A57" s="80" t="s">
        <v>10</v>
      </c>
      <c r="B57" s="141">
        <v>1</v>
      </c>
      <c r="C57" s="150">
        <v>2</v>
      </c>
      <c r="D57" s="150">
        <v>3</v>
      </c>
      <c r="E57" s="150">
        <v>4</v>
      </c>
      <c r="F57" s="150">
        <v>5</v>
      </c>
      <c r="G57" s="152"/>
      <c r="H57" s="13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57"/>
      <c r="T57" s="57"/>
      <c r="U57" s="57"/>
      <c r="V57" s="57"/>
      <c r="W57" s="45"/>
      <c r="X57" s="45"/>
      <c r="Y57" s="58"/>
      <c r="Z57" s="58"/>
      <c r="AA57" s="58"/>
      <c r="AB57" s="2"/>
      <c r="AC57" s="2"/>
      <c r="AD57" s="2"/>
      <c r="AE57" s="2"/>
      <c r="AF57" s="2"/>
      <c r="AG57" s="2"/>
      <c r="AH57" s="2"/>
      <c r="AI57" s="2"/>
    </row>
    <row r="58" spans="1:37" ht="33.75" customHeight="1" x14ac:dyDescent="0.25">
      <c r="A58" s="96" t="s">
        <v>53</v>
      </c>
      <c r="B58" s="18"/>
      <c r="C58" s="61"/>
      <c r="D58" s="61"/>
      <c r="E58" s="61"/>
      <c r="F58" s="61"/>
      <c r="G58" s="94"/>
      <c r="H58" s="136">
        <f>SUM(B58:F58)</f>
        <v>0</v>
      </c>
      <c r="I58" s="42"/>
      <c r="J58" s="42"/>
      <c r="K58" s="42"/>
      <c r="L58" s="42"/>
      <c r="M58" s="42"/>
      <c r="N58" s="42"/>
      <c r="O58" s="2"/>
      <c r="P58" s="45"/>
      <c r="Q58" s="45"/>
      <c r="R58" s="45"/>
      <c r="S58" s="57"/>
      <c r="T58" s="57"/>
      <c r="U58" s="57"/>
      <c r="V58" s="57"/>
      <c r="W58" s="45"/>
      <c r="X58" s="45"/>
      <c r="Y58" s="58"/>
      <c r="Z58" s="58"/>
      <c r="AA58" s="58"/>
      <c r="AB58" s="2"/>
      <c r="AC58" s="2"/>
      <c r="AD58" s="2"/>
      <c r="AE58" s="2"/>
      <c r="AF58" s="2"/>
      <c r="AG58" s="2"/>
      <c r="AH58" s="2"/>
      <c r="AI58" s="2"/>
    </row>
    <row r="59" spans="1:37" ht="33.75" customHeight="1" x14ac:dyDescent="0.25">
      <c r="A59" s="96" t="s">
        <v>24</v>
      </c>
      <c r="B59" s="18">
        <v>24</v>
      </c>
      <c r="C59" s="61">
        <v>26.6</v>
      </c>
      <c r="D59" s="61">
        <v>34</v>
      </c>
      <c r="E59" s="61">
        <v>29.2</v>
      </c>
      <c r="F59" s="61">
        <v>33.5</v>
      </c>
      <c r="G59" s="94"/>
      <c r="H59" s="136">
        <f>SUM(B59:G59)</f>
        <v>147.30000000000001</v>
      </c>
      <c r="I59" s="42"/>
      <c r="J59" s="42"/>
      <c r="K59" s="42"/>
      <c r="L59" s="42"/>
      <c r="M59" s="42"/>
      <c r="N59" s="42"/>
      <c r="O59" s="2"/>
      <c r="P59" s="45"/>
      <c r="Q59" s="45"/>
      <c r="R59" s="45"/>
      <c r="S59" s="57"/>
      <c r="T59" s="57"/>
      <c r="U59" s="57"/>
      <c r="V59" s="57"/>
      <c r="W59" s="45"/>
      <c r="X59" s="45"/>
      <c r="Y59" s="58"/>
      <c r="Z59" s="58"/>
      <c r="AA59" s="58"/>
      <c r="AB59" s="2"/>
      <c r="AC59" s="2"/>
      <c r="AD59" s="2"/>
      <c r="AE59" s="2"/>
      <c r="AF59" s="2"/>
      <c r="AG59" s="2"/>
      <c r="AH59" s="2"/>
      <c r="AI59" s="2"/>
    </row>
    <row r="60" spans="1:37" ht="33.75" customHeight="1" x14ac:dyDescent="0.25">
      <c r="A60" s="96" t="s">
        <v>20</v>
      </c>
      <c r="B60" s="18">
        <v>24</v>
      </c>
      <c r="C60" s="61">
        <v>26.6</v>
      </c>
      <c r="D60" s="61">
        <v>34</v>
      </c>
      <c r="E60" s="61">
        <v>29.2</v>
      </c>
      <c r="F60" s="61">
        <v>33.5</v>
      </c>
      <c r="G60" s="94"/>
      <c r="H60" s="136">
        <f>SUM(B60:F60)</f>
        <v>147.30000000000001</v>
      </c>
      <c r="I60" s="42"/>
      <c r="J60" s="42"/>
      <c r="K60" s="42"/>
      <c r="L60" s="42"/>
      <c r="M60" s="42"/>
      <c r="N60" s="42"/>
      <c r="O60" s="2"/>
      <c r="P60" s="45"/>
      <c r="Q60" s="45"/>
      <c r="R60" s="45"/>
      <c r="S60" s="57"/>
      <c r="T60" s="57"/>
      <c r="U60" s="57"/>
      <c r="V60" s="57"/>
      <c r="W60" s="45"/>
      <c r="X60" s="45"/>
      <c r="Y60" s="58"/>
      <c r="Z60" s="58"/>
      <c r="AA60" s="58"/>
      <c r="AB60" s="2"/>
      <c r="AC60" s="2"/>
      <c r="AD60" s="2"/>
      <c r="AE60" s="2"/>
      <c r="AF60" s="2"/>
      <c r="AG60" s="2"/>
      <c r="AH60" s="2"/>
      <c r="AI60" s="2"/>
    </row>
    <row r="61" spans="1:37" ht="33.75" customHeight="1" x14ac:dyDescent="0.25">
      <c r="A61" s="96" t="s">
        <v>28</v>
      </c>
      <c r="B61" s="18">
        <f>((((($B$66*$B$67)/1000)*7)-$B$59-$B$60)/3)</f>
        <v>24.695666666666664</v>
      </c>
      <c r="C61" s="61">
        <f>((((($C$66*$C$67)/1000)*7)-$C$59-$C$60)/3)</f>
        <v>27.906666666666666</v>
      </c>
      <c r="D61" s="61">
        <f>((((($D$66*$D$67)/1000)*7)-$D$59-$D$60)/3)</f>
        <v>35.714499999999994</v>
      </c>
      <c r="E61" s="61">
        <f>((((($E$66*$E$67)/1000)*7)-$E$59-$E$60)/3)</f>
        <v>30.547166666666659</v>
      </c>
      <c r="F61" s="61">
        <f>((((($F$66*$F$67)/1000)*7)-$F$59-$F$60)/3)</f>
        <v>34.906833333333338</v>
      </c>
      <c r="G61" s="94"/>
      <c r="H61" s="136">
        <f>SUM(B61:F61)</f>
        <v>153.77083333333331</v>
      </c>
      <c r="I61" s="42"/>
      <c r="J61" s="42"/>
      <c r="K61" s="42"/>
      <c r="L61" s="42"/>
      <c r="M61" s="42"/>
      <c r="N61" s="42"/>
      <c r="O61" s="2"/>
      <c r="P61" s="45"/>
      <c r="Q61" s="45"/>
      <c r="R61" s="45"/>
      <c r="S61" s="57"/>
      <c r="T61" s="57"/>
      <c r="U61" s="57"/>
      <c r="V61" s="57"/>
      <c r="W61" s="45"/>
      <c r="X61" s="45"/>
      <c r="Y61" s="58"/>
      <c r="Z61" s="58"/>
      <c r="AA61" s="58"/>
      <c r="AB61" s="3"/>
      <c r="AC61" s="3"/>
      <c r="AD61" s="2"/>
      <c r="AE61" s="2"/>
      <c r="AF61" s="2"/>
      <c r="AG61" s="2"/>
      <c r="AH61" s="2"/>
      <c r="AI61" s="2"/>
    </row>
    <row r="62" spans="1:37" ht="33.75" customHeight="1" x14ac:dyDescent="0.25">
      <c r="A62" s="96" t="s">
        <v>21</v>
      </c>
      <c r="B62" s="18"/>
      <c r="C62" s="61"/>
      <c r="D62" s="61"/>
      <c r="E62" s="61"/>
      <c r="F62" s="61"/>
      <c r="G62" s="94"/>
      <c r="H62" s="136">
        <f>SUM(B62:F62)</f>
        <v>0</v>
      </c>
      <c r="I62" s="42"/>
      <c r="J62" s="42"/>
      <c r="K62" s="42"/>
      <c r="L62" s="42"/>
      <c r="M62" s="42"/>
      <c r="N62" s="42"/>
      <c r="O62" s="2"/>
      <c r="P62" s="45"/>
      <c r="Q62" s="45"/>
      <c r="R62" s="45"/>
      <c r="S62" s="57"/>
      <c r="T62" s="57"/>
      <c r="U62" s="57"/>
      <c r="V62" s="57"/>
      <c r="W62" s="45"/>
      <c r="X62" s="45"/>
      <c r="Y62" s="58"/>
      <c r="Z62" s="58"/>
      <c r="AA62" s="58"/>
      <c r="AB62" s="3"/>
      <c r="AC62" s="3"/>
      <c r="AD62" s="2"/>
      <c r="AE62" s="2"/>
      <c r="AF62" s="2"/>
      <c r="AG62" s="2"/>
      <c r="AH62" s="2"/>
      <c r="AI62" s="2"/>
    </row>
    <row r="63" spans="1:37" ht="33.75" customHeight="1" x14ac:dyDescent="0.25">
      <c r="A63" s="96" t="s">
        <v>22</v>
      </c>
      <c r="B63" s="18">
        <f>((((($B$66*$B$67)/1000)*7)-$B$59-$B$60)/3)</f>
        <v>24.695666666666664</v>
      </c>
      <c r="C63" s="61">
        <f>((((($C$66*$C$67)/1000)*7)-$C$59-$C$60)/3)</f>
        <v>27.906666666666666</v>
      </c>
      <c r="D63" s="61">
        <f>((((($D$66*$D$67)/1000)*7)-$D$59-$D$60)/3)</f>
        <v>35.714499999999994</v>
      </c>
      <c r="E63" s="61">
        <f>((((($E$66*$E$67)/1000)*7)-$E$59-$E$60)/3)</f>
        <v>30.547166666666659</v>
      </c>
      <c r="F63" s="61">
        <f>((((($F$66*$F$67)/1000)*7)-$F$59-$F$60)/3)</f>
        <v>34.906833333333338</v>
      </c>
      <c r="G63" s="94"/>
      <c r="H63" s="136">
        <f>SUM(B63:F63)</f>
        <v>153.77083333333331</v>
      </c>
      <c r="I63" s="42"/>
      <c r="J63" s="42"/>
      <c r="K63" s="42"/>
      <c r="L63" s="42"/>
      <c r="M63" s="42"/>
      <c r="N63" s="42"/>
      <c r="O63" s="2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3"/>
      <c r="AC63" s="3"/>
      <c r="AF63" s="2"/>
      <c r="AG63" s="2"/>
      <c r="AH63" s="2"/>
      <c r="AI63" s="2"/>
    </row>
    <row r="64" spans="1:37" ht="33.75" customHeight="1" thickBot="1" x14ac:dyDescent="0.3">
      <c r="A64" s="96" t="s">
        <v>23</v>
      </c>
      <c r="B64" s="153">
        <f>((((($B$66*$B$67)/1000)*7)-$B$59-$B$60)/3)</f>
        <v>24.695666666666664</v>
      </c>
      <c r="C64" s="226">
        <f>((((($C$66*$C$67)/1000)*7)-$C$59-$C$60)/3)</f>
        <v>27.906666666666666</v>
      </c>
      <c r="D64" s="226">
        <f>((((($D$66*$D$67)/1000)*7)-$D$59-$D$60)/3)</f>
        <v>35.714499999999994</v>
      </c>
      <c r="E64" s="226">
        <f>((((($E$66*$E$67)/1000)*7)-$E$59-$E$60)/3)</f>
        <v>30.547166666666659</v>
      </c>
      <c r="F64" s="226">
        <f>((((($F$66*$F$67)/1000)*7)-$F$59-$F$60)/3)</f>
        <v>34.906833333333338</v>
      </c>
      <c r="G64" s="247"/>
      <c r="H64" s="136">
        <f>SUM(B64:F64)</f>
        <v>153.77083333333331</v>
      </c>
      <c r="I64" s="42"/>
      <c r="J64" s="42"/>
      <c r="K64" s="42"/>
      <c r="L64" s="42"/>
      <c r="M64" s="42"/>
      <c r="N64" s="42"/>
      <c r="O64" s="2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3"/>
      <c r="AC64" s="3"/>
      <c r="AF64" s="2"/>
      <c r="AG64" s="2"/>
      <c r="AH64" s="2"/>
      <c r="AI64" s="2"/>
    </row>
    <row r="65" spans="1:35" ht="33.75" customHeight="1" x14ac:dyDescent="0.25">
      <c r="A65" s="80" t="s">
        <v>9</v>
      </c>
      <c r="B65" s="220">
        <f>SUM(B58:B64)</f>
        <v>122.087</v>
      </c>
      <c r="C65" s="220">
        <f>SUM(C58:C64)</f>
        <v>136.92000000000002</v>
      </c>
      <c r="D65" s="220">
        <f>SUM(D58:D64)</f>
        <v>175.14349999999996</v>
      </c>
      <c r="E65" s="220">
        <f>SUM(E58:E64)</f>
        <v>150.04149999999998</v>
      </c>
      <c r="F65" s="220">
        <f>SUM(F58:F64)</f>
        <v>171.72050000000002</v>
      </c>
      <c r="G65" s="220"/>
      <c r="H65" s="77">
        <f>SUM(B65:G65)</f>
        <v>755.91250000000002</v>
      </c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3"/>
      <c r="AC65" s="3"/>
      <c r="AD65" s="3"/>
      <c r="AE65" s="3"/>
      <c r="AF65" s="2"/>
      <c r="AG65" s="2"/>
      <c r="AH65" s="2"/>
      <c r="AI65" s="2"/>
    </row>
    <row r="66" spans="1:35" ht="33.75" customHeight="1" x14ac:dyDescent="0.25">
      <c r="A66" s="70" t="s">
        <v>11</v>
      </c>
      <c r="B66" s="63">
        <v>81.5</v>
      </c>
      <c r="C66" s="63">
        <v>81.5</v>
      </c>
      <c r="D66" s="63">
        <v>81.5</v>
      </c>
      <c r="E66" s="63">
        <v>81.5</v>
      </c>
      <c r="F66" s="63">
        <v>81.5</v>
      </c>
      <c r="G66" s="161"/>
      <c r="H66" s="78">
        <f>+((H65/H67)/7)*1000</f>
        <v>81.5</v>
      </c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3"/>
      <c r="AC66" s="3"/>
      <c r="AD66" s="3"/>
      <c r="AE66" s="3"/>
      <c r="AF66" s="2"/>
      <c r="AG66" s="2"/>
      <c r="AH66" s="2"/>
      <c r="AI66" s="2"/>
    </row>
    <row r="67" spans="1:35" ht="33.75" customHeight="1" x14ac:dyDescent="0.25">
      <c r="A67" s="71" t="s">
        <v>12</v>
      </c>
      <c r="B67" s="79">
        <v>214</v>
      </c>
      <c r="C67" s="79">
        <v>240</v>
      </c>
      <c r="D67" s="79">
        <v>307</v>
      </c>
      <c r="E67" s="79">
        <v>263</v>
      </c>
      <c r="F67" s="79">
        <v>301</v>
      </c>
      <c r="G67" s="162"/>
      <c r="H67" s="82">
        <f>SUM(B67:G67)</f>
        <v>1325</v>
      </c>
      <c r="O67" s="59"/>
      <c r="S67" s="3"/>
      <c r="T67" s="3"/>
      <c r="U67" s="3"/>
      <c r="V67" s="3"/>
      <c r="W67" s="3"/>
      <c r="X67" s="3"/>
    </row>
    <row r="68" spans="1:35" ht="33.75" customHeight="1" x14ac:dyDescent="0.25">
      <c r="A68" s="72" t="s">
        <v>13</v>
      </c>
      <c r="B68" s="65">
        <v>83.71</v>
      </c>
      <c r="C68" s="31">
        <f>(C67*C66)/1000</f>
        <v>19.559999999999999</v>
      </c>
      <c r="D68" s="31">
        <f>(D67*D66)/1000</f>
        <v>25.020499999999998</v>
      </c>
      <c r="E68" s="31">
        <f>(E67*E66)/1000</f>
        <v>21.4345</v>
      </c>
      <c r="F68" s="31">
        <f>(F67*F66)/1000</f>
        <v>24.531500000000001</v>
      </c>
      <c r="G68" s="31"/>
      <c r="H68" s="86">
        <f>((H65*1000)/H67)/7</f>
        <v>81.5</v>
      </c>
      <c r="S68" s="3"/>
      <c r="T68" s="3"/>
      <c r="U68" s="3"/>
      <c r="V68" s="3"/>
      <c r="W68" s="3"/>
      <c r="X68" s="3"/>
    </row>
    <row r="69" spans="1:35" ht="33.75" customHeight="1" x14ac:dyDescent="0.25">
      <c r="A69" s="73" t="s">
        <v>14</v>
      </c>
      <c r="B69" s="66">
        <f>((B67*B66)*7)/1000</f>
        <v>122.087</v>
      </c>
      <c r="C69" s="35">
        <f>((C67*C66)*7)/1000</f>
        <v>136.91999999999999</v>
      </c>
      <c r="D69" s="35">
        <f>((D67*D66)*7)/1000</f>
        <v>175.14349999999999</v>
      </c>
      <c r="E69" s="35">
        <f>((E67*E66)*7)/1000</f>
        <v>150.04150000000001</v>
      </c>
      <c r="F69" s="35">
        <f>((F67*F66)*7)/1000</f>
        <v>171.72049999999999</v>
      </c>
      <c r="G69" s="35"/>
      <c r="H69" s="68"/>
      <c r="I69" s="41"/>
      <c r="J69" s="41"/>
      <c r="K69" s="41"/>
      <c r="L69" s="41"/>
      <c r="M69" s="41"/>
      <c r="N69" s="41"/>
      <c r="X69" s="3"/>
    </row>
    <row r="70" spans="1:35" ht="33.75" customHeight="1" thickBot="1" x14ac:dyDescent="0.3">
      <c r="A70" s="74" t="s">
        <v>15</v>
      </c>
      <c r="B70" s="67">
        <f>+(B65/B67)/7*1000</f>
        <v>81.5</v>
      </c>
      <c r="C70" s="67">
        <f>+(C65/C67)/7*1000</f>
        <v>81.500000000000014</v>
      </c>
      <c r="D70" s="67">
        <f>+(D65/D67)/7*1000</f>
        <v>81.499999999999986</v>
      </c>
      <c r="E70" s="67">
        <f>+(E65/E67)/7*1000</f>
        <v>81.499999999999986</v>
      </c>
      <c r="F70" s="67">
        <f>+(F65/F67)/7*1000</f>
        <v>81.5</v>
      </c>
      <c r="G70" s="67"/>
      <c r="H70" s="87"/>
      <c r="X70" s="3"/>
    </row>
    <row r="71" spans="1:35" ht="33.75" customHeight="1" x14ac:dyDescent="0.25">
      <c r="B71" s="148"/>
    </row>
    <row r="72" spans="1:35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52"/>
    </row>
    <row r="73" spans="1:35" ht="33.75" customHeight="1" x14ac:dyDescent="0.25"/>
    <row r="74" spans="1:35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  <c r="M74" s="45"/>
      <c r="N74" s="45"/>
      <c r="O74" s="45"/>
    </row>
    <row r="75" spans="1:35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5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5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5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5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X9:Y9"/>
    <mergeCell ref="P11:Q11"/>
    <mergeCell ref="B15:I15"/>
    <mergeCell ref="J15:M15"/>
    <mergeCell ref="N15:R15"/>
    <mergeCell ref="S15:X15"/>
    <mergeCell ref="B36:G36"/>
    <mergeCell ref="Q36:V36"/>
    <mergeCell ref="N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K239"/>
  <sheetViews>
    <sheetView workbookViewId="0"/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9.140625" style="14" customWidth="1"/>
    <col min="9" max="13" width="20.140625" style="14" customWidth="1"/>
    <col min="14" max="14" width="28.28515625" style="14" bestFit="1" customWidth="1"/>
    <col min="15" max="16" width="33.42578125" style="14" bestFit="1" customWidth="1"/>
    <col min="17" max="17" width="22.7109375" style="14" customWidth="1"/>
    <col min="18" max="20" width="21.28515625" style="14" customWidth="1"/>
    <col min="21" max="21" width="21.28515625" style="14" bestFit="1" customWidth="1"/>
    <col min="22" max="22" width="21.28515625" style="14" customWidth="1"/>
    <col min="23" max="23" width="27.85546875" style="14" customWidth="1"/>
    <col min="24" max="24" width="25.85546875" style="14" customWidth="1"/>
    <col min="25" max="25" width="21.42578125" style="14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 t="s">
        <v>3</v>
      </c>
      <c r="X9" s="960" t="s">
        <v>35</v>
      </c>
      <c r="Y9" s="960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65" t="s">
        <v>71</v>
      </c>
      <c r="Q11" s="965"/>
      <c r="R11" s="6"/>
      <c r="S11" s="6"/>
      <c r="T11" s="6"/>
      <c r="U11" s="1"/>
      <c r="V11" s="1"/>
      <c r="W11" s="1" t="s">
        <v>6</v>
      </c>
      <c r="X11" s="95">
        <v>45434</v>
      </c>
      <c r="Y11" s="6"/>
      <c r="Z11" s="6"/>
      <c r="AA11" s="6"/>
      <c r="AB11" s="6"/>
      <c r="AC11" s="6"/>
      <c r="AD11" s="6"/>
      <c r="AE11" s="1"/>
      <c r="AF11" s="1"/>
      <c r="AG11" s="1"/>
      <c r="AH11" s="1"/>
      <c r="AI11" s="1"/>
      <c r="AJ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1"/>
      <c r="AD13" s="1"/>
      <c r="AE13" s="1"/>
    </row>
    <row r="14" spans="1:3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1"/>
      <c r="AE14" s="1"/>
      <c r="AF14" s="1"/>
    </row>
    <row r="15" spans="1:36" s="10" customFormat="1" ht="36" thickBot="1" x14ac:dyDescent="0.3">
      <c r="A15" s="69" t="s">
        <v>7</v>
      </c>
      <c r="B15" s="971" t="s">
        <v>8</v>
      </c>
      <c r="C15" s="968"/>
      <c r="D15" s="968"/>
      <c r="E15" s="968"/>
      <c r="F15" s="968"/>
      <c r="G15" s="968"/>
      <c r="H15" s="968"/>
      <c r="I15" s="968"/>
      <c r="J15" s="971" t="s">
        <v>30</v>
      </c>
      <c r="K15" s="968"/>
      <c r="L15" s="968"/>
      <c r="M15" s="969"/>
      <c r="N15" s="971" t="s">
        <v>29</v>
      </c>
      <c r="O15" s="968"/>
      <c r="P15" s="968"/>
      <c r="Q15" s="968"/>
      <c r="R15" s="969"/>
      <c r="S15" s="962" t="s">
        <v>31</v>
      </c>
      <c r="T15" s="963"/>
      <c r="U15" s="963"/>
      <c r="V15" s="963"/>
      <c r="W15" s="963"/>
      <c r="X15" s="964"/>
    </row>
    <row r="16" spans="1:36" ht="39.950000000000003" customHeight="1" thickBot="1" x14ac:dyDescent="0.3">
      <c r="A16" s="80" t="s">
        <v>34</v>
      </c>
      <c r="B16" s="186">
        <v>4</v>
      </c>
      <c r="C16" s="174">
        <v>3</v>
      </c>
      <c r="D16" s="174">
        <v>2</v>
      </c>
      <c r="E16" s="174">
        <v>1</v>
      </c>
      <c r="F16" s="174">
        <v>1</v>
      </c>
      <c r="G16" s="174">
        <v>2</v>
      </c>
      <c r="H16" s="174">
        <v>3</v>
      </c>
      <c r="I16" s="175">
        <v>4</v>
      </c>
      <c r="J16" s="186">
        <v>1</v>
      </c>
      <c r="K16" s="174">
        <v>2</v>
      </c>
      <c r="L16" s="174">
        <v>3</v>
      </c>
      <c r="M16" s="175">
        <v>4</v>
      </c>
      <c r="N16" s="202">
        <v>1</v>
      </c>
      <c r="O16" s="174">
        <v>2</v>
      </c>
      <c r="P16" s="174">
        <v>3</v>
      </c>
      <c r="Q16" s="174">
        <v>4</v>
      </c>
      <c r="R16" s="203">
        <v>5</v>
      </c>
      <c r="S16" s="186">
        <v>1</v>
      </c>
      <c r="T16" s="174">
        <v>2</v>
      </c>
      <c r="U16" s="174">
        <v>3</v>
      </c>
      <c r="V16" s="174">
        <v>4</v>
      </c>
      <c r="W16" s="175">
        <v>5</v>
      </c>
      <c r="X16" s="126" t="s">
        <v>9</v>
      </c>
      <c r="AB16" s="15"/>
      <c r="AC16" s="15"/>
    </row>
    <row r="17" spans="1:36" ht="39.950000000000003" customHeight="1" thickBot="1" x14ac:dyDescent="0.3">
      <c r="A17" s="80" t="s">
        <v>10</v>
      </c>
      <c r="B17" s="186">
        <v>1</v>
      </c>
      <c r="C17" s="174">
        <v>2</v>
      </c>
      <c r="D17" s="174">
        <v>3</v>
      </c>
      <c r="E17" s="174">
        <v>4</v>
      </c>
      <c r="F17" s="174">
        <v>5</v>
      </c>
      <c r="G17" s="174">
        <v>6</v>
      </c>
      <c r="H17" s="174">
        <v>7</v>
      </c>
      <c r="I17" s="175">
        <v>8</v>
      </c>
      <c r="J17" s="186">
        <v>1</v>
      </c>
      <c r="K17" s="174">
        <v>2</v>
      </c>
      <c r="L17" s="174">
        <v>3</v>
      </c>
      <c r="M17" s="175">
        <v>4</v>
      </c>
      <c r="N17" s="202">
        <v>1</v>
      </c>
      <c r="O17" s="174">
        <v>2</v>
      </c>
      <c r="P17" s="174">
        <v>3</v>
      </c>
      <c r="Q17" s="174">
        <v>4</v>
      </c>
      <c r="R17" s="203">
        <v>5</v>
      </c>
      <c r="S17" s="186">
        <v>1</v>
      </c>
      <c r="T17" s="174">
        <v>2</v>
      </c>
      <c r="U17" s="174">
        <v>3</v>
      </c>
      <c r="V17" s="174">
        <v>4</v>
      </c>
      <c r="W17" s="175">
        <v>5</v>
      </c>
      <c r="X17" s="208"/>
      <c r="AB17" s="2"/>
      <c r="AC17" s="15"/>
    </row>
    <row r="18" spans="1:36" ht="39.950000000000003" customHeight="1" x14ac:dyDescent="0.25">
      <c r="A18" s="171" t="s">
        <v>53</v>
      </c>
      <c r="B18" s="133"/>
      <c r="C18" s="134"/>
      <c r="D18" s="134"/>
      <c r="E18" s="134"/>
      <c r="F18" s="134"/>
      <c r="G18" s="134"/>
      <c r="H18" s="134"/>
      <c r="I18" s="156"/>
      <c r="J18" s="133"/>
      <c r="K18" s="134"/>
      <c r="L18" s="134"/>
      <c r="M18" s="156"/>
      <c r="N18" s="133"/>
      <c r="O18" s="134"/>
      <c r="P18" s="134"/>
      <c r="Q18" s="134"/>
      <c r="R18" s="156"/>
      <c r="S18" s="225"/>
      <c r="T18" s="134"/>
      <c r="U18" s="134"/>
      <c r="V18" s="134"/>
      <c r="W18" s="156"/>
      <c r="X18" s="98"/>
      <c r="AB18" s="2"/>
      <c r="AC18" s="15"/>
    </row>
    <row r="19" spans="1:36" ht="39.950000000000003" customHeight="1" x14ac:dyDescent="0.25">
      <c r="A19" s="171" t="s">
        <v>24</v>
      </c>
      <c r="B19" s="18">
        <v>31.8</v>
      </c>
      <c r="C19" s="19">
        <v>51.8</v>
      </c>
      <c r="D19" s="19">
        <v>71.400000000000006</v>
      </c>
      <c r="E19" s="19">
        <v>31</v>
      </c>
      <c r="F19" s="19">
        <v>22.3</v>
      </c>
      <c r="G19" s="19">
        <v>53.2</v>
      </c>
      <c r="H19" s="19">
        <v>53.9</v>
      </c>
      <c r="I19" s="20">
        <v>37.4</v>
      </c>
      <c r="J19" s="18">
        <v>18</v>
      </c>
      <c r="K19" s="19">
        <v>31</v>
      </c>
      <c r="L19" s="19">
        <v>34.799999999999997</v>
      </c>
      <c r="M19" s="20">
        <v>30.7</v>
      </c>
      <c r="N19" s="18">
        <v>36.9</v>
      </c>
      <c r="O19" s="19">
        <v>48.7</v>
      </c>
      <c r="P19" s="19">
        <v>57.1</v>
      </c>
      <c r="Q19" s="19">
        <v>47.7</v>
      </c>
      <c r="R19" s="20">
        <v>26.7</v>
      </c>
      <c r="S19" s="61">
        <v>35</v>
      </c>
      <c r="T19" s="19">
        <v>50.9</v>
      </c>
      <c r="U19" s="19">
        <v>59.1</v>
      </c>
      <c r="V19" s="19">
        <v>44.9</v>
      </c>
      <c r="W19" s="20">
        <v>27.9</v>
      </c>
      <c r="X19" s="98">
        <f t="shared" ref="X19:X24" si="0">SUM(B19:W19)</f>
        <v>902.2</v>
      </c>
      <c r="AB19" s="2"/>
      <c r="AC19" s="15"/>
    </row>
    <row r="20" spans="1:36" ht="39.75" customHeight="1" x14ac:dyDescent="0.25">
      <c r="A20" s="171" t="s">
        <v>20</v>
      </c>
      <c r="B20" s="18">
        <f>((((($B$26*$B$27)/1000)*7)-$B$19)/4)</f>
        <v>34.126125000000002</v>
      </c>
      <c r="C20" s="19">
        <f>((((($C$26*$C$27)/1000)*7)-$C$19)/4)</f>
        <v>54.782875000000004</v>
      </c>
      <c r="D20" s="19">
        <f>((((($D$26*$D$27)/1000)*7)-$D$19)/4)</f>
        <v>75.993750000000006</v>
      </c>
      <c r="E20" s="19">
        <f>((((($E$26*$E$27)/1000)*7)-$E$19)/4)</f>
        <v>32.895499999999998</v>
      </c>
      <c r="F20" s="19">
        <f>((((($F$26*$F$27)/1000)*7)-$F$19)/4)</f>
        <v>23.493374999999997</v>
      </c>
      <c r="G20" s="19">
        <f>((((($G$26*$G$27)/1000)*7)-$G$19)/4)</f>
        <v>56.493499999999997</v>
      </c>
      <c r="H20" s="19">
        <f>((((($H$26*$H$27)/1000)*7-$H$19)/4))</f>
        <v>57.448999999999991</v>
      </c>
      <c r="I20" s="20">
        <f>((((($I$26*$I$27)/1000)*7)-$I$19)/4)</f>
        <v>39.660499999999999</v>
      </c>
      <c r="J20" s="18">
        <f>((((($J$26*$J$27)/1000)*7)-$J$19)/4)</f>
        <v>19.142499999999998</v>
      </c>
      <c r="K20" s="19">
        <f>((((($K$26*$K$27)/1000)*7)-$K$19)/4)</f>
        <v>33.186</v>
      </c>
      <c r="L20" s="19">
        <f>((((($L$26*$L$27)/1000)*7)-$L$19)/4)</f>
        <v>37.379249999999999</v>
      </c>
      <c r="M20" s="20">
        <f>((((($M$26*$M$27)/1000)*7)-$M$19)/4)</f>
        <v>32.329125000000005</v>
      </c>
      <c r="N20" s="18">
        <f>((((($N$26*$N$27)/1000)*7)-$N$19)/4)</f>
        <v>39.729500000000002</v>
      </c>
      <c r="O20" s="19">
        <f>((((($O$26*$O$27)/1000)*7)-$O$19)/4)</f>
        <v>52.260000000000005</v>
      </c>
      <c r="P20" s="19">
        <f>((((($P$26*$P$27)/1000)*7)-$P$19)/4)</f>
        <v>61.43</v>
      </c>
      <c r="Q20" s="19">
        <f>((((($Q$26*$Q$27)/1000)*7)-$Q$19)/4)</f>
        <v>51.608750000000001</v>
      </c>
      <c r="R20" s="20">
        <f>((((($R$26*$R$27)/1000)*7)-$R$19)/4)</f>
        <v>28.644375</v>
      </c>
      <c r="S20" s="61">
        <f>((((($S$26*$S$27)/1000)*7)-$S$19)/4)</f>
        <v>37.432500000000005</v>
      </c>
      <c r="T20" s="19">
        <f>((((($T$26*$T$27)/1000)*7)-$T$19)/4)</f>
        <v>54.020875000000011</v>
      </c>
      <c r="U20" s="19">
        <f>((((($U$26*$U$27)/1000)*7)-$U$19)/4)</f>
        <v>63.01250000000001</v>
      </c>
      <c r="V20" s="19">
        <f>((((($V$26*$V$27)/1000)*7)-$V$19)/4)</f>
        <v>47.821750000000002</v>
      </c>
      <c r="W20" s="20">
        <f>((((($W$26*$W$27)/1000)*7)-$W$19)/4)</f>
        <v>29.724249999999998</v>
      </c>
      <c r="X20" s="98">
        <f t="shared" si="0"/>
        <v>962.61599999999999</v>
      </c>
      <c r="AB20" s="2"/>
      <c r="AC20" s="15"/>
    </row>
    <row r="21" spans="1:36" ht="39.950000000000003" customHeight="1" x14ac:dyDescent="0.25">
      <c r="A21" s="171" t="s">
        <v>28</v>
      </c>
      <c r="B21" s="18">
        <f>((((($B$26*$B$27)/1000)*7)-$B$19)/4)</f>
        <v>34.126125000000002</v>
      </c>
      <c r="C21" s="19">
        <f>((((($C$26*$C$27)/1000)*7)-$C$19)/4)</f>
        <v>54.782875000000004</v>
      </c>
      <c r="D21" s="19">
        <f>((((($D$26*$D$27)/1000)*7)-$D$19)/4)</f>
        <v>75.993750000000006</v>
      </c>
      <c r="E21" s="19">
        <f>((((($E$26*$E$27)/1000)*7)-$E$19)/4)</f>
        <v>32.895499999999998</v>
      </c>
      <c r="F21" s="19">
        <f>((((($F$26*$F$27)/1000)*7)-$F$19)/4)</f>
        <v>23.493374999999997</v>
      </c>
      <c r="G21" s="19">
        <f>((((($G$26*$G$27)/1000)*7)-$G$19)/4)</f>
        <v>56.493499999999997</v>
      </c>
      <c r="H21" s="19">
        <f>((((($H$26*$H$27)/1000)*7-$H$19)/4))</f>
        <v>57.448999999999991</v>
      </c>
      <c r="I21" s="20">
        <f>((((($I$26*$I$27)/1000)*7)-$I$19)/4)</f>
        <v>39.660499999999999</v>
      </c>
      <c r="J21" s="18">
        <f>((((($J$26*$J$27)/1000)*7)-$J$19)/4)</f>
        <v>19.142499999999998</v>
      </c>
      <c r="K21" s="19">
        <f>((((($K$26*$K$27)/1000)*7)-$K$19)/4)</f>
        <v>33.186</v>
      </c>
      <c r="L21" s="19">
        <f>((((($L$26*$L$27)/1000)*7)-$L$19)/4)</f>
        <v>37.379249999999999</v>
      </c>
      <c r="M21" s="20">
        <f>((((($M$26*$M$27)/1000)*7)-$M$19)/4)</f>
        <v>32.329125000000005</v>
      </c>
      <c r="N21" s="18">
        <f>((((($N$26*$N$27)/1000)*7)-$N$19)/4)</f>
        <v>39.729500000000002</v>
      </c>
      <c r="O21" s="19">
        <f>((((($O$26*$O$27)/1000)*7)-$O$19)/4)</f>
        <v>52.260000000000005</v>
      </c>
      <c r="P21" s="19">
        <f>((((($P$26*$P$27)/1000)*7)-$P$19)/4)</f>
        <v>61.43</v>
      </c>
      <c r="Q21" s="19">
        <f>((((($Q$26*$Q$27)/1000)*7)-$Q$19)/4)</f>
        <v>51.608750000000001</v>
      </c>
      <c r="R21" s="20">
        <f>((((($R$26*$R$27)/1000)*7)-$R$19)/4)</f>
        <v>28.644375</v>
      </c>
      <c r="S21" s="61">
        <f>((((($S$26*$S$27)/1000)*7)-$S$19)/4)</f>
        <v>37.432500000000005</v>
      </c>
      <c r="T21" s="19">
        <f>((((($T$26*$T$27)/1000)*7)-$T$19)/4)</f>
        <v>54.020875000000011</v>
      </c>
      <c r="U21" s="19">
        <f>((((($U$26*$U$27)/1000)*7)-$U$19)/4)</f>
        <v>63.01250000000001</v>
      </c>
      <c r="V21" s="19">
        <f>((((($V$26*$V$27)/1000)*7)-$V$19)/4)</f>
        <v>47.821750000000002</v>
      </c>
      <c r="W21" s="20">
        <f>((((($W$26*$W$27)/1000)*7)-$W$19)/4)</f>
        <v>29.724249999999998</v>
      </c>
      <c r="X21" s="98">
        <f t="shared" si="0"/>
        <v>962.61599999999999</v>
      </c>
      <c r="AB21" s="2"/>
      <c r="AC21" s="15"/>
    </row>
    <row r="22" spans="1:36" ht="39.950000000000003" customHeight="1" x14ac:dyDescent="0.25">
      <c r="A22" s="171" t="s">
        <v>21</v>
      </c>
      <c r="B22" s="18"/>
      <c r="C22" s="19"/>
      <c r="D22" s="19"/>
      <c r="E22" s="19"/>
      <c r="F22" s="19"/>
      <c r="G22" s="19"/>
      <c r="H22" s="19"/>
      <c r="I22" s="20"/>
      <c r="J22" s="18"/>
      <c r="K22" s="19"/>
      <c r="L22" s="19"/>
      <c r="M22" s="20"/>
      <c r="N22" s="18"/>
      <c r="O22" s="19"/>
      <c r="P22" s="19"/>
      <c r="Q22" s="19"/>
      <c r="R22" s="20"/>
      <c r="S22" s="61"/>
      <c r="T22" s="19"/>
      <c r="U22" s="19"/>
      <c r="V22" s="19"/>
      <c r="W22" s="20"/>
      <c r="X22" s="98">
        <f t="shared" si="0"/>
        <v>0</v>
      </c>
      <c r="AB22" s="2"/>
      <c r="AC22" s="15"/>
    </row>
    <row r="23" spans="1:36" ht="39.950000000000003" customHeight="1" x14ac:dyDescent="0.25">
      <c r="A23" s="171" t="s">
        <v>22</v>
      </c>
      <c r="B23" s="18">
        <f>((((($B$26*$B$27)/1000)*7)-$B$19)/4)</f>
        <v>34.126125000000002</v>
      </c>
      <c r="C23" s="19">
        <f>((((($C$26*$C$27)/1000)*7)-$C$19)/4)</f>
        <v>54.782875000000004</v>
      </c>
      <c r="D23" s="19">
        <f>((((($D$26*$D$27)/1000)*7)-$D$19)/4)</f>
        <v>75.993750000000006</v>
      </c>
      <c r="E23" s="19">
        <f>((((($E$26*$E$27)/1000)*7)-$E$19)/4)</f>
        <v>32.895499999999998</v>
      </c>
      <c r="F23" s="19">
        <f>((((($F$26*$F$27)/1000)*7)-$F$19)/4)</f>
        <v>23.493374999999997</v>
      </c>
      <c r="G23" s="19">
        <f>((((($G$26*$G$27)/1000)*7)-$G$19)/4)</f>
        <v>56.493499999999997</v>
      </c>
      <c r="H23" s="19">
        <f>((((($H$26*$H$27)/1000)*7-$H$19)/4))</f>
        <v>57.448999999999991</v>
      </c>
      <c r="I23" s="20">
        <f>((((($I$26*$I$27)/1000)*7)-$I$19)/4)</f>
        <v>39.660499999999999</v>
      </c>
      <c r="J23" s="18">
        <f>((((($J$26*$J$27)/1000)*7)-$J$19)/4)</f>
        <v>19.142499999999998</v>
      </c>
      <c r="K23" s="19">
        <f>((((($K$26*$K$27)/1000)*7)-$K$19)/4)</f>
        <v>33.186</v>
      </c>
      <c r="L23" s="19">
        <f>((((($L$26*$L$27)/1000)*7)-$L$19)/4)</f>
        <v>37.379249999999999</v>
      </c>
      <c r="M23" s="20">
        <f>((((($M$26*$M$27)/1000)*7)-$M$19)/4)</f>
        <v>32.329125000000005</v>
      </c>
      <c r="N23" s="18">
        <f>((((($N$26*$N$27)/1000)*7)-$N$19)/4)</f>
        <v>39.729500000000002</v>
      </c>
      <c r="O23" s="19">
        <f>((((($O$26*$O$27)/1000)*7)-$O$19)/4)</f>
        <v>52.260000000000005</v>
      </c>
      <c r="P23" s="19">
        <f>((((($P$26*$P$27)/1000)*7)-$P$19)/4)</f>
        <v>61.43</v>
      </c>
      <c r="Q23" s="19">
        <f>((((($Q$26*$Q$27)/1000)*7)-$Q$19)/4)</f>
        <v>51.608750000000001</v>
      </c>
      <c r="R23" s="20">
        <f>((((($R$26*$R$27)/1000)*7)-$R$19)/4)</f>
        <v>28.644375</v>
      </c>
      <c r="S23" s="61">
        <f>((((($S$26*$S$27)/1000)*7)-$S$19)/4)</f>
        <v>37.432500000000005</v>
      </c>
      <c r="T23" s="19">
        <f>((((($T$26*$T$27)/1000)*7)-$T$19)/4)</f>
        <v>54.020875000000011</v>
      </c>
      <c r="U23" s="19">
        <f>((((($U$26*$U$27)/1000)*7)-$U$19)/4)</f>
        <v>63.01250000000001</v>
      </c>
      <c r="V23" s="19">
        <f>((((($V$26*$V$27)/1000)*7)-$V$19)/4)</f>
        <v>47.821750000000002</v>
      </c>
      <c r="W23" s="20">
        <f>((((($W$26*$W$27)/1000)*7)-$W$19)/4)</f>
        <v>29.724249999999998</v>
      </c>
      <c r="X23" s="98">
        <f t="shared" si="0"/>
        <v>962.61599999999999</v>
      </c>
      <c r="AB23" s="2"/>
      <c r="AC23" s="15"/>
    </row>
    <row r="24" spans="1:36" ht="39.950000000000003" customHeight="1" thickBot="1" x14ac:dyDescent="0.3">
      <c r="A24" s="171" t="s">
        <v>23</v>
      </c>
      <c r="B24" s="153">
        <f>((((($B$26*$B$27)/1000)*7)-$B$19)/4)</f>
        <v>34.126125000000002</v>
      </c>
      <c r="C24" s="154">
        <f>((((($C$26*$C$27)/1000)*7)-$C$19)/4)</f>
        <v>54.782875000000004</v>
      </c>
      <c r="D24" s="154">
        <f>((((($D$26*$D$27)/1000)*7)-$D$19)/4)</f>
        <v>75.993750000000006</v>
      </c>
      <c r="E24" s="154">
        <f>((((($E$26*$E$27)/1000)*7)-$E$19)/4)</f>
        <v>32.895499999999998</v>
      </c>
      <c r="F24" s="154">
        <f>((((($F$26*$F$27)/1000)*7)-$F$19)/4)</f>
        <v>23.493374999999997</v>
      </c>
      <c r="G24" s="154">
        <f>((((($G$26*$G$27)/1000)*7)-$G$19)/4)</f>
        <v>56.493499999999997</v>
      </c>
      <c r="H24" s="154">
        <f>((((($H$26*$H$27)/1000)*7)-$H$19-$H$20)/3)</f>
        <v>57.448999999999991</v>
      </c>
      <c r="I24" s="182">
        <f>((((($I$26*$I$27)/1000)*7)-$I$19)/4)</f>
        <v>39.660499999999999</v>
      </c>
      <c r="J24" s="153">
        <f>((((($J$26*$J$27)/1000)*7)-$J$19)/4)</f>
        <v>19.142499999999998</v>
      </c>
      <c r="K24" s="154">
        <f>((((($K$26*$K$27)/1000)*7)-$K$19)/4)</f>
        <v>33.186</v>
      </c>
      <c r="L24" s="154">
        <f>((((($L$26*$L$27)/1000)*7)-$L$19)/4)</f>
        <v>37.379249999999999</v>
      </c>
      <c r="M24" s="182">
        <f>((((($M$26*$M$27)/1000)*7)-$M$19)/4)</f>
        <v>32.329125000000005</v>
      </c>
      <c r="N24" s="153">
        <f>((((($N$26*$N$27)/1000)*7)-$N$19)/4)</f>
        <v>39.729500000000002</v>
      </c>
      <c r="O24" s="154">
        <f>((((($O$26*$O$27)/1000)*7)-$O$19)/4)</f>
        <v>52.260000000000005</v>
      </c>
      <c r="P24" s="154">
        <f>((((($P$26*$P$27)/1000)*7)-$P$19)/4)</f>
        <v>61.43</v>
      </c>
      <c r="Q24" s="154">
        <f>((((($Q$26*$Q$27)/1000)*7)-$Q$19)/4)</f>
        <v>51.608750000000001</v>
      </c>
      <c r="R24" s="182">
        <f>((((($R$26*$R$27)/1000)*7)-$R$19)/4)</f>
        <v>28.644375</v>
      </c>
      <c r="S24" s="226">
        <f>((((($S$26*$S$27)/1000)*7)-$S$19)/4)</f>
        <v>37.432500000000005</v>
      </c>
      <c r="T24" s="154">
        <f>((((($T$26*$T$27)/1000)*7)-$T$19)/4)</f>
        <v>54.020875000000011</v>
      </c>
      <c r="U24" s="154">
        <f>((((($U$26*$U$27)/1000)*7)-$U$19)/4)</f>
        <v>63.01250000000001</v>
      </c>
      <c r="V24" s="154">
        <f>((((($V$26*$V$27)/1000)*7)-$V$19)/4)</f>
        <v>47.821750000000002</v>
      </c>
      <c r="W24" s="182">
        <f>((((($W$26*$W$27)/1000)*7)-$W$19)/4)</f>
        <v>29.724249999999998</v>
      </c>
      <c r="X24" s="98">
        <f t="shared" si="0"/>
        <v>962.61599999999999</v>
      </c>
      <c r="AB24" s="2"/>
    </row>
    <row r="25" spans="1:36" ht="41.45" customHeight="1" x14ac:dyDescent="0.25">
      <c r="A25" s="126" t="s">
        <v>9</v>
      </c>
      <c r="B25" s="217">
        <f t="shared" ref="B25:W25" si="1">SUM(B18:B24)</f>
        <v>168.30450000000002</v>
      </c>
      <c r="C25" s="218">
        <f t="shared" si="1"/>
        <v>270.93149999999997</v>
      </c>
      <c r="D25" s="218">
        <f t="shared" si="1"/>
        <v>375.375</v>
      </c>
      <c r="E25" s="218">
        <f t="shared" si="1"/>
        <v>162.58199999999999</v>
      </c>
      <c r="F25" s="218">
        <f t="shared" si="1"/>
        <v>116.2735</v>
      </c>
      <c r="G25" s="218">
        <f t="shared" si="1"/>
        <v>279.17399999999998</v>
      </c>
      <c r="H25" s="218">
        <f t="shared" si="1"/>
        <v>283.69599999999997</v>
      </c>
      <c r="I25" s="219">
        <f t="shared" si="1"/>
        <v>196.04199999999997</v>
      </c>
      <c r="J25" s="217">
        <f t="shared" si="1"/>
        <v>94.57</v>
      </c>
      <c r="K25" s="218">
        <f t="shared" si="1"/>
        <v>163.74400000000003</v>
      </c>
      <c r="L25" s="218">
        <f t="shared" si="1"/>
        <v>184.31700000000001</v>
      </c>
      <c r="M25" s="178">
        <f t="shared" si="1"/>
        <v>160.01650000000001</v>
      </c>
      <c r="N25" s="220">
        <f t="shared" si="1"/>
        <v>195.81800000000001</v>
      </c>
      <c r="O25" s="218">
        <f t="shared" si="1"/>
        <v>257.74</v>
      </c>
      <c r="P25" s="218">
        <f t="shared" si="1"/>
        <v>302.82</v>
      </c>
      <c r="Q25" s="218">
        <f t="shared" si="1"/>
        <v>254.13499999999999</v>
      </c>
      <c r="R25" s="219">
        <f t="shared" si="1"/>
        <v>141.2775</v>
      </c>
      <c r="S25" s="251">
        <f t="shared" si="1"/>
        <v>184.73000000000002</v>
      </c>
      <c r="T25" s="252">
        <f t="shared" si="1"/>
        <v>266.98350000000005</v>
      </c>
      <c r="U25" s="252">
        <f t="shared" si="1"/>
        <v>311.15000000000003</v>
      </c>
      <c r="V25" s="252">
        <f t="shared" si="1"/>
        <v>236.18700000000001</v>
      </c>
      <c r="W25" s="253">
        <f t="shared" si="1"/>
        <v>146.797</v>
      </c>
      <c r="X25" s="209">
        <f>SUM(X19,X20,X21,X23,X24)</f>
        <v>4752.6639999999998</v>
      </c>
    </row>
    <row r="26" spans="1:36" s="2" customFormat="1" ht="36.75" customHeight="1" x14ac:dyDescent="0.25">
      <c r="A26" s="70" t="s">
        <v>11</v>
      </c>
      <c r="B26" s="23">
        <v>68.5</v>
      </c>
      <c r="C26" s="63">
        <v>70.5</v>
      </c>
      <c r="D26" s="63">
        <v>71.5</v>
      </c>
      <c r="E26" s="63">
        <v>73.5</v>
      </c>
      <c r="F26" s="63">
        <v>69.5</v>
      </c>
      <c r="G26" s="63">
        <v>69</v>
      </c>
      <c r="H26" s="63">
        <v>68</v>
      </c>
      <c r="I26" s="161">
        <v>67</v>
      </c>
      <c r="J26" s="23">
        <v>70</v>
      </c>
      <c r="K26" s="24">
        <v>68</v>
      </c>
      <c r="L26" s="24">
        <v>67</v>
      </c>
      <c r="M26" s="25">
        <v>65.5</v>
      </c>
      <c r="N26" s="63">
        <v>71</v>
      </c>
      <c r="O26" s="63">
        <v>70</v>
      </c>
      <c r="P26" s="63">
        <v>70</v>
      </c>
      <c r="Q26" s="63">
        <v>68.5</v>
      </c>
      <c r="R26" s="161">
        <v>67.5</v>
      </c>
      <c r="S26" s="23">
        <v>72.5</v>
      </c>
      <c r="T26" s="63">
        <v>70.5</v>
      </c>
      <c r="U26" s="63">
        <v>70</v>
      </c>
      <c r="V26" s="63">
        <v>69</v>
      </c>
      <c r="W26" s="155">
        <v>67</v>
      </c>
      <c r="X26" s="210">
        <f>(((X25*1000)/7)/X27)</f>
        <v>69.387020950434334</v>
      </c>
    </row>
    <row r="27" spans="1:36" s="2" customFormat="1" ht="33" customHeight="1" x14ac:dyDescent="0.25">
      <c r="A27" s="71" t="s">
        <v>12</v>
      </c>
      <c r="B27" s="26">
        <v>351</v>
      </c>
      <c r="C27" s="27">
        <v>549</v>
      </c>
      <c r="D27" s="27">
        <v>750</v>
      </c>
      <c r="E27" s="27">
        <v>316</v>
      </c>
      <c r="F27" s="27">
        <v>239</v>
      </c>
      <c r="G27" s="27">
        <v>578</v>
      </c>
      <c r="H27" s="27">
        <v>596</v>
      </c>
      <c r="I27" s="183">
        <v>418</v>
      </c>
      <c r="J27" s="26">
        <v>193</v>
      </c>
      <c r="K27" s="27">
        <v>344</v>
      </c>
      <c r="L27" s="27">
        <v>393</v>
      </c>
      <c r="M27" s="28">
        <v>349</v>
      </c>
      <c r="N27" s="64">
        <v>394</v>
      </c>
      <c r="O27" s="27">
        <v>526</v>
      </c>
      <c r="P27" s="27">
        <v>618</v>
      </c>
      <c r="Q27" s="27">
        <v>530</v>
      </c>
      <c r="R27" s="183">
        <v>299</v>
      </c>
      <c r="S27" s="26">
        <v>364</v>
      </c>
      <c r="T27" s="27">
        <v>541</v>
      </c>
      <c r="U27" s="27">
        <v>635</v>
      </c>
      <c r="V27" s="27">
        <v>489</v>
      </c>
      <c r="W27" s="28">
        <v>313</v>
      </c>
      <c r="X27" s="211">
        <f>SUM(B27,C27,D27,E27,F27,G27,H27,I27,J27,K27,L27,M27,N27,O27,P27,Q27,R27,S27,T27,U27,V27,W27)</f>
        <v>9785</v>
      </c>
    </row>
    <row r="28" spans="1:36" s="2" customFormat="1" ht="33" customHeight="1" x14ac:dyDescent="0.25">
      <c r="A28" s="72" t="s">
        <v>13</v>
      </c>
      <c r="B28" s="30">
        <f t="shared" ref="B28:W28" si="2">(B27*B26)/1000</f>
        <v>24.043500000000002</v>
      </c>
      <c r="C28" s="31">
        <f t="shared" si="2"/>
        <v>38.704500000000003</v>
      </c>
      <c r="D28" s="31">
        <f t="shared" si="2"/>
        <v>53.625</v>
      </c>
      <c r="E28" s="31">
        <f t="shared" si="2"/>
        <v>23.225999999999999</v>
      </c>
      <c r="F28" s="31">
        <f t="shared" si="2"/>
        <v>16.610499999999998</v>
      </c>
      <c r="G28" s="31">
        <f t="shared" si="2"/>
        <v>39.881999999999998</v>
      </c>
      <c r="H28" s="31">
        <f t="shared" si="2"/>
        <v>40.527999999999999</v>
      </c>
      <c r="I28" s="163">
        <f t="shared" si="2"/>
        <v>28.006</v>
      </c>
      <c r="J28" s="30">
        <f t="shared" si="2"/>
        <v>13.51</v>
      </c>
      <c r="K28" s="31">
        <f t="shared" si="2"/>
        <v>23.391999999999999</v>
      </c>
      <c r="L28" s="31">
        <f t="shared" si="2"/>
        <v>26.331</v>
      </c>
      <c r="M28" s="32">
        <f t="shared" si="2"/>
        <v>22.859500000000001</v>
      </c>
      <c r="N28" s="65">
        <f t="shared" si="2"/>
        <v>27.974</v>
      </c>
      <c r="O28" s="31">
        <f t="shared" si="2"/>
        <v>36.82</v>
      </c>
      <c r="P28" s="31">
        <f t="shared" si="2"/>
        <v>43.26</v>
      </c>
      <c r="Q28" s="31">
        <f t="shared" si="2"/>
        <v>36.305</v>
      </c>
      <c r="R28" s="163">
        <f t="shared" si="2"/>
        <v>20.182500000000001</v>
      </c>
      <c r="S28" s="30">
        <f t="shared" si="2"/>
        <v>26.39</v>
      </c>
      <c r="T28" s="31">
        <f t="shared" si="2"/>
        <v>38.140500000000003</v>
      </c>
      <c r="U28" s="31">
        <f t="shared" si="2"/>
        <v>44.45</v>
      </c>
      <c r="V28" s="31">
        <f t="shared" si="2"/>
        <v>33.741</v>
      </c>
      <c r="W28" s="32">
        <f t="shared" si="2"/>
        <v>20.971</v>
      </c>
      <c r="X28" s="212"/>
    </row>
    <row r="29" spans="1:36" ht="33.75" customHeight="1" x14ac:dyDescent="0.25">
      <c r="A29" s="73" t="s">
        <v>14</v>
      </c>
      <c r="B29" s="34">
        <f t="shared" ref="B29:W29" si="3">((B27*B26)*7)/1000</f>
        <v>168.30449999999999</v>
      </c>
      <c r="C29" s="35">
        <f t="shared" si="3"/>
        <v>270.93150000000003</v>
      </c>
      <c r="D29" s="35">
        <f t="shared" si="3"/>
        <v>375.375</v>
      </c>
      <c r="E29" s="35">
        <f t="shared" si="3"/>
        <v>162.58199999999999</v>
      </c>
      <c r="F29" s="35">
        <f t="shared" si="3"/>
        <v>116.2735</v>
      </c>
      <c r="G29" s="35">
        <f t="shared" si="3"/>
        <v>279.17399999999998</v>
      </c>
      <c r="H29" s="35">
        <f t="shared" si="3"/>
        <v>283.69600000000003</v>
      </c>
      <c r="I29" s="206">
        <f t="shared" si="3"/>
        <v>196.042</v>
      </c>
      <c r="J29" s="34">
        <f t="shared" si="3"/>
        <v>94.57</v>
      </c>
      <c r="K29" s="35">
        <f t="shared" si="3"/>
        <v>163.744</v>
      </c>
      <c r="L29" s="35">
        <f t="shared" si="3"/>
        <v>184.31700000000001</v>
      </c>
      <c r="M29" s="68">
        <f t="shared" si="3"/>
        <v>160.01650000000001</v>
      </c>
      <c r="N29" s="66">
        <f t="shared" si="3"/>
        <v>195.81800000000001</v>
      </c>
      <c r="O29" s="35">
        <f t="shared" si="3"/>
        <v>257.74</v>
      </c>
      <c r="P29" s="35">
        <f t="shared" si="3"/>
        <v>302.82</v>
      </c>
      <c r="Q29" s="35">
        <f t="shared" si="3"/>
        <v>254.13499999999999</v>
      </c>
      <c r="R29" s="206">
        <f t="shared" si="3"/>
        <v>141.2775</v>
      </c>
      <c r="S29" s="34">
        <f t="shared" si="3"/>
        <v>184.73</v>
      </c>
      <c r="T29" s="35">
        <f t="shared" si="3"/>
        <v>266.98349999999999</v>
      </c>
      <c r="U29" s="35">
        <f t="shared" si="3"/>
        <v>311.14999999999998</v>
      </c>
      <c r="V29" s="35">
        <f t="shared" si="3"/>
        <v>236.18700000000001</v>
      </c>
      <c r="W29" s="68">
        <f t="shared" si="3"/>
        <v>146.797</v>
      </c>
      <c r="X29" s="213"/>
    </row>
    <row r="30" spans="1:36" ht="33.75" customHeight="1" thickBot="1" x14ac:dyDescent="0.3">
      <c r="A30" s="74" t="s">
        <v>15</v>
      </c>
      <c r="B30" s="37">
        <f t="shared" ref="B30:W30" si="4">+(B25/B27)/7*1000</f>
        <v>68.5</v>
      </c>
      <c r="C30" s="38">
        <f t="shared" si="4"/>
        <v>70.5</v>
      </c>
      <c r="D30" s="38">
        <f t="shared" si="4"/>
        <v>71.5</v>
      </c>
      <c r="E30" s="38">
        <f t="shared" si="4"/>
        <v>73.5</v>
      </c>
      <c r="F30" s="38">
        <f t="shared" si="4"/>
        <v>69.499999999999986</v>
      </c>
      <c r="G30" s="38">
        <f t="shared" si="4"/>
        <v>68.999999999999986</v>
      </c>
      <c r="H30" s="38">
        <f t="shared" si="4"/>
        <v>67.999999999999986</v>
      </c>
      <c r="I30" s="207">
        <f t="shared" si="4"/>
        <v>66.999999999999986</v>
      </c>
      <c r="J30" s="37">
        <f t="shared" si="4"/>
        <v>69.999999999999986</v>
      </c>
      <c r="K30" s="38">
        <f t="shared" si="4"/>
        <v>68.000000000000014</v>
      </c>
      <c r="L30" s="38">
        <f t="shared" si="4"/>
        <v>67</v>
      </c>
      <c r="M30" s="39">
        <f t="shared" si="4"/>
        <v>65.5</v>
      </c>
      <c r="N30" s="67">
        <f t="shared" si="4"/>
        <v>71.000000000000014</v>
      </c>
      <c r="O30" s="38">
        <f t="shared" si="4"/>
        <v>69.999999999999986</v>
      </c>
      <c r="P30" s="38">
        <f t="shared" si="4"/>
        <v>69.999999999999986</v>
      </c>
      <c r="Q30" s="38">
        <f t="shared" si="4"/>
        <v>68.499999999999986</v>
      </c>
      <c r="R30" s="207">
        <f t="shared" si="4"/>
        <v>67.5</v>
      </c>
      <c r="S30" s="37">
        <f t="shared" si="4"/>
        <v>72.500000000000014</v>
      </c>
      <c r="T30" s="38">
        <f t="shared" si="4"/>
        <v>70.500000000000014</v>
      </c>
      <c r="U30" s="38">
        <f t="shared" si="4"/>
        <v>70</v>
      </c>
      <c r="V30" s="38">
        <f t="shared" si="4"/>
        <v>69</v>
      </c>
      <c r="W30" s="39">
        <f t="shared" si="4"/>
        <v>66.999999999999986</v>
      </c>
      <c r="X30" s="214"/>
    </row>
    <row r="31" spans="1:36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201"/>
      <c r="U31" s="201"/>
      <c r="V31" s="201"/>
      <c r="W31" s="201"/>
      <c r="X31" s="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>
        <v>41.5</v>
      </c>
      <c r="AC32" s="42"/>
      <c r="AD32" s="42"/>
      <c r="AE32" s="42"/>
      <c r="AF32" s="42"/>
      <c r="AG32" s="42"/>
      <c r="AH32" s="42"/>
      <c r="AI32" s="42"/>
      <c r="AJ32" s="41"/>
    </row>
    <row r="33" spans="1:3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>
        <v>41</v>
      </c>
      <c r="AC33" s="42"/>
      <c r="AD33" s="42"/>
      <c r="AE33" s="42"/>
      <c r="AF33" s="42"/>
      <c r="AG33" s="42"/>
      <c r="AH33" s="42"/>
      <c r="AI33" s="42"/>
      <c r="AJ33" s="41"/>
    </row>
    <row r="34" spans="1:3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>
        <v>40.5</v>
      </c>
      <c r="AC34" s="42"/>
      <c r="AD34" s="42"/>
      <c r="AE34" s="42"/>
      <c r="AF34" s="42"/>
      <c r="AG34" s="42"/>
      <c r="AH34" s="41"/>
    </row>
    <row r="35" spans="1:36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>
        <v>40</v>
      </c>
      <c r="AC35" s="43"/>
      <c r="AD35" s="43"/>
      <c r="AE35" s="43"/>
      <c r="AF35" s="43"/>
      <c r="AG35" s="43"/>
      <c r="AH35" s="3"/>
    </row>
    <row r="36" spans="1:36" ht="33.75" customHeight="1" thickBot="1" x14ac:dyDescent="0.3">
      <c r="A36" s="69" t="s">
        <v>16</v>
      </c>
      <c r="B36" s="966" t="s">
        <v>17</v>
      </c>
      <c r="C36" s="967"/>
      <c r="D36" s="967"/>
      <c r="E36" s="967"/>
      <c r="F36" s="967"/>
      <c r="G36" s="967"/>
      <c r="H36" s="237"/>
      <c r="O36" s="44"/>
      <c r="P36" s="88" t="s">
        <v>18</v>
      </c>
      <c r="Q36" s="972" t="s">
        <v>17</v>
      </c>
      <c r="R36" s="972"/>
      <c r="S36" s="972"/>
      <c r="T36" s="972"/>
      <c r="U36" s="972"/>
      <c r="V36" s="966"/>
      <c r="W36" s="229"/>
      <c r="X36" s="45"/>
      <c r="Y36" s="45"/>
      <c r="Z36" s="46"/>
      <c r="AA36" s="3"/>
      <c r="AB36" s="45">
        <v>39.5</v>
      </c>
      <c r="AC36" s="45"/>
      <c r="AD36" s="45"/>
      <c r="AE36" s="3"/>
    </row>
    <row r="37" spans="1:36" ht="33.75" customHeight="1" thickBot="1" x14ac:dyDescent="0.3">
      <c r="A37" s="170" t="s">
        <v>34</v>
      </c>
      <c r="B37" s="141"/>
      <c r="C37" s="118"/>
      <c r="D37" s="118"/>
      <c r="E37" s="118"/>
      <c r="F37" s="118"/>
      <c r="G37" s="119"/>
      <c r="H37" s="236" t="s">
        <v>9</v>
      </c>
      <c r="I37" s="47"/>
      <c r="J37" s="47"/>
      <c r="K37" s="47"/>
      <c r="L37" s="47"/>
      <c r="M37" s="47"/>
      <c r="N37" s="970"/>
      <c r="O37" s="970"/>
      <c r="P37" s="97" t="s">
        <v>33</v>
      </c>
      <c r="Q37" s="186"/>
      <c r="R37" s="173"/>
      <c r="S37" s="173"/>
      <c r="T37" s="173"/>
      <c r="U37" s="173"/>
      <c r="V37" s="176"/>
      <c r="W37" s="261" t="s">
        <v>9</v>
      </c>
      <c r="X37" s="47"/>
      <c r="Y37" s="47"/>
      <c r="Z37" s="3"/>
      <c r="AA37" s="46"/>
      <c r="AB37" s="3">
        <v>39.5</v>
      </c>
      <c r="AC37" s="45"/>
      <c r="AD37" s="45"/>
      <c r="AE37" s="45"/>
    </row>
    <row r="38" spans="1:36" ht="33.75" customHeight="1" thickBot="1" x14ac:dyDescent="0.3">
      <c r="A38" s="170" t="s">
        <v>10</v>
      </c>
      <c r="B38" s="221">
        <v>1</v>
      </c>
      <c r="C38" s="222">
        <v>2</v>
      </c>
      <c r="D38" s="222">
        <v>3</v>
      </c>
      <c r="E38" s="222">
        <v>4</v>
      </c>
      <c r="F38" s="222">
        <v>5</v>
      </c>
      <c r="G38" s="223">
        <v>6</v>
      </c>
      <c r="H38" s="238"/>
      <c r="I38" s="47"/>
      <c r="J38" s="47"/>
      <c r="K38" s="47"/>
      <c r="L38" s="47"/>
      <c r="M38" s="47"/>
      <c r="N38" s="144"/>
      <c r="O38" s="145"/>
      <c r="P38" s="80" t="s">
        <v>10</v>
      </c>
      <c r="Q38" s="188">
        <v>1</v>
      </c>
      <c r="R38" s="168">
        <v>2</v>
      </c>
      <c r="S38" s="168">
        <v>3</v>
      </c>
      <c r="T38" s="168"/>
      <c r="U38" s="168"/>
      <c r="V38" s="204"/>
      <c r="W38" s="126"/>
      <c r="X38" s="47"/>
      <c r="Y38" s="47"/>
      <c r="Z38" s="48"/>
      <c r="AA38" s="48"/>
      <c r="AB38" s="2"/>
      <c r="AC38" s="2"/>
      <c r="AD38" s="2"/>
      <c r="AE38" s="2"/>
    </row>
    <row r="39" spans="1:36" ht="33.75" customHeight="1" x14ac:dyDescent="0.25">
      <c r="A39" s="171" t="s">
        <v>32</v>
      </c>
      <c r="B39" s="133"/>
      <c r="C39" s="134"/>
      <c r="D39" s="134"/>
      <c r="E39" s="134"/>
      <c r="F39" s="134"/>
      <c r="G39" s="156"/>
      <c r="H39" s="240">
        <f t="shared" ref="H39:H46" si="5">SUM(B39:G39)</f>
        <v>0</v>
      </c>
      <c r="I39" s="49"/>
      <c r="J39" s="49"/>
      <c r="K39" s="49"/>
      <c r="L39" s="49"/>
      <c r="M39" s="49"/>
      <c r="N39" s="144"/>
      <c r="O39" s="145"/>
      <c r="P39" s="171" t="s">
        <v>53</v>
      </c>
      <c r="Q39" s="133"/>
      <c r="R39" s="134"/>
      <c r="S39" s="134"/>
      <c r="T39" s="134"/>
      <c r="U39" s="134"/>
      <c r="V39" s="260"/>
      <c r="W39" s="231">
        <f t="shared" ref="W39:W45" si="6">SUM(Q39:V39)</f>
        <v>0</v>
      </c>
      <c r="X39" s="2"/>
      <c r="Y39" s="49"/>
      <c r="Z39" s="48"/>
      <c r="AA39" s="48"/>
      <c r="AB39" s="2"/>
      <c r="AC39" s="2"/>
      <c r="AD39" s="2"/>
      <c r="AE39" s="2"/>
    </row>
    <row r="40" spans="1:36" ht="33.75" customHeight="1" x14ac:dyDescent="0.25">
      <c r="A40" s="171" t="s">
        <v>24</v>
      </c>
      <c r="B40" s="18">
        <v>21</v>
      </c>
      <c r="C40" s="19">
        <v>52.6</v>
      </c>
      <c r="D40" s="19">
        <v>78.8</v>
      </c>
      <c r="E40" s="19">
        <v>61.1</v>
      </c>
      <c r="F40" s="19">
        <v>53</v>
      </c>
      <c r="G40" s="20">
        <v>32.1</v>
      </c>
      <c r="H40" s="231">
        <f t="shared" si="5"/>
        <v>298.60000000000002</v>
      </c>
      <c r="I40" s="49"/>
      <c r="J40" s="49"/>
      <c r="K40" s="49"/>
      <c r="L40" s="49"/>
      <c r="M40" s="49"/>
      <c r="N40" s="144"/>
      <c r="O40" s="145"/>
      <c r="P40" s="171" t="s">
        <v>24</v>
      </c>
      <c r="Q40" s="18">
        <v>14.5</v>
      </c>
      <c r="R40" s="19">
        <v>15.4</v>
      </c>
      <c r="S40" s="19">
        <v>14.3</v>
      </c>
      <c r="T40" s="19"/>
      <c r="U40" s="19"/>
      <c r="V40" s="108"/>
      <c r="W40" s="231">
        <f t="shared" si="6"/>
        <v>44.2</v>
      </c>
      <c r="X40" s="2"/>
      <c r="Y40" s="49"/>
      <c r="Z40" s="48"/>
      <c r="AA40" s="48"/>
      <c r="AB40" s="2"/>
      <c r="AC40" s="2"/>
      <c r="AD40" s="2"/>
      <c r="AE40" s="2"/>
    </row>
    <row r="41" spans="1:36" ht="33.75" customHeight="1" x14ac:dyDescent="0.25">
      <c r="A41" s="171" t="s">
        <v>20</v>
      </c>
      <c r="B41" s="18">
        <f>((((($B$47*$B$48)/1000)*7)-$B$40)/4)</f>
        <v>21.913499999999999</v>
      </c>
      <c r="C41" s="19">
        <f>((((($C$47*$C$48)/1000)*7)-$C$40)/4)</f>
        <v>54.89875</v>
      </c>
      <c r="D41" s="19">
        <f>((((($D$47*$D$48)/1000)*7)-$D$40)/4)</f>
        <v>82.580499999999986</v>
      </c>
      <c r="E41" s="19">
        <f>((((($E$47*$E$48)/1000)*7)-$E$40)/4)</f>
        <v>63.732250000000001</v>
      </c>
      <c r="F41" s="19">
        <f>((((($F$47*$F$48)/1000)*7)-$F$40)/4)</f>
        <v>55.262500000000003</v>
      </c>
      <c r="G41" s="20">
        <f>((((($G$47*$G$48)/1000)*7)-$G$40)/4)</f>
        <v>33.391375000000004</v>
      </c>
      <c r="H41" s="231">
        <f t="shared" si="5"/>
        <v>311.77887499999997</v>
      </c>
      <c r="I41" s="49"/>
      <c r="J41" s="49"/>
      <c r="K41" s="49"/>
      <c r="L41" s="49"/>
      <c r="M41" s="49"/>
      <c r="N41" s="144"/>
      <c r="O41" s="145"/>
      <c r="P41" s="171" t="s">
        <v>20</v>
      </c>
      <c r="Q41" s="18">
        <f>((((($Q$47*$Q$48)/1000)*7)-$Q$40)/4)</f>
        <v>14.916250000000002</v>
      </c>
      <c r="R41" s="19">
        <f>((((($R$47*$R$48)/1000)*7)-$R$40)/4)</f>
        <v>15.83225</v>
      </c>
      <c r="S41" s="19">
        <f>((((($S$47*$S$48)/1000)*7)-$S$40)/4)</f>
        <v>14.681000000000001</v>
      </c>
      <c r="T41" s="19"/>
      <c r="U41" s="19"/>
      <c r="V41" s="108"/>
      <c r="W41" s="231">
        <f t="shared" si="6"/>
        <v>45.429500000000004</v>
      </c>
      <c r="X41" s="2"/>
      <c r="Y41" s="49"/>
      <c r="Z41" s="48"/>
      <c r="AA41" s="48"/>
      <c r="AB41" s="2"/>
      <c r="AC41" s="2"/>
      <c r="AD41" s="2"/>
      <c r="AE41" s="2"/>
    </row>
    <row r="42" spans="1:36" ht="33.75" customHeight="1" x14ac:dyDescent="0.25">
      <c r="A42" s="171" t="s">
        <v>28</v>
      </c>
      <c r="B42" s="18">
        <f>((((($B$47*$B$48)/1000)*7)-$B$40)/4)</f>
        <v>21.913499999999999</v>
      </c>
      <c r="C42" s="19">
        <f>((((($C$47*$C$48)/1000)*7)-$C$40)/4)</f>
        <v>54.89875</v>
      </c>
      <c r="D42" s="19">
        <f>((((($D$47*$D$48)/1000)*7)-$D$40)/4)</f>
        <v>82.580499999999986</v>
      </c>
      <c r="E42" s="19">
        <f>((((($E$47*$E$48)/1000)*7)-$E$40)/4)</f>
        <v>63.732250000000001</v>
      </c>
      <c r="F42" s="19">
        <f>((((($F$47*$F$48)/1000)*7)-$F$40)/4)</f>
        <v>55.262500000000003</v>
      </c>
      <c r="G42" s="20">
        <f>((((($G$47*$G$48)/1000)*7)-$G$40)/4)</f>
        <v>33.391375000000004</v>
      </c>
      <c r="H42" s="231">
        <f t="shared" si="5"/>
        <v>311.77887499999997</v>
      </c>
      <c r="I42" s="49"/>
      <c r="J42" s="49"/>
      <c r="K42" s="49"/>
      <c r="L42" s="49"/>
      <c r="M42" s="49"/>
      <c r="N42" s="144"/>
      <c r="O42" s="145"/>
      <c r="P42" s="171" t="s">
        <v>28</v>
      </c>
      <c r="Q42" s="18">
        <f>((((($Q$47*$Q$48)/1000)*7)-$Q$40)/4)</f>
        <v>14.916250000000002</v>
      </c>
      <c r="R42" s="19">
        <f>((((($R$47*$R$48)/1000)*7)-$R$40)/4)</f>
        <v>15.83225</v>
      </c>
      <c r="S42" s="19">
        <f>((((($S$47*$S$48)/1000)*7)-$S$40)/4)</f>
        <v>14.681000000000001</v>
      </c>
      <c r="T42" s="19"/>
      <c r="U42" s="19"/>
      <c r="V42" s="108"/>
      <c r="W42" s="231">
        <f t="shared" si="6"/>
        <v>45.429500000000004</v>
      </c>
      <c r="X42" s="2"/>
      <c r="Y42" s="49"/>
      <c r="Z42" s="48"/>
      <c r="AA42" s="48"/>
      <c r="AB42" s="2"/>
      <c r="AC42" s="2"/>
      <c r="AD42" s="2"/>
      <c r="AE42" s="2"/>
    </row>
    <row r="43" spans="1:36" ht="33.75" customHeight="1" x14ac:dyDescent="0.25">
      <c r="A43" s="171" t="s">
        <v>21</v>
      </c>
      <c r="B43" s="18"/>
      <c r="C43" s="19"/>
      <c r="D43" s="19"/>
      <c r="E43" s="19"/>
      <c r="F43" s="19"/>
      <c r="G43" s="20"/>
      <c r="H43" s="231">
        <f t="shared" si="5"/>
        <v>0</v>
      </c>
      <c r="I43" s="49"/>
      <c r="J43" s="49"/>
      <c r="K43" s="49"/>
      <c r="L43" s="49"/>
      <c r="M43" s="49"/>
      <c r="N43" s="144"/>
      <c r="O43" s="145"/>
      <c r="P43" s="171" t="s">
        <v>21</v>
      </c>
      <c r="Q43" s="18"/>
      <c r="R43" s="19"/>
      <c r="S43" s="19"/>
      <c r="T43" s="19"/>
      <c r="U43" s="19"/>
      <c r="V43" s="108"/>
      <c r="W43" s="231">
        <f t="shared" si="6"/>
        <v>0</v>
      </c>
      <c r="X43" s="2"/>
      <c r="Y43" s="49"/>
      <c r="Z43" s="48"/>
      <c r="AA43" s="48"/>
      <c r="AB43" s="2"/>
      <c r="AC43" s="2"/>
      <c r="AD43" s="2"/>
      <c r="AE43" s="2"/>
    </row>
    <row r="44" spans="1:36" ht="33.75" customHeight="1" x14ac:dyDescent="0.25">
      <c r="A44" s="171" t="s">
        <v>22</v>
      </c>
      <c r="B44" s="18">
        <f>((((($B$47*$B$48)/1000)*7)-$B$40)/4)</f>
        <v>21.913499999999999</v>
      </c>
      <c r="C44" s="19">
        <f>((((($C$47*$C$48)/1000)*7)-$C$40)/4)</f>
        <v>54.89875</v>
      </c>
      <c r="D44" s="19">
        <f>((((($D$47*$D$48)/1000)*7)-$D$40)/4)</f>
        <v>82.580499999999986</v>
      </c>
      <c r="E44" s="19">
        <f>((((($E$47*$E$48)/1000)*7)-$E$40)/4)</f>
        <v>63.732250000000001</v>
      </c>
      <c r="F44" s="19">
        <f>((((($F$47*$F$48)/1000)*7)-$F$40)/4)</f>
        <v>55.262500000000003</v>
      </c>
      <c r="G44" s="20">
        <f>((((($G$47*$G$48)/1000)*7)-$G$40)/4)</f>
        <v>33.391375000000004</v>
      </c>
      <c r="H44" s="231">
        <f t="shared" si="5"/>
        <v>311.77887499999997</v>
      </c>
      <c r="I44" s="49"/>
      <c r="J44" s="49"/>
      <c r="K44" s="49"/>
      <c r="L44" s="49"/>
      <c r="M44" s="49"/>
      <c r="N44" s="144"/>
      <c r="O44" s="145"/>
      <c r="P44" s="171" t="s">
        <v>22</v>
      </c>
      <c r="Q44" s="18">
        <f>((((($Q$47*$Q$48)/1000)*7)-$Q$40)/4)</f>
        <v>14.916250000000002</v>
      </c>
      <c r="R44" s="19">
        <f>((((($R$47*$R$48)/1000)*7)-$R$40)/4)</f>
        <v>15.83225</v>
      </c>
      <c r="S44" s="19">
        <f>((((($S$47*$S$48)/1000)*7)-$S$40)/4)</f>
        <v>14.681000000000001</v>
      </c>
      <c r="T44" s="19"/>
      <c r="U44" s="19"/>
      <c r="V44" s="108"/>
      <c r="W44" s="231">
        <f t="shared" si="6"/>
        <v>45.429500000000004</v>
      </c>
      <c r="X44" s="2"/>
      <c r="Y44" s="49"/>
      <c r="Z44" s="48"/>
      <c r="AA44" s="48"/>
      <c r="AB44" s="2"/>
      <c r="AC44" s="2"/>
      <c r="AD44" s="2"/>
      <c r="AE44" s="2"/>
    </row>
    <row r="45" spans="1:36" ht="33.75" customHeight="1" thickBot="1" x14ac:dyDescent="0.3">
      <c r="A45" s="171" t="s">
        <v>32</v>
      </c>
      <c r="B45" s="153">
        <f>((((($B$47*$B$48)/1000)*7)-$B$40)/4)</f>
        <v>21.913499999999999</v>
      </c>
      <c r="C45" s="154">
        <f>((((($C$47*$C$48)/1000)*7)-$C$40)/4)</f>
        <v>54.89875</v>
      </c>
      <c r="D45" s="154">
        <f>((((($D$47*$D$48)/1000)*7)-$D$40)/4)</f>
        <v>82.580499999999986</v>
      </c>
      <c r="E45" s="154">
        <f>((((($E$47*$E$48)/1000)*7)-$E$40)/4)</f>
        <v>63.732250000000001</v>
      </c>
      <c r="F45" s="154">
        <f>((((($F$47*$F$48)/1000)*7)-$F$40)/4)</f>
        <v>55.262500000000003</v>
      </c>
      <c r="G45" s="182">
        <f>((((($G$47*$G$48)/1000)*7)-$G$40)/4)</f>
        <v>33.391375000000004</v>
      </c>
      <c r="H45" s="241">
        <f t="shared" si="5"/>
        <v>311.77887499999997</v>
      </c>
      <c r="I45" s="49"/>
      <c r="J45" s="49"/>
      <c r="K45" s="49"/>
      <c r="L45" s="49"/>
      <c r="M45" s="49"/>
      <c r="N45" s="144"/>
      <c r="O45" s="145"/>
      <c r="P45" s="171" t="s">
        <v>23</v>
      </c>
      <c r="Q45" s="153">
        <f>((((($Q$47*$Q$48)/1000)*7)-$Q$40)/4)</f>
        <v>14.916250000000002</v>
      </c>
      <c r="R45" s="154">
        <f>((((($R$47*$R$48)/1000)*7)-$R$40)/4)</f>
        <v>15.83225</v>
      </c>
      <c r="S45" s="154">
        <f>((((($S$47*$S$48)/1000)*7)-$S$40)/4)</f>
        <v>14.681000000000001</v>
      </c>
      <c r="T45" s="154"/>
      <c r="U45" s="154"/>
      <c r="V45" s="191"/>
      <c r="W45" s="231">
        <f t="shared" si="6"/>
        <v>45.429500000000004</v>
      </c>
      <c r="X45" s="2"/>
      <c r="Y45" s="49"/>
      <c r="Z45" s="48"/>
      <c r="AA45" s="48"/>
      <c r="AB45" s="48"/>
      <c r="AC45" s="48"/>
      <c r="AD45" s="2"/>
      <c r="AE45" s="2"/>
      <c r="AF45" s="2"/>
      <c r="AG45" s="2"/>
    </row>
    <row r="46" spans="1:36" ht="33.75" customHeight="1" x14ac:dyDescent="0.25">
      <c r="A46" s="170" t="s">
        <v>9</v>
      </c>
      <c r="B46" s="217">
        <f t="shared" ref="B46:G46" si="7">SUM(B39:B45)</f>
        <v>108.654</v>
      </c>
      <c r="C46" s="218">
        <f t="shared" si="7"/>
        <v>272.19499999999999</v>
      </c>
      <c r="D46" s="218">
        <f t="shared" si="7"/>
        <v>409.1219999999999</v>
      </c>
      <c r="E46" s="218">
        <f t="shared" si="7"/>
        <v>316.029</v>
      </c>
      <c r="F46" s="218">
        <f t="shared" si="7"/>
        <v>274.05</v>
      </c>
      <c r="G46" s="178">
        <f t="shared" si="7"/>
        <v>165.66550000000004</v>
      </c>
      <c r="H46" s="239">
        <f t="shared" si="5"/>
        <v>1545.7155</v>
      </c>
      <c r="I46" s="49"/>
      <c r="J46" s="49"/>
      <c r="K46" s="49"/>
      <c r="L46" s="49"/>
      <c r="M46" s="49"/>
      <c r="N46" s="49"/>
      <c r="P46" s="80" t="s">
        <v>9</v>
      </c>
      <c r="Q46" s="133">
        <f>SUM(Q39:Q45)</f>
        <v>74.165000000000006</v>
      </c>
      <c r="R46" s="225">
        <f>SUM(R39:R45)</f>
        <v>78.728999999999999</v>
      </c>
      <c r="S46" s="225">
        <f>SUM(S39:S45)</f>
        <v>73.024000000000001</v>
      </c>
      <c r="T46" s="225"/>
      <c r="U46" s="128"/>
      <c r="V46" s="205"/>
      <c r="W46" s="231">
        <f>SUM(W40,W41,W42,W44,W45)</f>
        <v>225.91800000000006</v>
      </c>
      <c r="X46" s="49"/>
      <c r="Y46" s="49"/>
      <c r="Z46" s="2"/>
      <c r="AA46" s="2"/>
      <c r="AB46" s="2"/>
      <c r="AC46" s="2"/>
      <c r="AD46" s="2"/>
      <c r="AE46" s="2"/>
      <c r="AF46" s="2"/>
      <c r="AG46" s="2"/>
    </row>
    <row r="47" spans="1:36" ht="33.75" customHeight="1" x14ac:dyDescent="0.25">
      <c r="A47" s="192" t="s">
        <v>11</v>
      </c>
      <c r="B47" s="23">
        <v>78</v>
      </c>
      <c r="C47" s="24">
        <v>77</v>
      </c>
      <c r="D47" s="24">
        <v>76.5</v>
      </c>
      <c r="E47" s="24">
        <v>74.5</v>
      </c>
      <c r="F47" s="24">
        <v>72.5</v>
      </c>
      <c r="G47" s="25">
        <v>71.5</v>
      </c>
      <c r="H47" s="137">
        <f>+((H46/H48)/7)*1000</f>
        <v>74.980135823429549</v>
      </c>
      <c r="I47" s="50"/>
      <c r="J47" s="50"/>
      <c r="K47" s="50"/>
      <c r="L47" s="50"/>
      <c r="M47" s="50"/>
      <c r="N47" s="49"/>
      <c r="P47" s="93" t="s">
        <v>11</v>
      </c>
      <c r="Q47" s="23">
        <v>81.5</v>
      </c>
      <c r="R47" s="24">
        <v>81.5</v>
      </c>
      <c r="S47" s="24">
        <v>81.5</v>
      </c>
      <c r="T47" s="24"/>
      <c r="U47" s="24"/>
      <c r="V47" s="228"/>
      <c r="W47" s="232">
        <f>+((W46/W48)/7)*1000</f>
        <v>81.500000000000014</v>
      </c>
      <c r="X47" s="50"/>
      <c r="Y47" s="50"/>
    </row>
    <row r="48" spans="1:36" ht="33.75" customHeight="1" x14ac:dyDescent="0.25">
      <c r="A48" s="193" t="s">
        <v>12</v>
      </c>
      <c r="B48" s="26">
        <v>199</v>
      </c>
      <c r="C48" s="27">
        <v>505</v>
      </c>
      <c r="D48" s="27">
        <v>764</v>
      </c>
      <c r="E48" s="27">
        <v>606</v>
      </c>
      <c r="F48" s="27">
        <v>540</v>
      </c>
      <c r="G48" s="28">
        <v>331</v>
      </c>
      <c r="H48" s="138">
        <f>SUM(B48:G48)</f>
        <v>2945</v>
      </c>
      <c r="I48" s="198"/>
      <c r="J48" s="198"/>
      <c r="K48" s="198"/>
      <c r="L48" s="198"/>
      <c r="M48" s="198"/>
      <c r="N48" s="49"/>
      <c r="O48" s="51"/>
      <c r="P48" s="71" t="s">
        <v>12</v>
      </c>
      <c r="Q48" s="257">
        <v>130</v>
      </c>
      <c r="R48" s="79">
        <v>138</v>
      </c>
      <c r="S48" s="79">
        <v>128</v>
      </c>
      <c r="T48" s="79"/>
      <c r="U48" s="79"/>
      <c r="V48" s="162"/>
      <c r="W48" s="233">
        <f>SUM(Q48:T48)</f>
        <v>396</v>
      </c>
      <c r="X48" s="52"/>
      <c r="Y48" s="52"/>
    </row>
    <row r="49" spans="1:37" ht="33.75" customHeight="1" x14ac:dyDescent="0.25">
      <c r="A49" s="194" t="s">
        <v>13</v>
      </c>
      <c r="B49" s="30">
        <f t="shared" ref="B49:G49" si="8">(B48*B47)/1000</f>
        <v>15.522</v>
      </c>
      <c r="C49" s="31">
        <f t="shared" si="8"/>
        <v>38.884999999999998</v>
      </c>
      <c r="D49" s="31">
        <f t="shared" si="8"/>
        <v>58.445999999999998</v>
      </c>
      <c r="E49" s="31">
        <f t="shared" si="8"/>
        <v>45.146999999999998</v>
      </c>
      <c r="F49" s="31">
        <f t="shared" si="8"/>
        <v>39.15</v>
      </c>
      <c r="G49" s="32">
        <f t="shared" si="8"/>
        <v>23.666499999999999</v>
      </c>
      <c r="H49" s="139">
        <f>((H46*1000)/H48)/7</f>
        <v>74.980135823429549</v>
      </c>
      <c r="I49" s="199"/>
      <c r="J49" s="199"/>
      <c r="K49" s="199"/>
      <c r="L49" s="199"/>
      <c r="M49" s="199"/>
      <c r="N49" s="49"/>
      <c r="P49" s="72" t="s">
        <v>13</v>
      </c>
      <c r="Q49" s="30">
        <v>81.569999999999993</v>
      </c>
      <c r="R49" s="65">
        <v>81.569999999999993</v>
      </c>
      <c r="S49" s="65">
        <v>81.569999999999993</v>
      </c>
      <c r="T49" s="65"/>
      <c r="U49" s="31"/>
      <c r="V49" s="163"/>
      <c r="W49" s="234">
        <f>((W46*1000)/W48)/7</f>
        <v>81.500000000000014</v>
      </c>
      <c r="X49" s="52"/>
      <c r="Y49" s="52"/>
    </row>
    <row r="50" spans="1:37" ht="33.75" customHeight="1" x14ac:dyDescent="0.25">
      <c r="A50" s="185" t="s">
        <v>14</v>
      </c>
      <c r="B50" s="34">
        <f t="shared" ref="B50:G50" si="9">((B48*B47)*7)/1000</f>
        <v>108.654</v>
      </c>
      <c r="C50" s="35">
        <f t="shared" si="9"/>
        <v>272.19499999999999</v>
      </c>
      <c r="D50" s="35">
        <f t="shared" si="9"/>
        <v>409.12200000000001</v>
      </c>
      <c r="E50" s="35">
        <f t="shared" si="9"/>
        <v>316.029</v>
      </c>
      <c r="F50" s="35">
        <f t="shared" si="9"/>
        <v>274.05</v>
      </c>
      <c r="G50" s="68">
        <f t="shared" si="9"/>
        <v>165.66550000000001</v>
      </c>
      <c r="H50" s="112"/>
      <c r="I50" s="41"/>
      <c r="J50" s="41"/>
      <c r="K50" s="41"/>
      <c r="L50" s="41"/>
      <c r="M50" s="41"/>
      <c r="N50" s="49"/>
      <c r="P50" s="73" t="s">
        <v>14</v>
      </c>
      <c r="Q50" s="34">
        <f>((Q48*Q47)*7)/1000</f>
        <v>74.165000000000006</v>
      </c>
      <c r="R50" s="66">
        <f>((R48*R47)*7)/1000</f>
        <v>78.728999999999999</v>
      </c>
      <c r="S50" s="66">
        <f>((S48*S47)*7)/1000</f>
        <v>73.024000000000001</v>
      </c>
      <c r="T50" s="66"/>
      <c r="U50" s="35"/>
      <c r="V50" s="206"/>
      <c r="W50" s="213"/>
    </row>
    <row r="51" spans="1:37" ht="33.75" customHeight="1" thickBot="1" x14ac:dyDescent="0.3">
      <c r="A51" s="195" t="s">
        <v>15</v>
      </c>
      <c r="B51" s="37">
        <f t="shared" ref="B51:G51" si="10">+(B46/B48)/7*1000</f>
        <v>77.999999999999986</v>
      </c>
      <c r="C51" s="38">
        <f t="shared" si="10"/>
        <v>77</v>
      </c>
      <c r="D51" s="38">
        <f t="shared" si="10"/>
        <v>76.499999999999986</v>
      </c>
      <c r="E51" s="38">
        <f t="shared" si="10"/>
        <v>74.5</v>
      </c>
      <c r="F51" s="38">
        <f t="shared" si="10"/>
        <v>72.500000000000014</v>
      </c>
      <c r="G51" s="39">
        <f t="shared" si="10"/>
        <v>71.500000000000028</v>
      </c>
      <c r="H51" s="140"/>
      <c r="I51" s="41"/>
      <c r="J51" s="41"/>
      <c r="K51" s="41"/>
      <c r="L51" s="41"/>
      <c r="M51" s="41"/>
      <c r="N51" s="49"/>
      <c r="O51" s="41"/>
      <c r="P51" s="74" t="s">
        <v>15</v>
      </c>
      <c r="Q51" s="37">
        <f>+(Q46/Q48)/7*1000</f>
        <v>81.5</v>
      </c>
      <c r="R51" s="67">
        <f>+(R46/R48)/7*1000</f>
        <v>81.5</v>
      </c>
      <c r="S51" s="67">
        <f>+(S46/S48)/7*1000</f>
        <v>81.5</v>
      </c>
      <c r="T51" s="67"/>
      <c r="U51" s="38"/>
      <c r="V51" s="207"/>
      <c r="W51" s="262"/>
      <c r="X51" s="42"/>
      <c r="Y51" s="42"/>
    </row>
    <row r="52" spans="1:37" ht="33.75" customHeight="1" x14ac:dyDescent="0.25">
      <c r="A52" s="41"/>
      <c r="B52" s="2"/>
      <c r="C52" s="2"/>
      <c r="D52" s="2"/>
      <c r="E52" s="2"/>
      <c r="F52" s="2"/>
      <c r="G52" s="2"/>
      <c r="H52" s="41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2"/>
      <c r="AB52" s="2"/>
      <c r="AC52" s="2"/>
      <c r="AD52" s="2"/>
      <c r="AE52" s="2"/>
    </row>
    <row r="53" spans="1:37" ht="33.75" customHeight="1" x14ac:dyDescent="0.25">
      <c r="A53" s="41"/>
      <c r="B53" s="197"/>
      <c r="C53" s="197"/>
      <c r="D53" s="197"/>
      <c r="E53" s="197"/>
      <c r="F53" s="197"/>
      <c r="G53" s="197"/>
      <c r="H53" s="41"/>
      <c r="I53" s="41"/>
      <c r="J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2"/>
      <c r="X53" s="43"/>
      <c r="Y53" s="43"/>
      <c r="Z53" s="43"/>
      <c r="AA53" s="2"/>
      <c r="AB53" s="2"/>
      <c r="AC53" s="2"/>
      <c r="AD53" s="2"/>
      <c r="AH53" s="3"/>
    </row>
    <row r="54" spans="1:37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958"/>
      <c r="P54" s="958"/>
      <c r="Q54" s="54"/>
      <c r="R54" s="54"/>
      <c r="S54" s="54"/>
      <c r="T54" s="54"/>
      <c r="U54" s="55"/>
      <c r="Z54" s="43"/>
      <c r="AA54" s="43"/>
      <c r="AB54" s="43"/>
      <c r="AC54" s="2"/>
      <c r="AD54" s="2"/>
      <c r="AE54" s="2"/>
      <c r="AF54" s="2"/>
      <c r="AH54" s="2"/>
      <c r="AI54" s="2"/>
      <c r="AJ54" s="2"/>
    </row>
    <row r="55" spans="1:37" ht="33.75" customHeight="1" thickBot="1" x14ac:dyDescent="0.3">
      <c r="A55" s="88" t="s">
        <v>19</v>
      </c>
      <c r="B55" s="972" t="s">
        <v>30</v>
      </c>
      <c r="C55" s="972"/>
      <c r="D55" s="972"/>
      <c r="E55" s="972"/>
      <c r="F55" s="966"/>
      <c r="G55" s="248"/>
      <c r="H55" s="85"/>
      <c r="I55" s="56"/>
      <c r="J55" s="56"/>
      <c r="K55" s="56"/>
      <c r="L55" s="56"/>
      <c r="M55" s="56"/>
      <c r="N55" s="56"/>
      <c r="O55" s="56"/>
      <c r="AA55" s="43"/>
      <c r="AB55" s="43"/>
      <c r="AC55" s="43"/>
      <c r="AD55" s="2"/>
      <c r="AE55" s="2"/>
      <c r="AF55" s="2"/>
      <c r="AG55" s="2"/>
      <c r="AI55" s="2"/>
      <c r="AJ55" s="2"/>
      <c r="AK55" s="2"/>
    </row>
    <row r="56" spans="1:37" ht="33.75" customHeight="1" thickBot="1" x14ac:dyDescent="0.3">
      <c r="A56" s="80" t="s">
        <v>34</v>
      </c>
      <c r="B56" s="188"/>
      <c r="C56" s="249"/>
      <c r="D56" s="249"/>
      <c r="E56" s="249"/>
      <c r="F56" s="249"/>
      <c r="G56" s="250"/>
      <c r="H56" s="13" t="s">
        <v>9</v>
      </c>
      <c r="O56" s="45"/>
      <c r="P56" s="45"/>
      <c r="Q56" s="45"/>
      <c r="R56" s="45"/>
      <c r="S56" s="57"/>
      <c r="T56" s="57"/>
      <c r="U56" s="57"/>
      <c r="V56" s="57"/>
      <c r="W56" s="45"/>
      <c r="X56" s="45"/>
      <c r="Y56" s="58"/>
      <c r="Z56" s="58"/>
      <c r="AA56" s="58"/>
      <c r="AB56" s="2"/>
      <c r="AC56" s="2"/>
      <c r="AD56" s="2"/>
      <c r="AE56" s="2"/>
      <c r="AG56" s="2"/>
      <c r="AH56" s="2"/>
      <c r="AI56" s="2"/>
    </row>
    <row r="57" spans="1:37" ht="33.75" customHeight="1" x14ac:dyDescent="0.25">
      <c r="A57" s="80" t="s">
        <v>10</v>
      </c>
      <c r="B57" s="141">
        <v>1</v>
      </c>
      <c r="C57" s="150">
        <v>2</v>
      </c>
      <c r="D57" s="150">
        <v>3</v>
      </c>
      <c r="E57" s="150">
        <v>4</v>
      </c>
      <c r="F57" s="150">
        <v>5</v>
      </c>
      <c r="G57" s="152"/>
      <c r="H57" s="13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57"/>
      <c r="T57" s="57"/>
      <c r="U57" s="57"/>
      <c r="V57" s="57"/>
      <c r="W57" s="45"/>
      <c r="X57" s="45"/>
      <c r="Y57" s="58"/>
      <c r="Z57" s="58"/>
      <c r="AA57" s="58"/>
      <c r="AB57" s="2"/>
      <c r="AC57" s="2"/>
      <c r="AD57" s="2"/>
      <c r="AE57" s="2"/>
      <c r="AF57" s="2"/>
      <c r="AG57" s="2"/>
      <c r="AH57" s="2"/>
      <c r="AI57" s="2"/>
    </row>
    <row r="58" spans="1:37" ht="33.75" customHeight="1" x14ac:dyDescent="0.25">
      <c r="A58" s="96" t="s">
        <v>53</v>
      </c>
      <c r="B58" s="18"/>
      <c r="C58" s="61"/>
      <c r="D58" s="61"/>
      <c r="E58" s="61"/>
      <c r="F58" s="61"/>
      <c r="G58" s="94"/>
      <c r="H58" s="136">
        <f>SUM(B58:F58)</f>
        <v>0</v>
      </c>
      <c r="I58" s="42"/>
      <c r="J58" s="42"/>
      <c r="K58" s="42"/>
      <c r="L58" s="42"/>
      <c r="M58" s="42"/>
      <c r="N58" s="42"/>
      <c r="O58" s="2"/>
      <c r="P58" s="45"/>
      <c r="Q58" s="45"/>
      <c r="R58" s="45"/>
      <c r="S58" s="57"/>
      <c r="T58" s="57"/>
      <c r="U58" s="57"/>
      <c r="V58" s="57"/>
      <c r="W58" s="45"/>
      <c r="X58" s="45"/>
      <c r="Y58" s="58"/>
      <c r="Z58" s="58"/>
      <c r="AA58" s="58"/>
      <c r="AB58" s="2"/>
      <c r="AC58" s="2"/>
      <c r="AD58" s="2"/>
      <c r="AE58" s="2"/>
      <c r="AF58" s="2"/>
      <c r="AG58" s="2"/>
      <c r="AH58" s="2"/>
      <c r="AI58" s="2"/>
    </row>
    <row r="59" spans="1:37" ht="33.75" customHeight="1" x14ac:dyDescent="0.25">
      <c r="A59" s="96" t="s">
        <v>24</v>
      </c>
      <c r="B59" s="18">
        <v>24.7</v>
      </c>
      <c r="C59" s="61">
        <v>27.9</v>
      </c>
      <c r="D59" s="61">
        <v>35.799999999999997</v>
      </c>
      <c r="E59" s="61">
        <v>30.6</v>
      </c>
      <c r="F59" s="61">
        <v>34.9</v>
      </c>
      <c r="G59" s="94"/>
      <c r="H59" s="136">
        <f>SUM(B59:G59)</f>
        <v>153.9</v>
      </c>
      <c r="I59" s="42"/>
      <c r="J59" s="42"/>
      <c r="K59" s="42"/>
      <c r="L59" s="42"/>
      <c r="M59" s="42"/>
      <c r="N59" s="42"/>
      <c r="O59" s="2"/>
      <c r="P59" s="45"/>
      <c r="Q59" s="45"/>
      <c r="R59" s="45"/>
      <c r="S59" s="57"/>
      <c r="T59" s="57"/>
      <c r="U59" s="57"/>
      <c r="V59" s="57"/>
      <c r="W59" s="45"/>
      <c r="X59" s="45"/>
      <c r="Y59" s="58"/>
      <c r="Z59" s="58"/>
      <c r="AA59" s="58"/>
      <c r="AB59" s="2"/>
      <c r="AC59" s="2"/>
      <c r="AD59" s="2"/>
      <c r="AE59" s="2"/>
      <c r="AF59" s="2"/>
      <c r="AG59" s="2"/>
      <c r="AH59" s="2"/>
      <c r="AI59" s="2"/>
    </row>
    <row r="60" spans="1:37" ht="33.75" customHeight="1" x14ac:dyDescent="0.25">
      <c r="A60" s="96" t="s">
        <v>20</v>
      </c>
      <c r="B60" s="18">
        <f>((((($B$66*$B$67)/1000)*7)-$B$59)/4)</f>
        <v>25.657500000000002</v>
      </c>
      <c r="C60" s="61">
        <f>((((($C$66*$C$67)/1000)*7)-$C$59)/4)</f>
        <v>28.576250000000002</v>
      </c>
      <c r="D60" s="61">
        <f>((((($D$66*$D$67)/1000)*7)-$D$59)/4)</f>
        <v>36.56750000000001</v>
      </c>
      <c r="E60" s="61">
        <f>((((($E$66*$E$67)/1000)*7)-$E$59)/4)</f>
        <v>31.471250000000005</v>
      </c>
      <c r="F60" s="61">
        <f>((((($F$66*$F$67)/1000)*7)-$F$59)/4)</f>
        <v>36.048749999999998</v>
      </c>
      <c r="G60" s="94"/>
      <c r="H60" s="136">
        <f>SUM(B60:F60)</f>
        <v>158.32125000000002</v>
      </c>
      <c r="I60" s="42"/>
      <c r="J60" s="42"/>
      <c r="K60" s="42"/>
      <c r="L60" s="42"/>
      <c r="M60" s="42"/>
      <c r="N60" s="42"/>
      <c r="O60" s="2"/>
      <c r="P60" s="45"/>
      <c r="Q60" s="45"/>
      <c r="R60" s="45"/>
      <c r="S60" s="57"/>
      <c r="T60" s="57"/>
      <c r="U60" s="57"/>
      <c r="V60" s="57"/>
      <c r="W60" s="45"/>
      <c r="X60" s="45"/>
      <c r="Y60" s="58"/>
      <c r="Z60" s="58"/>
      <c r="AA60" s="58"/>
      <c r="AB60" s="2"/>
      <c r="AC60" s="2"/>
      <c r="AD60" s="2"/>
      <c r="AE60" s="2"/>
      <c r="AF60" s="2"/>
      <c r="AG60" s="2"/>
      <c r="AH60" s="2"/>
      <c r="AI60" s="2"/>
    </row>
    <row r="61" spans="1:37" ht="33.75" customHeight="1" x14ac:dyDescent="0.25">
      <c r="A61" s="96" t="s">
        <v>28</v>
      </c>
      <c r="B61" s="18">
        <f>((((($B$66*$B$67)/1000)*7)-$B$59)/4)</f>
        <v>25.657500000000002</v>
      </c>
      <c r="C61" s="61">
        <f>((((($C$66*$C$67)/1000)*7)-$C$59)/4)</f>
        <v>28.576250000000002</v>
      </c>
      <c r="D61" s="61">
        <f>((((($D$66*$D$67)/1000)*7)-$D$59)/4)</f>
        <v>36.56750000000001</v>
      </c>
      <c r="E61" s="61">
        <f>((((($E$66*$E$67)/1000)*7)-$E$59)/4)</f>
        <v>31.471250000000005</v>
      </c>
      <c r="F61" s="61">
        <f>((((($F$66*$F$67)/1000)*7)-$F$59)/4)</f>
        <v>36.048749999999998</v>
      </c>
      <c r="G61" s="94"/>
      <c r="H61" s="136">
        <f>SUM(B61:F61)</f>
        <v>158.32125000000002</v>
      </c>
      <c r="I61" s="42"/>
      <c r="J61" s="42"/>
      <c r="K61" s="42"/>
      <c r="L61" s="42"/>
      <c r="M61" s="42"/>
      <c r="N61" s="42"/>
      <c r="O61" s="2"/>
      <c r="P61" s="45"/>
      <c r="Q61" s="45"/>
      <c r="R61" s="45"/>
      <c r="S61" s="57"/>
      <c r="T61" s="57"/>
      <c r="U61" s="57"/>
      <c r="V61" s="57"/>
      <c r="W61" s="45"/>
      <c r="X61" s="45"/>
      <c r="Y61" s="58"/>
      <c r="Z61" s="58"/>
      <c r="AA61" s="58"/>
      <c r="AB61" s="3"/>
      <c r="AC61" s="3"/>
      <c r="AD61" s="2"/>
      <c r="AE61" s="2"/>
      <c r="AF61" s="2"/>
      <c r="AG61" s="2"/>
      <c r="AH61" s="2"/>
      <c r="AI61" s="2"/>
    </row>
    <row r="62" spans="1:37" ht="33.75" customHeight="1" x14ac:dyDescent="0.25">
      <c r="A62" s="96" t="s">
        <v>21</v>
      </c>
      <c r="B62" s="18"/>
      <c r="C62" s="61"/>
      <c r="D62" s="61"/>
      <c r="E62" s="61"/>
      <c r="F62" s="61"/>
      <c r="G62" s="94"/>
      <c r="H62" s="136">
        <f>SUM(B62:F62)</f>
        <v>0</v>
      </c>
      <c r="I62" s="42"/>
      <c r="J62" s="42"/>
      <c r="K62" s="42"/>
      <c r="L62" s="42"/>
      <c r="M62" s="42"/>
      <c r="N62" s="42"/>
      <c r="O62" s="2"/>
      <c r="P62" s="45"/>
      <c r="Q62" s="45"/>
      <c r="R62" s="45"/>
      <c r="S62" s="57"/>
      <c r="T62" s="57"/>
      <c r="U62" s="57"/>
      <c r="V62" s="57"/>
      <c r="W62" s="45"/>
      <c r="X62" s="45"/>
      <c r="Y62" s="58"/>
      <c r="Z62" s="58"/>
      <c r="AA62" s="58"/>
      <c r="AB62" s="3"/>
      <c r="AC62" s="3"/>
      <c r="AD62" s="2"/>
      <c r="AE62" s="2"/>
      <c r="AF62" s="2"/>
      <c r="AG62" s="2"/>
      <c r="AH62" s="2"/>
      <c r="AI62" s="2"/>
    </row>
    <row r="63" spans="1:37" ht="33.75" customHeight="1" x14ac:dyDescent="0.25">
      <c r="A63" s="96" t="s">
        <v>22</v>
      </c>
      <c r="B63" s="18">
        <f>((((($B$66*$B$67)/1000)*7)-$B$59)/4)</f>
        <v>25.657500000000002</v>
      </c>
      <c r="C63" s="61">
        <f>((((($C$66*$C$67)/1000)*7)-$C$59)/4)</f>
        <v>28.576250000000002</v>
      </c>
      <c r="D63" s="61">
        <f>((((($D$66*$D$67)/1000)*7)-$D$59)/4)</f>
        <v>36.56750000000001</v>
      </c>
      <c r="E63" s="61">
        <f>((((($E$66*$E$67)/1000)*7)-$E$59)/4)</f>
        <v>31.471250000000005</v>
      </c>
      <c r="F63" s="61">
        <f>((((($F$66*$F$67)/1000)*7)-$F$59)/4)</f>
        <v>36.048749999999998</v>
      </c>
      <c r="G63" s="94"/>
      <c r="H63" s="136">
        <f>SUM(B63:F63)</f>
        <v>158.32125000000002</v>
      </c>
      <c r="I63" s="42"/>
      <c r="J63" s="42"/>
      <c r="K63" s="42"/>
      <c r="L63" s="42"/>
      <c r="M63" s="42"/>
      <c r="N63" s="42"/>
      <c r="O63" s="2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3"/>
      <c r="AC63" s="3"/>
      <c r="AF63" s="2"/>
      <c r="AG63" s="2"/>
      <c r="AH63" s="2"/>
      <c r="AI63" s="2"/>
    </row>
    <row r="64" spans="1:37" ht="33.75" customHeight="1" thickBot="1" x14ac:dyDescent="0.3">
      <c r="A64" s="96" t="s">
        <v>23</v>
      </c>
      <c r="B64" s="153">
        <f>((((($B$66*$B$67)/1000)*7)-$B$59)/4)</f>
        <v>25.657500000000002</v>
      </c>
      <c r="C64" s="226">
        <f>((((($C$66*$C$67)/1000)*7)-$C$59)/4)</f>
        <v>28.576250000000002</v>
      </c>
      <c r="D64" s="226">
        <f>((((($D$66*$D$67)/1000)*7)-$D$59)/4)</f>
        <v>36.56750000000001</v>
      </c>
      <c r="E64" s="226">
        <f>((((($E$66*$E$67)/1000)*7)-$E$59)/4)</f>
        <v>31.471250000000005</v>
      </c>
      <c r="F64" s="226">
        <f>((((($F$66*$F$67)/1000)*7)-$F$59)/4)</f>
        <v>36.048749999999998</v>
      </c>
      <c r="G64" s="247"/>
      <c r="H64" s="136">
        <f>SUM(B64:F64)</f>
        <v>158.32125000000002</v>
      </c>
      <c r="I64" s="42"/>
      <c r="J64" s="42"/>
      <c r="K64" s="42"/>
      <c r="L64" s="42"/>
      <c r="M64" s="42"/>
      <c r="N64" s="42"/>
      <c r="O64" s="2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3"/>
      <c r="AC64" s="3"/>
      <c r="AF64" s="2"/>
      <c r="AG64" s="2"/>
      <c r="AH64" s="2"/>
      <c r="AI64" s="2"/>
    </row>
    <row r="65" spans="1:35" ht="33.75" customHeight="1" x14ac:dyDescent="0.25">
      <c r="A65" s="80" t="s">
        <v>9</v>
      </c>
      <c r="B65" s="131">
        <f>SUM(B58:B64)</f>
        <v>127.33</v>
      </c>
      <c r="C65" s="127">
        <f>SUM(C58:C64)</f>
        <v>142.20500000000001</v>
      </c>
      <c r="D65" s="127">
        <f>SUM(D58:D64)</f>
        <v>182.07000000000005</v>
      </c>
      <c r="E65" s="127">
        <f>SUM(E58:E64)</f>
        <v>156.48500000000001</v>
      </c>
      <c r="F65" s="127">
        <f>SUM(F58:F64)</f>
        <v>179.09499999999997</v>
      </c>
      <c r="G65" s="256"/>
      <c r="H65" s="136">
        <f>SUM(B65:G65)</f>
        <v>787.18500000000017</v>
      </c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3"/>
      <c r="AC65" s="3"/>
      <c r="AD65" s="3"/>
      <c r="AE65" s="3"/>
      <c r="AF65" s="2"/>
      <c r="AG65" s="2"/>
      <c r="AH65" s="2"/>
      <c r="AI65" s="2"/>
    </row>
    <row r="66" spans="1:35" ht="33.75" customHeight="1" x14ac:dyDescent="0.25">
      <c r="A66" s="70" t="s">
        <v>11</v>
      </c>
      <c r="B66" s="23">
        <v>85</v>
      </c>
      <c r="C66" s="63">
        <v>85</v>
      </c>
      <c r="D66" s="63">
        <v>85</v>
      </c>
      <c r="E66" s="63">
        <v>85</v>
      </c>
      <c r="F66" s="63">
        <v>85</v>
      </c>
      <c r="G66" s="155"/>
      <c r="H66" s="137">
        <f>+((H65/H67)/7)*1000</f>
        <v>85</v>
      </c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3"/>
      <c r="AC66" s="3"/>
      <c r="AD66" s="3"/>
      <c r="AE66" s="3"/>
      <c r="AF66" s="2"/>
      <c r="AG66" s="2"/>
      <c r="AH66" s="2"/>
      <c r="AI66" s="2"/>
    </row>
    <row r="67" spans="1:35" ht="33.75" customHeight="1" x14ac:dyDescent="0.25">
      <c r="A67" s="71" t="s">
        <v>12</v>
      </c>
      <c r="B67" s="257">
        <v>214</v>
      </c>
      <c r="C67" s="79">
        <v>239</v>
      </c>
      <c r="D67" s="79">
        <v>306</v>
      </c>
      <c r="E67" s="79">
        <v>263</v>
      </c>
      <c r="F67" s="79">
        <v>301</v>
      </c>
      <c r="G67" s="258"/>
      <c r="H67" s="254">
        <f>SUM(B67:G67)</f>
        <v>1323</v>
      </c>
      <c r="O67" s="59"/>
      <c r="S67" s="3"/>
      <c r="T67" s="3"/>
      <c r="U67" s="3"/>
      <c r="V67" s="3"/>
      <c r="W67" s="3"/>
      <c r="X67" s="3"/>
    </row>
    <row r="68" spans="1:35" ht="33.75" customHeight="1" x14ac:dyDescent="0.25">
      <c r="A68" s="72" t="s">
        <v>13</v>
      </c>
      <c r="B68" s="30">
        <v>83.71</v>
      </c>
      <c r="C68" s="31">
        <f>(C67*C66)/1000</f>
        <v>20.315000000000001</v>
      </c>
      <c r="D68" s="31">
        <f>(D67*D66)/1000</f>
        <v>26.01</v>
      </c>
      <c r="E68" s="31">
        <f>(E67*E66)/1000</f>
        <v>22.355</v>
      </c>
      <c r="F68" s="31">
        <f>(F67*F66)/1000</f>
        <v>25.585000000000001</v>
      </c>
      <c r="G68" s="32"/>
      <c r="H68" s="255">
        <f>((H65*1000)/H67)/7</f>
        <v>85.000000000000014</v>
      </c>
      <c r="S68" s="3"/>
      <c r="T68" s="3"/>
      <c r="U68" s="3"/>
      <c r="V68" s="3"/>
      <c r="W68" s="3"/>
      <c r="X68" s="3"/>
    </row>
    <row r="69" spans="1:35" ht="33.75" customHeight="1" x14ac:dyDescent="0.25">
      <c r="A69" s="73" t="s">
        <v>14</v>
      </c>
      <c r="B69" s="34">
        <f>((B67*B66)*7)/1000</f>
        <v>127.33</v>
      </c>
      <c r="C69" s="35">
        <f>((C67*C66)*7)/1000</f>
        <v>142.20500000000001</v>
      </c>
      <c r="D69" s="35">
        <f>((D67*D66)*7)/1000</f>
        <v>182.07</v>
      </c>
      <c r="E69" s="35">
        <f>((E67*E66)*7)/1000</f>
        <v>156.48500000000001</v>
      </c>
      <c r="F69" s="35">
        <f>((F67*F66)*7)/1000</f>
        <v>179.095</v>
      </c>
      <c r="G69" s="68"/>
      <c r="H69" s="112"/>
      <c r="I69" s="41"/>
      <c r="J69" s="41"/>
      <c r="K69" s="41"/>
      <c r="L69" s="41"/>
      <c r="M69" s="41"/>
      <c r="N69" s="41"/>
      <c r="X69" s="3"/>
    </row>
    <row r="70" spans="1:35" ht="33.75" customHeight="1" thickBot="1" x14ac:dyDescent="0.3">
      <c r="A70" s="74" t="s">
        <v>15</v>
      </c>
      <c r="B70" s="37">
        <f>+(B65/B67)/7*1000</f>
        <v>84.999999999999986</v>
      </c>
      <c r="C70" s="67">
        <f>+(C65/C67)/7*1000</f>
        <v>85</v>
      </c>
      <c r="D70" s="67">
        <f>+(D65/D67)/7*1000</f>
        <v>85.000000000000028</v>
      </c>
      <c r="E70" s="67">
        <f>+(E65/E67)/7*1000</f>
        <v>85</v>
      </c>
      <c r="F70" s="67">
        <f>+(F65/F67)/7*1000</f>
        <v>84.999999999999972</v>
      </c>
      <c r="G70" s="259"/>
      <c r="H70" s="40"/>
      <c r="X70" s="3"/>
    </row>
    <row r="71" spans="1:35" ht="33.75" customHeight="1" x14ac:dyDescent="0.25">
      <c r="B71" s="148"/>
    </row>
    <row r="72" spans="1:35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52"/>
    </row>
    <row r="73" spans="1:35" ht="33.75" customHeight="1" x14ac:dyDescent="0.25"/>
    <row r="74" spans="1:35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  <c r="M74" s="45"/>
      <c r="N74" s="45"/>
      <c r="O74" s="45"/>
    </row>
    <row r="75" spans="1:35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5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5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5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5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G36"/>
    <mergeCell ref="Q36:V36"/>
    <mergeCell ref="N37:O37"/>
    <mergeCell ref="O54:P54"/>
    <mergeCell ref="B55:F55"/>
    <mergeCell ref="A3:C3"/>
    <mergeCell ref="E9:G9"/>
    <mergeCell ref="X9:Y9"/>
    <mergeCell ref="P11:Q11"/>
    <mergeCell ref="B15:I15"/>
    <mergeCell ref="J15:M15"/>
    <mergeCell ref="N15:R15"/>
    <mergeCell ref="S15:X15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K239"/>
  <sheetViews>
    <sheetView workbookViewId="0"/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9.140625" style="14" customWidth="1"/>
    <col min="9" max="13" width="20.140625" style="14" customWidth="1"/>
    <col min="14" max="14" width="28.28515625" style="14" bestFit="1" customWidth="1"/>
    <col min="15" max="16" width="33.42578125" style="14" bestFit="1" customWidth="1"/>
    <col min="17" max="17" width="22.7109375" style="14" customWidth="1"/>
    <col min="18" max="20" width="21.28515625" style="14" customWidth="1"/>
    <col min="21" max="21" width="21.28515625" style="14" bestFit="1" customWidth="1"/>
    <col min="22" max="22" width="21.28515625" style="14" customWidth="1"/>
    <col min="23" max="23" width="27.85546875" style="14" customWidth="1"/>
    <col min="24" max="24" width="25.85546875" style="14" customWidth="1"/>
    <col min="25" max="25" width="21.42578125" style="14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 t="s">
        <v>3</v>
      </c>
      <c r="X9" s="960" t="s">
        <v>35</v>
      </c>
      <c r="Y9" s="960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65" t="s">
        <v>71</v>
      </c>
      <c r="Q11" s="965"/>
      <c r="R11" s="6"/>
      <c r="S11" s="6"/>
      <c r="T11" s="6"/>
      <c r="U11" s="1"/>
      <c r="V11" s="1"/>
      <c r="W11" s="1" t="s">
        <v>6</v>
      </c>
      <c r="X11" s="95">
        <v>45434</v>
      </c>
      <c r="Y11" s="6"/>
      <c r="Z11" s="6"/>
      <c r="AA11" s="6"/>
      <c r="AB11" s="6"/>
      <c r="AC11" s="6"/>
      <c r="AD11" s="6"/>
      <c r="AE11" s="1"/>
      <c r="AF11" s="1"/>
      <c r="AG11" s="1"/>
      <c r="AH11" s="1"/>
      <c r="AI11" s="1"/>
      <c r="AJ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1"/>
      <c r="AD13" s="1"/>
      <c r="AE13" s="1"/>
    </row>
    <row r="14" spans="1:3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1"/>
      <c r="AE14" s="1"/>
      <c r="AF14" s="1"/>
    </row>
    <row r="15" spans="1:36" s="10" customFormat="1" ht="36" thickBot="1" x14ac:dyDescent="0.3">
      <c r="A15" s="69" t="s">
        <v>7</v>
      </c>
      <c r="B15" s="971" t="s">
        <v>8</v>
      </c>
      <c r="C15" s="968"/>
      <c r="D15" s="968"/>
      <c r="E15" s="968"/>
      <c r="F15" s="968"/>
      <c r="G15" s="968"/>
      <c r="H15" s="968"/>
      <c r="I15" s="968"/>
      <c r="J15" s="971" t="s">
        <v>30</v>
      </c>
      <c r="K15" s="968"/>
      <c r="L15" s="968"/>
      <c r="M15" s="969"/>
      <c r="N15" s="971" t="s">
        <v>29</v>
      </c>
      <c r="O15" s="968"/>
      <c r="P15" s="968"/>
      <c r="Q15" s="968"/>
      <c r="R15" s="969"/>
      <c r="S15" s="962" t="s">
        <v>31</v>
      </c>
      <c r="T15" s="963"/>
      <c r="U15" s="963"/>
      <c r="V15" s="963"/>
      <c r="W15" s="963"/>
      <c r="X15" s="964"/>
    </row>
    <row r="16" spans="1:36" ht="39.950000000000003" customHeight="1" thickBot="1" x14ac:dyDescent="0.3">
      <c r="A16" s="80" t="s">
        <v>34</v>
      </c>
      <c r="B16" s="186">
        <v>4</v>
      </c>
      <c r="C16" s="174">
        <v>3</v>
      </c>
      <c r="D16" s="174">
        <v>2</v>
      </c>
      <c r="E16" s="174">
        <v>1</v>
      </c>
      <c r="F16" s="174">
        <v>1</v>
      </c>
      <c r="G16" s="174">
        <v>2</v>
      </c>
      <c r="H16" s="174">
        <v>3</v>
      </c>
      <c r="I16" s="175">
        <v>4</v>
      </c>
      <c r="J16" s="186">
        <v>1</v>
      </c>
      <c r="K16" s="174">
        <v>2</v>
      </c>
      <c r="L16" s="174">
        <v>3</v>
      </c>
      <c r="M16" s="175">
        <v>4</v>
      </c>
      <c r="N16" s="202">
        <v>1</v>
      </c>
      <c r="O16" s="174">
        <v>2</v>
      </c>
      <c r="P16" s="174">
        <v>3</v>
      </c>
      <c r="Q16" s="174">
        <v>4</v>
      </c>
      <c r="R16" s="203">
        <v>5</v>
      </c>
      <c r="S16" s="186">
        <v>1</v>
      </c>
      <c r="T16" s="174">
        <v>2</v>
      </c>
      <c r="U16" s="174">
        <v>3</v>
      </c>
      <c r="V16" s="174">
        <v>4</v>
      </c>
      <c r="W16" s="175">
        <v>5</v>
      </c>
      <c r="X16" s="126" t="s">
        <v>9</v>
      </c>
      <c r="AB16" s="15"/>
      <c r="AC16" s="15"/>
    </row>
    <row r="17" spans="1:36" ht="39.950000000000003" customHeight="1" thickBot="1" x14ac:dyDescent="0.3">
      <c r="A17" s="80" t="s">
        <v>10</v>
      </c>
      <c r="B17" s="186">
        <v>1</v>
      </c>
      <c r="C17" s="174">
        <v>2</v>
      </c>
      <c r="D17" s="174">
        <v>3</v>
      </c>
      <c r="E17" s="174">
        <v>4</v>
      </c>
      <c r="F17" s="174">
        <v>5</v>
      </c>
      <c r="G17" s="174">
        <v>6</v>
      </c>
      <c r="H17" s="174">
        <v>7</v>
      </c>
      <c r="I17" s="175">
        <v>8</v>
      </c>
      <c r="J17" s="186">
        <v>1</v>
      </c>
      <c r="K17" s="174">
        <v>2</v>
      </c>
      <c r="L17" s="174">
        <v>3</v>
      </c>
      <c r="M17" s="175">
        <v>4</v>
      </c>
      <c r="N17" s="202">
        <v>1</v>
      </c>
      <c r="O17" s="174">
        <v>2</v>
      </c>
      <c r="P17" s="174">
        <v>3</v>
      </c>
      <c r="Q17" s="174">
        <v>4</v>
      </c>
      <c r="R17" s="203">
        <v>5</v>
      </c>
      <c r="S17" s="186">
        <v>1</v>
      </c>
      <c r="T17" s="174">
        <v>2</v>
      </c>
      <c r="U17" s="174">
        <v>3</v>
      </c>
      <c r="V17" s="174">
        <v>4</v>
      </c>
      <c r="W17" s="175">
        <v>5</v>
      </c>
      <c r="X17" s="208"/>
      <c r="AB17" s="2"/>
      <c r="AC17" s="15"/>
    </row>
    <row r="18" spans="1:36" ht="39.950000000000003" customHeight="1" x14ac:dyDescent="0.25">
      <c r="A18" s="171" t="s">
        <v>53</v>
      </c>
      <c r="B18" s="133"/>
      <c r="C18" s="134"/>
      <c r="D18" s="134"/>
      <c r="E18" s="134"/>
      <c r="F18" s="134"/>
      <c r="G18" s="134"/>
      <c r="H18" s="134"/>
      <c r="I18" s="156"/>
      <c r="J18" s="133"/>
      <c r="K18" s="134"/>
      <c r="L18" s="134"/>
      <c r="M18" s="156"/>
      <c r="N18" s="133"/>
      <c r="O18" s="134"/>
      <c r="P18" s="134"/>
      <c r="Q18" s="134"/>
      <c r="R18" s="156"/>
      <c r="S18" s="225"/>
      <c r="T18" s="134"/>
      <c r="U18" s="134"/>
      <c r="V18" s="134"/>
      <c r="W18" s="156"/>
      <c r="X18" s="98"/>
      <c r="AB18" s="2"/>
      <c r="AC18" s="15"/>
    </row>
    <row r="19" spans="1:36" ht="39.950000000000003" customHeight="1" x14ac:dyDescent="0.25">
      <c r="A19" s="171" t="s">
        <v>24</v>
      </c>
      <c r="B19" s="18">
        <v>34.257959999999997</v>
      </c>
      <c r="C19" s="19">
        <v>71.393960000000007</v>
      </c>
      <c r="D19" s="19">
        <v>54.961280000000002</v>
      </c>
      <c r="E19" s="19">
        <v>22.003080000000001</v>
      </c>
      <c r="F19" s="19">
        <v>33.422400000000003</v>
      </c>
      <c r="G19" s="19">
        <v>50.969160000000002</v>
      </c>
      <c r="H19" s="19">
        <v>45.677279999999996</v>
      </c>
      <c r="I19" s="20">
        <v>40.106880000000004</v>
      </c>
      <c r="J19" s="18">
        <v>18</v>
      </c>
      <c r="K19" s="19">
        <v>31</v>
      </c>
      <c r="L19" s="19">
        <v>34.799999999999997</v>
      </c>
      <c r="M19" s="20">
        <v>30.7</v>
      </c>
      <c r="N19" s="18">
        <v>36.9</v>
      </c>
      <c r="O19" s="19">
        <v>48.7</v>
      </c>
      <c r="P19" s="19">
        <v>57.1</v>
      </c>
      <c r="Q19" s="19">
        <v>47.7</v>
      </c>
      <c r="R19" s="20">
        <v>26.7</v>
      </c>
      <c r="S19" s="61">
        <v>35</v>
      </c>
      <c r="T19" s="19">
        <v>50.9</v>
      </c>
      <c r="U19" s="19">
        <v>59.1</v>
      </c>
      <c r="V19" s="19">
        <v>44.9</v>
      </c>
      <c r="W19" s="20">
        <v>27.9</v>
      </c>
      <c r="X19" s="98">
        <f t="shared" ref="X19:X24" si="0">SUM(B19:W19)</f>
        <v>902.19200000000012</v>
      </c>
      <c r="AB19" s="2"/>
      <c r="AC19" s="15"/>
    </row>
    <row r="20" spans="1:36" ht="39.75" customHeight="1" x14ac:dyDescent="0.25">
      <c r="A20" s="171" t="s">
        <v>20</v>
      </c>
      <c r="B20" s="18">
        <v>34.700000000000003</v>
      </c>
      <c r="C20" s="19">
        <v>54.3</v>
      </c>
      <c r="D20" s="19">
        <v>74.099999999999994</v>
      </c>
      <c r="E20" s="19">
        <v>31.2</v>
      </c>
      <c r="F20" s="19">
        <v>23.6</v>
      </c>
      <c r="G20" s="19">
        <v>57</v>
      </c>
      <c r="H20" s="19">
        <v>58.8</v>
      </c>
      <c r="I20" s="20">
        <v>41.2</v>
      </c>
      <c r="J20" s="18">
        <f>((((($J$26*$J$27)/1000)*7)-$J$19)/4)</f>
        <v>19.480249999999998</v>
      </c>
      <c r="K20" s="19">
        <f>((((($K$26*$K$27)/1000)*7)-$K$19)/4)</f>
        <v>34.690999999999995</v>
      </c>
      <c r="L20" s="19">
        <f>((((($L$26*$L$27)/1000)*7)-$L$19)/4)</f>
        <v>38.067000000000007</v>
      </c>
      <c r="M20" s="20">
        <f>((((($M$26*$M$27)/1000)*7)-$M$19)/4)</f>
        <v>33.245249999999999</v>
      </c>
      <c r="N20" s="18">
        <f>((((($N$26*$N$27)/1000)*7)-$N$19)/4)</f>
        <v>32.64725</v>
      </c>
      <c r="O20" s="19">
        <f>((((($O$26*$O$27)/1000)*7)-$O$19)/4)</f>
        <v>31.557499999999994</v>
      </c>
      <c r="P20" s="19">
        <f>((((($P$26*$P$27)/1000)*7)-$P$19)/4)</f>
        <v>68.902500000000003</v>
      </c>
      <c r="Q20" s="19">
        <f>((((($Q$26*$Q$27)/1000)*7)-$Q$19)/4)</f>
        <v>65.634124999999997</v>
      </c>
      <c r="R20" s="20">
        <f>((((($R$26*$R$27)/1000)*7)-$R$19)/4)</f>
        <v>34.314374999999998</v>
      </c>
      <c r="S20" s="61">
        <f>((((($S$26*$S$27)/1000)*7)-$S$19)/4)</f>
        <v>37.432500000000005</v>
      </c>
      <c r="T20" s="19">
        <f>((((($T$26*$T$27)/1000)*7)-$T$19)/4)</f>
        <v>54.020875000000011</v>
      </c>
      <c r="U20" s="19">
        <f>((((($U$26*$U$27)/1000)*7)-$U$19)/4)</f>
        <v>63.01250000000001</v>
      </c>
      <c r="V20" s="19">
        <f>((((($V$26*$V$27)/1000)*7)-$V$19)/4)</f>
        <v>47.821750000000002</v>
      </c>
      <c r="W20" s="20">
        <f>((((($W$26*$W$27)/1000)*7)-$W$19)/4)</f>
        <v>29.724249999999998</v>
      </c>
      <c r="X20" s="98">
        <f t="shared" si="0"/>
        <v>965.45112500000016</v>
      </c>
      <c r="AB20" s="2"/>
      <c r="AC20" s="15"/>
    </row>
    <row r="21" spans="1:36" ht="39.950000000000003" customHeight="1" x14ac:dyDescent="0.25">
      <c r="A21" s="171" t="s">
        <v>28</v>
      </c>
      <c r="B21" s="18">
        <f>((((($B$26*$B$27)/1000)*7)-$B$20-$B$19)/3)</f>
        <v>34.701013333333329</v>
      </c>
      <c r="C21" s="19">
        <f>((((($C$26*$C$27)/1000)*7)-$C$20-$C$19)/3)</f>
        <v>80.116679999999988</v>
      </c>
      <c r="D21" s="19">
        <f>((((($D$26*$D$27)/1000)*7)-$D$20-$D$19)/3)</f>
        <v>54.363573333333328</v>
      </c>
      <c r="E21" s="19">
        <f>((((($E$26*$E$27)/1000)*7)-$E$20-$E$19)/3)</f>
        <v>22.081640000000004</v>
      </c>
      <c r="F21" s="19">
        <f>((((($F$26*$F$27)/1000)*7)-$F$20-$F$19)/3)</f>
        <v>40.632533333333328</v>
      </c>
      <c r="G21" s="19">
        <f>((((($G$26*$G$27)/1000)*7)-$G$20-$G$19)/3)</f>
        <v>53.680280000000003</v>
      </c>
      <c r="H21" s="19">
        <f>(((($H$26*$H$27)/1000)*7)-$H$20-$H$19)/3</f>
        <v>43.812239999999996</v>
      </c>
      <c r="I21" s="20">
        <f>((((($I$26*$I$27)/1000)*7)-$I$20-$I$19)/3)</f>
        <v>40.937706666666671</v>
      </c>
      <c r="J21" s="18">
        <f>((((($J$26*$J$27)/1000)*7)-$J$19)/4)</f>
        <v>19.480249999999998</v>
      </c>
      <c r="K21" s="19">
        <f>((((($K$26*$K$27)/1000)*7)-$K$19)/4)</f>
        <v>34.690999999999995</v>
      </c>
      <c r="L21" s="19">
        <f>((((($L$26*$L$27)/1000)*7)-$L$19)/4)</f>
        <v>38.067000000000007</v>
      </c>
      <c r="M21" s="20">
        <f>((((($M$26*$M$27)/1000)*7)-$M$19)/4)</f>
        <v>33.245249999999999</v>
      </c>
      <c r="N21" s="18">
        <f>((((($N$26*$N$27)/1000)*7)-$N$19)/4)</f>
        <v>32.64725</v>
      </c>
      <c r="O21" s="19">
        <f>((((($O$26*$O$27)/1000)*7)-$O$19)/4)</f>
        <v>31.557499999999994</v>
      </c>
      <c r="P21" s="19">
        <f>((((($P$26*$P$27)/1000)*7)-$P$19)/4)</f>
        <v>68.902500000000003</v>
      </c>
      <c r="Q21" s="19">
        <f>((((($Q$26*$Q$27)/1000)*7)-$Q$19)/4)</f>
        <v>65.634124999999997</v>
      </c>
      <c r="R21" s="20">
        <f>((((($R$26*$R$27)/1000)*7)-$R$19)/4)</f>
        <v>34.314374999999998</v>
      </c>
      <c r="S21" s="61">
        <f>((((($S$26*$S$27)/1000)*7)-$S$19)/4)</f>
        <v>37.432500000000005</v>
      </c>
      <c r="T21" s="19">
        <f>((((($T$26*$T$27)/1000)*7)-$T$19)/4)</f>
        <v>54.020875000000011</v>
      </c>
      <c r="U21" s="19">
        <f>((((($U$26*$U$27)/1000)*7)-$U$19)/4)</f>
        <v>63.01250000000001</v>
      </c>
      <c r="V21" s="19">
        <f>((((($V$26*$V$27)/1000)*7)-$V$19)/4)</f>
        <v>47.821750000000002</v>
      </c>
      <c r="W21" s="20">
        <f>((((($W$26*$W$27)/1000)*7)-$W$19)/4)</f>
        <v>29.724249999999998</v>
      </c>
      <c r="X21" s="98">
        <f t="shared" si="0"/>
        <v>960.8767916666668</v>
      </c>
      <c r="AB21" s="2"/>
      <c r="AC21" s="15"/>
    </row>
    <row r="22" spans="1:36" ht="39.950000000000003" customHeight="1" x14ac:dyDescent="0.25">
      <c r="A22" s="171" t="s">
        <v>21</v>
      </c>
      <c r="B22" s="18"/>
      <c r="C22" s="19"/>
      <c r="D22" s="19"/>
      <c r="E22" s="19"/>
      <c r="F22" s="19"/>
      <c r="G22" s="19"/>
      <c r="H22" s="19"/>
      <c r="I22" s="20"/>
      <c r="J22" s="18"/>
      <c r="K22" s="19"/>
      <c r="L22" s="19"/>
      <c r="M22" s="20"/>
      <c r="N22" s="18"/>
      <c r="O22" s="19"/>
      <c r="P22" s="19"/>
      <c r="Q22" s="19"/>
      <c r="R22" s="20"/>
      <c r="S22" s="61"/>
      <c r="T22" s="19"/>
      <c r="U22" s="19"/>
      <c r="V22" s="19"/>
      <c r="W22" s="20"/>
      <c r="X22" s="98">
        <f t="shared" si="0"/>
        <v>0</v>
      </c>
      <c r="AB22" s="2"/>
      <c r="AC22" s="15"/>
    </row>
    <row r="23" spans="1:36" ht="39.950000000000003" customHeight="1" x14ac:dyDescent="0.25">
      <c r="A23" s="171" t="s">
        <v>22</v>
      </c>
      <c r="B23" s="18">
        <f>((((($B$26*$B$27)/1000)*7)-$B$20-$B$19)/3)</f>
        <v>34.701013333333329</v>
      </c>
      <c r="C23" s="19">
        <f>((((($C$26*$C$27)/1000)*7)-$C$20-$C$19)/3)</f>
        <v>80.116679999999988</v>
      </c>
      <c r="D23" s="19">
        <f>((((($D$26*$D$27)/1000)*7)-$D$20-$D$19)/3)</f>
        <v>54.363573333333328</v>
      </c>
      <c r="E23" s="19">
        <f>((((($E$26*$E$27)/1000)*7)-$E$20-$E$19)/3)</f>
        <v>22.081640000000004</v>
      </c>
      <c r="F23" s="19">
        <f>((((($F$26*$F$27)/1000)*7)-$F$20-$F$19)/3)</f>
        <v>40.632533333333328</v>
      </c>
      <c r="G23" s="19">
        <f>((((($G$26*$G$27)/1000)*7)-$G$20-$G$19)/3)</f>
        <v>53.680280000000003</v>
      </c>
      <c r="H23" s="19">
        <f>(((($H$26*$H$27)/1000)*7)-$H$20-$H$19)/3</f>
        <v>43.812239999999996</v>
      </c>
      <c r="I23" s="20">
        <f>((((($I$26*$I$27)/1000)*7)-$I$20-$I$19)/3)</f>
        <v>40.937706666666671</v>
      </c>
      <c r="J23" s="18">
        <f>((((($J$26*$J$27)/1000)*7)-$J$19)/4)</f>
        <v>19.480249999999998</v>
      </c>
      <c r="K23" s="19">
        <f>((((($K$26*$K$27)/1000)*7)-$K$19)/4)</f>
        <v>34.690999999999995</v>
      </c>
      <c r="L23" s="19">
        <f>((((($L$26*$L$27)/1000)*7)-$L$19)/4)</f>
        <v>38.067000000000007</v>
      </c>
      <c r="M23" s="20">
        <f>((((($M$26*$M$27)/1000)*7)-$M$19)/4)</f>
        <v>33.245249999999999</v>
      </c>
      <c r="N23" s="18">
        <f>((((($N$26*$N$27)/1000)*7)-$N$19)/4)</f>
        <v>32.64725</v>
      </c>
      <c r="O23" s="19">
        <f>((((($O$26*$O$27)/1000)*7)-$O$19)/4)</f>
        <v>31.557499999999994</v>
      </c>
      <c r="P23" s="19">
        <f>((((($P$26*$P$27)/1000)*7)-$P$19)/4)</f>
        <v>68.902500000000003</v>
      </c>
      <c r="Q23" s="19">
        <f>((((($Q$26*$Q$27)/1000)*7)-$Q$19)/4)</f>
        <v>65.634124999999997</v>
      </c>
      <c r="R23" s="20">
        <f>((((($R$26*$R$27)/1000)*7)-$R$19)/4)</f>
        <v>34.314374999999998</v>
      </c>
      <c r="S23" s="61">
        <f>((((($S$26*$S$27)/1000)*7)-$S$19)/4)</f>
        <v>37.432500000000005</v>
      </c>
      <c r="T23" s="19">
        <f>((((($T$26*$T$27)/1000)*7)-$T$19)/4)</f>
        <v>54.020875000000011</v>
      </c>
      <c r="U23" s="19">
        <f>((((($U$26*$U$27)/1000)*7)-$U$19)/4)</f>
        <v>63.01250000000001</v>
      </c>
      <c r="V23" s="19">
        <f>((((($V$26*$V$27)/1000)*7)-$V$19)/4)</f>
        <v>47.821750000000002</v>
      </c>
      <c r="W23" s="20">
        <f>((((($W$26*$W$27)/1000)*7)-$W$19)/4)</f>
        <v>29.724249999999998</v>
      </c>
      <c r="X23" s="98">
        <f t="shared" si="0"/>
        <v>960.8767916666668</v>
      </c>
      <c r="AB23" s="2"/>
      <c r="AC23" s="15"/>
    </row>
    <row r="24" spans="1:36" ht="39.950000000000003" customHeight="1" thickBot="1" x14ac:dyDescent="0.3">
      <c r="A24" s="171" t="s">
        <v>23</v>
      </c>
      <c r="B24" s="153">
        <f>((((($B$26*$B$27)/1000)*7)-$B$20-$B$19)/3)</f>
        <v>34.701013333333329</v>
      </c>
      <c r="C24" s="154">
        <f>((((($C$26*$C$27)/1000)*7)-$C$20-$C$19)/3)</f>
        <v>80.116679999999988</v>
      </c>
      <c r="D24" s="154">
        <f>((((($D$26*$D$27)/1000)*7)-$D$20-$D$19)/3)</f>
        <v>54.363573333333328</v>
      </c>
      <c r="E24" s="154">
        <f>((((($E$26*$E$27)/1000)*7)-$E$20-$E$19)/3)</f>
        <v>22.081640000000004</v>
      </c>
      <c r="F24" s="154">
        <f>((((($F$26*$F$27)/1000)*7)-$F$20-$F$19)/3)</f>
        <v>40.632533333333328</v>
      </c>
      <c r="G24" s="154">
        <f>((((($G$26*$G$27)/1000)*7)-$G$20-$G$19)/3)</f>
        <v>53.680280000000003</v>
      </c>
      <c r="H24" s="154">
        <f>(((($H$26*$H$27)/1000)*7)-$H$20-$H$19)/3</f>
        <v>43.812239999999996</v>
      </c>
      <c r="I24" s="182">
        <f>((((($I$26*$I$27)/1000)*7)-$I$20-$I$19)/3)</f>
        <v>40.937706666666671</v>
      </c>
      <c r="J24" s="153">
        <f>((((($J$26*$J$27)/1000)*7)-$J$19-J20-J21-J23)/1)</f>
        <v>19.480249999999998</v>
      </c>
      <c r="K24" s="154">
        <f>((((($K$26*$K$27)/1000)*7)-$K$19-K20-K21-K23)/1)</f>
        <v>34.690999999999981</v>
      </c>
      <c r="L24" s="154">
        <f>((((($L$26*$L$27)/1000)*7)-$L$19)/4)</f>
        <v>38.067000000000007</v>
      </c>
      <c r="M24" s="182">
        <f>((((($M$26*$M$27)/1000)*7)-$M$19)/4)</f>
        <v>33.245249999999999</v>
      </c>
      <c r="N24" s="153">
        <f>((((($N$26*$N$27)/1000)*7)-$N$19)/4)</f>
        <v>32.64725</v>
      </c>
      <c r="O24" s="154">
        <f>((((($O$26*$O$27)/1000)*7)-$O$19)/4)</f>
        <v>31.557499999999994</v>
      </c>
      <c r="P24" s="154">
        <f>((((($P$26*$P$27)/1000)*7)-$P$19)/4)</f>
        <v>68.902500000000003</v>
      </c>
      <c r="Q24" s="154">
        <f>((((($Q$26*$Q$27)/1000)*7)-$Q$19)/4)</f>
        <v>65.634124999999997</v>
      </c>
      <c r="R24" s="182">
        <f>((((($R$26*$R$27)/1000)*7)-$R$19)/4)</f>
        <v>34.314374999999998</v>
      </c>
      <c r="S24" s="226">
        <f>((((($S$26*$S$27)/1000)*7)-$S$19)/4)</f>
        <v>37.432500000000005</v>
      </c>
      <c r="T24" s="154">
        <f>((((($T$26*$T$27)/1000)*7)-$T$19)/4)</f>
        <v>54.020875000000011</v>
      </c>
      <c r="U24" s="154">
        <f>((((($U$26*$U$27)/1000)*7)-$U$19)/4)</f>
        <v>63.01250000000001</v>
      </c>
      <c r="V24" s="154">
        <f>((((($V$26*$V$27)/1000)*7)-$V$19)/4)</f>
        <v>47.821750000000002</v>
      </c>
      <c r="W24" s="182">
        <f>((((($W$26*$W$27)/1000)*7)-$W$19)/4)</f>
        <v>29.724249999999998</v>
      </c>
      <c r="X24" s="98">
        <f t="shared" si="0"/>
        <v>960.8767916666668</v>
      </c>
      <c r="AB24" s="2"/>
    </row>
    <row r="25" spans="1:36" ht="41.45" customHeight="1" x14ac:dyDescent="0.25">
      <c r="A25" s="126" t="s">
        <v>9</v>
      </c>
      <c r="B25" s="217">
        <f t="shared" ref="B25:W25" si="1">SUM(B18:B24)</f>
        <v>173.06099999999998</v>
      </c>
      <c r="C25" s="218">
        <f t="shared" si="1"/>
        <v>366.04399999999993</v>
      </c>
      <c r="D25" s="218">
        <f t="shared" si="1"/>
        <v>292.15199999999999</v>
      </c>
      <c r="E25" s="218">
        <f t="shared" si="1"/>
        <v>119.44800000000002</v>
      </c>
      <c r="F25" s="218">
        <f t="shared" si="1"/>
        <v>178.92</v>
      </c>
      <c r="G25" s="218">
        <f t="shared" si="1"/>
        <v>269.01</v>
      </c>
      <c r="H25" s="218">
        <f t="shared" si="1"/>
        <v>235.91399999999999</v>
      </c>
      <c r="I25" s="219">
        <f t="shared" si="1"/>
        <v>204.12</v>
      </c>
      <c r="J25" s="217">
        <f t="shared" si="1"/>
        <v>95.920999999999992</v>
      </c>
      <c r="K25" s="218">
        <f t="shared" si="1"/>
        <v>169.76399999999998</v>
      </c>
      <c r="L25" s="218">
        <f t="shared" si="1"/>
        <v>187.06800000000004</v>
      </c>
      <c r="M25" s="178">
        <f t="shared" si="1"/>
        <v>163.68099999999998</v>
      </c>
      <c r="N25" s="220">
        <f t="shared" si="1"/>
        <v>167.48899999999998</v>
      </c>
      <c r="O25" s="218">
        <f t="shared" si="1"/>
        <v>174.92999999999998</v>
      </c>
      <c r="P25" s="218">
        <f t="shared" si="1"/>
        <v>332.71000000000004</v>
      </c>
      <c r="Q25" s="218">
        <f t="shared" si="1"/>
        <v>310.23649999999998</v>
      </c>
      <c r="R25" s="219">
        <f t="shared" si="1"/>
        <v>163.95749999999998</v>
      </c>
      <c r="S25" s="251">
        <f t="shared" si="1"/>
        <v>184.73000000000002</v>
      </c>
      <c r="T25" s="252">
        <f t="shared" si="1"/>
        <v>266.98350000000005</v>
      </c>
      <c r="U25" s="252">
        <f t="shared" si="1"/>
        <v>311.15000000000003</v>
      </c>
      <c r="V25" s="252">
        <f t="shared" si="1"/>
        <v>236.18700000000001</v>
      </c>
      <c r="W25" s="253">
        <f t="shared" si="1"/>
        <v>146.797</v>
      </c>
      <c r="X25" s="209">
        <f>SUM(X19,X20,X21,X23,X24)</f>
        <v>4750.2735000000002</v>
      </c>
    </row>
    <row r="26" spans="1:36" s="2" customFormat="1" ht="36.75" customHeight="1" x14ac:dyDescent="0.25">
      <c r="A26" s="70" t="s">
        <v>11</v>
      </c>
      <c r="B26" s="23">
        <v>67</v>
      </c>
      <c r="C26" s="63">
        <v>68</v>
      </c>
      <c r="D26" s="63">
        <v>70.5</v>
      </c>
      <c r="E26" s="63">
        <v>72</v>
      </c>
      <c r="F26" s="63">
        <v>71</v>
      </c>
      <c r="G26" s="63">
        <v>70</v>
      </c>
      <c r="H26" s="63">
        <v>68.5</v>
      </c>
      <c r="I26" s="161">
        <v>67.5</v>
      </c>
      <c r="J26" s="23">
        <v>71</v>
      </c>
      <c r="K26" s="24">
        <v>70.5</v>
      </c>
      <c r="L26" s="24">
        <v>68</v>
      </c>
      <c r="M26" s="25">
        <v>67</v>
      </c>
      <c r="N26" s="63">
        <v>71</v>
      </c>
      <c r="O26" s="63">
        <v>70</v>
      </c>
      <c r="P26" s="63">
        <v>70</v>
      </c>
      <c r="Q26" s="63">
        <v>68.5</v>
      </c>
      <c r="R26" s="161">
        <v>67.5</v>
      </c>
      <c r="S26" s="23">
        <v>72.5</v>
      </c>
      <c r="T26" s="63">
        <v>70.5</v>
      </c>
      <c r="U26" s="63">
        <v>70</v>
      </c>
      <c r="V26" s="63">
        <v>69</v>
      </c>
      <c r="W26" s="155">
        <v>67</v>
      </c>
      <c r="X26" s="210">
        <f>(((X25*1000)/7)/X27)</f>
        <v>69.330864323661629</v>
      </c>
    </row>
    <row r="27" spans="1:36" s="2" customFormat="1" ht="33" customHeight="1" x14ac:dyDescent="0.25">
      <c r="A27" s="71" t="s">
        <v>12</v>
      </c>
      <c r="B27" s="26">
        <v>369</v>
      </c>
      <c r="C27" s="27">
        <v>769</v>
      </c>
      <c r="D27" s="27">
        <v>592</v>
      </c>
      <c r="E27" s="27">
        <v>237</v>
      </c>
      <c r="F27" s="27">
        <v>360</v>
      </c>
      <c r="G27" s="27">
        <v>549</v>
      </c>
      <c r="H27" s="27">
        <v>492</v>
      </c>
      <c r="I27" s="183">
        <v>432</v>
      </c>
      <c r="J27" s="26">
        <v>193</v>
      </c>
      <c r="K27" s="27">
        <v>344</v>
      </c>
      <c r="L27" s="27">
        <v>393</v>
      </c>
      <c r="M27" s="28">
        <v>349</v>
      </c>
      <c r="N27" s="64">
        <v>337</v>
      </c>
      <c r="O27" s="27">
        <v>357</v>
      </c>
      <c r="P27" s="27">
        <v>679</v>
      </c>
      <c r="Q27" s="27">
        <v>647</v>
      </c>
      <c r="R27" s="183">
        <v>347</v>
      </c>
      <c r="S27" s="26">
        <v>364</v>
      </c>
      <c r="T27" s="27">
        <v>541</v>
      </c>
      <c r="U27" s="27">
        <v>635</v>
      </c>
      <c r="V27" s="27">
        <v>489</v>
      </c>
      <c r="W27" s="28">
        <v>313</v>
      </c>
      <c r="X27" s="211">
        <f>SUM(B27,C27,D27,E27,F27,G27,H27,I27,J27,K27,L27,M27,N27,O27,P27,Q27,R27,S27,T27,U27,V27,W27)</f>
        <v>9788</v>
      </c>
    </row>
    <row r="28" spans="1:36" s="2" customFormat="1" ht="33" customHeight="1" x14ac:dyDescent="0.25">
      <c r="A28" s="72" t="s">
        <v>13</v>
      </c>
      <c r="B28" s="30">
        <f t="shared" ref="B28:W28" si="2">(B27*B26)/1000</f>
        <v>24.722999999999999</v>
      </c>
      <c r="C28" s="31">
        <f t="shared" si="2"/>
        <v>52.292000000000002</v>
      </c>
      <c r="D28" s="31">
        <f t="shared" si="2"/>
        <v>41.735999999999997</v>
      </c>
      <c r="E28" s="31">
        <f t="shared" si="2"/>
        <v>17.064</v>
      </c>
      <c r="F28" s="31">
        <f t="shared" si="2"/>
        <v>25.56</v>
      </c>
      <c r="G28" s="31">
        <f t="shared" si="2"/>
        <v>38.43</v>
      </c>
      <c r="H28" s="31">
        <f t="shared" si="2"/>
        <v>33.701999999999998</v>
      </c>
      <c r="I28" s="163">
        <f t="shared" si="2"/>
        <v>29.16</v>
      </c>
      <c r="J28" s="30">
        <f t="shared" si="2"/>
        <v>13.702999999999999</v>
      </c>
      <c r="K28" s="31">
        <f t="shared" si="2"/>
        <v>24.251999999999999</v>
      </c>
      <c r="L28" s="31">
        <f t="shared" si="2"/>
        <v>26.724</v>
      </c>
      <c r="M28" s="32">
        <f t="shared" si="2"/>
        <v>23.382999999999999</v>
      </c>
      <c r="N28" s="65">
        <f t="shared" si="2"/>
        <v>23.927</v>
      </c>
      <c r="O28" s="31">
        <f t="shared" si="2"/>
        <v>24.99</v>
      </c>
      <c r="P28" s="31">
        <f t="shared" si="2"/>
        <v>47.53</v>
      </c>
      <c r="Q28" s="31">
        <f t="shared" si="2"/>
        <v>44.319499999999998</v>
      </c>
      <c r="R28" s="163">
        <f t="shared" si="2"/>
        <v>23.422499999999999</v>
      </c>
      <c r="S28" s="30">
        <f t="shared" si="2"/>
        <v>26.39</v>
      </c>
      <c r="T28" s="31">
        <f t="shared" si="2"/>
        <v>38.140500000000003</v>
      </c>
      <c r="U28" s="31">
        <f t="shared" si="2"/>
        <v>44.45</v>
      </c>
      <c r="V28" s="31">
        <f t="shared" si="2"/>
        <v>33.741</v>
      </c>
      <c r="W28" s="32">
        <f t="shared" si="2"/>
        <v>20.971</v>
      </c>
      <c r="X28" s="212"/>
    </row>
    <row r="29" spans="1:36" ht="33.75" customHeight="1" x14ac:dyDescent="0.25">
      <c r="A29" s="73" t="s">
        <v>14</v>
      </c>
      <c r="B29" s="34">
        <f t="shared" ref="B29:W29" si="3">((B27*B26)*7)/1000</f>
        <v>173.06100000000001</v>
      </c>
      <c r="C29" s="35">
        <f t="shared" si="3"/>
        <v>366.04399999999998</v>
      </c>
      <c r="D29" s="35">
        <f t="shared" si="3"/>
        <v>292.15199999999999</v>
      </c>
      <c r="E29" s="35">
        <f t="shared" si="3"/>
        <v>119.44799999999999</v>
      </c>
      <c r="F29" s="35">
        <f t="shared" si="3"/>
        <v>178.92</v>
      </c>
      <c r="G29" s="35">
        <f t="shared" si="3"/>
        <v>269.01</v>
      </c>
      <c r="H29" s="35">
        <f t="shared" si="3"/>
        <v>235.91399999999999</v>
      </c>
      <c r="I29" s="206">
        <f t="shared" si="3"/>
        <v>204.12</v>
      </c>
      <c r="J29" s="34">
        <f t="shared" si="3"/>
        <v>95.921000000000006</v>
      </c>
      <c r="K29" s="35">
        <f t="shared" si="3"/>
        <v>169.76400000000001</v>
      </c>
      <c r="L29" s="35">
        <f t="shared" si="3"/>
        <v>187.06800000000001</v>
      </c>
      <c r="M29" s="68">
        <f t="shared" si="3"/>
        <v>163.68100000000001</v>
      </c>
      <c r="N29" s="66">
        <f t="shared" si="3"/>
        <v>167.489</v>
      </c>
      <c r="O29" s="35">
        <f t="shared" si="3"/>
        <v>174.93</v>
      </c>
      <c r="P29" s="35">
        <f t="shared" si="3"/>
        <v>332.71</v>
      </c>
      <c r="Q29" s="35">
        <f t="shared" si="3"/>
        <v>310.23649999999998</v>
      </c>
      <c r="R29" s="206">
        <f t="shared" si="3"/>
        <v>163.95750000000001</v>
      </c>
      <c r="S29" s="34">
        <f t="shared" si="3"/>
        <v>184.73</v>
      </c>
      <c r="T29" s="35">
        <f t="shared" si="3"/>
        <v>266.98349999999999</v>
      </c>
      <c r="U29" s="35">
        <f t="shared" si="3"/>
        <v>311.14999999999998</v>
      </c>
      <c r="V29" s="35">
        <f t="shared" si="3"/>
        <v>236.18700000000001</v>
      </c>
      <c r="W29" s="68">
        <f t="shared" si="3"/>
        <v>146.797</v>
      </c>
      <c r="X29" s="213"/>
    </row>
    <row r="30" spans="1:36" ht="33.75" customHeight="1" thickBot="1" x14ac:dyDescent="0.3">
      <c r="A30" s="74" t="s">
        <v>15</v>
      </c>
      <c r="B30" s="37">
        <f>+(B25/B27)/7*1000</f>
        <v>66.999999999999986</v>
      </c>
      <c r="C30" s="37">
        <f t="shared" ref="C30:H30" si="4">+(C25/C27)/7*1000</f>
        <v>67.999999999999986</v>
      </c>
      <c r="D30" s="37">
        <f t="shared" si="4"/>
        <v>70.5</v>
      </c>
      <c r="E30" s="37">
        <f t="shared" si="4"/>
        <v>72.000000000000028</v>
      </c>
      <c r="F30" s="37">
        <f t="shared" si="4"/>
        <v>71</v>
      </c>
      <c r="G30" s="37">
        <f t="shared" si="4"/>
        <v>69.999999999999986</v>
      </c>
      <c r="H30" s="37">
        <f t="shared" si="4"/>
        <v>68.499999999999986</v>
      </c>
      <c r="I30" s="207">
        <f t="shared" ref="I30:W30" si="5">+(I25/I27)/7*1000</f>
        <v>67.5</v>
      </c>
      <c r="J30" s="37">
        <f t="shared" si="5"/>
        <v>71</v>
      </c>
      <c r="K30" s="38">
        <f t="shared" si="5"/>
        <v>70.5</v>
      </c>
      <c r="L30" s="38">
        <f t="shared" si="5"/>
        <v>68.000000000000014</v>
      </c>
      <c r="M30" s="39">
        <f t="shared" si="5"/>
        <v>66.999999999999986</v>
      </c>
      <c r="N30" s="67">
        <f t="shared" si="5"/>
        <v>71</v>
      </c>
      <c r="O30" s="38">
        <f t="shared" si="5"/>
        <v>69.999999999999986</v>
      </c>
      <c r="P30" s="38">
        <f t="shared" si="5"/>
        <v>70</v>
      </c>
      <c r="Q30" s="38">
        <f t="shared" si="5"/>
        <v>68.499999999999986</v>
      </c>
      <c r="R30" s="207">
        <f t="shared" si="5"/>
        <v>67.499999999999986</v>
      </c>
      <c r="S30" s="37">
        <f t="shared" si="5"/>
        <v>72.500000000000014</v>
      </c>
      <c r="T30" s="38">
        <f t="shared" si="5"/>
        <v>70.500000000000014</v>
      </c>
      <c r="U30" s="38">
        <f t="shared" si="5"/>
        <v>70</v>
      </c>
      <c r="V30" s="38">
        <f t="shared" si="5"/>
        <v>69</v>
      </c>
      <c r="W30" s="39">
        <f t="shared" si="5"/>
        <v>66.999999999999986</v>
      </c>
      <c r="X30" s="214"/>
    </row>
    <row r="31" spans="1:36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264"/>
      <c r="O31" s="264"/>
      <c r="P31" s="264"/>
      <c r="Q31" s="264"/>
      <c r="R31" s="264"/>
      <c r="S31" s="42"/>
      <c r="T31" s="201"/>
      <c r="U31" s="201"/>
      <c r="V31" s="201"/>
      <c r="W31" s="201"/>
      <c r="X31" s="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>
        <v>41.5</v>
      </c>
      <c r="AC32" s="42"/>
      <c r="AD32" s="42"/>
      <c r="AE32" s="42"/>
      <c r="AF32" s="42"/>
      <c r="AG32" s="42"/>
      <c r="AH32" s="42"/>
      <c r="AI32" s="42"/>
      <c r="AJ32" s="41"/>
    </row>
    <row r="33" spans="1:3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2"/>
      <c r="L33" s="2"/>
      <c r="M33" s="2"/>
      <c r="N33" s="2"/>
      <c r="O33" s="2"/>
      <c r="P33" s="2"/>
      <c r="Q33" s="2"/>
      <c r="R33" s="2"/>
      <c r="S33" s="42"/>
      <c r="T33" s="42"/>
      <c r="U33" s="42"/>
      <c r="V33" s="42"/>
      <c r="W33" s="42"/>
      <c r="X33" s="42"/>
      <c r="Y33" s="42"/>
      <c r="Z33" s="42"/>
      <c r="AA33" s="42"/>
      <c r="AB33" s="42">
        <v>41</v>
      </c>
      <c r="AC33" s="42"/>
      <c r="AD33" s="42"/>
      <c r="AE33" s="42"/>
      <c r="AF33" s="42"/>
      <c r="AG33" s="42"/>
      <c r="AH33" s="42"/>
      <c r="AI33" s="42"/>
      <c r="AJ33" s="41"/>
    </row>
    <row r="34" spans="1:3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>
        <v>40.5</v>
      </c>
      <c r="AC34" s="42"/>
      <c r="AD34" s="42"/>
      <c r="AE34" s="42"/>
      <c r="AF34" s="42"/>
      <c r="AG34" s="42"/>
      <c r="AH34" s="41"/>
    </row>
    <row r="35" spans="1:36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>
        <v>40</v>
      </c>
      <c r="AC35" s="43"/>
      <c r="AD35" s="43"/>
      <c r="AE35" s="43"/>
      <c r="AF35" s="43"/>
      <c r="AG35" s="43"/>
      <c r="AH35" s="3"/>
    </row>
    <row r="36" spans="1:36" ht="33.75" customHeight="1" thickBot="1" x14ac:dyDescent="0.3">
      <c r="A36" s="69" t="s">
        <v>16</v>
      </c>
      <c r="B36" s="966" t="s">
        <v>17</v>
      </c>
      <c r="C36" s="967"/>
      <c r="D36" s="967"/>
      <c r="E36" s="967"/>
      <c r="F36" s="967"/>
      <c r="G36" s="967"/>
      <c r="H36" s="237"/>
      <c r="O36" s="44"/>
      <c r="P36" s="88" t="s">
        <v>18</v>
      </c>
      <c r="Q36" s="972" t="s">
        <v>17</v>
      </c>
      <c r="R36" s="972"/>
      <c r="S36" s="972"/>
      <c r="T36" s="972"/>
      <c r="U36" s="972"/>
      <c r="V36" s="966"/>
      <c r="W36" s="229"/>
      <c r="X36" s="45"/>
      <c r="Y36" s="45"/>
      <c r="Z36" s="46"/>
      <c r="AA36" s="3"/>
      <c r="AB36" s="45">
        <v>39.5</v>
      </c>
      <c r="AC36" s="45"/>
      <c r="AD36" s="45"/>
      <c r="AE36" s="3"/>
    </row>
    <row r="37" spans="1:36" ht="33.75" customHeight="1" thickBot="1" x14ac:dyDescent="0.3">
      <c r="A37" s="170" t="s">
        <v>34</v>
      </c>
      <c r="B37" s="141"/>
      <c r="C37" s="118"/>
      <c r="D37" s="118"/>
      <c r="E37" s="118"/>
      <c r="F37" s="118"/>
      <c r="G37" s="119"/>
      <c r="H37" s="236" t="s">
        <v>9</v>
      </c>
      <c r="I37" s="47"/>
      <c r="J37" s="47"/>
      <c r="K37" s="47"/>
      <c r="L37" s="47"/>
      <c r="M37" s="47"/>
      <c r="N37" s="970"/>
      <c r="O37" s="970"/>
      <c r="P37" s="97" t="s">
        <v>33</v>
      </c>
      <c r="Q37" s="186"/>
      <c r="R37" s="173"/>
      <c r="S37" s="173"/>
      <c r="T37" s="173"/>
      <c r="U37" s="173"/>
      <c r="V37" s="176"/>
      <c r="W37" s="261" t="s">
        <v>9</v>
      </c>
      <c r="X37" s="47"/>
      <c r="Y37" s="47"/>
      <c r="Z37" s="3"/>
      <c r="AA37" s="46"/>
      <c r="AB37" s="3">
        <v>39.5</v>
      </c>
      <c r="AC37" s="45"/>
      <c r="AD37" s="45"/>
      <c r="AE37" s="45"/>
    </row>
    <row r="38" spans="1:36" ht="33.75" customHeight="1" thickBot="1" x14ac:dyDescent="0.3">
      <c r="A38" s="170" t="s">
        <v>10</v>
      </c>
      <c r="B38" s="221">
        <v>1</v>
      </c>
      <c r="C38" s="222">
        <v>2</v>
      </c>
      <c r="D38" s="222">
        <v>3</v>
      </c>
      <c r="E38" s="222">
        <v>4</v>
      </c>
      <c r="F38" s="222">
        <v>5</v>
      </c>
      <c r="G38" s="223">
        <v>6</v>
      </c>
      <c r="H38" s="238"/>
      <c r="I38" s="47"/>
      <c r="J38" s="47"/>
      <c r="K38" s="47"/>
      <c r="L38" s="47"/>
      <c r="M38" s="47"/>
      <c r="N38" s="144"/>
      <c r="O38" s="145"/>
      <c r="P38" s="80" t="s">
        <v>10</v>
      </c>
      <c r="Q38" s="188">
        <v>1</v>
      </c>
      <c r="R38" s="168">
        <v>2</v>
      </c>
      <c r="S38" s="168">
        <v>3</v>
      </c>
      <c r="T38" s="168" t="s">
        <v>72</v>
      </c>
      <c r="U38" s="168"/>
      <c r="V38" s="204"/>
      <c r="W38" s="126"/>
      <c r="X38" s="47"/>
      <c r="Y38" s="47"/>
      <c r="Z38" s="48"/>
      <c r="AA38" s="48"/>
      <c r="AB38" s="2"/>
      <c r="AC38" s="2"/>
      <c r="AD38" s="2"/>
      <c r="AE38" s="2"/>
    </row>
    <row r="39" spans="1:36" ht="33.75" customHeight="1" x14ac:dyDescent="0.25">
      <c r="A39" s="171" t="s">
        <v>32</v>
      </c>
      <c r="B39" s="133"/>
      <c r="C39" s="134"/>
      <c r="D39" s="134"/>
      <c r="E39" s="134"/>
      <c r="F39" s="134"/>
      <c r="G39" s="156"/>
      <c r="H39" s="240">
        <f t="shared" ref="H39:H46" si="6">SUM(B39:G39)</f>
        <v>0</v>
      </c>
      <c r="I39" s="49"/>
      <c r="J39" s="49"/>
      <c r="K39" s="49"/>
      <c r="L39" s="49"/>
      <c r="M39" s="49"/>
      <c r="N39" s="144"/>
      <c r="O39" s="145"/>
      <c r="P39" s="171" t="s">
        <v>53</v>
      </c>
      <c r="Q39" s="133"/>
      <c r="R39" s="134"/>
      <c r="S39" s="134"/>
      <c r="T39" s="134"/>
      <c r="U39" s="134"/>
      <c r="V39" s="260"/>
      <c r="W39" s="231">
        <f t="shared" ref="W39:W45" si="7">SUM(Q39:V39)</f>
        <v>0</v>
      </c>
      <c r="X39" s="2"/>
      <c r="Y39" s="49"/>
      <c r="Z39" s="48"/>
      <c r="AA39" s="48"/>
      <c r="AB39" s="2"/>
      <c r="AC39" s="2"/>
      <c r="AD39" s="2"/>
      <c r="AE39" s="2"/>
    </row>
    <row r="40" spans="1:36" ht="33.75" customHeight="1" x14ac:dyDescent="0.25">
      <c r="A40" s="171" t="s">
        <v>24</v>
      </c>
      <c r="B40" s="18">
        <v>29.3</v>
      </c>
      <c r="C40" s="19">
        <v>76.8</v>
      </c>
      <c r="D40" s="19">
        <v>48</v>
      </c>
      <c r="E40" s="19">
        <v>33.9</v>
      </c>
      <c r="F40" s="19">
        <v>71.900000000000006</v>
      </c>
      <c r="G40" s="20">
        <v>39.5</v>
      </c>
      <c r="H40" s="231">
        <f t="shared" si="6"/>
        <v>299.39999999999998</v>
      </c>
      <c r="I40" s="49"/>
      <c r="J40" s="49"/>
      <c r="K40" s="49"/>
      <c r="L40" s="49"/>
      <c r="M40" s="49"/>
      <c r="N40" s="144"/>
      <c r="O40" s="145"/>
      <c r="P40" s="171" t="s">
        <v>24</v>
      </c>
      <c r="Q40" s="18">
        <v>9.8000000000000007</v>
      </c>
      <c r="R40" s="19">
        <v>23.7</v>
      </c>
      <c r="S40" s="19">
        <v>8.9</v>
      </c>
      <c r="T40" s="19">
        <v>1.8</v>
      </c>
      <c r="U40" s="19"/>
      <c r="V40" s="108"/>
      <c r="W40" s="231">
        <f t="shared" si="7"/>
        <v>44.199999999999996</v>
      </c>
      <c r="X40" s="2"/>
      <c r="Y40" s="49"/>
      <c r="Z40" s="48"/>
      <c r="AA40" s="48"/>
      <c r="AB40" s="2"/>
      <c r="AC40" s="2"/>
      <c r="AD40" s="2"/>
      <c r="AE40" s="2"/>
    </row>
    <row r="41" spans="1:36" ht="33.75" customHeight="1" x14ac:dyDescent="0.25">
      <c r="A41" s="171" t="s">
        <v>20</v>
      </c>
      <c r="B41" s="18">
        <f>((((($B$47*$B$48)/1000)*7)-$B$40)/4)</f>
        <v>30.446999999999999</v>
      </c>
      <c r="C41" s="19">
        <f>((((($C$47*$C$48)/1000)*7)-$C$40)/4)</f>
        <v>80.245499999999993</v>
      </c>
      <c r="D41" s="19">
        <f>((((($D$47*$D$48)/1000)*7)-$D$40)/4)</f>
        <v>50.903750000000002</v>
      </c>
      <c r="E41" s="19">
        <f>((((($E$47*$E$48)/1000)*7)-$E$40)/4)</f>
        <v>36.800999999999995</v>
      </c>
      <c r="F41" s="19">
        <f>((((($F$47*$F$48)/1000)*7)-$F$40)/4)</f>
        <v>75.665750000000003</v>
      </c>
      <c r="G41" s="20">
        <f>((((($G$47*$G$48)/1000)*7)-$G$40)/4)</f>
        <v>41.406999999999996</v>
      </c>
      <c r="H41" s="231">
        <f t="shared" si="6"/>
        <v>315.46999999999997</v>
      </c>
      <c r="I41" s="49"/>
      <c r="J41" s="49"/>
      <c r="K41" s="49"/>
      <c r="L41" s="49"/>
      <c r="M41" s="49"/>
      <c r="N41" s="144"/>
      <c r="O41" s="145"/>
      <c r="P41" s="171" t="s">
        <v>20</v>
      </c>
      <c r="Q41" s="18">
        <f>((((($Q$47*$Q$48)/1000)*7)-$Q$40)/4)</f>
        <v>9.9583750000000002</v>
      </c>
      <c r="R41" s="19">
        <f>((((($R$47*$R$48)/1000)*7)-$R$40)/4)</f>
        <v>24.454125000000001</v>
      </c>
      <c r="S41" s="19">
        <f>((((($S$47*$S$48)/1000)*7)-$S$40)/4)</f>
        <v>9.1850000000000005</v>
      </c>
      <c r="T41" s="19">
        <f>((((($T$47*$T$48)/1000)*7)-$T$40)/4)</f>
        <v>1.8320000000000001</v>
      </c>
      <c r="U41" s="19"/>
      <c r="V41" s="108"/>
      <c r="W41" s="231">
        <f t="shared" si="7"/>
        <v>45.429500000000004</v>
      </c>
      <c r="X41" s="2"/>
      <c r="Y41" s="49"/>
      <c r="Z41" s="48"/>
      <c r="AA41" s="48"/>
      <c r="AB41" s="2"/>
      <c r="AC41" s="2"/>
      <c r="AD41" s="2"/>
      <c r="AE41" s="2"/>
    </row>
    <row r="42" spans="1:36" ht="33.75" customHeight="1" x14ac:dyDescent="0.25">
      <c r="A42" s="171" t="s">
        <v>28</v>
      </c>
      <c r="B42" s="18">
        <f>((((($B$47*$B$48)/1000)*7)-$B$40)/4)</f>
        <v>30.446999999999999</v>
      </c>
      <c r="C42" s="19">
        <f>((((($C$47*$C$48)/1000)*7)-$C$40)/4)</f>
        <v>80.245499999999993</v>
      </c>
      <c r="D42" s="19">
        <f>((((($D$47*$D$48)/1000)*7)-$D$40)/4)</f>
        <v>50.903750000000002</v>
      </c>
      <c r="E42" s="19">
        <f>((((($E$47*$E$48)/1000)*7)-$E$40)/4)</f>
        <v>36.800999999999995</v>
      </c>
      <c r="F42" s="19">
        <f>((((($F$47*$F$48)/1000)*7)-$F$40)/4)</f>
        <v>75.665750000000003</v>
      </c>
      <c r="G42" s="20">
        <f>((((($G$47*$G$48)/1000)*7)-$G$40)/4)</f>
        <v>41.406999999999996</v>
      </c>
      <c r="H42" s="231">
        <f t="shared" si="6"/>
        <v>315.46999999999997</v>
      </c>
      <c r="I42" s="49"/>
      <c r="J42" s="49"/>
      <c r="K42" s="49"/>
      <c r="L42" s="49"/>
      <c r="M42" s="49"/>
      <c r="N42" s="144"/>
      <c r="O42" s="145"/>
      <c r="P42" s="171" t="s">
        <v>28</v>
      </c>
      <c r="Q42" s="18">
        <f>((((($Q$47*$Q$48)/1000)*7)-$Q$40)/4)</f>
        <v>9.9583750000000002</v>
      </c>
      <c r="R42" s="19">
        <f>((((($R$47*$R$48)/1000)*7)-$R$40)/4)</f>
        <v>24.454125000000001</v>
      </c>
      <c r="S42" s="19">
        <f>((((($S$47*$S$48)/1000)*7)-$S$40)/4)</f>
        <v>9.1850000000000005</v>
      </c>
      <c r="T42" s="19">
        <f>((((($T$47*$T$48)/1000)*7)-$T$40)/4)</f>
        <v>1.8320000000000001</v>
      </c>
      <c r="U42" s="19"/>
      <c r="V42" s="108"/>
      <c r="W42" s="231">
        <f t="shared" si="7"/>
        <v>45.429500000000004</v>
      </c>
      <c r="X42" s="2"/>
      <c r="Y42" s="49"/>
      <c r="Z42" s="48"/>
      <c r="AA42" s="48"/>
      <c r="AB42" s="2"/>
      <c r="AC42" s="2"/>
      <c r="AD42" s="2"/>
      <c r="AE42" s="2"/>
    </row>
    <row r="43" spans="1:36" ht="33.75" customHeight="1" x14ac:dyDescent="0.25">
      <c r="A43" s="171" t="s">
        <v>21</v>
      </c>
      <c r="B43" s="18"/>
      <c r="C43" s="19"/>
      <c r="D43" s="19"/>
      <c r="E43" s="19"/>
      <c r="F43" s="19"/>
      <c r="G43" s="20"/>
      <c r="H43" s="231">
        <f t="shared" si="6"/>
        <v>0</v>
      </c>
      <c r="I43" s="49"/>
      <c r="J43" s="49"/>
      <c r="K43" s="49"/>
      <c r="L43" s="49"/>
      <c r="M43" s="49"/>
      <c r="N43" s="144"/>
      <c r="O43" s="145"/>
      <c r="P43" s="171" t="s">
        <v>21</v>
      </c>
      <c r="Q43" s="18"/>
      <c r="R43" s="19"/>
      <c r="S43" s="19"/>
      <c r="T43" s="19"/>
      <c r="U43" s="19"/>
      <c r="V43" s="108"/>
      <c r="W43" s="231">
        <f t="shared" si="7"/>
        <v>0</v>
      </c>
      <c r="X43" s="2"/>
      <c r="Y43" s="49"/>
      <c r="Z43" s="48"/>
      <c r="AA43" s="48"/>
      <c r="AB43" s="2"/>
      <c r="AC43" s="2"/>
      <c r="AD43" s="2"/>
      <c r="AE43" s="2"/>
    </row>
    <row r="44" spans="1:36" ht="33.75" customHeight="1" x14ac:dyDescent="0.25">
      <c r="A44" s="171" t="s">
        <v>22</v>
      </c>
      <c r="B44" s="18">
        <f>((((($B$47*$B$48)/1000)*7)-$B$40)/4)</f>
        <v>30.446999999999999</v>
      </c>
      <c r="C44" s="19">
        <f>((((($C$47*$C$48)/1000)*7)-$C$40)/4)</f>
        <v>80.245499999999993</v>
      </c>
      <c r="D44" s="19">
        <f>((((($D$47*$D$48)/1000)*7)-$D$40)/4)</f>
        <v>50.903750000000002</v>
      </c>
      <c r="E44" s="19">
        <f>((((($E$47*$E$48)/1000)*7)-$E$40)/4)</f>
        <v>36.800999999999995</v>
      </c>
      <c r="F44" s="19">
        <f>((((($F$47*$F$48)/1000)*7)-$F$40)/4)</f>
        <v>75.665750000000003</v>
      </c>
      <c r="G44" s="20">
        <f>((((($G$47*$G$48)/1000)*7)-$G$40)/4)</f>
        <v>41.406999999999996</v>
      </c>
      <c r="H44" s="231">
        <f t="shared" si="6"/>
        <v>315.46999999999997</v>
      </c>
      <c r="I44" s="49"/>
      <c r="J44" s="49"/>
      <c r="K44" s="49"/>
      <c r="L44" s="49"/>
      <c r="M44" s="49"/>
      <c r="N44" s="144"/>
      <c r="O44" s="145"/>
      <c r="P44" s="171" t="s">
        <v>22</v>
      </c>
      <c r="Q44" s="18">
        <f>((((($Q$47*$Q$48)/1000)*7)-$Q$40)/4)</f>
        <v>9.9583750000000002</v>
      </c>
      <c r="R44" s="19">
        <f>((((($R$47*$R$48)/1000)*7)-$R$40)/4)</f>
        <v>24.454125000000001</v>
      </c>
      <c r="S44" s="19">
        <f>((((($S$47*$S$48)/1000)*7)-$S$40)/4)</f>
        <v>9.1850000000000005</v>
      </c>
      <c r="T44" s="19">
        <f>((((($T$47*$T$48)/1000)*7)-$T$40)/4)</f>
        <v>1.8320000000000001</v>
      </c>
      <c r="U44" s="19"/>
      <c r="V44" s="108"/>
      <c r="W44" s="231">
        <f t="shared" si="7"/>
        <v>45.429500000000004</v>
      </c>
      <c r="X44" s="2"/>
      <c r="Y44" s="49"/>
      <c r="Z44" s="48"/>
      <c r="AA44" s="48"/>
      <c r="AB44" s="2"/>
      <c r="AC44" s="2"/>
      <c r="AD44" s="2"/>
      <c r="AE44" s="2"/>
    </row>
    <row r="45" spans="1:36" ht="33.75" customHeight="1" thickBot="1" x14ac:dyDescent="0.3">
      <c r="A45" s="171" t="s">
        <v>32</v>
      </c>
      <c r="B45" s="153">
        <f>((((($B$47*$B$48)/1000)*7)-$B$40)/4)</f>
        <v>30.446999999999999</v>
      </c>
      <c r="C45" s="154">
        <f>((((($C$47*$C$48)/1000)*7)-$C$40)/4)</f>
        <v>80.245499999999993</v>
      </c>
      <c r="D45" s="154">
        <f>((((($D$47*$D$48)/1000)*7)-$D$40)/4)</f>
        <v>50.903750000000002</v>
      </c>
      <c r="E45" s="154">
        <f>((((($E$47*$E$48)/1000)*7)-$E$40)/4)</f>
        <v>36.800999999999995</v>
      </c>
      <c r="F45" s="154">
        <f>((((($F$47*$F$48)/1000)*7)-$F$40)/4)</f>
        <v>75.665750000000003</v>
      </c>
      <c r="G45" s="182">
        <f>((((($G$47*$G$48)/1000)*7)-$G$40)/4)</f>
        <v>41.406999999999996</v>
      </c>
      <c r="H45" s="241">
        <f t="shared" si="6"/>
        <v>315.46999999999997</v>
      </c>
      <c r="I45" s="49"/>
      <c r="J45" s="49"/>
      <c r="K45" s="49"/>
      <c r="L45" s="49"/>
      <c r="M45" s="49"/>
      <c r="N45" s="144"/>
      <c r="O45" s="145"/>
      <c r="P45" s="171" t="s">
        <v>23</v>
      </c>
      <c r="Q45" s="153">
        <f>((((($Q$47*$Q$48)/1000)*7)-$Q$40)/4)</f>
        <v>9.9583750000000002</v>
      </c>
      <c r="R45" s="154">
        <f>((((($R$47*$R$48)/1000)*7)-$R$40)/4)</f>
        <v>24.454125000000001</v>
      </c>
      <c r="S45" s="154">
        <f>((((($S$47*$S$48)/1000)*7)-$S$40)/4)</f>
        <v>9.1850000000000005</v>
      </c>
      <c r="T45" s="19">
        <f>((((($T$47*$T$48)/1000)*7)-$T$40)/4)</f>
        <v>1.8320000000000001</v>
      </c>
      <c r="U45" s="154"/>
      <c r="V45" s="191"/>
      <c r="W45" s="231">
        <f t="shared" si="7"/>
        <v>45.429500000000004</v>
      </c>
      <c r="X45" s="2"/>
      <c r="Y45" s="49"/>
      <c r="Z45" s="48"/>
      <c r="AA45" s="48"/>
      <c r="AB45" s="48"/>
      <c r="AC45" s="48"/>
      <c r="AD45" s="2"/>
      <c r="AE45" s="2"/>
      <c r="AF45" s="2"/>
      <c r="AG45" s="2"/>
    </row>
    <row r="46" spans="1:36" ht="33.75" customHeight="1" x14ac:dyDescent="0.25">
      <c r="A46" s="170" t="s">
        <v>9</v>
      </c>
      <c r="B46" s="217">
        <f t="shared" ref="B46:G46" si="8">SUM(B39:B45)</f>
        <v>151.08799999999999</v>
      </c>
      <c r="C46" s="218">
        <f t="shared" si="8"/>
        <v>397.78199999999998</v>
      </c>
      <c r="D46" s="218">
        <f t="shared" si="8"/>
        <v>251.61500000000001</v>
      </c>
      <c r="E46" s="218">
        <f t="shared" si="8"/>
        <v>181.10399999999996</v>
      </c>
      <c r="F46" s="218">
        <f t="shared" si="8"/>
        <v>374.56299999999999</v>
      </c>
      <c r="G46" s="178">
        <f t="shared" si="8"/>
        <v>205.12799999999999</v>
      </c>
      <c r="H46" s="239">
        <f t="shared" si="6"/>
        <v>1561.28</v>
      </c>
      <c r="I46" s="49"/>
      <c r="J46" s="49"/>
      <c r="K46" s="49"/>
      <c r="L46" s="49"/>
      <c r="M46" s="49"/>
      <c r="N46" s="49"/>
      <c r="P46" s="80" t="s">
        <v>9</v>
      </c>
      <c r="Q46" s="133">
        <f>SUM(Q39:Q45)</f>
        <v>49.633499999999998</v>
      </c>
      <c r="R46" s="225">
        <f>SUM(R39:R45)</f>
        <v>121.51650000000001</v>
      </c>
      <c r="S46" s="225">
        <f>SUM(S39:S45)</f>
        <v>45.640000000000008</v>
      </c>
      <c r="T46" s="225">
        <f>SUM(T39:T45)</f>
        <v>9.1280000000000001</v>
      </c>
      <c r="U46" s="128"/>
      <c r="V46" s="205"/>
      <c r="W46" s="231">
        <f>SUM(W40,W41,W42,W44,W45)</f>
        <v>225.91800000000006</v>
      </c>
      <c r="X46" s="49"/>
      <c r="Y46" s="49"/>
      <c r="Z46" s="2"/>
      <c r="AA46" s="2"/>
      <c r="AB46" s="2"/>
      <c r="AC46" s="2"/>
      <c r="AD46" s="2"/>
      <c r="AE46" s="2"/>
      <c r="AF46" s="2"/>
      <c r="AG46" s="2"/>
    </row>
    <row r="47" spans="1:36" ht="33.75" customHeight="1" x14ac:dyDescent="0.25">
      <c r="A47" s="192" t="s">
        <v>11</v>
      </c>
      <c r="B47" s="23">
        <v>76</v>
      </c>
      <c r="C47" s="24">
        <v>77</v>
      </c>
      <c r="D47" s="24">
        <v>79</v>
      </c>
      <c r="E47" s="24">
        <v>77</v>
      </c>
      <c r="F47" s="24">
        <v>73</v>
      </c>
      <c r="G47" s="25">
        <v>72</v>
      </c>
      <c r="H47" s="137">
        <f>+((H46/H48)/7)*1000</f>
        <v>75.529969522519465</v>
      </c>
      <c r="I47" s="50"/>
      <c r="J47" s="50"/>
      <c r="K47" s="50"/>
      <c r="L47" s="50"/>
      <c r="M47" s="50"/>
      <c r="N47" s="49"/>
      <c r="P47" s="93" t="s">
        <v>11</v>
      </c>
      <c r="Q47" s="23">
        <v>81.5</v>
      </c>
      <c r="R47" s="24">
        <v>81.5</v>
      </c>
      <c r="S47" s="24">
        <v>81.5</v>
      </c>
      <c r="T47" s="24">
        <v>81.5</v>
      </c>
      <c r="U47" s="24"/>
      <c r="V47" s="228"/>
      <c r="W47" s="232">
        <f>+((W46/W48)/7)*1000</f>
        <v>81.500000000000014</v>
      </c>
      <c r="X47" s="50"/>
      <c r="Y47" s="50"/>
    </row>
    <row r="48" spans="1:36" ht="33.75" customHeight="1" x14ac:dyDescent="0.25">
      <c r="A48" s="193" t="s">
        <v>12</v>
      </c>
      <c r="B48" s="26">
        <v>284</v>
      </c>
      <c r="C48" s="27">
        <v>738</v>
      </c>
      <c r="D48" s="27">
        <v>455</v>
      </c>
      <c r="E48" s="27">
        <v>336</v>
      </c>
      <c r="F48" s="27">
        <v>733</v>
      </c>
      <c r="G48" s="28">
        <v>407</v>
      </c>
      <c r="H48" s="138">
        <f>SUM(B48:G48)</f>
        <v>2953</v>
      </c>
      <c r="I48" s="198"/>
      <c r="J48" s="198"/>
      <c r="K48" s="198"/>
      <c r="L48" s="198"/>
      <c r="M48" s="198"/>
      <c r="N48" s="49"/>
      <c r="O48" s="51"/>
      <c r="P48" s="71" t="s">
        <v>12</v>
      </c>
      <c r="Q48" s="257">
        <v>87</v>
      </c>
      <c r="R48" s="79">
        <v>213</v>
      </c>
      <c r="S48" s="79">
        <v>80</v>
      </c>
      <c r="T48" s="79">
        <v>16</v>
      </c>
      <c r="U48" s="79"/>
      <c r="V48" s="162"/>
      <c r="W48" s="233">
        <f>SUM(Q48:T48)</f>
        <v>396</v>
      </c>
      <c r="X48" s="52"/>
      <c r="Y48" s="52"/>
    </row>
    <row r="49" spans="1:37" ht="33.75" customHeight="1" x14ac:dyDescent="0.25">
      <c r="A49" s="194" t="s">
        <v>13</v>
      </c>
      <c r="B49" s="30">
        <f t="shared" ref="B49:G49" si="9">(B48*B47)/1000</f>
        <v>21.584</v>
      </c>
      <c r="C49" s="31">
        <f t="shared" si="9"/>
        <v>56.826000000000001</v>
      </c>
      <c r="D49" s="31">
        <f t="shared" si="9"/>
        <v>35.945</v>
      </c>
      <c r="E49" s="31">
        <f t="shared" si="9"/>
        <v>25.872</v>
      </c>
      <c r="F49" s="31">
        <f t="shared" si="9"/>
        <v>53.509</v>
      </c>
      <c r="G49" s="32">
        <f t="shared" si="9"/>
        <v>29.303999999999998</v>
      </c>
      <c r="H49" s="139">
        <f>((H46*1000)/H48)/7</f>
        <v>75.529969522519465</v>
      </c>
      <c r="I49" s="199"/>
      <c r="J49" s="199"/>
      <c r="K49" s="199"/>
      <c r="L49" s="199"/>
      <c r="M49" s="199"/>
      <c r="N49" s="49"/>
      <c r="P49" s="72" t="s">
        <v>13</v>
      </c>
      <c r="Q49" s="30">
        <v>81.569999999999993</v>
      </c>
      <c r="R49" s="65">
        <v>81.569999999999993</v>
      </c>
      <c r="S49" s="65">
        <v>81.569999999999993</v>
      </c>
      <c r="T49" s="65">
        <v>81.569999999999993</v>
      </c>
      <c r="U49" s="31"/>
      <c r="V49" s="163"/>
      <c r="W49" s="234">
        <f>((W46*1000)/W48)/7</f>
        <v>81.500000000000014</v>
      </c>
      <c r="X49" s="52"/>
      <c r="Y49" s="52"/>
    </row>
    <row r="50" spans="1:37" ht="33.75" customHeight="1" x14ac:dyDescent="0.25">
      <c r="A50" s="185" t="s">
        <v>14</v>
      </c>
      <c r="B50" s="34">
        <f t="shared" ref="B50:G50" si="10">((B48*B47)*7)/1000</f>
        <v>151.08799999999999</v>
      </c>
      <c r="C50" s="35">
        <f t="shared" si="10"/>
        <v>397.78199999999998</v>
      </c>
      <c r="D50" s="35">
        <f t="shared" si="10"/>
        <v>251.61500000000001</v>
      </c>
      <c r="E50" s="35">
        <f t="shared" si="10"/>
        <v>181.10400000000001</v>
      </c>
      <c r="F50" s="35">
        <f t="shared" si="10"/>
        <v>374.56299999999999</v>
      </c>
      <c r="G50" s="68">
        <f t="shared" si="10"/>
        <v>205.12799999999999</v>
      </c>
      <c r="H50" s="112"/>
      <c r="I50" s="41"/>
      <c r="J50" s="41"/>
      <c r="K50" s="41"/>
      <c r="L50" s="41"/>
      <c r="M50" s="41"/>
      <c r="N50" s="49"/>
      <c r="P50" s="73" t="s">
        <v>14</v>
      </c>
      <c r="Q50" s="34">
        <f>((Q48*Q47)*7)/1000</f>
        <v>49.633499999999998</v>
      </c>
      <c r="R50" s="66">
        <f>((R48*R47)*7)/1000</f>
        <v>121.51649999999999</v>
      </c>
      <c r="S50" s="66">
        <f>((S48*S47)*7)/1000</f>
        <v>45.64</v>
      </c>
      <c r="T50" s="66">
        <f>((T48*T47)*7)/1000</f>
        <v>9.1280000000000001</v>
      </c>
      <c r="U50" s="35"/>
      <c r="V50" s="206"/>
      <c r="W50" s="213"/>
    </row>
    <row r="51" spans="1:37" ht="33.75" customHeight="1" thickBot="1" x14ac:dyDescent="0.3">
      <c r="A51" s="195" t="s">
        <v>15</v>
      </c>
      <c r="B51" s="37">
        <f t="shared" ref="B51:G51" si="11">+(B46/B48)/7*1000</f>
        <v>76</v>
      </c>
      <c r="C51" s="38">
        <f t="shared" si="11"/>
        <v>76.999999999999986</v>
      </c>
      <c r="D51" s="38">
        <f t="shared" si="11"/>
        <v>79</v>
      </c>
      <c r="E51" s="38">
        <f t="shared" si="11"/>
        <v>76.999999999999986</v>
      </c>
      <c r="F51" s="38">
        <f t="shared" si="11"/>
        <v>73</v>
      </c>
      <c r="G51" s="39">
        <f t="shared" si="11"/>
        <v>72</v>
      </c>
      <c r="H51" s="140"/>
      <c r="I51" s="41"/>
      <c r="J51" s="41"/>
      <c r="K51" s="41"/>
      <c r="L51" s="41"/>
      <c r="M51" s="41"/>
      <c r="N51" s="49"/>
      <c r="O51" s="41"/>
      <c r="P51" s="74" t="s">
        <v>15</v>
      </c>
      <c r="Q51" s="37">
        <f>+(Q46/Q48)/7*1000</f>
        <v>81.5</v>
      </c>
      <c r="R51" s="67">
        <f>+(R46/R48)/7*1000</f>
        <v>81.5</v>
      </c>
      <c r="S51" s="67">
        <f>+(S46/S48)/7*1000</f>
        <v>81.500000000000014</v>
      </c>
      <c r="T51" s="67">
        <f>+(T46/T48)/7*1000</f>
        <v>81.5</v>
      </c>
      <c r="U51" s="38"/>
      <c r="V51" s="207"/>
      <c r="W51" s="262"/>
      <c r="X51" s="42"/>
      <c r="Y51" s="42"/>
    </row>
    <row r="52" spans="1:37" ht="33.75" customHeight="1" x14ac:dyDescent="0.25">
      <c r="A52" s="41"/>
      <c r="B52" s="2"/>
      <c r="C52" s="2"/>
      <c r="D52" s="2"/>
      <c r="E52" s="2"/>
      <c r="F52" s="2"/>
      <c r="G52" s="2"/>
      <c r="H52" s="41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2"/>
      <c r="AB52" s="2"/>
      <c r="AC52" s="2"/>
      <c r="AD52" s="2"/>
      <c r="AE52" s="2"/>
    </row>
    <row r="53" spans="1:37" ht="33.75" customHeight="1" x14ac:dyDescent="0.25">
      <c r="A53" s="41"/>
      <c r="B53" s="10"/>
      <c r="C53" s="10"/>
      <c r="D53" s="10"/>
      <c r="E53" s="10"/>
      <c r="F53" s="10"/>
      <c r="G53" s="10"/>
      <c r="H53" s="41"/>
      <c r="I53" s="41"/>
      <c r="J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2"/>
      <c r="X53" s="43"/>
      <c r="Y53" s="43"/>
      <c r="Z53" s="43"/>
      <c r="AA53" s="2"/>
      <c r="AB53" s="2"/>
      <c r="AC53" s="2"/>
      <c r="AD53" s="2"/>
      <c r="AH53" s="3"/>
    </row>
    <row r="54" spans="1:37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958"/>
      <c r="P54" s="958"/>
      <c r="Q54" s="54"/>
      <c r="R54" s="54"/>
      <c r="S54" s="54"/>
      <c r="T54" s="54"/>
      <c r="U54" s="55"/>
      <c r="Z54" s="43"/>
      <c r="AA54" s="43"/>
      <c r="AB54" s="43"/>
      <c r="AC54" s="2"/>
      <c r="AD54" s="2"/>
      <c r="AE54" s="2"/>
      <c r="AF54" s="2"/>
      <c r="AH54" s="2"/>
      <c r="AI54" s="2"/>
      <c r="AJ54" s="2"/>
    </row>
    <row r="55" spans="1:37" ht="33.75" customHeight="1" thickBot="1" x14ac:dyDescent="0.3">
      <c r="A55" s="88" t="s">
        <v>19</v>
      </c>
      <c r="B55" s="972" t="s">
        <v>30</v>
      </c>
      <c r="C55" s="972"/>
      <c r="D55" s="972"/>
      <c r="E55" s="972"/>
      <c r="F55" s="966"/>
      <c r="G55" s="248"/>
      <c r="H55" s="85"/>
      <c r="I55" s="56"/>
      <c r="J55" s="56"/>
      <c r="K55" s="56"/>
      <c r="L55" s="56"/>
      <c r="M55" s="56"/>
      <c r="N55" s="56"/>
      <c r="O55" s="56"/>
      <c r="AA55" s="43"/>
      <c r="AB55" s="43"/>
      <c r="AC55" s="43"/>
      <c r="AD55" s="2"/>
      <c r="AE55" s="2"/>
      <c r="AF55" s="2"/>
      <c r="AG55" s="2"/>
      <c r="AI55" s="2"/>
      <c r="AJ55" s="2"/>
      <c r="AK55" s="2"/>
    </row>
    <row r="56" spans="1:37" ht="33.75" customHeight="1" thickBot="1" x14ac:dyDescent="0.3">
      <c r="A56" s="80" t="s">
        <v>34</v>
      </c>
      <c r="B56" s="188"/>
      <c r="C56" s="249"/>
      <c r="D56" s="249"/>
      <c r="E56" s="249"/>
      <c r="F56" s="249"/>
      <c r="G56" s="250"/>
      <c r="H56" s="13" t="s">
        <v>9</v>
      </c>
      <c r="O56" s="45"/>
      <c r="P56" s="45"/>
      <c r="Q56" s="45"/>
      <c r="R56" s="45"/>
      <c r="S56" s="57"/>
      <c r="T56" s="57"/>
      <c r="U56" s="57"/>
      <c r="V56" s="57"/>
      <c r="W56" s="45"/>
      <c r="X56" s="45"/>
      <c r="Y56" s="58"/>
      <c r="Z56" s="58"/>
      <c r="AA56" s="58"/>
      <c r="AB56" s="2"/>
      <c r="AC56" s="2"/>
      <c r="AD56" s="2"/>
      <c r="AE56" s="2"/>
      <c r="AG56" s="2"/>
      <c r="AH56" s="2"/>
      <c r="AI56" s="2"/>
    </row>
    <row r="57" spans="1:37" ht="33.75" customHeight="1" x14ac:dyDescent="0.25">
      <c r="A57" s="80" t="s">
        <v>10</v>
      </c>
      <c r="B57" s="141">
        <v>1</v>
      </c>
      <c r="C57" s="150">
        <v>2</v>
      </c>
      <c r="D57" s="150">
        <v>3</v>
      </c>
      <c r="E57" s="150">
        <v>4</v>
      </c>
      <c r="F57" s="150">
        <v>5</v>
      </c>
      <c r="G57" s="152"/>
      <c r="H57" s="13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57"/>
      <c r="T57" s="57"/>
      <c r="U57" s="57"/>
      <c r="V57" s="57"/>
      <c r="W57" s="45"/>
      <c r="X57" s="45"/>
      <c r="Y57" s="58"/>
      <c r="Z57" s="58"/>
      <c r="AA57" s="58"/>
      <c r="AB57" s="2"/>
      <c r="AC57" s="2"/>
      <c r="AD57" s="2"/>
      <c r="AE57" s="2"/>
      <c r="AF57" s="2"/>
      <c r="AG57" s="2"/>
      <c r="AH57" s="2"/>
      <c r="AI57" s="2"/>
    </row>
    <row r="58" spans="1:37" ht="33.75" customHeight="1" x14ac:dyDescent="0.25">
      <c r="A58" s="96" t="s">
        <v>53</v>
      </c>
      <c r="B58" s="18"/>
      <c r="C58" s="61"/>
      <c r="D58" s="61"/>
      <c r="E58" s="61"/>
      <c r="F58" s="61"/>
      <c r="G58" s="94"/>
      <c r="H58" s="136">
        <f>SUM(B58:F58)</f>
        <v>0</v>
      </c>
      <c r="I58" s="42"/>
      <c r="J58" s="42"/>
      <c r="K58" s="42"/>
      <c r="L58" s="42"/>
      <c r="M58" s="42"/>
      <c r="N58" s="42"/>
      <c r="O58" s="2"/>
      <c r="P58" s="45"/>
      <c r="Q58" s="45"/>
      <c r="R58" s="45"/>
      <c r="S58" s="57"/>
      <c r="T58" s="57"/>
      <c r="U58" s="57"/>
      <c r="V58" s="57"/>
      <c r="W58" s="45"/>
      <c r="X58" s="45"/>
      <c r="Y58" s="58"/>
      <c r="Z58" s="58"/>
      <c r="AA58" s="58"/>
      <c r="AB58" s="2"/>
      <c r="AC58" s="2"/>
      <c r="AD58" s="2"/>
      <c r="AE58" s="2"/>
      <c r="AF58" s="2"/>
      <c r="AG58" s="2"/>
      <c r="AH58" s="2"/>
      <c r="AI58" s="2"/>
    </row>
    <row r="59" spans="1:37" ht="33.75" customHeight="1" x14ac:dyDescent="0.25">
      <c r="A59" s="96" t="s">
        <v>24</v>
      </c>
      <c r="B59" s="18">
        <v>24.7</v>
      </c>
      <c r="C59" s="61">
        <v>27.9</v>
      </c>
      <c r="D59" s="61">
        <v>35.799999999999997</v>
      </c>
      <c r="E59" s="61">
        <v>30.6</v>
      </c>
      <c r="F59" s="61">
        <v>34.9</v>
      </c>
      <c r="G59" s="94"/>
      <c r="H59" s="136">
        <f>SUM(B59:G59)</f>
        <v>153.9</v>
      </c>
      <c r="I59" s="42"/>
      <c r="J59" s="42"/>
      <c r="K59" s="42"/>
      <c r="L59" s="42"/>
      <c r="M59" s="42"/>
      <c r="N59" s="42"/>
      <c r="O59" s="2"/>
      <c r="P59" s="45"/>
      <c r="Q59" s="45"/>
      <c r="R59" s="45"/>
      <c r="S59" s="57"/>
      <c r="T59" s="57"/>
      <c r="U59" s="57"/>
      <c r="V59" s="57"/>
      <c r="W59" s="45"/>
      <c r="X59" s="45"/>
      <c r="Y59" s="58"/>
      <c r="Z59" s="58"/>
      <c r="AA59" s="58"/>
      <c r="AB59" s="2"/>
      <c r="AC59" s="2"/>
      <c r="AD59" s="2"/>
      <c r="AE59" s="2"/>
      <c r="AF59" s="2"/>
      <c r="AG59" s="2"/>
      <c r="AH59" s="2"/>
      <c r="AI59" s="2"/>
    </row>
    <row r="60" spans="1:37" ht="33.75" customHeight="1" x14ac:dyDescent="0.25">
      <c r="A60" s="96" t="s">
        <v>20</v>
      </c>
      <c r="B60" s="18">
        <f>((((($B$66*$B$67)/1000)*7)-$B$59)/4)</f>
        <v>25.657500000000002</v>
      </c>
      <c r="C60" s="61">
        <f>((((($C$66*$C$67)/1000)*7)-$C$59)/4)</f>
        <v>28.576250000000002</v>
      </c>
      <c r="D60" s="61">
        <f>((((($D$66*$D$67)/1000)*7)-$D$59)/4)</f>
        <v>36.56750000000001</v>
      </c>
      <c r="E60" s="61">
        <f>((((($E$66*$E$67)/1000)*7)-$E$59)/4)</f>
        <v>31.471250000000005</v>
      </c>
      <c r="F60" s="61">
        <f>((((($F$66*$F$67)/1000)*7)-$F$59)/4)</f>
        <v>36.048749999999998</v>
      </c>
      <c r="G60" s="94"/>
      <c r="H60" s="136">
        <f>SUM(B60:F60)</f>
        <v>158.32125000000002</v>
      </c>
      <c r="I60" s="42"/>
      <c r="J60" s="42"/>
      <c r="K60" s="42"/>
      <c r="L60" s="42"/>
      <c r="M60" s="42"/>
      <c r="N60" s="42"/>
      <c r="O60" s="2"/>
      <c r="P60" s="45"/>
      <c r="Q60" s="45"/>
      <c r="R60" s="45"/>
      <c r="S60" s="57"/>
      <c r="T60" s="57"/>
      <c r="U60" s="57"/>
      <c r="V60" s="57"/>
      <c r="W60" s="45"/>
      <c r="X60" s="45"/>
      <c r="Y60" s="58"/>
      <c r="Z60" s="58"/>
      <c r="AA60" s="58"/>
      <c r="AB60" s="2"/>
      <c r="AC60" s="2"/>
      <c r="AD60" s="2"/>
      <c r="AE60" s="2"/>
      <c r="AF60" s="2"/>
      <c r="AG60" s="2"/>
      <c r="AH60" s="2"/>
      <c r="AI60" s="2"/>
    </row>
    <row r="61" spans="1:37" ht="33.75" customHeight="1" x14ac:dyDescent="0.25">
      <c r="A61" s="96" t="s">
        <v>28</v>
      </c>
      <c r="B61" s="18">
        <f>((((($B$66*$B$67)/1000)*7)-$B$59)/4)</f>
        <v>25.657500000000002</v>
      </c>
      <c r="C61" s="61">
        <f>((((($C$66*$C$67)/1000)*7)-$C$59)/4)</f>
        <v>28.576250000000002</v>
      </c>
      <c r="D61" s="61">
        <f>((((($D$66*$D$67)/1000)*7)-$D$59)/4)</f>
        <v>36.56750000000001</v>
      </c>
      <c r="E61" s="61">
        <f>((((($E$66*$E$67)/1000)*7)-$E$59)/4)</f>
        <v>31.471250000000005</v>
      </c>
      <c r="F61" s="61">
        <f>((((($F$66*$F$67)/1000)*7)-$F$59)/4)</f>
        <v>36.048749999999998</v>
      </c>
      <c r="G61" s="94"/>
      <c r="H61" s="136">
        <f>SUM(B61:F61)</f>
        <v>158.32125000000002</v>
      </c>
      <c r="I61" s="42"/>
      <c r="J61" s="42"/>
      <c r="K61" s="42"/>
      <c r="L61" s="42"/>
      <c r="M61" s="42"/>
      <c r="N61" s="42"/>
      <c r="O61" s="2"/>
      <c r="P61" s="45"/>
      <c r="Q61" s="45"/>
      <c r="R61" s="45"/>
      <c r="S61" s="57"/>
      <c r="T61" s="57"/>
      <c r="U61" s="57"/>
      <c r="V61" s="57"/>
      <c r="W61" s="45"/>
      <c r="X61" s="45"/>
      <c r="Y61" s="58"/>
      <c r="Z61" s="58"/>
      <c r="AA61" s="58"/>
      <c r="AB61" s="3"/>
      <c r="AC61" s="3"/>
      <c r="AD61" s="2"/>
      <c r="AE61" s="2"/>
      <c r="AF61" s="2"/>
      <c r="AG61" s="2"/>
      <c r="AH61" s="2"/>
      <c r="AI61" s="2"/>
    </row>
    <row r="62" spans="1:37" ht="33.75" customHeight="1" x14ac:dyDescent="0.25">
      <c r="A62" s="96" t="s">
        <v>21</v>
      </c>
      <c r="B62" s="18"/>
      <c r="C62" s="61"/>
      <c r="D62" s="61"/>
      <c r="E62" s="61"/>
      <c r="F62" s="61"/>
      <c r="G62" s="94"/>
      <c r="H62" s="136">
        <f>SUM(B62:F62)</f>
        <v>0</v>
      </c>
      <c r="I62" s="42"/>
      <c r="J62" s="42"/>
      <c r="K62" s="42"/>
      <c r="L62" s="42"/>
      <c r="M62" s="42"/>
      <c r="N62" s="42"/>
      <c r="O62" s="2"/>
      <c r="P62" s="45"/>
      <c r="Q62" s="45"/>
      <c r="R62" s="45"/>
      <c r="S62" s="57"/>
      <c r="T62" s="57"/>
      <c r="U62" s="57"/>
      <c r="V62" s="57"/>
      <c r="W62" s="45"/>
      <c r="X62" s="45"/>
      <c r="Y62" s="58"/>
      <c r="Z62" s="58"/>
      <c r="AA62" s="58"/>
      <c r="AB62" s="3"/>
      <c r="AC62" s="3"/>
      <c r="AD62" s="2"/>
      <c r="AE62" s="2"/>
      <c r="AF62" s="2"/>
      <c r="AG62" s="2"/>
      <c r="AH62" s="2"/>
      <c r="AI62" s="2"/>
    </row>
    <row r="63" spans="1:37" ht="33.75" customHeight="1" x14ac:dyDescent="0.25">
      <c r="A63" s="96" t="s">
        <v>22</v>
      </c>
      <c r="B63" s="18">
        <f>((((($B$66*$B$67)/1000)*7)-$B$59)/4)</f>
        <v>25.657500000000002</v>
      </c>
      <c r="C63" s="61">
        <f>((((($C$66*$C$67)/1000)*7)-$C$59)/4)</f>
        <v>28.576250000000002</v>
      </c>
      <c r="D63" s="61">
        <f>((((($D$66*$D$67)/1000)*7)-$D$59)/4)</f>
        <v>36.56750000000001</v>
      </c>
      <c r="E63" s="61">
        <f>((((($E$66*$E$67)/1000)*7)-$E$59)/4)</f>
        <v>31.471250000000005</v>
      </c>
      <c r="F63" s="61">
        <f>((((($F$66*$F$67)/1000)*7)-$F$59)/4)</f>
        <v>36.048749999999998</v>
      </c>
      <c r="G63" s="94"/>
      <c r="H63" s="136">
        <f>SUM(B63:F63)</f>
        <v>158.32125000000002</v>
      </c>
      <c r="I63" s="42"/>
      <c r="J63" s="42"/>
      <c r="K63" s="42"/>
      <c r="L63" s="42"/>
      <c r="M63" s="42"/>
      <c r="N63" s="42"/>
      <c r="O63" s="2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3"/>
      <c r="AC63" s="3"/>
      <c r="AF63" s="2"/>
      <c r="AG63" s="2"/>
      <c r="AH63" s="2"/>
      <c r="AI63" s="2"/>
    </row>
    <row r="64" spans="1:37" ht="33.75" customHeight="1" thickBot="1" x14ac:dyDescent="0.3">
      <c r="A64" s="96" t="s">
        <v>23</v>
      </c>
      <c r="B64" s="153">
        <f>((((($B$66*$B$67)/1000)*7)-$B$59)/4)</f>
        <v>25.657500000000002</v>
      </c>
      <c r="C64" s="226">
        <f>((((($C$66*$C$67)/1000)*7)-$C$59)/4)</f>
        <v>28.576250000000002</v>
      </c>
      <c r="D64" s="226">
        <f>((((($D$66*$D$67)/1000)*7)-$D$59)/4)</f>
        <v>36.56750000000001</v>
      </c>
      <c r="E64" s="226">
        <f>((((($E$66*$E$67)/1000)*7)-$E$59)/4)</f>
        <v>31.471250000000005</v>
      </c>
      <c r="F64" s="226">
        <f>((((($F$66*$F$67)/1000)*7)-$F$59)/4)</f>
        <v>36.048749999999998</v>
      </c>
      <c r="G64" s="247"/>
      <c r="H64" s="136">
        <f>SUM(B64:F64)</f>
        <v>158.32125000000002</v>
      </c>
      <c r="I64" s="42"/>
      <c r="J64" s="42"/>
      <c r="K64" s="42"/>
      <c r="L64" s="42"/>
      <c r="M64" s="42"/>
      <c r="N64" s="42"/>
      <c r="O64" s="2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3"/>
      <c r="AC64" s="3"/>
      <c r="AF64" s="2"/>
      <c r="AG64" s="2"/>
      <c r="AH64" s="2"/>
      <c r="AI64" s="2"/>
    </row>
    <row r="65" spans="1:35" ht="33.75" customHeight="1" x14ac:dyDescent="0.25">
      <c r="A65" s="80" t="s">
        <v>9</v>
      </c>
      <c r="B65" s="131">
        <f>SUM(B58:B64)</f>
        <v>127.33</v>
      </c>
      <c r="C65" s="127">
        <f>SUM(C58:C64)</f>
        <v>142.20500000000001</v>
      </c>
      <c r="D65" s="127">
        <f>SUM(D58:D64)</f>
        <v>182.07000000000005</v>
      </c>
      <c r="E65" s="127">
        <f>SUM(E58:E64)</f>
        <v>156.48500000000001</v>
      </c>
      <c r="F65" s="127">
        <f>SUM(F58:F64)</f>
        <v>179.09499999999997</v>
      </c>
      <c r="G65" s="256"/>
      <c r="H65" s="136">
        <f>SUM(B65:G65)</f>
        <v>787.18500000000017</v>
      </c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3"/>
      <c r="AC65" s="3"/>
      <c r="AD65" s="3"/>
      <c r="AE65" s="3"/>
      <c r="AF65" s="2"/>
      <c r="AG65" s="2"/>
      <c r="AH65" s="2"/>
      <c r="AI65" s="2"/>
    </row>
    <row r="66" spans="1:35" ht="33.75" customHeight="1" x14ac:dyDescent="0.25">
      <c r="A66" s="70" t="s">
        <v>11</v>
      </c>
      <c r="B66" s="23">
        <v>85</v>
      </c>
      <c r="C66" s="63">
        <v>85</v>
      </c>
      <c r="D66" s="63">
        <v>85</v>
      </c>
      <c r="E66" s="63">
        <v>85</v>
      </c>
      <c r="F66" s="63">
        <v>85</v>
      </c>
      <c r="G66" s="155"/>
      <c r="H66" s="137">
        <f>+((H65/H67)/7)*1000</f>
        <v>85</v>
      </c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3"/>
      <c r="AC66" s="3"/>
      <c r="AD66" s="3"/>
      <c r="AE66" s="3"/>
      <c r="AF66" s="2"/>
      <c r="AG66" s="2"/>
      <c r="AH66" s="2"/>
      <c r="AI66" s="2"/>
    </row>
    <row r="67" spans="1:35" ht="33.75" customHeight="1" x14ac:dyDescent="0.25">
      <c r="A67" s="71" t="s">
        <v>12</v>
      </c>
      <c r="B67" s="257">
        <v>214</v>
      </c>
      <c r="C67" s="79">
        <v>239</v>
      </c>
      <c r="D67" s="79">
        <v>306</v>
      </c>
      <c r="E67" s="79">
        <v>263</v>
      </c>
      <c r="F67" s="79">
        <v>301</v>
      </c>
      <c r="G67" s="258"/>
      <c r="H67" s="254">
        <f>SUM(B67:G67)</f>
        <v>1323</v>
      </c>
      <c r="O67" s="59"/>
      <c r="S67" s="3"/>
      <c r="T67" s="3"/>
      <c r="U67" s="3"/>
      <c r="V67" s="3"/>
      <c r="W67" s="3"/>
      <c r="X67" s="3"/>
    </row>
    <row r="68" spans="1:35" ht="33.75" customHeight="1" x14ac:dyDescent="0.25">
      <c r="A68" s="72" t="s">
        <v>13</v>
      </c>
      <c r="B68" s="30">
        <v>83.71</v>
      </c>
      <c r="C68" s="31">
        <f>(C67*C66)/1000</f>
        <v>20.315000000000001</v>
      </c>
      <c r="D68" s="31">
        <f>(D67*D66)/1000</f>
        <v>26.01</v>
      </c>
      <c r="E68" s="31">
        <f>(E67*E66)/1000</f>
        <v>22.355</v>
      </c>
      <c r="F68" s="31">
        <f>(F67*F66)/1000</f>
        <v>25.585000000000001</v>
      </c>
      <c r="G68" s="32"/>
      <c r="H68" s="255">
        <f>((H65*1000)/H67)/7</f>
        <v>85.000000000000014</v>
      </c>
      <c r="S68" s="3"/>
      <c r="T68" s="3"/>
      <c r="U68" s="3"/>
      <c r="V68" s="3"/>
      <c r="W68" s="3"/>
      <c r="X68" s="3"/>
    </row>
    <row r="69" spans="1:35" ht="33.75" customHeight="1" x14ac:dyDescent="0.25">
      <c r="A69" s="73" t="s">
        <v>14</v>
      </c>
      <c r="B69" s="34">
        <f>((B67*B66)*7)/1000</f>
        <v>127.33</v>
      </c>
      <c r="C69" s="35">
        <f>((C67*C66)*7)/1000</f>
        <v>142.20500000000001</v>
      </c>
      <c r="D69" s="35">
        <f>((D67*D66)*7)/1000</f>
        <v>182.07</v>
      </c>
      <c r="E69" s="35">
        <f>((E67*E66)*7)/1000</f>
        <v>156.48500000000001</v>
      </c>
      <c r="F69" s="35">
        <f>((F67*F66)*7)/1000</f>
        <v>179.095</v>
      </c>
      <c r="G69" s="68"/>
      <c r="H69" s="112"/>
      <c r="I69" s="41"/>
      <c r="J69" s="41"/>
      <c r="K69" s="41"/>
      <c r="L69" s="41"/>
      <c r="M69" s="41"/>
      <c r="N69" s="41"/>
      <c r="X69" s="3"/>
    </row>
    <row r="70" spans="1:35" ht="33.75" customHeight="1" thickBot="1" x14ac:dyDescent="0.3">
      <c r="A70" s="74" t="s">
        <v>15</v>
      </c>
      <c r="B70" s="37">
        <f>+(B65/B67)/7*1000</f>
        <v>84.999999999999986</v>
      </c>
      <c r="C70" s="67">
        <f>+(C65/C67)/7*1000</f>
        <v>85</v>
      </c>
      <c r="D70" s="67">
        <f>+(D65/D67)/7*1000</f>
        <v>85.000000000000028</v>
      </c>
      <c r="E70" s="67">
        <f>+(E65/E67)/7*1000</f>
        <v>85</v>
      </c>
      <c r="F70" s="67">
        <f>+(F65/F67)/7*1000</f>
        <v>84.999999999999972</v>
      </c>
      <c r="G70" s="259"/>
      <c r="H70" s="40"/>
      <c r="X70" s="3"/>
    </row>
    <row r="71" spans="1:35" ht="33.75" customHeight="1" x14ac:dyDescent="0.25">
      <c r="B71" s="148"/>
    </row>
    <row r="72" spans="1:35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52"/>
    </row>
    <row r="73" spans="1:35" ht="33.75" customHeight="1" x14ac:dyDescent="0.25"/>
    <row r="74" spans="1:35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  <c r="M74" s="45"/>
      <c r="N74" s="45"/>
      <c r="O74" s="45"/>
    </row>
    <row r="75" spans="1:35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5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5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5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5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G36"/>
    <mergeCell ref="Q36:V36"/>
    <mergeCell ref="N37:O37"/>
    <mergeCell ref="O54:P54"/>
    <mergeCell ref="B55:F55"/>
    <mergeCell ref="A3:C3"/>
    <mergeCell ref="E9:G9"/>
    <mergeCell ref="X9:Y9"/>
    <mergeCell ref="P11:Q11"/>
    <mergeCell ref="B15:I15"/>
    <mergeCell ref="J15:M15"/>
    <mergeCell ref="N15:R15"/>
    <mergeCell ref="S15:X15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K239"/>
  <sheetViews>
    <sheetView workbookViewId="0"/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9.140625" style="14" customWidth="1"/>
    <col min="9" max="13" width="20.140625" style="14" customWidth="1"/>
    <col min="14" max="14" width="28.28515625" style="14" bestFit="1" customWidth="1"/>
    <col min="15" max="16" width="33.42578125" style="14" bestFit="1" customWidth="1"/>
    <col min="17" max="17" width="22.7109375" style="14" customWidth="1"/>
    <col min="18" max="20" width="21.28515625" style="14" customWidth="1"/>
    <col min="21" max="21" width="21.28515625" style="14" bestFit="1" customWidth="1"/>
    <col min="22" max="22" width="21.28515625" style="14" customWidth="1"/>
    <col min="23" max="23" width="27.85546875" style="14" customWidth="1"/>
    <col min="24" max="24" width="25.85546875" style="14" customWidth="1"/>
    <col min="25" max="25" width="21.42578125" style="14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 t="s">
        <v>3</v>
      </c>
      <c r="X9" s="960" t="s">
        <v>35</v>
      </c>
      <c r="Y9" s="960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65" t="s">
        <v>73</v>
      </c>
      <c r="Q11" s="965"/>
      <c r="R11" s="6"/>
      <c r="S11" s="6"/>
      <c r="T11" s="6"/>
      <c r="U11" s="1"/>
      <c r="V11" s="1"/>
      <c r="W11" s="1" t="s">
        <v>6</v>
      </c>
      <c r="X11" s="95">
        <v>45441</v>
      </c>
      <c r="Y11" s="6"/>
      <c r="Z11" s="6"/>
      <c r="AA11" s="6"/>
      <c r="AB11" s="6"/>
      <c r="AC11" s="6"/>
      <c r="AD11" s="6"/>
      <c r="AE11" s="1"/>
      <c r="AF11" s="1"/>
      <c r="AG11" s="1"/>
      <c r="AH11" s="1"/>
      <c r="AI11" s="1"/>
      <c r="AJ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1"/>
      <c r="AD13" s="1"/>
      <c r="AE13" s="1"/>
    </row>
    <row r="14" spans="1:3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1"/>
      <c r="AE14" s="1"/>
      <c r="AF14" s="1"/>
    </row>
    <row r="15" spans="1:36" s="10" customFormat="1" ht="36" thickBot="1" x14ac:dyDescent="0.3">
      <c r="A15" s="69" t="s">
        <v>7</v>
      </c>
      <c r="B15" s="971" t="s">
        <v>8</v>
      </c>
      <c r="C15" s="968"/>
      <c r="D15" s="968"/>
      <c r="E15" s="968"/>
      <c r="F15" s="968"/>
      <c r="G15" s="968"/>
      <c r="H15" s="968"/>
      <c r="I15" s="968"/>
      <c r="J15" s="971" t="s">
        <v>30</v>
      </c>
      <c r="K15" s="968"/>
      <c r="L15" s="968"/>
      <c r="M15" s="969"/>
      <c r="N15" s="971" t="s">
        <v>29</v>
      </c>
      <c r="O15" s="968"/>
      <c r="P15" s="968"/>
      <c r="Q15" s="968"/>
      <c r="R15" s="969"/>
      <c r="S15" s="962" t="s">
        <v>31</v>
      </c>
      <c r="T15" s="963"/>
      <c r="U15" s="963"/>
      <c r="V15" s="963"/>
      <c r="W15" s="963"/>
      <c r="X15" s="964"/>
    </row>
    <row r="16" spans="1:36" ht="39.950000000000003" customHeight="1" thickBot="1" x14ac:dyDescent="0.3">
      <c r="A16" s="80" t="s">
        <v>34</v>
      </c>
      <c r="B16" s="186">
        <v>4</v>
      </c>
      <c r="C16" s="174">
        <v>3</v>
      </c>
      <c r="D16" s="174">
        <v>2</v>
      </c>
      <c r="E16" s="174">
        <v>1</v>
      </c>
      <c r="F16" s="174">
        <v>1</v>
      </c>
      <c r="G16" s="174">
        <v>2</v>
      </c>
      <c r="H16" s="174">
        <v>3</v>
      </c>
      <c r="I16" s="175">
        <v>4</v>
      </c>
      <c r="J16" s="186">
        <v>1</v>
      </c>
      <c r="K16" s="174">
        <v>2</v>
      </c>
      <c r="L16" s="174">
        <v>3</v>
      </c>
      <c r="M16" s="175">
        <v>4</v>
      </c>
      <c r="N16" s="202">
        <v>1</v>
      </c>
      <c r="O16" s="174">
        <v>2</v>
      </c>
      <c r="P16" s="174">
        <v>3</v>
      </c>
      <c r="Q16" s="174">
        <v>4</v>
      </c>
      <c r="R16" s="203">
        <v>5</v>
      </c>
      <c r="S16" s="186">
        <v>1</v>
      </c>
      <c r="T16" s="174">
        <v>2</v>
      </c>
      <c r="U16" s="174">
        <v>3</v>
      </c>
      <c r="V16" s="174">
        <v>4</v>
      </c>
      <c r="W16" s="175">
        <v>5</v>
      </c>
      <c r="X16" s="126" t="s">
        <v>9</v>
      </c>
      <c r="AB16" s="15"/>
      <c r="AC16" s="15"/>
    </row>
    <row r="17" spans="1:36" ht="39.950000000000003" customHeight="1" thickBot="1" x14ac:dyDescent="0.3">
      <c r="A17" s="80" t="s">
        <v>10</v>
      </c>
      <c r="B17" s="186">
        <v>1</v>
      </c>
      <c r="C17" s="174">
        <v>2</v>
      </c>
      <c r="D17" s="174">
        <v>3</v>
      </c>
      <c r="E17" s="174">
        <v>4</v>
      </c>
      <c r="F17" s="174">
        <v>5</v>
      </c>
      <c r="G17" s="174">
        <v>6</v>
      </c>
      <c r="H17" s="174">
        <v>7</v>
      </c>
      <c r="I17" s="175">
        <v>8</v>
      </c>
      <c r="J17" s="186">
        <v>1</v>
      </c>
      <c r="K17" s="174">
        <v>2</v>
      </c>
      <c r="L17" s="174">
        <v>3</v>
      </c>
      <c r="M17" s="175">
        <v>4</v>
      </c>
      <c r="N17" s="202">
        <v>1</v>
      </c>
      <c r="O17" s="174">
        <v>2</v>
      </c>
      <c r="P17" s="174">
        <v>3</v>
      </c>
      <c r="Q17" s="174">
        <v>4</v>
      </c>
      <c r="R17" s="203">
        <v>5</v>
      </c>
      <c r="S17" s="186">
        <v>1</v>
      </c>
      <c r="T17" s="174">
        <v>2</v>
      </c>
      <c r="U17" s="174">
        <v>3</v>
      </c>
      <c r="V17" s="174">
        <v>4</v>
      </c>
      <c r="W17" s="175">
        <v>5</v>
      </c>
      <c r="X17" s="208"/>
      <c r="AB17" s="2"/>
      <c r="AC17" s="15"/>
    </row>
    <row r="18" spans="1:36" ht="39.950000000000003" customHeight="1" x14ac:dyDescent="0.25">
      <c r="A18" s="171" t="s">
        <v>53</v>
      </c>
      <c r="B18" s="133"/>
      <c r="C18" s="134"/>
      <c r="D18" s="134"/>
      <c r="E18" s="134"/>
      <c r="F18" s="134"/>
      <c r="G18" s="134"/>
      <c r="H18" s="134"/>
      <c r="I18" s="156"/>
      <c r="J18" s="133"/>
      <c r="K18" s="134"/>
      <c r="L18" s="134"/>
      <c r="M18" s="156"/>
      <c r="N18" s="133"/>
      <c r="O18" s="134"/>
      <c r="P18" s="134"/>
      <c r="Q18" s="134"/>
      <c r="R18" s="156"/>
      <c r="S18" s="133"/>
      <c r="T18" s="134"/>
      <c r="U18" s="134"/>
      <c r="V18" s="134"/>
      <c r="W18" s="156"/>
      <c r="X18" s="98"/>
      <c r="AB18" s="2"/>
      <c r="AC18" s="15"/>
    </row>
    <row r="19" spans="1:36" ht="39.950000000000003" customHeight="1" x14ac:dyDescent="0.25">
      <c r="A19" s="171" t="s">
        <v>24</v>
      </c>
      <c r="B19" s="18">
        <v>34.700000000000003</v>
      </c>
      <c r="C19" s="19">
        <v>80.099999999999994</v>
      </c>
      <c r="D19" s="19">
        <v>54.4</v>
      </c>
      <c r="E19" s="19">
        <v>22.1</v>
      </c>
      <c r="F19" s="19">
        <v>40.6</v>
      </c>
      <c r="G19" s="19">
        <v>53.7</v>
      </c>
      <c r="H19" s="19">
        <v>43.8</v>
      </c>
      <c r="I19" s="20">
        <v>40.9</v>
      </c>
      <c r="J19" s="18">
        <v>19.5</v>
      </c>
      <c r="K19" s="19">
        <v>34.700000000000003</v>
      </c>
      <c r="L19" s="19">
        <v>38.1</v>
      </c>
      <c r="M19" s="20">
        <v>33.200000000000003</v>
      </c>
      <c r="N19" s="18">
        <v>39.799999999999997</v>
      </c>
      <c r="O19" s="19">
        <v>52.3</v>
      </c>
      <c r="P19" s="19">
        <v>61.5</v>
      </c>
      <c r="Q19" s="19">
        <v>51.7</v>
      </c>
      <c r="R19" s="20">
        <v>28.7</v>
      </c>
      <c r="S19" s="18">
        <v>32</v>
      </c>
      <c r="T19" s="19">
        <v>49.1</v>
      </c>
      <c r="U19" s="19">
        <v>63.8</v>
      </c>
      <c r="V19" s="19">
        <v>57.8</v>
      </c>
      <c r="W19" s="20">
        <v>37.9</v>
      </c>
      <c r="X19" s="98">
        <f t="shared" ref="X19:X24" si="0">SUM(B19:W19)</f>
        <v>970.39999999999986</v>
      </c>
      <c r="AB19" s="2"/>
      <c r="AC19" s="15"/>
    </row>
    <row r="20" spans="1:36" ht="39.75" customHeight="1" x14ac:dyDescent="0.25">
      <c r="A20" s="171" t="s">
        <v>20</v>
      </c>
      <c r="B20" s="18">
        <f>((((($B$26*$B$27)/1000)*7)-$B$19)/5)</f>
        <v>31.288400000000003</v>
      </c>
      <c r="C20" s="19">
        <f>((((($C$26*$C$27)/1000)*7)-$C$19)/5)</f>
        <v>65.263300000000001</v>
      </c>
      <c r="D20" s="19">
        <f>((((($D$26*$D$27)/1000)*7)-$D$19)/5)</f>
        <v>54.180800000000012</v>
      </c>
      <c r="E20" s="19">
        <f>((((($E$26*$E$27)/1000)*7)-$E$19)/5)</f>
        <v>22.124000000000002</v>
      </c>
      <c r="F20" s="19">
        <f>((((($F$26*$F$27)/1000)*7)-$F$19)/5)</f>
        <v>31.444000000000006</v>
      </c>
      <c r="G20" s="19">
        <f>((((($G$26*$G$27)/1000)*7)-$G$19)/5)</f>
        <v>48.826499999999996</v>
      </c>
      <c r="H20" s="19">
        <f>((((($H$26*$H$27)/1000)*7)-$H$19)/5)</f>
        <v>43.588800000000006</v>
      </c>
      <c r="I20" s="20">
        <f>((((($I$26*$I$27)/1000)*7)-$I$19)/5)</f>
        <v>36.877599999999994</v>
      </c>
      <c r="J20" s="18">
        <f>((((($J$26*$J$27)/1000)*7)-$J$19)/5)</f>
        <v>11.362799999999998</v>
      </c>
      <c r="K20" s="19">
        <f>((((($K$26*$K$27)/1000)*7)-$K$19)/5)</f>
        <v>24.072800000000004</v>
      </c>
      <c r="L20" s="19">
        <f>((((($L$26*$L$27)/1000)*7)-$L$19)/5)</f>
        <v>39.522200000000005</v>
      </c>
      <c r="M20" s="20">
        <f>((((($M$26*$M$27)/1000)*7)-$M$19)/5)</f>
        <v>35.835999999999999</v>
      </c>
      <c r="N20" s="18">
        <f>((((($N$26*$N$27)/1000)*7)-$N$19)/5)</f>
        <v>30.019899999999996</v>
      </c>
      <c r="O20" s="19">
        <f>((((($O$26*$O$27)/1000)*7)-$O$19)/5)</f>
        <v>28.774300000000004</v>
      </c>
      <c r="P20" s="19">
        <f>((((($P$26*$P$27)/1000)*7)-$P$19)/5)</f>
        <v>58.99499999999999</v>
      </c>
      <c r="Q20" s="19">
        <f>((((($Q$26*$Q$27)/1000)*7)-$Q$19)/5)</f>
        <v>56.689200000000007</v>
      </c>
      <c r="R20" s="20">
        <f>((((($R$26*$R$27)/1000)*7)-$R$19)/5)</f>
        <v>29.9663</v>
      </c>
      <c r="S20" s="18">
        <f>((((($S$26*$S$27)/1000)*7)-$S$19)/5)</f>
        <v>26.621100000000002</v>
      </c>
      <c r="T20" s="19">
        <f>((((($T$26*$T$27)/1000)*7)-$T$19)/5)</f>
        <v>40.843899999999998</v>
      </c>
      <c r="U20" s="19">
        <f>((((($U$26*$U$27)/1000)*7)-$U$19)/5)</f>
        <v>53.39</v>
      </c>
      <c r="V20" s="19">
        <f>((((($V$26*$V$27)/1000)*7)-$V$19)/5)</f>
        <v>48.009999999999991</v>
      </c>
      <c r="W20" s="20">
        <f>((((($W$26*$W$27)/1000)*7)-$W$19)/5)</f>
        <v>31.213299999999997</v>
      </c>
      <c r="X20" s="98">
        <f t="shared" si="0"/>
        <v>848.91019999999992</v>
      </c>
      <c r="AB20" s="2"/>
      <c r="AC20" s="15"/>
    </row>
    <row r="21" spans="1:36" ht="39.950000000000003" customHeight="1" x14ac:dyDescent="0.25">
      <c r="A21" s="171" t="s">
        <v>28</v>
      </c>
      <c r="B21" s="18">
        <f>((((($B$26*$B$27)/1000)*7)-$B$19)/5)</f>
        <v>31.288400000000003</v>
      </c>
      <c r="C21" s="19">
        <f>((((($C$26*$C$27)/1000)*7)-$C$19)/5)</f>
        <v>65.263300000000001</v>
      </c>
      <c r="D21" s="19">
        <f>((((($D$26*$D$27)/1000)*7)-$D$19)/5)</f>
        <v>54.180800000000012</v>
      </c>
      <c r="E21" s="19">
        <f>((((($E$26*$E$27)/1000)*7)-$E$19)/5)</f>
        <v>22.124000000000002</v>
      </c>
      <c r="F21" s="19">
        <f>((((($F$26*$F$27)/1000)*7)-$F$19)/5)</f>
        <v>31.444000000000006</v>
      </c>
      <c r="G21" s="19">
        <f>((((($G$26*$G$27)/1000)*7)-$G$19)/5)</f>
        <v>48.826499999999996</v>
      </c>
      <c r="H21" s="19">
        <f>((((($H$26*$H$27)/1000)*7)-$H$19)/5)</f>
        <v>43.588800000000006</v>
      </c>
      <c r="I21" s="20">
        <f>((((($I$26*$I$27)/1000)*7)-$I$19)/5)</f>
        <v>36.877599999999994</v>
      </c>
      <c r="J21" s="18">
        <f>((((($J$26*$J$27)/1000)*7)-$J$19)/5)</f>
        <v>11.362799999999998</v>
      </c>
      <c r="K21" s="19">
        <f>((((($K$26*$K$27)/1000)*7)-$K$19)/5)</f>
        <v>24.072800000000004</v>
      </c>
      <c r="L21" s="19">
        <f>((((($L$26*$L$27)/1000)*7)-$L$19)/5)</f>
        <v>39.522200000000005</v>
      </c>
      <c r="M21" s="20">
        <f>((((($M$26*$M$27)/1000)*7)-$M$19)/5)</f>
        <v>35.835999999999999</v>
      </c>
      <c r="N21" s="18">
        <f>((((($N$26*$N$27)/1000)*7)-$N$19)/5)</f>
        <v>30.019899999999996</v>
      </c>
      <c r="O21" s="19">
        <f>((((($O$26*$O$27)/1000)*7)-$O$19)/5)</f>
        <v>28.774300000000004</v>
      </c>
      <c r="P21" s="19">
        <f>((((($P$26*$P$27)/1000)*7)-$P$19)/5)</f>
        <v>58.99499999999999</v>
      </c>
      <c r="Q21" s="19">
        <f>((((($Q$26*$Q$27)/1000)*7)-$Q$19)/5)</f>
        <v>56.689200000000007</v>
      </c>
      <c r="R21" s="20">
        <f>((((($R$26*$R$27)/1000)*7)-$R$19)/5)</f>
        <v>29.9663</v>
      </c>
      <c r="S21" s="18">
        <f>((((($S$26*$S$27)/1000)*7)-$S$19)/5)</f>
        <v>26.621100000000002</v>
      </c>
      <c r="T21" s="19">
        <f>((((($T$26*$T$27)/1000)*7)-$T$19)/5)</f>
        <v>40.843899999999998</v>
      </c>
      <c r="U21" s="19">
        <f>((((($U$26*$U$27)/1000)*7)-$U$19)/5)</f>
        <v>53.39</v>
      </c>
      <c r="V21" s="19">
        <f>((((($V$26*$V$27)/1000)*7)-$V$19)/5)</f>
        <v>48.009999999999991</v>
      </c>
      <c r="W21" s="20">
        <f>((((($W$26*$W$27)/1000)*7)-$W$19)/5)</f>
        <v>31.213299999999997</v>
      </c>
      <c r="X21" s="98">
        <f t="shared" si="0"/>
        <v>848.91019999999992</v>
      </c>
      <c r="AB21" s="2"/>
      <c r="AC21" s="15"/>
    </row>
    <row r="22" spans="1:36" ht="39.950000000000003" customHeight="1" x14ac:dyDescent="0.25">
      <c r="A22" s="171" t="s">
        <v>21</v>
      </c>
      <c r="B22" s="18">
        <f>((((($B$26*$B$27)/1000)*7)-$B$19)/5)</f>
        <v>31.288400000000003</v>
      </c>
      <c r="C22" s="19">
        <f>((((($C$26*$C$27)/1000)*7)-$C$19)/5)</f>
        <v>65.263300000000001</v>
      </c>
      <c r="D22" s="19">
        <f>((((($D$26*$D$27)/1000)*7)-$D$19)/5)</f>
        <v>54.180800000000012</v>
      </c>
      <c r="E22" s="19">
        <f>((((($E$26*$E$27)/1000)*7)-$E$19)/5)</f>
        <v>22.124000000000002</v>
      </c>
      <c r="F22" s="19">
        <f>((((($F$26*$F$27)/1000)*7)-$F$19)/5)</f>
        <v>31.444000000000006</v>
      </c>
      <c r="G22" s="19">
        <f>((((($G$26*$G$27)/1000)*7)-$G$19)/5)</f>
        <v>48.826499999999996</v>
      </c>
      <c r="H22" s="19">
        <f>((((($H$26*$H$27)/1000)*7)-$H$19)/5)</f>
        <v>43.588800000000006</v>
      </c>
      <c r="I22" s="20">
        <f>((((($I$26*$I$27)/1000)*7)-$I$19)/5)</f>
        <v>36.877599999999994</v>
      </c>
      <c r="J22" s="18">
        <f>((((($J$26*$J$27)/1000)*7)-$J$19)/5)</f>
        <v>11.362799999999998</v>
      </c>
      <c r="K22" s="19">
        <f>((((($K$26*$K$27)/1000)*7)-$K$19)/5)</f>
        <v>24.072800000000004</v>
      </c>
      <c r="L22" s="19">
        <f>((((($L$26*$L$27)/1000)*7)-$L$19)/5)</f>
        <v>39.522200000000005</v>
      </c>
      <c r="M22" s="20">
        <f>((((($M$26*$M$27)/1000)*7)-$M$19)/5)</f>
        <v>35.835999999999999</v>
      </c>
      <c r="N22" s="18">
        <f>((((($N$26*$N$27)/1000)*7)-$N$19)/5)</f>
        <v>30.019899999999996</v>
      </c>
      <c r="O22" s="19">
        <f>((((($O$26*$O$27)/1000)*7)-$O$19)/5)</f>
        <v>28.774300000000004</v>
      </c>
      <c r="P22" s="19">
        <f>((((($P$26*$P$27)/1000)*7)-$P$19)/5)</f>
        <v>58.99499999999999</v>
      </c>
      <c r="Q22" s="19">
        <f>((((($Q$26*$Q$27)/1000)*7)-$Q$19)/5)</f>
        <v>56.689200000000007</v>
      </c>
      <c r="R22" s="20">
        <f>((((($R$26*$R$27)/1000)*7)-$R$19)/5)</f>
        <v>29.9663</v>
      </c>
      <c r="S22" s="18">
        <f>((((($S$26*$S$27)/1000)*7)-$S$19)/5)</f>
        <v>26.621100000000002</v>
      </c>
      <c r="T22" s="19">
        <f>((((($T$26*$T$27)/1000)*7)-$T$19)/5)</f>
        <v>40.843899999999998</v>
      </c>
      <c r="U22" s="19">
        <f>((((($U$26*$U$27)/1000)*7)-$U$19)/5)</f>
        <v>53.39</v>
      </c>
      <c r="V22" s="19">
        <f>((((($V$26*$V$27)/1000)*7)-$V$19)/5)</f>
        <v>48.009999999999991</v>
      </c>
      <c r="W22" s="20">
        <f>((((($W$26*$W$27)/1000)*7)-$W$19)/5)</f>
        <v>31.213299999999997</v>
      </c>
      <c r="X22" s="98">
        <f t="shared" si="0"/>
        <v>848.91019999999992</v>
      </c>
      <c r="AB22" s="2"/>
      <c r="AC22" s="15"/>
    </row>
    <row r="23" spans="1:36" ht="39.950000000000003" customHeight="1" x14ac:dyDescent="0.25">
      <c r="A23" s="171" t="s">
        <v>22</v>
      </c>
      <c r="B23" s="18">
        <f>((((($B$26*$B$27)/1000)*7)-$B$19)/5)</f>
        <v>31.288400000000003</v>
      </c>
      <c r="C23" s="19">
        <f>((((($C$26*$C$27)/1000)*7)-$C$19)/5)</f>
        <v>65.263300000000001</v>
      </c>
      <c r="D23" s="19">
        <f>((((($D$26*$D$27)/1000)*7)-$D$19)/5)</f>
        <v>54.180800000000012</v>
      </c>
      <c r="E23" s="19">
        <f>((((($E$26*$E$27)/1000)*7)-$E$19)/5)</f>
        <v>22.124000000000002</v>
      </c>
      <c r="F23" s="19">
        <f>((((($F$26*$F$27)/1000)*7)-$F$19)/5)</f>
        <v>31.444000000000006</v>
      </c>
      <c r="G23" s="19">
        <f>((((($G$26*$G$27)/1000)*7)-$G$19)/5)</f>
        <v>48.826499999999996</v>
      </c>
      <c r="H23" s="19">
        <f>((((($H$26*$H$27)/1000)*7)-$H$19)/5)</f>
        <v>43.588800000000006</v>
      </c>
      <c r="I23" s="20">
        <f>((((($I$26*$I$27)/1000)*7)-$I$19)/5)</f>
        <v>36.877599999999994</v>
      </c>
      <c r="J23" s="18">
        <f>((((($J$26*$J$27)/1000)*7)-$J$19)/5)</f>
        <v>11.362799999999998</v>
      </c>
      <c r="K23" s="19">
        <f>((((($K$26*$K$27)/1000)*7)-$K$19)/5)</f>
        <v>24.072800000000004</v>
      </c>
      <c r="L23" s="19">
        <f>((((($L$26*$L$27)/1000)*7)-$L$19)/5)</f>
        <v>39.522200000000005</v>
      </c>
      <c r="M23" s="20">
        <f>((((($M$26*$M$27)/1000)*7)-$M$19)/5)</f>
        <v>35.835999999999999</v>
      </c>
      <c r="N23" s="18">
        <f>((((($N$26*$N$27)/1000)*7)-$N$19)/5)</f>
        <v>30.019899999999996</v>
      </c>
      <c r="O23" s="19">
        <f>((((($O$26*$O$27)/1000)*7)-$O$19)/5)</f>
        <v>28.774300000000004</v>
      </c>
      <c r="P23" s="19">
        <f>((((($P$26*$P$27)/1000)*7)-$P$19)/5)</f>
        <v>58.99499999999999</v>
      </c>
      <c r="Q23" s="19">
        <f>((((($Q$26*$Q$27)/1000)*7)-$Q$19)/5)</f>
        <v>56.689200000000007</v>
      </c>
      <c r="R23" s="20">
        <f>((((($R$26*$R$27)/1000)*7)-$R$19)/5)</f>
        <v>29.9663</v>
      </c>
      <c r="S23" s="18">
        <f>((((($S$26*$S$27)/1000)*7)-$S$19)/5)</f>
        <v>26.621100000000002</v>
      </c>
      <c r="T23" s="19">
        <f>((((($T$26*$T$27)/1000)*7)-$T$19)/5)</f>
        <v>40.843899999999998</v>
      </c>
      <c r="U23" s="19">
        <f>((((($U$26*$U$27)/1000)*7)-$U$19)/5)</f>
        <v>53.39</v>
      </c>
      <c r="V23" s="19">
        <f>((((($V$26*$V$27)/1000)*7)-$V$19)/5)</f>
        <v>48.009999999999991</v>
      </c>
      <c r="W23" s="20">
        <f>((((($W$26*$W$27)/1000)*7)-$W$19)/5)</f>
        <v>31.213299999999997</v>
      </c>
      <c r="X23" s="98">
        <f t="shared" si="0"/>
        <v>848.91019999999992</v>
      </c>
      <c r="AB23" s="2"/>
      <c r="AC23" s="15"/>
    </row>
    <row r="24" spans="1:36" ht="39.950000000000003" customHeight="1" thickBot="1" x14ac:dyDescent="0.3">
      <c r="A24" s="171" t="s">
        <v>23</v>
      </c>
      <c r="B24" s="153">
        <f>((((($B$26*$B$27)/1000)*7)-$B$19)/5)</f>
        <v>31.288400000000003</v>
      </c>
      <c r="C24" s="154">
        <f>((((($C$26*$C$27)/1000)*7)-$C$19)/5)</f>
        <v>65.263300000000001</v>
      </c>
      <c r="D24" s="154">
        <f>((((($D$26*$D$27)/1000)*7)-$D$19)/5)</f>
        <v>54.180800000000012</v>
      </c>
      <c r="E24" s="154">
        <f>((((($E$26*$E$27)/1000)*7)-$E$19)/5)</f>
        <v>22.124000000000002</v>
      </c>
      <c r="F24" s="154">
        <f>((((($F$26*$F$27)/1000)*7)-$F$19)/5)</f>
        <v>31.444000000000006</v>
      </c>
      <c r="G24" s="154">
        <f>((((($G$26*$G$27)/1000)*7)-$G$19)/5)</f>
        <v>48.826499999999996</v>
      </c>
      <c r="H24" s="154">
        <f>((((($H$26*$H$27)/1000)*7)-$H$19)/5)</f>
        <v>43.588800000000006</v>
      </c>
      <c r="I24" s="182">
        <f>((((($I$26*$I$27)/1000)*7)-$I$19)/5)</f>
        <v>36.877599999999994</v>
      </c>
      <c r="J24" s="18">
        <f>((((($J$26*$J$27)/1000)*7)-$J$19)/5)</f>
        <v>11.362799999999998</v>
      </c>
      <c r="K24" s="154">
        <f>((((($K$26*$K$27)/1000)*7)-$K$19)/5)</f>
        <v>24.072800000000004</v>
      </c>
      <c r="L24" s="154">
        <f>((((($L$26*$L$27)/1000)*7)-$L$19)/5)</f>
        <v>39.522200000000005</v>
      </c>
      <c r="M24" s="182">
        <f>((((($M$26*$M$27)/1000)*7)-$M$19)/5)</f>
        <v>35.835999999999999</v>
      </c>
      <c r="N24" s="153">
        <f>((((($N$26*$N$27)/1000)*7)-$N$19)/5)</f>
        <v>30.019899999999996</v>
      </c>
      <c r="O24" s="154">
        <f>((((($O$26*$O$27)/1000)*7)-$O$19)/5)</f>
        <v>28.774300000000004</v>
      </c>
      <c r="P24" s="154">
        <f>((((($P$26*$P$27)/1000)*7)-$P$19)/5)</f>
        <v>58.99499999999999</v>
      </c>
      <c r="Q24" s="154">
        <f>((((($Q$26*$Q$27)/1000)*7)-$Q$19)/5)</f>
        <v>56.689200000000007</v>
      </c>
      <c r="R24" s="182">
        <f>((((($R$26*$R$27)/1000)*7)-$R$19)/5)</f>
        <v>29.9663</v>
      </c>
      <c r="S24" s="153">
        <f>((((($S$26*$S$27)/1000)*7)-$S$19)/5)</f>
        <v>26.621100000000002</v>
      </c>
      <c r="T24" s="154">
        <f>((((($T$26*$T$27)/1000)*7)-$T$19)/5)</f>
        <v>40.843899999999998</v>
      </c>
      <c r="U24" s="154">
        <f>((((($U$26*$U$27)/1000)*7)-$U$19)/5)</f>
        <v>53.39</v>
      </c>
      <c r="V24" s="154">
        <f>((((($V$26*$V$27)/1000)*7)-$V$19)/5)</f>
        <v>48.009999999999991</v>
      </c>
      <c r="W24" s="182">
        <f>((((($W$26*$W$27)/1000)*7)-$W$19)/5)</f>
        <v>31.213299999999997</v>
      </c>
      <c r="X24" s="98">
        <f t="shared" si="0"/>
        <v>848.91019999999992</v>
      </c>
      <c r="AB24" s="2"/>
    </row>
    <row r="25" spans="1:36" ht="41.45" customHeight="1" x14ac:dyDescent="0.25">
      <c r="A25" s="126" t="s">
        <v>9</v>
      </c>
      <c r="B25" s="217">
        <f t="shared" ref="B25:W25" si="1">SUM(B18:B24)</f>
        <v>191.142</v>
      </c>
      <c r="C25" s="218">
        <f t="shared" si="1"/>
        <v>406.41650000000004</v>
      </c>
      <c r="D25" s="218">
        <f t="shared" si="1"/>
        <v>325.30400000000009</v>
      </c>
      <c r="E25" s="218">
        <f t="shared" si="1"/>
        <v>132.72</v>
      </c>
      <c r="F25" s="218">
        <f t="shared" si="1"/>
        <v>197.82000000000005</v>
      </c>
      <c r="G25" s="218">
        <f t="shared" si="1"/>
        <v>297.83250000000004</v>
      </c>
      <c r="H25" s="218">
        <f t="shared" si="1"/>
        <v>261.74399999999997</v>
      </c>
      <c r="I25" s="219">
        <f t="shared" si="1"/>
        <v>225.28799999999998</v>
      </c>
      <c r="J25" s="217">
        <f t="shared" si="1"/>
        <v>76.313999999999993</v>
      </c>
      <c r="K25" s="218">
        <f t="shared" si="1"/>
        <v>155.06400000000002</v>
      </c>
      <c r="L25" s="218">
        <f t="shared" si="1"/>
        <v>235.71100000000001</v>
      </c>
      <c r="M25" s="178">
        <f t="shared" si="1"/>
        <v>212.38</v>
      </c>
      <c r="N25" s="220">
        <f t="shared" si="1"/>
        <v>189.89949999999999</v>
      </c>
      <c r="O25" s="218">
        <f t="shared" si="1"/>
        <v>196.17150000000004</v>
      </c>
      <c r="P25" s="218">
        <f t="shared" si="1"/>
        <v>356.47499999999997</v>
      </c>
      <c r="Q25" s="218">
        <f t="shared" si="1"/>
        <v>335.14600000000007</v>
      </c>
      <c r="R25" s="219">
        <f t="shared" si="1"/>
        <v>178.53149999999999</v>
      </c>
      <c r="S25" s="251">
        <f t="shared" si="1"/>
        <v>165.10550000000001</v>
      </c>
      <c r="T25" s="252">
        <f t="shared" si="1"/>
        <v>253.31949999999998</v>
      </c>
      <c r="U25" s="252">
        <f t="shared" si="1"/>
        <v>330.74999999999994</v>
      </c>
      <c r="V25" s="252">
        <f t="shared" si="1"/>
        <v>297.84999999999997</v>
      </c>
      <c r="W25" s="253">
        <f t="shared" si="1"/>
        <v>193.9665</v>
      </c>
      <c r="X25" s="209">
        <f>SUM(X19,X20,X21,X22,X23,X24)</f>
        <v>5214.951</v>
      </c>
    </row>
    <row r="26" spans="1:36" s="2" customFormat="1" ht="36.75" customHeight="1" x14ac:dyDescent="0.25">
      <c r="A26" s="70" t="s">
        <v>11</v>
      </c>
      <c r="B26" s="23">
        <v>74</v>
      </c>
      <c r="C26" s="63">
        <v>75.5</v>
      </c>
      <c r="D26" s="63">
        <v>78.5</v>
      </c>
      <c r="E26" s="63">
        <v>80</v>
      </c>
      <c r="F26" s="63">
        <v>78.5</v>
      </c>
      <c r="G26" s="63">
        <v>77.5</v>
      </c>
      <c r="H26" s="63">
        <v>76</v>
      </c>
      <c r="I26" s="161">
        <v>74.5</v>
      </c>
      <c r="J26" s="23">
        <v>79</v>
      </c>
      <c r="K26" s="24">
        <v>78</v>
      </c>
      <c r="L26" s="24">
        <v>75.5</v>
      </c>
      <c r="M26" s="25">
        <v>74</v>
      </c>
      <c r="N26" s="63">
        <v>80.5</v>
      </c>
      <c r="O26" s="63">
        <v>78.5</v>
      </c>
      <c r="P26" s="63">
        <v>75</v>
      </c>
      <c r="Q26" s="63">
        <v>74</v>
      </c>
      <c r="R26" s="161">
        <v>73.5</v>
      </c>
      <c r="S26" s="23">
        <v>80.5</v>
      </c>
      <c r="T26" s="63">
        <v>78.5</v>
      </c>
      <c r="U26" s="63">
        <v>75</v>
      </c>
      <c r="V26" s="63">
        <v>74</v>
      </c>
      <c r="W26" s="155">
        <v>73.5</v>
      </c>
      <c r="X26" s="210">
        <f>(((X25*1000)/7)/X27)</f>
        <v>76.167365300071566</v>
      </c>
    </row>
    <row r="27" spans="1:36" s="2" customFormat="1" ht="33" customHeight="1" x14ac:dyDescent="0.25">
      <c r="A27" s="71" t="s">
        <v>12</v>
      </c>
      <c r="B27" s="26">
        <v>369</v>
      </c>
      <c r="C27" s="27">
        <v>769</v>
      </c>
      <c r="D27" s="27">
        <v>592</v>
      </c>
      <c r="E27" s="27">
        <v>237</v>
      </c>
      <c r="F27" s="27">
        <v>360</v>
      </c>
      <c r="G27" s="27">
        <v>549</v>
      </c>
      <c r="H27" s="27">
        <v>492</v>
      </c>
      <c r="I27" s="183">
        <v>432</v>
      </c>
      <c r="J27" s="26">
        <v>138</v>
      </c>
      <c r="K27" s="27">
        <v>284</v>
      </c>
      <c r="L27" s="27">
        <v>446</v>
      </c>
      <c r="M27" s="28">
        <v>410</v>
      </c>
      <c r="N27" s="64">
        <v>337</v>
      </c>
      <c r="O27" s="27">
        <v>357</v>
      </c>
      <c r="P27" s="27">
        <v>679</v>
      </c>
      <c r="Q27" s="27">
        <v>647</v>
      </c>
      <c r="R27" s="183">
        <v>347</v>
      </c>
      <c r="S27" s="26">
        <v>293</v>
      </c>
      <c r="T27" s="27">
        <v>461</v>
      </c>
      <c r="U27" s="27">
        <v>630</v>
      </c>
      <c r="V27" s="27">
        <v>575</v>
      </c>
      <c r="W27" s="28">
        <v>377</v>
      </c>
      <c r="X27" s="211">
        <f>SUM(B27,C27,D27,E27,F27,G27,H27,I27,J27,K27,L27,M27,N27,O27,P27,Q27,R27,S27,T27,U27,V27,W27)</f>
        <v>9781</v>
      </c>
    </row>
    <row r="28" spans="1:36" s="2" customFormat="1" ht="33" customHeight="1" x14ac:dyDescent="0.25">
      <c r="A28" s="72" t="s">
        <v>13</v>
      </c>
      <c r="B28" s="30">
        <f t="shared" ref="B28:W28" si="2">(B27*B26)/1000</f>
        <v>27.306000000000001</v>
      </c>
      <c r="C28" s="31">
        <f t="shared" si="2"/>
        <v>58.0595</v>
      </c>
      <c r="D28" s="31">
        <f t="shared" si="2"/>
        <v>46.472000000000001</v>
      </c>
      <c r="E28" s="31">
        <f t="shared" si="2"/>
        <v>18.96</v>
      </c>
      <c r="F28" s="31">
        <f t="shared" si="2"/>
        <v>28.26</v>
      </c>
      <c r="G28" s="31">
        <f t="shared" si="2"/>
        <v>42.547499999999999</v>
      </c>
      <c r="H28" s="31">
        <f t="shared" si="2"/>
        <v>37.392000000000003</v>
      </c>
      <c r="I28" s="163">
        <f t="shared" si="2"/>
        <v>32.183999999999997</v>
      </c>
      <c r="J28" s="30">
        <f t="shared" si="2"/>
        <v>10.901999999999999</v>
      </c>
      <c r="K28" s="31">
        <f t="shared" si="2"/>
        <v>22.152000000000001</v>
      </c>
      <c r="L28" s="31">
        <f t="shared" si="2"/>
        <v>33.673000000000002</v>
      </c>
      <c r="M28" s="32">
        <f t="shared" si="2"/>
        <v>30.34</v>
      </c>
      <c r="N28" s="65">
        <f t="shared" si="2"/>
        <v>27.128499999999999</v>
      </c>
      <c r="O28" s="31">
        <f t="shared" si="2"/>
        <v>28.0245</v>
      </c>
      <c r="P28" s="31">
        <f t="shared" si="2"/>
        <v>50.924999999999997</v>
      </c>
      <c r="Q28" s="31">
        <f t="shared" si="2"/>
        <v>47.878</v>
      </c>
      <c r="R28" s="163">
        <f t="shared" si="2"/>
        <v>25.5045</v>
      </c>
      <c r="S28" s="30">
        <f t="shared" si="2"/>
        <v>23.586500000000001</v>
      </c>
      <c r="T28" s="31">
        <f t="shared" si="2"/>
        <v>36.188499999999998</v>
      </c>
      <c r="U28" s="31">
        <f t="shared" si="2"/>
        <v>47.25</v>
      </c>
      <c r="V28" s="31">
        <f t="shared" si="2"/>
        <v>42.55</v>
      </c>
      <c r="W28" s="32">
        <f t="shared" si="2"/>
        <v>27.709499999999998</v>
      </c>
      <c r="X28" s="212"/>
    </row>
    <row r="29" spans="1:36" ht="33.75" customHeight="1" x14ac:dyDescent="0.25">
      <c r="A29" s="73" t="s">
        <v>14</v>
      </c>
      <c r="B29" s="34">
        <f t="shared" ref="B29:W29" si="3">((B27*B26)*7)/1000</f>
        <v>191.142</v>
      </c>
      <c r="C29" s="35">
        <f t="shared" si="3"/>
        <v>406.41649999999998</v>
      </c>
      <c r="D29" s="35">
        <f t="shared" si="3"/>
        <v>325.30399999999997</v>
      </c>
      <c r="E29" s="35">
        <f t="shared" si="3"/>
        <v>132.72</v>
      </c>
      <c r="F29" s="35">
        <f t="shared" si="3"/>
        <v>197.82</v>
      </c>
      <c r="G29" s="35">
        <f t="shared" si="3"/>
        <v>297.83249999999998</v>
      </c>
      <c r="H29" s="35">
        <f t="shared" si="3"/>
        <v>261.74400000000003</v>
      </c>
      <c r="I29" s="206">
        <f t="shared" si="3"/>
        <v>225.28800000000001</v>
      </c>
      <c r="J29" s="34">
        <f t="shared" si="3"/>
        <v>76.313999999999993</v>
      </c>
      <c r="K29" s="35">
        <f t="shared" si="3"/>
        <v>155.06399999999999</v>
      </c>
      <c r="L29" s="35">
        <f t="shared" si="3"/>
        <v>235.71100000000001</v>
      </c>
      <c r="M29" s="68">
        <f t="shared" si="3"/>
        <v>212.38</v>
      </c>
      <c r="N29" s="66">
        <f t="shared" si="3"/>
        <v>189.89949999999999</v>
      </c>
      <c r="O29" s="35">
        <f t="shared" si="3"/>
        <v>196.17150000000001</v>
      </c>
      <c r="P29" s="35">
        <f t="shared" si="3"/>
        <v>356.47500000000002</v>
      </c>
      <c r="Q29" s="35">
        <f t="shared" si="3"/>
        <v>335.14600000000002</v>
      </c>
      <c r="R29" s="206">
        <f t="shared" si="3"/>
        <v>178.53149999999999</v>
      </c>
      <c r="S29" s="34">
        <f t="shared" si="3"/>
        <v>165.10550000000001</v>
      </c>
      <c r="T29" s="35">
        <f t="shared" si="3"/>
        <v>253.31950000000001</v>
      </c>
      <c r="U29" s="35">
        <f t="shared" si="3"/>
        <v>330.75</v>
      </c>
      <c r="V29" s="35">
        <f t="shared" si="3"/>
        <v>297.85000000000002</v>
      </c>
      <c r="W29" s="68">
        <f t="shared" si="3"/>
        <v>193.9665</v>
      </c>
      <c r="X29" s="213"/>
    </row>
    <row r="30" spans="1:36" ht="33.75" customHeight="1" thickBot="1" x14ac:dyDescent="0.3">
      <c r="A30" s="74" t="s">
        <v>15</v>
      </c>
      <c r="B30" s="37">
        <f>+(B25/B27)/7*1000</f>
        <v>74</v>
      </c>
      <c r="C30" s="37">
        <f t="shared" ref="C30:W30" si="4">+(C25/C27)/7*1000</f>
        <v>75.500000000000014</v>
      </c>
      <c r="D30" s="37">
        <f t="shared" si="4"/>
        <v>78.500000000000014</v>
      </c>
      <c r="E30" s="37">
        <f t="shared" si="4"/>
        <v>79.999999999999986</v>
      </c>
      <c r="F30" s="37">
        <f t="shared" si="4"/>
        <v>78.500000000000014</v>
      </c>
      <c r="G30" s="37">
        <f t="shared" si="4"/>
        <v>77.500000000000014</v>
      </c>
      <c r="H30" s="37">
        <f t="shared" si="4"/>
        <v>75.999999999999986</v>
      </c>
      <c r="I30" s="207">
        <f t="shared" si="4"/>
        <v>74.5</v>
      </c>
      <c r="J30" s="37">
        <f t="shared" si="4"/>
        <v>78.999999999999986</v>
      </c>
      <c r="K30" s="38">
        <f t="shared" si="4"/>
        <v>78</v>
      </c>
      <c r="L30" s="38">
        <f t="shared" si="4"/>
        <v>75.500000000000014</v>
      </c>
      <c r="M30" s="39">
        <f t="shared" si="4"/>
        <v>74</v>
      </c>
      <c r="N30" s="67">
        <f t="shared" si="4"/>
        <v>80.5</v>
      </c>
      <c r="O30" s="38">
        <f t="shared" si="4"/>
        <v>78.500000000000014</v>
      </c>
      <c r="P30" s="38">
        <f t="shared" si="4"/>
        <v>74.999999999999986</v>
      </c>
      <c r="Q30" s="38">
        <f t="shared" si="4"/>
        <v>74.000000000000028</v>
      </c>
      <c r="R30" s="207">
        <f t="shared" si="4"/>
        <v>73.5</v>
      </c>
      <c r="S30" s="37">
        <f t="shared" si="4"/>
        <v>80.5</v>
      </c>
      <c r="T30" s="38">
        <f t="shared" si="4"/>
        <v>78.5</v>
      </c>
      <c r="U30" s="38">
        <f t="shared" si="4"/>
        <v>74.999999999999986</v>
      </c>
      <c r="V30" s="38">
        <f t="shared" si="4"/>
        <v>73.999999999999986</v>
      </c>
      <c r="W30" s="39">
        <f t="shared" si="4"/>
        <v>73.5</v>
      </c>
      <c r="X30" s="214"/>
    </row>
    <row r="31" spans="1:36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264"/>
      <c r="O31" s="264"/>
      <c r="P31" s="264"/>
      <c r="Q31" s="264"/>
      <c r="R31" s="264"/>
      <c r="S31" s="42"/>
      <c r="T31" s="201"/>
      <c r="U31" s="201"/>
      <c r="V31" s="201"/>
      <c r="W31" s="201"/>
      <c r="X31" s="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>
        <v>41.5</v>
      </c>
      <c r="AC32" s="42"/>
      <c r="AD32" s="42"/>
      <c r="AE32" s="42"/>
      <c r="AF32" s="42"/>
      <c r="AG32" s="42"/>
      <c r="AH32" s="42"/>
      <c r="AI32" s="42"/>
      <c r="AJ32" s="41"/>
    </row>
    <row r="33" spans="1:3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2"/>
      <c r="L33" s="2"/>
      <c r="M33" s="2"/>
      <c r="N33" s="2"/>
      <c r="O33" s="2"/>
      <c r="P33" s="2"/>
      <c r="Q33" s="2"/>
      <c r="R33" s="2"/>
      <c r="S33" s="42"/>
      <c r="T33" s="42"/>
      <c r="U33" s="42"/>
      <c r="V33" s="42"/>
      <c r="W33" s="42"/>
      <c r="X33" s="42"/>
      <c r="Y33" s="42"/>
      <c r="Z33" s="42"/>
      <c r="AA33" s="42"/>
      <c r="AB33" s="42">
        <v>41</v>
      </c>
      <c r="AC33" s="42"/>
      <c r="AD33" s="42"/>
      <c r="AE33" s="42"/>
      <c r="AF33" s="42"/>
      <c r="AG33" s="42"/>
      <c r="AH33" s="42"/>
      <c r="AI33" s="42"/>
      <c r="AJ33" s="41"/>
    </row>
    <row r="34" spans="1:3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>
        <v>40.5</v>
      </c>
      <c r="AC34" s="42"/>
      <c r="AD34" s="42"/>
      <c r="AE34" s="42"/>
      <c r="AF34" s="42"/>
      <c r="AG34" s="42"/>
      <c r="AH34" s="41"/>
    </row>
    <row r="35" spans="1:36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>
        <v>40</v>
      </c>
      <c r="AC35" s="43"/>
      <c r="AD35" s="43"/>
      <c r="AE35" s="43"/>
      <c r="AF35" s="43"/>
      <c r="AG35" s="43"/>
      <c r="AH35" s="3"/>
    </row>
    <row r="36" spans="1:36" ht="33.75" customHeight="1" thickBot="1" x14ac:dyDescent="0.3">
      <c r="A36" s="69" t="s">
        <v>16</v>
      </c>
      <c r="B36" s="966" t="s">
        <v>17</v>
      </c>
      <c r="C36" s="967"/>
      <c r="D36" s="967"/>
      <c r="E36" s="967"/>
      <c r="F36" s="967"/>
      <c r="G36" s="967"/>
      <c r="H36" s="237"/>
      <c r="O36" s="44"/>
      <c r="P36" s="88" t="s">
        <v>18</v>
      </c>
      <c r="Q36" s="972" t="s">
        <v>17</v>
      </c>
      <c r="R36" s="972"/>
      <c r="S36" s="972"/>
      <c r="T36" s="972"/>
      <c r="U36" s="972"/>
      <c r="V36" s="966"/>
      <c r="W36" s="229"/>
      <c r="X36" s="45"/>
      <c r="Y36" s="45"/>
      <c r="Z36" s="46"/>
      <c r="AA36" s="3"/>
      <c r="AB36" s="45">
        <v>39.5</v>
      </c>
      <c r="AC36" s="45"/>
      <c r="AD36" s="45"/>
      <c r="AE36" s="3"/>
    </row>
    <row r="37" spans="1:36" ht="33.75" customHeight="1" thickBot="1" x14ac:dyDescent="0.3">
      <c r="A37" s="170" t="s">
        <v>34</v>
      </c>
      <c r="B37" s="141"/>
      <c r="C37" s="118"/>
      <c r="D37" s="118"/>
      <c r="E37" s="118"/>
      <c r="F37" s="118"/>
      <c r="G37" s="119"/>
      <c r="H37" s="236" t="s">
        <v>9</v>
      </c>
      <c r="I37" s="47"/>
      <c r="J37" s="47"/>
      <c r="K37" s="47"/>
      <c r="L37" s="47"/>
      <c r="M37" s="47"/>
      <c r="N37" s="970"/>
      <c r="O37" s="970"/>
      <c r="P37" s="97" t="s">
        <v>33</v>
      </c>
      <c r="Q37" s="186"/>
      <c r="R37" s="173"/>
      <c r="S37" s="173"/>
      <c r="T37" s="173"/>
      <c r="U37" s="173"/>
      <c r="V37" s="176"/>
      <c r="W37" s="261" t="s">
        <v>9</v>
      </c>
      <c r="X37" s="47"/>
      <c r="Y37" s="47"/>
      <c r="Z37" s="3"/>
      <c r="AA37" s="46"/>
      <c r="AB37" s="3">
        <v>39.5</v>
      </c>
      <c r="AC37" s="45"/>
      <c r="AD37" s="45"/>
      <c r="AE37" s="45"/>
    </row>
    <row r="38" spans="1:36" ht="33.75" customHeight="1" thickBot="1" x14ac:dyDescent="0.3">
      <c r="A38" s="170" t="s">
        <v>10</v>
      </c>
      <c r="B38" s="221">
        <v>1</v>
      </c>
      <c r="C38" s="222">
        <v>2</v>
      </c>
      <c r="D38" s="222">
        <v>3</v>
      </c>
      <c r="E38" s="222">
        <v>4</v>
      </c>
      <c r="F38" s="222">
        <v>5</v>
      </c>
      <c r="G38" s="223">
        <v>6</v>
      </c>
      <c r="H38" s="238"/>
      <c r="I38" s="47"/>
      <c r="J38" s="47"/>
      <c r="K38" s="47"/>
      <c r="L38" s="47"/>
      <c r="M38" s="47"/>
      <c r="N38" s="144"/>
      <c r="O38" s="145"/>
      <c r="P38" s="80" t="s">
        <v>10</v>
      </c>
      <c r="Q38" s="186">
        <v>1</v>
      </c>
      <c r="R38" s="174">
        <v>2</v>
      </c>
      <c r="S38" s="174">
        <v>3</v>
      </c>
      <c r="T38" s="174" t="s">
        <v>72</v>
      </c>
      <c r="U38" s="174"/>
      <c r="V38" s="203"/>
      <c r="W38" s="126"/>
      <c r="X38" s="47"/>
      <c r="Y38" s="47"/>
      <c r="Z38" s="48"/>
      <c r="AA38" s="48"/>
      <c r="AB38" s="2"/>
      <c r="AC38" s="2"/>
      <c r="AD38" s="2"/>
      <c r="AE38" s="2"/>
    </row>
    <row r="39" spans="1:36" ht="33.75" customHeight="1" x14ac:dyDescent="0.25">
      <c r="A39" s="171" t="s">
        <v>32</v>
      </c>
      <c r="B39" s="133"/>
      <c r="C39" s="134"/>
      <c r="D39" s="134"/>
      <c r="E39" s="134"/>
      <c r="F39" s="134"/>
      <c r="G39" s="156"/>
      <c r="H39" s="265">
        <f t="shared" ref="H39:H46" si="5">SUM(B39:G39)</f>
        <v>0</v>
      </c>
      <c r="I39" s="49"/>
      <c r="J39" s="49"/>
      <c r="K39" s="49"/>
      <c r="L39" s="49"/>
      <c r="M39" s="49"/>
      <c r="N39" s="144"/>
      <c r="O39" s="145"/>
      <c r="P39" s="171" t="s">
        <v>53</v>
      </c>
      <c r="Q39" s="133"/>
      <c r="R39" s="134"/>
      <c r="S39" s="134"/>
      <c r="T39" s="134"/>
      <c r="U39" s="134"/>
      <c r="V39" s="156"/>
      <c r="W39" s="136">
        <f t="shared" ref="W39:W45" si="6">SUM(Q39:V39)</f>
        <v>0</v>
      </c>
      <c r="X39" s="2"/>
      <c r="Y39" s="49"/>
      <c r="Z39" s="48"/>
      <c r="AA39" s="48"/>
      <c r="AB39" s="2"/>
      <c r="AC39" s="2"/>
      <c r="AD39" s="2"/>
      <c r="AE39" s="2"/>
    </row>
    <row r="40" spans="1:36" ht="33.75" customHeight="1" x14ac:dyDescent="0.25">
      <c r="A40" s="171" t="s">
        <v>24</v>
      </c>
      <c r="B40" s="18">
        <v>30.5</v>
      </c>
      <c r="C40" s="19">
        <v>80.3</v>
      </c>
      <c r="D40" s="19">
        <v>50.9</v>
      </c>
      <c r="E40" s="19">
        <v>36.799999999999997</v>
      </c>
      <c r="F40" s="19">
        <v>75.7</v>
      </c>
      <c r="G40" s="20">
        <v>41.4</v>
      </c>
      <c r="H40" s="136">
        <f t="shared" si="5"/>
        <v>315.59999999999997</v>
      </c>
      <c r="I40" s="49"/>
      <c r="J40" s="49"/>
      <c r="K40" s="49"/>
      <c r="L40" s="49"/>
      <c r="M40" s="49"/>
      <c r="N40" s="144"/>
      <c r="O40" s="145"/>
      <c r="P40" s="171" t="s">
        <v>24</v>
      </c>
      <c r="Q40" s="18">
        <v>9.9583750000000002</v>
      </c>
      <c r="R40" s="19">
        <v>24.454125000000001</v>
      </c>
      <c r="S40" s="19">
        <v>9.1850000000000005</v>
      </c>
      <c r="T40" s="19">
        <v>1.8320000000000001</v>
      </c>
      <c r="U40" s="19"/>
      <c r="V40" s="20"/>
      <c r="W40" s="136">
        <f t="shared" si="6"/>
        <v>45.429500000000004</v>
      </c>
      <c r="X40" s="2"/>
      <c r="Y40" s="49"/>
      <c r="Z40" s="48"/>
      <c r="AA40" s="48"/>
      <c r="AB40" s="2"/>
      <c r="AC40" s="2"/>
      <c r="AD40" s="2"/>
      <c r="AE40" s="2"/>
    </row>
    <row r="41" spans="1:36" ht="33.75" customHeight="1" x14ac:dyDescent="0.25">
      <c r="A41" s="171" t="s">
        <v>20</v>
      </c>
      <c r="B41" s="18">
        <f>((((($B$47*$B$48)/1000)*7)-$B$40)/5)</f>
        <v>26.388400000000001</v>
      </c>
      <c r="C41" s="19">
        <f>((((($C$47*$C$48)/1000)*7)-$C$40)/5)</f>
        <v>70.095299999999995</v>
      </c>
      <c r="D41" s="19">
        <f>((((($D$47*$D$48)/1000)*7)-$D$40)/5)</f>
        <v>44.799399999999999</v>
      </c>
      <c r="E41" s="19">
        <f>((((($E$47*$E$48)/1000)*7)-$E$40)/5)</f>
        <v>28.537400000000002</v>
      </c>
      <c r="F41" s="19">
        <f>((((($F$47*$F$48)/1000)*7)-$F$40)/5)</f>
        <v>59.568200000000004</v>
      </c>
      <c r="G41" s="20">
        <f>((((($G$47*$G$48)/1000)*7)-$G$40)/5)</f>
        <v>32.543999999999997</v>
      </c>
      <c r="H41" s="136">
        <f t="shared" si="5"/>
        <v>261.93269999999995</v>
      </c>
      <c r="I41" s="49"/>
      <c r="J41" s="49"/>
      <c r="K41" s="49"/>
      <c r="L41" s="49"/>
      <c r="M41" s="49"/>
      <c r="N41" s="144"/>
      <c r="O41" s="145"/>
      <c r="P41" s="171" t="s">
        <v>20</v>
      </c>
      <c r="Q41" s="18">
        <f>((((($Q$47*$Q$48)/1000)*7)-$Q$40)/5)</f>
        <v>8.6049249999999997</v>
      </c>
      <c r="R41" s="19">
        <f>((((($R$47*$R$48)/1000)*7)-$R$40)/5)</f>
        <v>20.903474999999997</v>
      </c>
      <c r="S41" s="19">
        <f>((((($S$47*$S$48)/1000)*7)-$S$40)/5)</f>
        <v>7.8509999999999991</v>
      </c>
      <c r="T41" s="19">
        <f>((((($T$47*$T$48)/1000)*7)-$T$40)/5)</f>
        <v>1.5711999999999997</v>
      </c>
      <c r="U41" s="19"/>
      <c r="V41" s="20"/>
      <c r="W41" s="136">
        <f t="shared" si="6"/>
        <v>38.930599999999991</v>
      </c>
      <c r="X41" s="2"/>
      <c r="Y41" s="49"/>
      <c r="Z41" s="48"/>
      <c r="AA41" s="48"/>
      <c r="AB41" s="2"/>
      <c r="AC41" s="2"/>
      <c r="AD41" s="2"/>
      <c r="AE41" s="2"/>
    </row>
    <row r="42" spans="1:36" ht="33.75" customHeight="1" x14ac:dyDescent="0.25">
      <c r="A42" s="171" t="s">
        <v>28</v>
      </c>
      <c r="B42" s="18">
        <f>((((($B$47*$B$48)/1000)*7)-$B$40)/5)</f>
        <v>26.388400000000001</v>
      </c>
      <c r="C42" s="19">
        <f>((((($C$47*$C$48)/1000)*7)-$C$40)/5)</f>
        <v>70.095299999999995</v>
      </c>
      <c r="D42" s="19">
        <f>((((($D$47*$D$48)/1000)*7)-$D$40)/5)</f>
        <v>44.799399999999999</v>
      </c>
      <c r="E42" s="19">
        <f>((((($E$47*$E$48)/1000)*7)-$E$40)/5)</f>
        <v>28.537400000000002</v>
      </c>
      <c r="F42" s="19">
        <f>((((($F$47*$F$48)/1000)*7)-$F$40)/5)</f>
        <v>59.568200000000004</v>
      </c>
      <c r="G42" s="20">
        <f>((((($G$47*$G$48)/1000)*7)-$G$40)/5)</f>
        <v>32.543999999999997</v>
      </c>
      <c r="H42" s="136">
        <f t="shared" si="5"/>
        <v>261.93269999999995</v>
      </c>
      <c r="I42" s="49"/>
      <c r="J42" s="49"/>
      <c r="K42" s="49"/>
      <c r="L42" s="49"/>
      <c r="M42" s="49"/>
      <c r="N42" s="144"/>
      <c r="O42" s="145"/>
      <c r="P42" s="171" t="s">
        <v>28</v>
      </c>
      <c r="Q42" s="18">
        <f>((((($Q$47*$Q$48)/1000)*7)-$Q$40)/5)</f>
        <v>8.6049249999999997</v>
      </c>
      <c r="R42" s="19">
        <f>((((($R$47*$R$48)/1000)*7)-$R$40)/5)</f>
        <v>20.903474999999997</v>
      </c>
      <c r="S42" s="19">
        <f>((((($S$47*$S$48)/1000)*7)-$S$40)/5)</f>
        <v>7.8509999999999991</v>
      </c>
      <c r="T42" s="19">
        <f>((((($T$47*$T$48)/1000)*7)-$T$40)/5)</f>
        <v>1.5711999999999997</v>
      </c>
      <c r="U42" s="19"/>
      <c r="V42" s="20"/>
      <c r="W42" s="136">
        <f t="shared" si="6"/>
        <v>38.930599999999991</v>
      </c>
      <c r="X42" s="2"/>
      <c r="Y42" s="49"/>
      <c r="Z42" s="48"/>
      <c r="AA42" s="48"/>
      <c r="AB42" s="2"/>
      <c r="AC42" s="2"/>
      <c r="AD42" s="2"/>
      <c r="AE42" s="2"/>
    </row>
    <row r="43" spans="1:36" ht="33.75" customHeight="1" x14ac:dyDescent="0.25">
      <c r="A43" s="171" t="s">
        <v>21</v>
      </c>
      <c r="B43" s="18">
        <f>((((($B$47*$B$48)/1000)*7)-$B$40)/5)</f>
        <v>26.388400000000001</v>
      </c>
      <c r="C43" s="19">
        <f>((((($C$47*$C$48)/1000)*7)-$C$40)/5)</f>
        <v>70.095299999999995</v>
      </c>
      <c r="D43" s="19">
        <f>((((($D$47*$D$48)/1000)*7)-$D$40)/5)</f>
        <v>44.799399999999999</v>
      </c>
      <c r="E43" s="19">
        <f>((((($E$47*$E$48)/1000)*7)-$E$40)/5)</f>
        <v>28.537400000000002</v>
      </c>
      <c r="F43" s="19">
        <f>((((($F$47*$F$48)/1000)*7)-$F$40)/5)</f>
        <v>59.568200000000004</v>
      </c>
      <c r="G43" s="20">
        <f>((((($G$47*$G$48)/1000)*7)-$G$40)/5)</f>
        <v>32.543999999999997</v>
      </c>
      <c r="H43" s="136">
        <f t="shared" si="5"/>
        <v>261.93269999999995</v>
      </c>
      <c r="I43" s="49"/>
      <c r="J43" s="49"/>
      <c r="K43" s="49"/>
      <c r="L43" s="49"/>
      <c r="M43" s="49"/>
      <c r="N43" s="144"/>
      <c r="O43" s="145"/>
      <c r="P43" s="171" t="s">
        <v>21</v>
      </c>
      <c r="Q43" s="18">
        <f>((((($Q$47*$Q$48)/1000)*7)-$Q$40)/5)</f>
        <v>8.6049249999999997</v>
      </c>
      <c r="R43" s="19">
        <f>((((($R$47*$R$48)/1000)*7)-$R$40)/5)</f>
        <v>20.903474999999997</v>
      </c>
      <c r="S43" s="19">
        <f>((((($S$47*$S$48)/1000)*7)-$S$40)/5)</f>
        <v>7.8509999999999991</v>
      </c>
      <c r="T43" s="19">
        <f>((((($T$47*$T$48)/1000)*7)-$T$40)/5)</f>
        <v>1.5711999999999997</v>
      </c>
      <c r="U43" s="19"/>
      <c r="V43" s="20"/>
      <c r="W43" s="136">
        <f t="shared" si="6"/>
        <v>38.930599999999991</v>
      </c>
      <c r="X43" s="2"/>
      <c r="Y43" s="49"/>
      <c r="Z43" s="48"/>
      <c r="AA43" s="48"/>
      <c r="AB43" s="2"/>
      <c r="AC43" s="2"/>
      <c r="AD43" s="2"/>
      <c r="AE43" s="2"/>
    </row>
    <row r="44" spans="1:36" ht="33.75" customHeight="1" x14ac:dyDescent="0.25">
      <c r="A44" s="171" t="s">
        <v>22</v>
      </c>
      <c r="B44" s="18">
        <f>((((($B$47*$B$48)/1000)*7)-$B$40)/5)</f>
        <v>26.388400000000001</v>
      </c>
      <c r="C44" s="19">
        <f>((((($C$47*$C$48)/1000)*7)-$C$40)/5)</f>
        <v>70.095299999999995</v>
      </c>
      <c r="D44" s="19">
        <f>((((($D$47*$D$48)/1000)*7)-$D$40)/5)</f>
        <v>44.799399999999999</v>
      </c>
      <c r="E44" s="19">
        <f>((((($E$47*$E$48)/1000)*7)-$E$40)/5)</f>
        <v>28.537400000000002</v>
      </c>
      <c r="F44" s="19">
        <f>((((($F$47*$F$48)/1000)*7)-$F$40)/5)</f>
        <v>59.568200000000004</v>
      </c>
      <c r="G44" s="20">
        <f>((((($G$47*$G$48)/1000)*7)-$G$40)/5)</f>
        <v>32.543999999999997</v>
      </c>
      <c r="H44" s="136">
        <f t="shared" si="5"/>
        <v>261.93269999999995</v>
      </c>
      <c r="I44" s="49"/>
      <c r="J44" s="49"/>
      <c r="K44" s="49"/>
      <c r="L44" s="49"/>
      <c r="M44" s="49"/>
      <c r="N44" s="144"/>
      <c r="O44" s="145"/>
      <c r="P44" s="171" t="s">
        <v>22</v>
      </c>
      <c r="Q44" s="18">
        <f>((((($Q$47*$Q$48)/1000)*7)-$Q$40)/5)</f>
        <v>8.6049249999999997</v>
      </c>
      <c r="R44" s="19">
        <f>((((($R$47*$R$48)/1000)*7)-$R$40)/5)</f>
        <v>20.903474999999997</v>
      </c>
      <c r="S44" s="19">
        <f>((((($S$47*$S$48)/1000)*7)-$S$40)/5)</f>
        <v>7.8509999999999991</v>
      </c>
      <c r="T44" s="19">
        <f>((((($T$47*$T$48)/1000)*7)-$T$40)/5)</f>
        <v>1.5711999999999997</v>
      </c>
      <c r="U44" s="19"/>
      <c r="V44" s="20"/>
      <c r="W44" s="136">
        <f t="shared" si="6"/>
        <v>38.930599999999991</v>
      </c>
      <c r="X44" s="2"/>
      <c r="Y44" s="49"/>
      <c r="Z44" s="48"/>
      <c r="AA44" s="48"/>
      <c r="AB44" s="2"/>
      <c r="AC44" s="2"/>
      <c r="AD44" s="2"/>
      <c r="AE44" s="2"/>
    </row>
    <row r="45" spans="1:36" ht="33.75" customHeight="1" thickBot="1" x14ac:dyDescent="0.3">
      <c r="A45" s="171" t="s">
        <v>23</v>
      </c>
      <c r="B45" s="153">
        <f>((((($B$47*$B$48)/1000)*7)-$B$40)/5)</f>
        <v>26.388400000000001</v>
      </c>
      <c r="C45" s="154">
        <f>((((($C$47*$C$48)/1000)*7)-$C$40)/5)</f>
        <v>70.095299999999995</v>
      </c>
      <c r="D45" s="154">
        <f>((((($D$47*$D$48)/1000)*7)-$D$40)/5)</f>
        <v>44.799399999999999</v>
      </c>
      <c r="E45" s="154">
        <f>((((($E$47*$E$48)/1000)*7)-$E$40)/5)</f>
        <v>28.537400000000002</v>
      </c>
      <c r="F45" s="154">
        <f>((((($F$47*$F$48)/1000)*7)-$F$40)/5)</f>
        <v>59.568200000000004</v>
      </c>
      <c r="G45" s="182">
        <f>((((($G$47*$G$48)/1000)*7)-$G$40)/5)</f>
        <v>32.543999999999997</v>
      </c>
      <c r="H45" s="266">
        <f t="shared" si="5"/>
        <v>261.93269999999995</v>
      </c>
      <c r="I45" s="49"/>
      <c r="J45" s="49"/>
      <c r="K45" s="49"/>
      <c r="L45" s="49"/>
      <c r="M45" s="49"/>
      <c r="N45" s="144"/>
      <c r="O45" s="145"/>
      <c r="P45" s="171" t="s">
        <v>23</v>
      </c>
      <c r="Q45" s="153">
        <f>((((($Q$47*$Q$48)/1000)*7)-$Q$40)/5)</f>
        <v>8.6049249999999997</v>
      </c>
      <c r="R45" s="154">
        <f>((((($R$47*$R$48)/1000)*7)-$R$40)/5)</f>
        <v>20.903474999999997</v>
      </c>
      <c r="S45" s="154">
        <f>((((($S$47*$S$48)/1000)*7)-$S$40)/5)</f>
        <v>7.8509999999999991</v>
      </c>
      <c r="T45" s="154">
        <f>((((($T$47*$T$48)/1000)*7)-$T$40)/5)</f>
        <v>1.5711999999999997</v>
      </c>
      <c r="U45" s="154"/>
      <c r="V45" s="182"/>
      <c r="W45" s="136">
        <f t="shared" si="6"/>
        <v>38.930599999999991</v>
      </c>
      <c r="X45" s="2"/>
      <c r="Y45" s="49"/>
      <c r="Z45" s="48"/>
      <c r="AA45" s="48"/>
      <c r="AB45" s="48"/>
      <c r="AC45" s="48"/>
      <c r="AD45" s="2"/>
      <c r="AE45" s="2"/>
      <c r="AF45" s="2"/>
      <c r="AG45" s="2"/>
    </row>
    <row r="46" spans="1:36" ht="33.75" customHeight="1" x14ac:dyDescent="0.25">
      <c r="A46" s="170" t="s">
        <v>9</v>
      </c>
      <c r="B46" s="217">
        <f t="shared" ref="B46:G46" si="7">SUM(B39:B45)</f>
        <v>162.44200000000001</v>
      </c>
      <c r="C46" s="218">
        <f t="shared" si="7"/>
        <v>430.7765</v>
      </c>
      <c r="D46" s="218">
        <f t="shared" si="7"/>
        <v>274.89699999999999</v>
      </c>
      <c r="E46" s="218">
        <f t="shared" si="7"/>
        <v>179.48699999999999</v>
      </c>
      <c r="F46" s="218">
        <f t="shared" si="7"/>
        <v>373.541</v>
      </c>
      <c r="G46" s="178">
        <f t="shared" si="7"/>
        <v>204.11999999999995</v>
      </c>
      <c r="H46" s="239">
        <f t="shared" si="5"/>
        <v>1625.2634999999998</v>
      </c>
      <c r="I46" s="49"/>
      <c r="J46" s="49"/>
      <c r="K46" s="49"/>
      <c r="L46" s="49"/>
      <c r="M46" s="49"/>
      <c r="N46" s="49"/>
      <c r="P46" s="80" t="s">
        <v>9</v>
      </c>
      <c r="Q46" s="179">
        <f>SUM(Q39:Q45)</f>
        <v>52.983000000000004</v>
      </c>
      <c r="R46" s="187">
        <f>SUM(R39:R45)</f>
        <v>128.97149999999999</v>
      </c>
      <c r="S46" s="187">
        <f>SUM(S39:S45)</f>
        <v>48.44</v>
      </c>
      <c r="T46" s="187">
        <f>SUM(T39:T45)</f>
        <v>9.6879999999999971</v>
      </c>
      <c r="U46" s="218"/>
      <c r="V46" s="219"/>
      <c r="W46" s="231">
        <f>SUM(W39,W40,W41,W42,W43,W44,W45)</f>
        <v>240.08249999999998</v>
      </c>
      <c r="X46" s="49"/>
      <c r="Y46" s="49"/>
      <c r="Z46" s="2"/>
      <c r="AA46" s="2"/>
      <c r="AB46" s="2"/>
      <c r="AC46" s="2"/>
      <c r="AD46" s="2"/>
      <c r="AE46" s="2"/>
      <c r="AF46" s="2"/>
      <c r="AG46" s="2"/>
    </row>
    <row r="47" spans="1:36" ht="33.75" customHeight="1" x14ac:dyDescent="0.25">
      <c r="A47" s="192" t="s">
        <v>11</v>
      </c>
      <c r="B47" s="23">
        <v>82</v>
      </c>
      <c r="C47" s="24">
        <v>83.5</v>
      </c>
      <c r="D47" s="24">
        <v>86.5</v>
      </c>
      <c r="E47" s="24">
        <v>77</v>
      </c>
      <c r="F47" s="24">
        <v>73</v>
      </c>
      <c r="G47" s="25">
        <v>72</v>
      </c>
      <c r="H47" s="137">
        <f>+((H46/H48)/7)*1000</f>
        <v>78.892456676860334</v>
      </c>
      <c r="I47" s="50"/>
      <c r="J47" s="50"/>
      <c r="K47" s="50"/>
      <c r="L47" s="50"/>
      <c r="M47" s="50"/>
      <c r="N47" s="49"/>
      <c r="P47" s="93" t="s">
        <v>11</v>
      </c>
      <c r="Q47" s="23">
        <v>87</v>
      </c>
      <c r="R47" s="24">
        <v>86.5</v>
      </c>
      <c r="S47" s="24">
        <v>86.5</v>
      </c>
      <c r="T47" s="24">
        <v>86.5</v>
      </c>
      <c r="U47" s="24"/>
      <c r="V47" s="228"/>
      <c r="W47" s="232">
        <f>+((W46/W48)/7)*1000</f>
        <v>86.60984848484847</v>
      </c>
      <c r="X47" s="50"/>
      <c r="Y47" s="50"/>
    </row>
    <row r="48" spans="1:36" ht="33.75" customHeight="1" x14ac:dyDescent="0.25">
      <c r="A48" s="193" t="s">
        <v>12</v>
      </c>
      <c r="B48" s="26">
        <v>283</v>
      </c>
      <c r="C48" s="27">
        <v>737</v>
      </c>
      <c r="D48" s="27">
        <v>454</v>
      </c>
      <c r="E48" s="27">
        <v>333</v>
      </c>
      <c r="F48" s="27">
        <v>731</v>
      </c>
      <c r="G48" s="28">
        <v>405</v>
      </c>
      <c r="H48" s="138">
        <f>SUM(B48:G48)</f>
        <v>2943</v>
      </c>
      <c r="I48" s="198"/>
      <c r="J48" s="198"/>
      <c r="K48" s="198"/>
      <c r="L48" s="198"/>
      <c r="M48" s="198"/>
      <c r="N48" s="49"/>
      <c r="O48" s="51"/>
      <c r="P48" s="71" t="s">
        <v>12</v>
      </c>
      <c r="Q48" s="257">
        <v>87</v>
      </c>
      <c r="R48" s="79">
        <v>213</v>
      </c>
      <c r="S48" s="79">
        <v>80</v>
      </c>
      <c r="T48" s="79">
        <v>16</v>
      </c>
      <c r="U48" s="79"/>
      <c r="V48" s="162"/>
      <c r="W48" s="233">
        <f>SUM(Q48:T48)</f>
        <v>396</v>
      </c>
      <c r="X48" s="52"/>
      <c r="Y48" s="52"/>
    </row>
    <row r="49" spans="1:37" ht="33.75" customHeight="1" x14ac:dyDescent="0.25">
      <c r="A49" s="194" t="s">
        <v>13</v>
      </c>
      <c r="B49" s="30">
        <f t="shared" ref="B49:G49" si="8">(B48*B47)/1000</f>
        <v>23.206</v>
      </c>
      <c r="C49" s="31">
        <f t="shared" si="8"/>
        <v>61.539499999999997</v>
      </c>
      <c r="D49" s="31">
        <f t="shared" si="8"/>
        <v>39.271000000000001</v>
      </c>
      <c r="E49" s="31">
        <f t="shared" si="8"/>
        <v>25.640999999999998</v>
      </c>
      <c r="F49" s="31">
        <f t="shared" si="8"/>
        <v>53.363</v>
      </c>
      <c r="G49" s="32">
        <f t="shared" si="8"/>
        <v>29.16</v>
      </c>
      <c r="H49" s="139">
        <f>((H46*1000)/H48)/7</f>
        <v>78.892456676860334</v>
      </c>
      <c r="I49" s="199"/>
      <c r="J49" s="199"/>
      <c r="K49" s="199"/>
      <c r="L49" s="199"/>
      <c r="M49" s="199"/>
      <c r="N49" s="49"/>
      <c r="P49" s="72" t="s">
        <v>13</v>
      </c>
      <c r="Q49" s="30">
        <v>87</v>
      </c>
      <c r="R49" s="65">
        <v>86.5</v>
      </c>
      <c r="S49" s="65">
        <v>86.5</v>
      </c>
      <c r="T49" s="65">
        <v>86.5</v>
      </c>
      <c r="U49" s="31"/>
      <c r="V49" s="163"/>
      <c r="W49" s="234">
        <f>((W46*1000)/W48)/7</f>
        <v>86.609848484848484</v>
      </c>
      <c r="X49" s="52"/>
      <c r="Y49" s="52"/>
    </row>
    <row r="50" spans="1:37" ht="33.75" customHeight="1" x14ac:dyDescent="0.25">
      <c r="A50" s="185" t="s">
        <v>14</v>
      </c>
      <c r="B50" s="34">
        <f t="shared" ref="B50:G50" si="9">((B48*B47)*7)/1000</f>
        <v>162.44200000000001</v>
      </c>
      <c r="C50" s="35">
        <f t="shared" si="9"/>
        <v>430.7765</v>
      </c>
      <c r="D50" s="35">
        <f t="shared" si="9"/>
        <v>274.89699999999999</v>
      </c>
      <c r="E50" s="35">
        <f t="shared" si="9"/>
        <v>179.48699999999999</v>
      </c>
      <c r="F50" s="35">
        <f t="shared" si="9"/>
        <v>373.541</v>
      </c>
      <c r="G50" s="68">
        <f t="shared" si="9"/>
        <v>204.12</v>
      </c>
      <c r="H50" s="112"/>
      <c r="I50" s="41"/>
      <c r="J50" s="41"/>
      <c r="K50" s="41"/>
      <c r="L50" s="41"/>
      <c r="M50" s="41"/>
      <c r="N50" s="49"/>
      <c r="P50" s="73" t="s">
        <v>14</v>
      </c>
      <c r="Q50" s="34">
        <f>((Q48*Q47)*7)/1000</f>
        <v>52.982999999999997</v>
      </c>
      <c r="R50" s="66">
        <f>((R48*R47)*7)/1000</f>
        <v>128.97149999999999</v>
      </c>
      <c r="S50" s="66">
        <f>((S48*S47)*7)/1000</f>
        <v>48.44</v>
      </c>
      <c r="T50" s="66">
        <f>((T48*T47)*7)/1000</f>
        <v>9.6880000000000006</v>
      </c>
      <c r="U50" s="35"/>
      <c r="V50" s="206"/>
      <c r="W50" s="213"/>
    </row>
    <row r="51" spans="1:37" ht="33.75" customHeight="1" thickBot="1" x14ac:dyDescent="0.3">
      <c r="A51" s="195" t="s">
        <v>15</v>
      </c>
      <c r="B51" s="37">
        <f t="shared" ref="B51:G51" si="10">+(B46/B48)/7*1000</f>
        <v>82</v>
      </c>
      <c r="C51" s="38">
        <f t="shared" si="10"/>
        <v>83.5</v>
      </c>
      <c r="D51" s="38">
        <f t="shared" si="10"/>
        <v>86.5</v>
      </c>
      <c r="E51" s="38">
        <f t="shared" si="10"/>
        <v>77</v>
      </c>
      <c r="F51" s="38">
        <f t="shared" si="10"/>
        <v>73</v>
      </c>
      <c r="G51" s="39">
        <f t="shared" si="10"/>
        <v>71.999999999999986</v>
      </c>
      <c r="H51" s="140"/>
      <c r="I51" s="41"/>
      <c r="J51" s="41"/>
      <c r="K51" s="41"/>
      <c r="L51" s="41"/>
      <c r="M51" s="41"/>
      <c r="N51" s="49"/>
      <c r="O51" s="41"/>
      <c r="P51" s="74" t="s">
        <v>15</v>
      </c>
      <c r="Q51" s="37">
        <f>+(Q46/Q48)/7*1000</f>
        <v>87.000000000000014</v>
      </c>
      <c r="R51" s="67">
        <f>+(R46/R48)/7*1000</f>
        <v>86.5</v>
      </c>
      <c r="S51" s="67">
        <f>+(S46/S48)/7*1000</f>
        <v>86.5</v>
      </c>
      <c r="T51" s="67">
        <f>+(T46/T48)/7*1000</f>
        <v>86.499999999999986</v>
      </c>
      <c r="U51" s="38"/>
      <c r="V51" s="207"/>
      <c r="W51" s="262"/>
      <c r="X51" s="42"/>
      <c r="Y51" s="42"/>
    </row>
    <row r="52" spans="1:37" ht="33.75" customHeight="1" x14ac:dyDescent="0.25">
      <c r="A52" s="41"/>
      <c r="B52" s="90">
        <v>82</v>
      </c>
      <c r="C52" s="90">
        <v>83.5</v>
      </c>
      <c r="D52" s="90">
        <v>86.5</v>
      </c>
      <c r="E52" s="90">
        <v>84</v>
      </c>
      <c r="F52" s="90">
        <v>79.5</v>
      </c>
      <c r="G52" s="90">
        <v>78</v>
      </c>
      <c r="H52" s="41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2"/>
      <c r="AB52" s="2"/>
      <c r="AC52" s="2"/>
      <c r="AD52" s="2"/>
      <c r="AE52" s="2"/>
    </row>
    <row r="53" spans="1:37" ht="33.75" customHeight="1" x14ac:dyDescent="0.25">
      <c r="A53" s="41"/>
      <c r="B53" s="10"/>
      <c r="C53" s="10"/>
      <c r="D53" s="10"/>
      <c r="E53" s="10"/>
      <c r="F53" s="10"/>
      <c r="G53" s="10"/>
      <c r="H53" s="41"/>
      <c r="I53" s="41"/>
      <c r="J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2"/>
      <c r="X53" s="43"/>
      <c r="Y53" s="43"/>
      <c r="Z53" s="43"/>
      <c r="AA53" s="2"/>
      <c r="AB53" s="2"/>
      <c r="AC53" s="2"/>
      <c r="AD53" s="2"/>
      <c r="AH53" s="3"/>
    </row>
    <row r="54" spans="1:37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958"/>
      <c r="P54" s="958"/>
      <c r="Q54" s="54"/>
      <c r="R54" s="54"/>
      <c r="S54" s="54"/>
      <c r="T54" s="54"/>
      <c r="U54" s="55"/>
      <c r="Z54" s="43"/>
      <c r="AA54" s="43"/>
      <c r="AB54" s="43"/>
      <c r="AC54" s="2"/>
      <c r="AD54" s="2"/>
      <c r="AE54" s="2"/>
      <c r="AF54" s="2"/>
      <c r="AH54" s="2"/>
      <c r="AI54" s="2"/>
      <c r="AJ54" s="2"/>
    </row>
    <row r="55" spans="1:37" ht="33.75" customHeight="1" thickBot="1" x14ac:dyDescent="0.3">
      <c r="A55" s="88" t="s">
        <v>19</v>
      </c>
      <c r="B55" s="972" t="s">
        <v>30</v>
      </c>
      <c r="C55" s="972"/>
      <c r="D55" s="972"/>
      <c r="E55" s="972"/>
      <c r="F55" s="966"/>
      <c r="G55" s="248"/>
      <c r="H55" s="85"/>
      <c r="I55" s="56"/>
      <c r="J55" s="56"/>
      <c r="K55" s="56"/>
      <c r="L55" s="56"/>
      <c r="M55" s="56"/>
      <c r="N55" s="56"/>
      <c r="O55" s="56"/>
      <c r="AA55" s="43"/>
      <c r="AB55" s="43"/>
      <c r="AC55" s="43"/>
      <c r="AD55" s="2"/>
      <c r="AE55" s="2"/>
      <c r="AF55" s="2"/>
      <c r="AG55" s="2"/>
      <c r="AI55" s="2"/>
      <c r="AJ55" s="2"/>
      <c r="AK55" s="2"/>
    </row>
    <row r="56" spans="1:37" ht="33.75" customHeight="1" thickBot="1" x14ac:dyDescent="0.3">
      <c r="A56" s="80" t="s">
        <v>34</v>
      </c>
      <c r="B56" s="188"/>
      <c r="C56" s="249"/>
      <c r="D56" s="249"/>
      <c r="E56" s="249"/>
      <c r="F56" s="249"/>
      <c r="G56" s="250"/>
      <c r="H56" s="13" t="s">
        <v>9</v>
      </c>
      <c r="O56" s="45"/>
      <c r="P56" s="45"/>
      <c r="Q56" s="45"/>
      <c r="R56" s="45"/>
      <c r="S56" s="57"/>
      <c r="T56" s="57"/>
      <c r="U56" s="57"/>
      <c r="V56" s="57"/>
      <c r="W56" s="45"/>
      <c r="X56" s="45"/>
      <c r="Y56" s="58"/>
      <c r="Z56" s="58"/>
      <c r="AA56" s="58"/>
      <c r="AB56" s="2"/>
      <c r="AC56" s="2"/>
      <c r="AD56" s="2"/>
      <c r="AE56" s="2"/>
      <c r="AG56" s="2"/>
      <c r="AH56" s="2"/>
      <c r="AI56" s="2"/>
    </row>
    <row r="57" spans="1:37" ht="33.75" customHeight="1" thickBot="1" x14ac:dyDescent="0.3">
      <c r="A57" s="80" t="s">
        <v>10</v>
      </c>
      <c r="B57" s="186">
        <v>1</v>
      </c>
      <c r="C57" s="174">
        <v>2</v>
      </c>
      <c r="D57" s="174">
        <v>3</v>
      </c>
      <c r="E57" s="174">
        <v>4</v>
      </c>
      <c r="F57" s="174">
        <v>5</v>
      </c>
      <c r="G57" s="175" t="s">
        <v>74</v>
      </c>
      <c r="H57" s="13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57"/>
      <c r="T57" s="57"/>
      <c r="U57" s="57"/>
      <c r="V57" s="57"/>
      <c r="W57" s="45"/>
      <c r="X57" s="45"/>
      <c r="Y57" s="58"/>
      <c r="Z57" s="58"/>
      <c r="AA57" s="58"/>
      <c r="AB57" s="2"/>
      <c r="AC57" s="2"/>
      <c r="AD57" s="2"/>
      <c r="AE57" s="2"/>
      <c r="AF57" s="2"/>
      <c r="AG57" s="2"/>
      <c r="AH57" s="2"/>
      <c r="AI57" s="2"/>
    </row>
    <row r="58" spans="1:37" ht="33.75" customHeight="1" x14ac:dyDescent="0.25">
      <c r="A58" s="171" t="s">
        <v>53</v>
      </c>
      <c r="B58" s="133"/>
      <c r="C58" s="134"/>
      <c r="D58" s="134"/>
      <c r="E58" s="134"/>
      <c r="F58" s="134"/>
      <c r="G58" s="156"/>
      <c r="H58" s="136">
        <f>SUM(B58:F58)</f>
        <v>0</v>
      </c>
      <c r="I58" s="42"/>
      <c r="J58" s="42"/>
      <c r="K58" s="42"/>
      <c r="L58" s="42"/>
      <c r="M58" s="42"/>
      <c r="N58" s="42"/>
      <c r="O58" s="2"/>
      <c r="P58" s="45"/>
      <c r="Q58" s="45"/>
      <c r="R58" s="45"/>
      <c r="S58" s="57"/>
      <c r="T58" s="57"/>
      <c r="U58" s="57"/>
      <c r="V58" s="57"/>
      <c r="W58" s="45"/>
      <c r="X58" s="45"/>
      <c r="Y58" s="58"/>
      <c r="Z58" s="58"/>
      <c r="AA58" s="58"/>
      <c r="AB58" s="2"/>
      <c r="AC58" s="2"/>
      <c r="AD58" s="2"/>
      <c r="AE58" s="2"/>
      <c r="AF58" s="2"/>
      <c r="AG58" s="2"/>
      <c r="AH58" s="2"/>
      <c r="AI58" s="2"/>
    </row>
    <row r="59" spans="1:37" ht="33.75" customHeight="1" x14ac:dyDescent="0.25">
      <c r="A59" s="171" t="s">
        <v>24</v>
      </c>
      <c r="B59" s="18">
        <v>12.5</v>
      </c>
      <c r="C59" s="19">
        <v>19.600000000000001</v>
      </c>
      <c r="D59" s="19">
        <v>27.8</v>
      </c>
      <c r="E59" s="19">
        <v>40.5</v>
      </c>
      <c r="F59" s="19">
        <v>47.3</v>
      </c>
      <c r="G59" s="20">
        <v>10.8</v>
      </c>
      <c r="H59" s="136">
        <f>SUM(B59:G59)</f>
        <v>158.5</v>
      </c>
      <c r="I59" s="42"/>
      <c r="J59" s="42"/>
      <c r="K59" s="42"/>
      <c r="L59" s="42"/>
      <c r="M59" s="42"/>
      <c r="N59" s="42"/>
      <c r="O59" s="2"/>
      <c r="P59" s="45"/>
      <c r="Q59" s="45"/>
      <c r="R59" s="45"/>
      <c r="S59" s="57"/>
      <c r="T59" s="57"/>
      <c r="U59" s="57"/>
      <c r="V59" s="57"/>
      <c r="W59" s="45"/>
      <c r="X59" s="45"/>
      <c r="Y59" s="58"/>
      <c r="Z59" s="58"/>
      <c r="AA59" s="58"/>
      <c r="AB59" s="2"/>
      <c r="AC59" s="2"/>
      <c r="AD59" s="2"/>
      <c r="AE59" s="2"/>
      <c r="AF59" s="2"/>
      <c r="AG59" s="2"/>
      <c r="AH59" s="2"/>
      <c r="AI59" s="2"/>
    </row>
    <row r="60" spans="1:37" ht="33.75" customHeight="1" x14ac:dyDescent="0.25">
      <c r="A60" s="171" t="s">
        <v>20</v>
      </c>
      <c r="B60" s="18">
        <f>((((($B$66*$B$67)/1000)*7)-$B$59)/5)</f>
        <v>10.405899999999999</v>
      </c>
      <c r="C60" s="19">
        <f>((((($C$66*$C$67)/1000)*7)-$C$59)/5)</f>
        <v>16.378599999999999</v>
      </c>
      <c r="D60" s="19">
        <f>((((($D$66*$D$67)/1000)*7)-$D$59)/5)</f>
        <v>23.3843</v>
      </c>
      <c r="E60" s="19">
        <f>((((($E$66*$E$67)/1000)*7)-$E$59)/5)</f>
        <v>34.000799999999998</v>
      </c>
      <c r="F60" s="19">
        <f>((((($F$66*$F$67)/1000)*7)-$F$59)/5)</f>
        <v>39.782899999999998</v>
      </c>
      <c r="G60" s="20">
        <f>((((($G$66*$G$67)/1000)*7)-$G$59)/5)</f>
        <v>9.1169999999999991</v>
      </c>
      <c r="H60" s="136">
        <f>SUM(B60:F60)</f>
        <v>123.9525</v>
      </c>
      <c r="I60" s="42"/>
      <c r="J60" s="42"/>
      <c r="K60" s="42"/>
      <c r="L60" s="42"/>
      <c r="M60" s="42"/>
      <c r="N60" s="42"/>
      <c r="O60" s="2"/>
      <c r="P60" s="45"/>
      <c r="Q60" s="45"/>
      <c r="R60" s="45"/>
      <c r="S60" s="57"/>
      <c r="T60" s="57"/>
      <c r="U60" s="57"/>
      <c r="V60" s="57"/>
      <c r="W60" s="45"/>
      <c r="X60" s="45"/>
      <c r="Y60" s="58"/>
      <c r="Z60" s="58"/>
      <c r="AA60" s="58"/>
      <c r="AB60" s="2"/>
      <c r="AC60" s="2"/>
      <c r="AD60" s="2"/>
      <c r="AE60" s="2"/>
      <c r="AF60" s="2"/>
      <c r="AG60" s="2"/>
      <c r="AH60" s="2"/>
      <c r="AI60" s="2"/>
    </row>
    <row r="61" spans="1:37" ht="33.75" customHeight="1" x14ac:dyDescent="0.25">
      <c r="A61" s="171" t="s">
        <v>28</v>
      </c>
      <c r="B61" s="18">
        <f>((((($B$66*$B$67)/1000)*7)-$B$59)/5)</f>
        <v>10.405899999999999</v>
      </c>
      <c r="C61" s="19">
        <f>((((($C$66*$C$67)/1000)*7)-$C$59)/5)</f>
        <v>16.378599999999999</v>
      </c>
      <c r="D61" s="19">
        <f>((((($D$66*$D$67)/1000)*7)-$D$59)/5)</f>
        <v>23.3843</v>
      </c>
      <c r="E61" s="19">
        <f>((((($E$66*$E$67)/1000)*7)-$E$59)/5)</f>
        <v>34.000799999999998</v>
      </c>
      <c r="F61" s="19">
        <f>((((($F$66*$F$67)/1000)*7)-$F$59)/5)</f>
        <v>39.782899999999998</v>
      </c>
      <c r="G61" s="20">
        <f>((((($G$66*$G$67)/1000)*7)-$G$59)/5)</f>
        <v>9.1169999999999991</v>
      </c>
      <c r="H61" s="136">
        <f>SUM(B61:F61)</f>
        <v>123.9525</v>
      </c>
      <c r="I61" s="42"/>
      <c r="J61" s="42"/>
      <c r="K61" s="42"/>
      <c r="L61" s="42"/>
      <c r="M61" s="42"/>
      <c r="N61" s="42"/>
      <c r="O61" s="2"/>
      <c r="P61" s="45"/>
      <c r="Q61" s="45"/>
      <c r="R61" s="45"/>
      <c r="S61" s="57"/>
      <c r="T61" s="57"/>
      <c r="U61" s="57"/>
      <c r="V61" s="57"/>
      <c r="W61" s="45"/>
      <c r="X61" s="45"/>
      <c r="Y61" s="58"/>
      <c r="Z61" s="58"/>
      <c r="AA61" s="58"/>
      <c r="AB61" s="3"/>
      <c r="AC61" s="3"/>
      <c r="AD61" s="2"/>
      <c r="AE61" s="2"/>
      <c r="AF61" s="2"/>
      <c r="AG61" s="2"/>
      <c r="AH61" s="2"/>
      <c r="AI61" s="2"/>
    </row>
    <row r="62" spans="1:37" ht="33.75" customHeight="1" x14ac:dyDescent="0.25">
      <c r="A62" s="171" t="s">
        <v>21</v>
      </c>
      <c r="B62" s="18">
        <f>((((($B$66*$B$67)/1000)*7)-$B$59)/5)</f>
        <v>10.405899999999999</v>
      </c>
      <c r="C62" s="19">
        <f>((((($C$66*$C$67)/1000)*7)-$C$59)/5)</f>
        <v>16.378599999999999</v>
      </c>
      <c r="D62" s="19">
        <f>((((($D$66*$D$67)/1000)*7)-$D$59)/5)</f>
        <v>23.3843</v>
      </c>
      <c r="E62" s="19">
        <f>((((($E$66*$E$67)/1000)*7)-$E$59)/5)</f>
        <v>34.000799999999998</v>
      </c>
      <c r="F62" s="19">
        <f>((((($F$66*$F$67)/1000)*7)-$F$59)/5)</f>
        <v>39.782899999999998</v>
      </c>
      <c r="G62" s="20">
        <f>((((($G$66*$G$67)/1000)*7)-$G$59)/5)</f>
        <v>9.1169999999999991</v>
      </c>
      <c r="H62" s="136">
        <f>SUM(B62:F62)</f>
        <v>123.9525</v>
      </c>
      <c r="I62" s="42"/>
      <c r="J62" s="42"/>
      <c r="K62" s="42"/>
      <c r="L62" s="42"/>
      <c r="M62" s="42"/>
      <c r="N62" s="42"/>
      <c r="O62" s="2"/>
      <c r="P62" s="45"/>
      <c r="Q62" s="45"/>
      <c r="R62" s="45"/>
      <c r="S62" s="57"/>
      <c r="T62" s="57"/>
      <c r="U62" s="57"/>
      <c r="V62" s="57"/>
      <c r="W62" s="45"/>
      <c r="X62" s="45"/>
      <c r="Y62" s="58"/>
      <c r="Z62" s="58"/>
      <c r="AA62" s="58"/>
      <c r="AB62" s="3"/>
      <c r="AC62" s="3"/>
      <c r="AD62" s="2"/>
      <c r="AE62" s="2"/>
      <c r="AF62" s="2"/>
      <c r="AG62" s="2"/>
      <c r="AH62" s="2"/>
      <c r="AI62" s="2"/>
    </row>
    <row r="63" spans="1:37" ht="33.75" customHeight="1" x14ac:dyDescent="0.25">
      <c r="A63" s="171" t="s">
        <v>22</v>
      </c>
      <c r="B63" s="18">
        <f>((((($B$66*$B$67)/1000)*7)-$B$59)/5)</f>
        <v>10.405899999999999</v>
      </c>
      <c r="C63" s="19">
        <f>((((($C$66*$C$67)/1000)*7)-$C$59)/5)</f>
        <v>16.378599999999999</v>
      </c>
      <c r="D63" s="19">
        <f>((((($D$66*$D$67)/1000)*7)-$D$59)/5)</f>
        <v>23.3843</v>
      </c>
      <c r="E63" s="19">
        <f>((((($E$66*$E$67)/1000)*7)-$E$59)/5)</f>
        <v>34.000799999999998</v>
      </c>
      <c r="F63" s="19">
        <f>((((($F$66*$F$67)/1000)*7)-$F$59)/5)</f>
        <v>39.782899999999998</v>
      </c>
      <c r="G63" s="20">
        <f>((((($G$66*$G$67)/1000)*7)-$G$59)/5)</f>
        <v>9.1169999999999991</v>
      </c>
      <c r="H63" s="136">
        <f>SUM(B63:F63)</f>
        <v>123.9525</v>
      </c>
      <c r="I63" s="42"/>
      <c r="J63" s="42"/>
      <c r="K63" s="42"/>
      <c r="L63" s="42"/>
      <c r="M63" s="42"/>
      <c r="N63" s="42"/>
      <c r="O63" s="2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3"/>
      <c r="AC63" s="3"/>
      <c r="AF63" s="2"/>
      <c r="AG63" s="2"/>
      <c r="AH63" s="2"/>
      <c r="AI63" s="2"/>
    </row>
    <row r="64" spans="1:37" ht="33.75" customHeight="1" thickBot="1" x14ac:dyDescent="0.3">
      <c r="A64" s="171" t="s">
        <v>23</v>
      </c>
      <c r="B64" s="153">
        <f>((((($B$66*$B$67)/1000)*7)-$B$59)/5)</f>
        <v>10.405899999999999</v>
      </c>
      <c r="C64" s="154">
        <f>((((($C$66*$C$67)/1000)*7)-$C$59)/5)</f>
        <v>16.378599999999999</v>
      </c>
      <c r="D64" s="154">
        <f>((((($D$66*$D$67)/1000)*7)-$D$59)/5)</f>
        <v>23.3843</v>
      </c>
      <c r="E64" s="154">
        <f>((((($E$66*$E$67)/1000)*7)-$E$59)/5)</f>
        <v>34.000799999999998</v>
      </c>
      <c r="F64" s="154">
        <f>((((($F$66*$F$67)/1000)*7)-$F$59)/5)</f>
        <v>39.782899999999998</v>
      </c>
      <c r="G64" s="182">
        <f>((((($G$66*$G$67)/1000)*7)-$G$59)/5)</f>
        <v>9.1169999999999991</v>
      </c>
      <c r="H64" s="136">
        <f>SUM(B64:F64)</f>
        <v>123.9525</v>
      </c>
      <c r="I64" s="42"/>
      <c r="J64" s="42"/>
      <c r="K64" s="42"/>
      <c r="L64" s="42"/>
      <c r="M64" s="42"/>
      <c r="N64" s="42"/>
      <c r="O64" s="2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3"/>
      <c r="AC64" s="3"/>
      <c r="AF64" s="2"/>
      <c r="AG64" s="2"/>
      <c r="AH64" s="2"/>
      <c r="AI64" s="2"/>
    </row>
    <row r="65" spans="1:35" ht="33.75" customHeight="1" x14ac:dyDescent="0.25">
      <c r="A65" s="80" t="s">
        <v>9</v>
      </c>
      <c r="B65" s="217">
        <f>SUM(B58:B64)</f>
        <v>64.529499999999999</v>
      </c>
      <c r="C65" s="220">
        <f>SUM(C58:C64)</f>
        <v>101.49299999999999</v>
      </c>
      <c r="D65" s="220">
        <f>SUM(D58:D64)</f>
        <v>144.72149999999999</v>
      </c>
      <c r="E65" s="220">
        <f>SUM(E58:E64)</f>
        <v>210.50399999999999</v>
      </c>
      <c r="F65" s="220">
        <f>SUM(F58:F64)</f>
        <v>246.21449999999999</v>
      </c>
      <c r="G65" s="267">
        <f>SUM(G59:G64)</f>
        <v>56.384999999999991</v>
      </c>
      <c r="H65" s="136">
        <f>SUM(B65:G65)</f>
        <v>823.84749999999985</v>
      </c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3"/>
      <c r="AC65" s="3"/>
      <c r="AD65" s="3"/>
      <c r="AE65" s="3"/>
      <c r="AF65" s="2"/>
      <c r="AG65" s="2"/>
      <c r="AH65" s="2"/>
      <c r="AI65" s="2"/>
    </row>
    <row r="66" spans="1:35" ht="33.75" customHeight="1" x14ac:dyDescent="0.25">
      <c r="A66" s="70" t="s">
        <v>11</v>
      </c>
      <c r="B66" s="23">
        <v>89.5</v>
      </c>
      <c r="C66" s="63">
        <v>89.5</v>
      </c>
      <c r="D66" s="63">
        <v>89.5</v>
      </c>
      <c r="E66" s="63">
        <v>89.5</v>
      </c>
      <c r="F66" s="63">
        <v>89.5</v>
      </c>
      <c r="G66" s="155">
        <v>89.5</v>
      </c>
      <c r="H66" s="137">
        <f>+((H65/H67)/7)*1000</f>
        <v>89.499999999999986</v>
      </c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3"/>
      <c r="AC66" s="3"/>
      <c r="AD66" s="3"/>
      <c r="AE66" s="3"/>
      <c r="AF66" s="2"/>
      <c r="AG66" s="2"/>
      <c r="AH66" s="2"/>
      <c r="AI66" s="2"/>
    </row>
    <row r="67" spans="1:35" ht="33.75" customHeight="1" x14ac:dyDescent="0.25">
      <c r="A67" s="71" t="s">
        <v>12</v>
      </c>
      <c r="B67" s="257">
        <v>103</v>
      </c>
      <c r="C67" s="79">
        <v>162</v>
      </c>
      <c r="D67" s="79">
        <v>231</v>
      </c>
      <c r="E67" s="79">
        <v>336</v>
      </c>
      <c r="F67" s="79">
        <v>393</v>
      </c>
      <c r="G67" s="258">
        <v>90</v>
      </c>
      <c r="H67" s="254">
        <f>SUM(B67:G67)</f>
        <v>1315</v>
      </c>
      <c r="O67" s="59"/>
      <c r="S67" s="3"/>
      <c r="T67" s="3"/>
      <c r="U67" s="3"/>
      <c r="V67" s="3"/>
      <c r="W67" s="3"/>
      <c r="X67" s="3"/>
    </row>
    <row r="68" spans="1:35" ht="33.75" customHeight="1" x14ac:dyDescent="0.25">
      <c r="A68" s="72" t="s">
        <v>13</v>
      </c>
      <c r="B68" s="30">
        <v>83.71</v>
      </c>
      <c r="C68" s="31">
        <f>(C67*C66)/1000</f>
        <v>14.499000000000001</v>
      </c>
      <c r="D68" s="31">
        <f>(D67*D66)/1000</f>
        <v>20.674499999999998</v>
      </c>
      <c r="E68" s="31">
        <f>(E67*E66)/1000</f>
        <v>30.071999999999999</v>
      </c>
      <c r="F68" s="31">
        <f>(F67*F66)/1000</f>
        <v>35.173499999999997</v>
      </c>
      <c r="G68" s="31">
        <f>(G67*G66)/1000</f>
        <v>8.0549999999999997</v>
      </c>
      <c r="H68" s="255">
        <f>((H65*1000)/H67)/7</f>
        <v>89.499999999999986</v>
      </c>
      <c r="S68" s="3"/>
      <c r="T68" s="3"/>
      <c r="U68" s="3"/>
      <c r="V68" s="3"/>
      <c r="W68" s="3"/>
      <c r="X68" s="3"/>
    </row>
    <row r="69" spans="1:35" ht="33.75" customHeight="1" x14ac:dyDescent="0.25">
      <c r="A69" s="73" t="s">
        <v>14</v>
      </c>
      <c r="B69" s="34">
        <f t="shared" ref="B69:G69" si="11">((B67*B66)*7)/1000</f>
        <v>64.529499999999999</v>
      </c>
      <c r="C69" s="35">
        <f t="shared" si="11"/>
        <v>101.49299999999999</v>
      </c>
      <c r="D69" s="35">
        <f t="shared" si="11"/>
        <v>144.72149999999999</v>
      </c>
      <c r="E69" s="35">
        <f t="shared" si="11"/>
        <v>210.50399999999999</v>
      </c>
      <c r="F69" s="35">
        <f t="shared" si="11"/>
        <v>246.21449999999999</v>
      </c>
      <c r="G69" s="35">
        <f t="shared" si="11"/>
        <v>56.384999999999998</v>
      </c>
      <c r="H69" s="112"/>
      <c r="I69" s="41"/>
      <c r="J69" s="41"/>
      <c r="K69" s="41"/>
      <c r="L69" s="41"/>
      <c r="M69" s="41"/>
      <c r="N69" s="41"/>
      <c r="X69" s="3"/>
    </row>
    <row r="70" spans="1:35" ht="33.75" customHeight="1" thickBot="1" x14ac:dyDescent="0.3">
      <c r="A70" s="74" t="s">
        <v>15</v>
      </c>
      <c r="B70" s="37">
        <f t="shared" ref="B70:G70" si="12">+(B65/B67)/7*1000</f>
        <v>89.5</v>
      </c>
      <c r="C70" s="67">
        <f t="shared" si="12"/>
        <v>89.5</v>
      </c>
      <c r="D70" s="67">
        <f t="shared" si="12"/>
        <v>89.5</v>
      </c>
      <c r="E70" s="67">
        <f t="shared" si="12"/>
        <v>89.5</v>
      </c>
      <c r="F70" s="67">
        <f t="shared" si="12"/>
        <v>89.5</v>
      </c>
      <c r="G70" s="67">
        <f t="shared" si="12"/>
        <v>89.5</v>
      </c>
      <c r="H70" s="40"/>
      <c r="X70" s="3"/>
    </row>
    <row r="71" spans="1:35" ht="33.75" customHeight="1" x14ac:dyDescent="0.25">
      <c r="B71" s="148"/>
    </row>
    <row r="72" spans="1:35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52"/>
    </row>
    <row r="73" spans="1:35" ht="33.75" customHeight="1" x14ac:dyDescent="0.25"/>
    <row r="74" spans="1:35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  <c r="M74" s="45"/>
      <c r="N74" s="45"/>
      <c r="O74" s="45"/>
    </row>
    <row r="75" spans="1:35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5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5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5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5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G36"/>
    <mergeCell ref="Q36:V36"/>
    <mergeCell ref="N37:O37"/>
    <mergeCell ref="O54:P54"/>
    <mergeCell ref="B55:F55"/>
    <mergeCell ref="A3:C3"/>
    <mergeCell ref="E9:G9"/>
    <mergeCell ref="X9:Y9"/>
    <mergeCell ref="P11:Q11"/>
    <mergeCell ref="B15:I15"/>
    <mergeCell ref="J15:M15"/>
    <mergeCell ref="N15:R15"/>
    <mergeCell ref="S15:X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K239"/>
  <sheetViews>
    <sheetView workbookViewId="0"/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6" width="21.28515625" style="14" bestFit="1" customWidth="1"/>
    <col min="7" max="7" width="28.42578125" style="14" customWidth="1"/>
    <col min="8" max="8" width="29.140625" style="14" customWidth="1"/>
    <col min="9" max="13" width="20.140625" style="14" customWidth="1"/>
    <col min="14" max="14" width="28.28515625" style="14" bestFit="1" customWidth="1"/>
    <col min="15" max="16" width="33.42578125" style="14" bestFit="1" customWidth="1"/>
    <col min="17" max="17" width="22.7109375" style="14" customWidth="1"/>
    <col min="18" max="19" width="21.28515625" style="14" customWidth="1"/>
    <col min="20" max="20" width="28" style="14" customWidth="1"/>
    <col min="21" max="21" width="21.28515625" style="14" bestFit="1" customWidth="1"/>
    <col min="22" max="22" width="21.28515625" style="14" customWidth="1"/>
    <col min="23" max="23" width="27.85546875" style="14" customWidth="1"/>
    <col min="24" max="24" width="25.85546875" style="14" customWidth="1"/>
    <col min="25" max="25" width="21.42578125" style="14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 t="s">
        <v>3</v>
      </c>
      <c r="X9" s="960" t="s">
        <v>35</v>
      </c>
      <c r="Y9" s="960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65" t="s">
        <v>75</v>
      </c>
      <c r="Q11" s="965"/>
      <c r="R11" s="6"/>
      <c r="S11" s="6"/>
      <c r="T11" s="6"/>
      <c r="U11" s="1"/>
      <c r="V11" s="1"/>
      <c r="W11" s="1" t="s">
        <v>6</v>
      </c>
      <c r="X11" s="95">
        <v>45448</v>
      </c>
      <c r="Y11" s="6"/>
      <c r="Z11" s="6"/>
      <c r="AA11" s="6"/>
      <c r="AB11" s="6"/>
      <c r="AC11" s="6"/>
      <c r="AD11" s="6"/>
      <c r="AE11" s="1"/>
      <c r="AF11" s="1"/>
      <c r="AG11" s="1"/>
      <c r="AH11" s="1"/>
      <c r="AI11" s="1"/>
      <c r="AJ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1"/>
      <c r="AD13" s="1"/>
      <c r="AE13" s="1"/>
    </row>
    <row r="14" spans="1:3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1"/>
      <c r="AE14" s="1"/>
      <c r="AF14" s="1"/>
    </row>
    <row r="15" spans="1:36" s="10" customFormat="1" ht="36" thickBot="1" x14ac:dyDescent="0.3">
      <c r="A15" s="69" t="s">
        <v>7</v>
      </c>
      <c r="B15" s="971" t="s">
        <v>8</v>
      </c>
      <c r="C15" s="968"/>
      <c r="D15" s="968"/>
      <c r="E15" s="968"/>
      <c r="F15" s="968"/>
      <c r="G15" s="968"/>
      <c r="H15" s="968"/>
      <c r="I15" s="968"/>
      <c r="J15" s="971" t="s">
        <v>30</v>
      </c>
      <c r="K15" s="968"/>
      <c r="L15" s="968"/>
      <c r="M15" s="969"/>
      <c r="N15" s="971" t="s">
        <v>29</v>
      </c>
      <c r="O15" s="968"/>
      <c r="P15" s="968"/>
      <c r="Q15" s="968"/>
      <c r="R15" s="969"/>
      <c r="S15" s="962" t="s">
        <v>31</v>
      </c>
      <c r="T15" s="963"/>
      <c r="U15" s="963"/>
      <c r="V15" s="963"/>
      <c r="W15" s="963"/>
      <c r="X15" s="964"/>
    </row>
    <row r="16" spans="1:36" ht="39.950000000000003" customHeight="1" thickBot="1" x14ac:dyDescent="0.3">
      <c r="A16" s="80" t="s">
        <v>34</v>
      </c>
      <c r="B16" s="186">
        <v>4</v>
      </c>
      <c r="C16" s="174">
        <v>3</v>
      </c>
      <c r="D16" s="174">
        <v>2</v>
      </c>
      <c r="E16" s="174">
        <v>1</v>
      </c>
      <c r="F16" s="174">
        <v>1</v>
      </c>
      <c r="G16" s="174">
        <v>2</v>
      </c>
      <c r="H16" s="174">
        <v>3</v>
      </c>
      <c r="I16" s="175">
        <v>4</v>
      </c>
      <c r="J16" s="186">
        <v>1</v>
      </c>
      <c r="K16" s="174">
        <v>2</v>
      </c>
      <c r="L16" s="174">
        <v>3</v>
      </c>
      <c r="M16" s="175">
        <v>4</v>
      </c>
      <c r="N16" s="202">
        <v>1</v>
      </c>
      <c r="O16" s="174">
        <v>2</v>
      </c>
      <c r="P16" s="174">
        <v>3</v>
      </c>
      <c r="Q16" s="174">
        <v>4</v>
      </c>
      <c r="R16" s="203">
        <v>5</v>
      </c>
      <c r="S16" s="186">
        <v>1</v>
      </c>
      <c r="T16" s="174">
        <v>2</v>
      </c>
      <c r="U16" s="174">
        <v>3</v>
      </c>
      <c r="V16" s="174">
        <v>4</v>
      </c>
      <c r="W16" s="175">
        <v>5</v>
      </c>
      <c r="X16" s="126" t="s">
        <v>9</v>
      </c>
      <c r="AB16" s="15"/>
      <c r="AC16" s="15"/>
    </row>
    <row r="17" spans="1:36" ht="39.950000000000003" customHeight="1" thickBot="1" x14ac:dyDescent="0.3">
      <c r="A17" s="80" t="s">
        <v>10</v>
      </c>
      <c r="B17" s="186">
        <v>1</v>
      </c>
      <c r="C17" s="174">
        <v>2</v>
      </c>
      <c r="D17" s="174">
        <v>3</v>
      </c>
      <c r="E17" s="174">
        <v>4</v>
      </c>
      <c r="F17" s="174">
        <v>5</v>
      </c>
      <c r="G17" s="174">
        <v>6</v>
      </c>
      <c r="H17" s="174">
        <v>7</v>
      </c>
      <c r="I17" s="175">
        <v>8</v>
      </c>
      <c r="J17" s="186">
        <v>1</v>
      </c>
      <c r="K17" s="174">
        <v>2</v>
      </c>
      <c r="L17" s="174">
        <v>3</v>
      </c>
      <c r="M17" s="175">
        <v>4</v>
      </c>
      <c r="N17" s="202">
        <v>1</v>
      </c>
      <c r="O17" s="174">
        <v>2</v>
      </c>
      <c r="P17" s="174">
        <v>3</v>
      </c>
      <c r="Q17" s="174">
        <v>4</v>
      </c>
      <c r="R17" s="203">
        <v>5</v>
      </c>
      <c r="S17" s="186">
        <v>1</v>
      </c>
      <c r="T17" s="174">
        <v>2</v>
      </c>
      <c r="U17" s="174">
        <v>3</v>
      </c>
      <c r="V17" s="174">
        <v>4</v>
      </c>
      <c r="W17" s="175">
        <v>5</v>
      </c>
      <c r="X17" s="208"/>
      <c r="AB17" s="2"/>
      <c r="AC17" s="15"/>
    </row>
    <row r="18" spans="1:36" ht="39.950000000000003" customHeight="1" x14ac:dyDescent="0.25">
      <c r="A18" s="171" t="s">
        <v>53</v>
      </c>
      <c r="B18" s="133">
        <v>31.3</v>
      </c>
      <c r="C18" s="134">
        <v>65.3</v>
      </c>
      <c r="D18" s="134">
        <v>54.2</v>
      </c>
      <c r="E18" s="134">
        <v>22.1</v>
      </c>
      <c r="F18" s="134">
        <v>31.4</v>
      </c>
      <c r="G18" s="134">
        <v>48.8</v>
      </c>
      <c r="H18" s="134">
        <v>43.6</v>
      </c>
      <c r="I18" s="156">
        <v>36.9</v>
      </c>
      <c r="J18" s="133">
        <v>11.4</v>
      </c>
      <c r="K18" s="134">
        <v>24.1</v>
      </c>
      <c r="L18" s="134">
        <v>39.5</v>
      </c>
      <c r="M18" s="156">
        <v>35.799999999999997</v>
      </c>
      <c r="N18" s="133">
        <v>30</v>
      </c>
      <c r="O18" s="134">
        <v>28.8</v>
      </c>
      <c r="P18" s="134">
        <v>59</v>
      </c>
      <c r="Q18" s="134">
        <v>56.7</v>
      </c>
      <c r="R18" s="156">
        <v>30</v>
      </c>
      <c r="S18" s="133">
        <v>26.6</v>
      </c>
      <c r="T18" s="134">
        <v>40.799999999999997</v>
      </c>
      <c r="U18" s="134">
        <v>53.4</v>
      </c>
      <c r="V18" s="134">
        <v>48</v>
      </c>
      <c r="W18" s="156">
        <v>31.2</v>
      </c>
      <c r="X18" s="98">
        <f>SUM(B18:W18)</f>
        <v>848.90000000000009</v>
      </c>
      <c r="AB18" s="2"/>
      <c r="AC18" s="15"/>
    </row>
    <row r="19" spans="1:36" ht="39.950000000000003" customHeight="1" x14ac:dyDescent="0.25">
      <c r="A19" s="171" t="s">
        <v>24</v>
      </c>
      <c r="B19" s="18">
        <v>31.3</v>
      </c>
      <c r="C19" s="19">
        <v>65.3</v>
      </c>
      <c r="D19" s="19">
        <v>54.2</v>
      </c>
      <c r="E19" s="19">
        <v>22.1</v>
      </c>
      <c r="F19" s="19">
        <v>31.4</v>
      </c>
      <c r="G19" s="19">
        <v>48.8</v>
      </c>
      <c r="H19" s="19">
        <v>43.6</v>
      </c>
      <c r="I19" s="20">
        <v>36.9</v>
      </c>
      <c r="J19" s="18">
        <v>11.4</v>
      </c>
      <c r="K19" s="19">
        <v>24.1</v>
      </c>
      <c r="L19" s="19">
        <v>39.5</v>
      </c>
      <c r="M19" s="20">
        <v>35.799999999999997</v>
      </c>
      <c r="N19" s="18">
        <v>30</v>
      </c>
      <c r="O19" s="19">
        <v>28.8</v>
      </c>
      <c r="P19" s="19">
        <v>59</v>
      </c>
      <c r="Q19" s="19">
        <v>56.7</v>
      </c>
      <c r="R19" s="20">
        <v>30</v>
      </c>
      <c r="S19" s="18">
        <v>26.6</v>
      </c>
      <c r="T19" s="19">
        <v>40.799999999999997</v>
      </c>
      <c r="U19" s="19">
        <v>53.4</v>
      </c>
      <c r="V19" s="19">
        <v>48</v>
      </c>
      <c r="W19" s="20">
        <v>31.2</v>
      </c>
      <c r="X19" s="98">
        <f t="shared" ref="X19:X24" si="0">SUM(B19:W19)</f>
        <v>848.90000000000009</v>
      </c>
      <c r="AB19" s="2"/>
      <c r="AC19" s="15"/>
    </row>
    <row r="20" spans="1:36" ht="39.75" customHeight="1" x14ac:dyDescent="0.25">
      <c r="A20" s="171" t="s">
        <v>20</v>
      </c>
      <c r="B20" s="18">
        <f>((((($B$26*$B$27)*7)/1000)-$B$18-$B$19)/5)</f>
        <v>30.099499999999995</v>
      </c>
      <c r="C20" s="19">
        <f>((((($C$26*$C$27)*7)/1000)-$C$18-$C$19)/5)</f>
        <v>64.314400000000006</v>
      </c>
      <c r="D20" s="19">
        <f>((((($D$26*$D$27)*7)/1000)-$D$18-$D$19)/5)</f>
        <v>50.303800000000003</v>
      </c>
      <c r="E20" s="19">
        <f>(((($E$26*$E$27)*7)/1000)-$E$18-$E$19)/5</f>
        <v>20.5243</v>
      </c>
      <c r="F20" s="19">
        <f>(((($F$26*$F$27)*7)/1000)-$F$18-$F$19)/5</f>
        <v>31.288</v>
      </c>
      <c r="G20" s="19">
        <f>(((($G$26*$G$27)*7)/1000)-$G$18-$G$19)/5</f>
        <v>46.579599999999992</v>
      </c>
      <c r="H20" s="19">
        <f>(((($H$26*$H$27)*7)/1000)-$H$18-$H$19)/5</f>
        <v>40.763599999999997</v>
      </c>
      <c r="I20" s="20">
        <f>(((($I$26*$I$27)*7)/1000)-$I$18-$I$19)/5</f>
        <v>35.438399999999994</v>
      </c>
      <c r="J20" s="18">
        <f>(((($J$26*$J$27)*7)/1000)-$J$18-$J$19)/5</f>
        <v>12.345000000000001</v>
      </c>
      <c r="K20" s="19">
        <f>(((($K$26*$K$27)*7)/1000)-$K$18-$K$19)/5</f>
        <v>24.752400000000002</v>
      </c>
      <c r="L20" s="19">
        <f>(((($L$26*$L$27)*7)/1000)-$L$18-$L$19)/5</f>
        <v>36.532000000000004</v>
      </c>
      <c r="M20" s="20">
        <f>(((($M$26*$M$27)*7)/1000)-$M$18-$M$19)/5</f>
        <v>32.748000000000005</v>
      </c>
      <c r="N20" s="18">
        <f>(((($N$26*$N$27)*7)/1000)-$N$18-$N$19)/5</f>
        <v>29.990199999999998</v>
      </c>
      <c r="O20" s="19">
        <f>(((($O$26*$O$27)*7)/1000)-$O$18-$O$19)/5</f>
        <v>31.962599999999998</v>
      </c>
      <c r="P20" s="19">
        <f>(((($P$26*$P$27)*7)/1000)-$P$18-$P$19)/5</f>
        <v>55.775099999999995</v>
      </c>
      <c r="Q20" s="19">
        <f>(((($Q$26*$Q$27)*7)/1000)-$Q$18-$Q$19)/5</f>
        <v>52.048500000000004</v>
      </c>
      <c r="R20" s="20">
        <f>(((($R$26*$R$27)*7)/1000)-$R$18-$R$19)/5</f>
        <v>27.592700000000001</v>
      </c>
      <c r="S20" s="18">
        <f>(((($S$26*$S$27)*7)/1000)-$S$18-$S$19)/5</f>
        <v>25.662700000000001</v>
      </c>
      <c r="T20" s="19">
        <f>(((($T$26*$T$27)*7)/1000)-$T$18-$T$19)/5</f>
        <v>39.507099999999994</v>
      </c>
      <c r="U20" s="19">
        <f>(((($U$26*$U$27)*7)/1000)-$U$18-$U$19)/5</f>
        <v>52.287000000000013</v>
      </c>
      <c r="V20" s="19">
        <f>(((($V$26*$V$27)*7)/1000)-$V$18-$V$19)/5</f>
        <v>47.212499999999999</v>
      </c>
      <c r="W20" s="20">
        <f>(((($W$26*$W$27)*7)/1000)-$W$18-$W$19)/5</f>
        <v>30.799600000000005</v>
      </c>
      <c r="X20" s="98">
        <f t="shared" si="0"/>
        <v>818.52700000000016</v>
      </c>
      <c r="AB20" s="2"/>
      <c r="AC20" s="15"/>
    </row>
    <row r="21" spans="1:36" ht="39.950000000000003" customHeight="1" x14ac:dyDescent="0.25">
      <c r="A21" s="171" t="s">
        <v>28</v>
      </c>
      <c r="B21" s="18">
        <f t="shared" ref="B21:B24" si="1">((((($B$26*$B$27)*7)/1000)-$B$18-$B$19)/5)</f>
        <v>30.099499999999995</v>
      </c>
      <c r="C21" s="19">
        <f t="shared" ref="C21:C24" si="2">((((($C$26*$C$27)*7)/1000)-$C$18-$C$19)/5)</f>
        <v>64.314400000000006</v>
      </c>
      <c r="D21" s="19">
        <f t="shared" ref="D21:D24" si="3">((((($D$26*$D$27)*7)/1000)-$D$18-$D$19)/5)</f>
        <v>50.303800000000003</v>
      </c>
      <c r="E21" s="19">
        <f t="shared" ref="E21:E24" si="4">(((($E$26*$E$27)*7)/1000)-$E$18-$E$19)/5</f>
        <v>20.5243</v>
      </c>
      <c r="F21" s="19">
        <f t="shared" ref="F21:F24" si="5">(((($F$26*$F$27)*7)/1000)-$F$18-$F$19)/5</f>
        <v>31.288</v>
      </c>
      <c r="G21" s="19">
        <f t="shared" ref="G21:G24" si="6">(((($G$26*$G$27)*7)/1000)-$G$18-$G$19)/5</f>
        <v>46.579599999999992</v>
      </c>
      <c r="H21" s="19">
        <f t="shared" ref="H21:H24" si="7">(((($H$26*$H$27)*7)/1000)-$H$18-$H$19)/5</f>
        <v>40.763599999999997</v>
      </c>
      <c r="I21" s="20">
        <f t="shared" ref="I21:I24" si="8">(((($I$26*$I$27)*7)/1000)-$I$18-$I$19)/5</f>
        <v>35.438399999999994</v>
      </c>
      <c r="J21" s="18">
        <f t="shared" ref="J21:J24" si="9">(((($J$26*$J$27)*7)/1000)-$J$18-$J$19)/5</f>
        <v>12.345000000000001</v>
      </c>
      <c r="K21" s="19">
        <f t="shared" ref="K21:K24" si="10">(((($K$26*$K$27)*7)/1000)-$K$18-$K$19)/5</f>
        <v>24.752400000000002</v>
      </c>
      <c r="L21" s="19">
        <f t="shared" ref="L21:L24" si="11">(((($L$26*$L$27)*7)/1000)-$L$18-$L$19)/5</f>
        <v>36.532000000000004</v>
      </c>
      <c r="M21" s="20">
        <f t="shared" ref="M21:M24" si="12">(((($M$26*$M$27)*7)/1000)-$M$18-$M$19)/5</f>
        <v>32.748000000000005</v>
      </c>
      <c r="N21" s="18">
        <f t="shared" ref="N21:N24" si="13">(((($N$26*$N$27)*7)/1000)-$N$18-$N$19)/5</f>
        <v>29.990199999999998</v>
      </c>
      <c r="O21" s="19">
        <f t="shared" ref="O21:O24" si="14">(((($O$26*$O$27)*7)/1000)-$O$18-$O$19)/5</f>
        <v>31.962599999999998</v>
      </c>
      <c r="P21" s="19">
        <f t="shared" ref="P21:P24" si="15">(((($P$26*$P$27)*7)/1000)-$P$18-$P$19)/5</f>
        <v>55.775099999999995</v>
      </c>
      <c r="Q21" s="19">
        <f t="shared" ref="Q21:Q24" si="16">(((($Q$26*$Q$27)*7)/1000)-$Q$18-$Q$19)/5</f>
        <v>52.048500000000004</v>
      </c>
      <c r="R21" s="20">
        <f t="shared" ref="R21:R24" si="17">(((($R$26*$R$27)*7)/1000)-$R$18-$R$19)/5</f>
        <v>27.592700000000001</v>
      </c>
      <c r="S21" s="18">
        <f t="shared" ref="S21:S24" si="18">(((($S$26*$S$27)*7)/1000)-$S$18-$S$19)/5</f>
        <v>25.662700000000001</v>
      </c>
      <c r="T21" s="19">
        <f t="shared" ref="T21:T24" si="19">(((($T$26*$T$27)*7)/1000)-$T$18-$T$19)/5</f>
        <v>39.507099999999994</v>
      </c>
      <c r="U21" s="19">
        <f t="shared" ref="U21:U24" si="20">(((($U$26*$U$27)*7)/1000)-$U$18-$U$19)/5</f>
        <v>52.287000000000013</v>
      </c>
      <c r="V21" s="19">
        <f t="shared" ref="V21:V24" si="21">(((($V$26*$V$27)*7)/1000)-$V$18-$V$19)/5</f>
        <v>47.212499999999999</v>
      </c>
      <c r="W21" s="20">
        <f t="shared" ref="W21:W24" si="22">(((($W$26*$W$27)*7)/1000)-$W$18-$W$19)/5</f>
        <v>30.799600000000005</v>
      </c>
      <c r="X21" s="98">
        <f t="shared" si="0"/>
        <v>818.52700000000016</v>
      </c>
      <c r="AB21" s="2"/>
      <c r="AC21" s="15"/>
    </row>
    <row r="22" spans="1:36" ht="39.950000000000003" customHeight="1" x14ac:dyDescent="0.25">
      <c r="A22" s="171" t="s">
        <v>21</v>
      </c>
      <c r="B22" s="18">
        <f t="shared" si="1"/>
        <v>30.099499999999995</v>
      </c>
      <c r="C22" s="19">
        <f t="shared" si="2"/>
        <v>64.314400000000006</v>
      </c>
      <c r="D22" s="19">
        <f t="shared" si="3"/>
        <v>50.303800000000003</v>
      </c>
      <c r="E22" s="19">
        <f t="shared" si="4"/>
        <v>20.5243</v>
      </c>
      <c r="F22" s="19">
        <f t="shared" si="5"/>
        <v>31.288</v>
      </c>
      <c r="G22" s="19">
        <f t="shared" si="6"/>
        <v>46.579599999999992</v>
      </c>
      <c r="H22" s="19">
        <f t="shared" si="7"/>
        <v>40.763599999999997</v>
      </c>
      <c r="I22" s="20">
        <f t="shared" si="8"/>
        <v>35.438399999999994</v>
      </c>
      <c r="J22" s="18">
        <f t="shared" si="9"/>
        <v>12.345000000000001</v>
      </c>
      <c r="K22" s="19">
        <f t="shared" si="10"/>
        <v>24.752400000000002</v>
      </c>
      <c r="L22" s="19">
        <f t="shared" si="11"/>
        <v>36.532000000000004</v>
      </c>
      <c r="M22" s="20">
        <f t="shared" si="12"/>
        <v>32.748000000000005</v>
      </c>
      <c r="N22" s="18">
        <f t="shared" si="13"/>
        <v>29.990199999999998</v>
      </c>
      <c r="O22" s="19">
        <f t="shared" si="14"/>
        <v>31.962599999999998</v>
      </c>
      <c r="P22" s="19">
        <f t="shared" si="15"/>
        <v>55.775099999999995</v>
      </c>
      <c r="Q22" s="19">
        <f t="shared" si="16"/>
        <v>52.048500000000004</v>
      </c>
      <c r="R22" s="20">
        <f t="shared" si="17"/>
        <v>27.592700000000001</v>
      </c>
      <c r="S22" s="18">
        <f t="shared" si="18"/>
        <v>25.662700000000001</v>
      </c>
      <c r="T22" s="19">
        <f t="shared" si="19"/>
        <v>39.507099999999994</v>
      </c>
      <c r="U22" s="19">
        <f t="shared" si="20"/>
        <v>52.287000000000013</v>
      </c>
      <c r="V22" s="19">
        <f t="shared" si="21"/>
        <v>47.212499999999999</v>
      </c>
      <c r="W22" s="20">
        <f t="shared" si="22"/>
        <v>30.799600000000005</v>
      </c>
      <c r="X22" s="98">
        <f t="shared" si="0"/>
        <v>818.52700000000016</v>
      </c>
      <c r="AB22" s="2"/>
      <c r="AC22" s="15"/>
    </row>
    <row r="23" spans="1:36" ht="39.950000000000003" customHeight="1" x14ac:dyDescent="0.25">
      <c r="A23" s="171" t="s">
        <v>22</v>
      </c>
      <c r="B23" s="18">
        <f t="shared" si="1"/>
        <v>30.099499999999995</v>
      </c>
      <c r="C23" s="19">
        <f t="shared" si="2"/>
        <v>64.314400000000006</v>
      </c>
      <c r="D23" s="19">
        <f t="shared" si="3"/>
        <v>50.303800000000003</v>
      </c>
      <c r="E23" s="19">
        <f t="shared" si="4"/>
        <v>20.5243</v>
      </c>
      <c r="F23" s="19">
        <f t="shared" si="5"/>
        <v>31.288</v>
      </c>
      <c r="G23" s="19">
        <f t="shared" si="6"/>
        <v>46.579599999999992</v>
      </c>
      <c r="H23" s="19">
        <f t="shared" si="7"/>
        <v>40.763599999999997</v>
      </c>
      <c r="I23" s="20">
        <f t="shared" si="8"/>
        <v>35.438399999999994</v>
      </c>
      <c r="J23" s="18">
        <f t="shared" si="9"/>
        <v>12.345000000000001</v>
      </c>
      <c r="K23" s="19">
        <f t="shared" si="10"/>
        <v>24.752400000000002</v>
      </c>
      <c r="L23" s="19">
        <f t="shared" si="11"/>
        <v>36.532000000000004</v>
      </c>
      <c r="M23" s="20">
        <f t="shared" si="12"/>
        <v>32.748000000000005</v>
      </c>
      <c r="N23" s="18">
        <f t="shared" si="13"/>
        <v>29.990199999999998</v>
      </c>
      <c r="O23" s="19">
        <f t="shared" si="14"/>
        <v>31.962599999999998</v>
      </c>
      <c r="P23" s="19">
        <f t="shared" si="15"/>
        <v>55.775099999999995</v>
      </c>
      <c r="Q23" s="19">
        <f t="shared" si="16"/>
        <v>52.048500000000004</v>
      </c>
      <c r="R23" s="20">
        <f t="shared" si="17"/>
        <v>27.592700000000001</v>
      </c>
      <c r="S23" s="18">
        <f t="shared" si="18"/>
        <v>25.662700000000001</v>
      </c>
      <c r="T23" s="19">
        <f t="shared" si="19"/>
        <v>39.507099999999994</v>
      </c>
      <c r="U23" s="19">
        <f t="shared" si="20"/>
        <v>52.287000000000013</v>
      </c>
      <c r="V23" s="19">
        <f t="shared" si="21"/>
        <v>47.212499999999999</v>
      </c>
      <c r="W23" s="20">
        <f t="shared" si="22"/>
        <v>30.799600000000005</v>
      </c>
      <c r="X23" s="98">
        <f t="shared" si="0"/>
        <v>818.52700000000016</v>
      </c>
      <c r="AB23" s="2"/>
      <c r="AC23" s="15"/>
    </row>
    <row r="24" spans="1:36" ht="39.950000000000003" customHeight="1" thickBot="1" x14ac:dyDescent="0.3">
      <c r="A24" s="171" t="s">
        <v>23</v>
      </c>
      <c r="B24" s="153">
        <f t="shared" si="1"/>
        <v>30.099499999999995</v>
      </c>
      <c r="C24" s="154">
        <f t="shared" si="2"/>
        <v>64.314400000000006</v>
      </c>
      <c r="D24" s="154">
        <f t="shared" si="3"/>
        <v>50.303800000000003</v>
      </c>
      <c r="E24" s="154">
        <f t="shared" si="4"/>
        <v>20.5243</v>
      </c>
      <c r="F24" s="154">
        <f t="shared" si="5"/>
        <v>31.288</v>
      </c>
      <c r="G24" s="154">
        <f t="shared" si="6"/>
        <v>46.579599999999992</v>
      </c>
      <c r="H24" s="154">
        <f t="shared" si="7"/>
        <v>40.763599999999997</v>
      </c>
      <c r="I24" s="182">
        <f t="shared" si="8"/>
        <v>35.438399999999994</v>
      </c>
      <c r="J24" s="153">
        <f t="shared" si="9"/>
        <v>12.345000000000001</v>
      </c>
      <c r="K24" s="154">
        <f t="shared" si="10"/>
        <v>24.752400000000002</v>
      </c>
      <c r="L24" s="154">
        <f t="shared" si="11"/>
        <v>36.532000000000004</v>
      </c>
      <c r="M24" s="182">
        <f t="shared" si="12"/>
        <v>32.748000000000005</v>
      </c>
      <c r="N24" s="153">
        <f t="shared" si="13"/>
        <v>29.990199999999998</v>
      </c>
      <c r="O24" s="154">
        <f t="shared" si="14"/>
        <v>31.962599999999998</v>
      </c>
      <c r="P24" s="154">
        <f t="shared" si="15"/>
        <v>55.775099999999995</v>
      </c>
      <c r="Q24" s="154">
        <f t="shared" si="16"/>
        <v>52.048500000000004</v>
      </c>
      <c r="R24" s="182">
        <f t="shared" si="17"/>
        <v>27.592700000000001</v>
      </c>
      <c r="S24" s="153">
        <f t="shared" si="18"/>
        <v>25.662700000000001</v>
      </c>
      <c r="T24" s="154">
        <f t="shared" si="19"/>
        <v>39.507099999999994</v>
      </c>
      <c r="U24" s="154">
        <f t="shared" si="20"/>
        <v>52.287000000000013</v>
      </c>
      <c r="V24" s="154">
        <f t="shared" si="21"/>
        <v>47.212499999999999</v>
      </c>
      <c r="W24" s="182">
        <f t="shared" si="22"/>
        <v>30.799600000000005</v>
      </c>
      <c r="X24" s="98">
        <f t="shared" si="0"/>
        <v>818.52700000000016</v>
      </c>
      <c r="AB24" s="2"/>
    </row>
    <row r="25" spans="1:36" ht="41.45" customHeight="1" x14ac:dyDescent="0.25">
      <c r="A25" s="268" t="s">
        <v>9</v>
      </c>
      <c r="B25" s="217">
        <f>SUM(B18:B24)</f>
        <v>213.0975</v>
      </c>
      <c r="C25" s="218">
        <f t="shared" ref="C25:W25" si="23">SUM(C18:C24)</f>
        <v>452.17199999999991</v>
      </c>
      <c r="D25" s="218">
        <f t="shared" si="23"/>
        <v>359.91900000000004</v>
      </c>
      <c r="E25" s="218">
        <f t="shared" si="23"/>
        <v>146.82149999999999</v>
      </c>
      <c r="F25" s="218">
        <f t="shared" si="23"/>
        <v>219.24</v>
      </c>
      <c r="G25" s="218">
        <f t="shared" si="23"/>
        <v>330.49799999999993</v>
      </c>
      <c r="H25" s="218">
        <f t="shared" si="23"/>
        <v>291.01799999999997</v>
      </c>
      <c r="I25" s="219">
        <f t="shared" si="23"/>
        <v>250.99199999999999</v>
      </c>
      <c r="J25" s="217">
        <f t="shared" si="23"/>
        <v>84.525000000000006</v>
      </c>
      <c r="K25" s="218">
        <f t="shared" si="23"/>
        <v>171.96199999999999</v>
      </c>
      <c r="L25" s="218">
        <f t="shared" si="23"/>
        <v>261.66000000000003</v>
      </c>
      <c r="M25" s="219">
        <f t="shared" si="23"/>
        <v>235.33999999999997</v>
      </c>
      <c r="N25" s="217">
        <f t="shared" si="23"/>
        <v>209.95099999999996</v>
      </c>
      <c r="O25" s="218">
        <f t="shared" si="23"/>
        <v>217.41300000000001</v>
      </c>
      <c r="P25" s="218">
        <f t="shared" si="23"/>
        <v>396.87550000000005</v>
      </c>
      <c r="Q25" s="218">
        <f t="shared" si="23"/>
        <v>373.64249999999998</v>
      </c>
      <c r="R25" s="219">
        <f t="shared" si="23"/>
        <v>197.96350000000004</v>
      </c>
      <c r="S25" s="217">
        <f t="shared" si="23"/>
        <v>181.51350000000002</v>
      </c>
      <c r="T25" s="218">
        <f t="shared" si="23"/>
        <v>279.13549999999992</v>
      </c>
      <c r="U25" s="218">
        <f t="shared" si="23"/>
        <v>368.23500000000013</v>
      </c>
      <c r="V25" s="218">
        <f t="shared" si="23"/>
        <v>332.0625</v>
      </c>
      <c r="W25" s="178">
        <f t="shared" si="23"/>
        <v>216.398</v>
      </c>
      <c r="X25" s="98">
        <f>SUM(X18,X19,X20,X21,X22,X23,X24)</f>
        <v>5790.4350000000004</v>
      </c>
    </row>
    <row r="26" spans="1:36" s="2" customFormat="1" ht="36.75" customHeight="1" x14ac:dyDescent="0.25">
      <c r="A26" s="192" t="s">
        <v>11</v>
      </c>
      <c r="B26" s="23">
        <v>82.5</v>
      </c>
      <c r="C26" s="24">
        <v>84</v>
      </c>
      <c r="D26" s="24">
        <v>87</v>
      </c>
      <c r="E26" s="24">
        <v>88.5</v>
      </c>
      <c r="F26" s="24">
        <v>87</v>
      </c>
      <c r="G26" s="24">
        <v>86</v>
      </c>
      <c r="H26" s="24">
        <v>84.5</v>
      </c>
      <c r="I26" s="228">
        <v>83</v>
      </c>
      <c r="J26" s="23">
        <v>87.5</v>
      </c>
      <c r="K26" s="24">
        <v>86.5</v>
      </c>
      <c r="L26" s="24">
        <v>84</v>
      </c>
      <c r="M26" s="228">
        <v>82</v>
      </c>
      <c r="N26" s="23">
        <v>89</v>
      </c>
      <c r="O26" s="24">
        <v>87</v>
      </c>
      <c r="P26" s="24">
        <v>83.5</v>
      </c>
      <c r="Q26" s="24">
        <v>82.5</v>
      </c>
      <c r="R26" s="228">
        <v>81.5</v>
      </c>
      <c r="S26" s="23">
        <v>88.5</v>
      </c>
      <c r="T26" s="24">
        <v>86.5</v>
      </c>
      <c r="U26" s="24">
        <v>83.5</v>
      </c>
      <c r="V26" s="24">
        <v>82.5</v>
      </c>
      <c r="W26" s="25">
        <v>82</v>
      </c>
      <c r="X26" s="99">
        <f>(((X25*1000)/7)/X27)</f>
        <v>84.589937621433691</v>
      </c>
    </row>
    <row r="27" spans="1:36" s="2" customFormat="1" ht="33" customHeight="1" x14ac:dyDescent="0.25">
      <c r="A27" s="193" t="s">
        <v>12</v>
      </c>
      <c r="B27" s="26">
        <v>369</v>
      </c>
      <c r="C27" s="27">
        <v>769</v>
      </c>
      <c r="D27" s="27">
        <v>591</v>
      </c>
      <c r="E27" s="27">
        <v>237</v>
      </c>
      <c r="F27" s="27">
        <v>360</v>
      </c>
      <c r="G27" s="27">
        <v>549</v>
      </c>
      <c r="H27" s="27">
        <v>492</v>
      </c>
      <c r="I27" s="183">
        <v>432</v>
      </c>
      <c r="J27" s="26">
        <v>138</v>
      </c>
      <c r="K27" s="27">
        <v>284</v>
      </c>
      <c r="L27" s="27">
        <v>445</v>
      </c>
      <c r="M27" s="183">
        <v>410</v>
      </c>
      <c r="N27" s="26">
        <v>337</v>
      </c>
      <c r="O27" s="27">
        <v>357</v>
      </c>
      <c r="P27" s="27">
        <v>679</v>
      </c>
      <c r="Q27" s="27">
        <v>647</v>
      </c>
      <c r="R27" s="183">
        <v>347</v>
      </c>
      <c r="S27" s="26">
        <v>293</v>
      </c>
      <c r="T27" s="27">
        <v>461</v>
      </c>
      <c r="U27" s="27">
        <v>630</v>
      </c>
      <c r="V27" s="27">
        <v>575</v>
      </c>
      <c r="W27" s="28">
        <v>377</v>
      </c>
      <c r="X27" s="29">
        <f>SUM(B27,C27,D27,E27,F27,G27,H27,I27,J27,K27,L27,M27,N27,O27,P27,Q27,R27,S27,T27,U27,V27,W27)</f>
        <v>9779</v>
      </c>
    </row>
    <row r="28" spans="1:36" s="2" customFormat="1" ht="33" customHeight="1" x14ac:dyDescent="0.25">
      <c r="A28" s="194" t="s">
        <v>13</v>
      </c>
      <c r="B28" s="30">
        <f t="shared" ref="B28:W28" si="24">(B27*B26)/1000</f>
        <v>30.442499999999999</v>
      </c>
      <c r="C28" s="31">
        <f t="shared" si="24"/>
        <v>64.596000000000004</v>
      </c>
      <c r="D28" s="31">
        <f t="shared" si="24"/>
        <v>51.417000000000002</v>
      </c>
      <c r="E28" s="31">
        <f t="shared" si="24"/>
        <v>20.974499999999999</v>
      </c>
      <c r="F28" s="31">
        <f t="shared" si="24"/>
        <v>31.32</v>
      </c>
      <c r="G28" s="31">
        <f t="shared" si="24"/>
        <v>47.213999999999999</v>
      </c>
      <c r="H28" s="31">
        <f t="shared" si="24"/>
        <v>41.573999999999998</v>
      </c>
      <c r="I28" s="163">
        <f t="shared" si="24"/>
        <v>35.856000000000002</v>
      </c>
      <c r="J28" s="30">
        <f t="shared" si="24"/>
        <v>12.074999999999999</v>
      </c>
      <c r="K28" s="31">
        <f t="shared" si="24"/>
        <v>24.565999999999999</v>
      </c>
      <c r="L28" s="31">
        <f t="shared" si="24"/>
        <v>37.380000000000003</v>
      </c>
      <c r="M28" s="163">
        <f t="shared" si="24"/>
        <v>33.619999999999997</v>
      </c>
      <c r="N28" s="30">
        <f t="shared" si="24"/>
        <v>29.992999999999999</v>
      </c>
      <c r="O28" s="31">
        <f t="shared" si="24"/>
        <v>31.059000000000001</v>
      </c>
      <c r="P28" s="31">
        <f t="shared" si="24"/>
        <v>56.6965</v>
      </c>
      <c r="Q28" s="31">
        <f t="shared" si="24"/>
        <v>53.377499999999998</v>
      </c>
      <c r="R28" s="163">
        <f t="shared" si="24"/>
        <v>28.2805</v>
      </c>
      <c r="S28" s="30">
        <f t="shared" si="24"/>
        <v>25.930499999999999</v>
      </c>
      <c r="T28" s="31">
        <f t="shared" si="24"/>
        <v>39.8765</v>
      </c>
      <c r="U28" s="31">
        <f t="shared" si="24"/>
        <v>52.604999999999997</v>
      </c>
      <c r="V28" s="31">
        <f t="shared" si="24"/>
        <v>47.4375</v>
      </c>
      <c r="W28" s="32">
        <f t="shared" si="24"/>
        <v>30.914000000000001</v>
      </c>
      <c r="X28" s="33"/>
    </row>
    <row r="29" spans="1:36" ht="33.75" customHeight="1" x14ac:dyDescent="0.25">
      <c r="A29" s="185" t="s">
        <v>14</v>
      </c>
      <c r="B29" s="34">
        <f t="shared" ref="B29:W29" si="25">((B27*B26)*7)/1000</f>
        <v>213.0975</v>
      </c>
      <c r="C29" s="35">
        <f t="shared" si="25"/>
        <v>452.17200000000003</v>
      </c>
      <c r="D29" s="35">
        <f t="shared" si="25"/>
        <v>359.91899999999998</v>
      </c>
      <c r="E29" s="35">
        <f t="shared" si="25"/>
        <v>146.82149999999999</v>
      </c>
      <c r="F29" s="35">
        <f t="shared" si="25"/>
        <v>219.24</v>
      </c>
      <c r="G29" s="35">
        <f t="shared" si="25"/>
        <v>330.49799999999999</v>
      </c>
      <c r="H29" s="35">
        <f t="shared" si="25"/>
        <v>291.01799999999997</v>
      </c>
      <c r="I29" s="206">
        <f t="shared" si="25"/>
        <v>250.99199999999999</v>
      </c>
      <c r="J29" s="34">
        <f t="shared" si="25"/>
        <v>84.525000000000006</v>
      </c>
      <c r="K29" s="35">
        <f t="shared" si="25"/>
        <v>171.96199999999999</v>
      </c>
      <c r="L29" s="35">
        <f t="shared" si="25"/>
        <v>261.66000000000003</v>
      </c>
      <c r="M29" s="206">
        <f t="shared" si="25"/>
        <v>235.34</v>
      </c>
      <c r="N29" s="34">
        <f t="shared" si="25"/>
        <v>209.95099999999999</v>
      </c>
      <c r="O29" s="35">
        <f t="shared" si="25"/>
        <v>217.41300000000001</v>
      </c>
      <c r="P29" s="35">
        <f t="shared" si="25"/>
        <v>396.87549999999999</v>
      </c>
      <c r="Q29" s="35">
        <f t="shared" si="25"/>
        <v>373.64249999999998</v>
      </c>
      <c r="R29" s="206">
        <f t="shared" si="25"/>
        <v>197.96350000000001</v>
      </c>
      <c r="S29" s="34">
        <f t="shared" si="25"/>
        <v>181.51349999999999</v>
      </c>
      <c r="T29" s="35">
        <f t="shared" si="25"/>
        <v>279.13549999999998</v>
      </c>
      <c r="U29" s="35">
        <f t="shared" si="25"/>
        <v>368.23500000000001</v>
      </c>
      <c r="V29" s="35">
        <f t="shared" si="25"/>
        <v>332.0625</v>
      </c>
      <c r="W29" s="68">
        <f t="shared" si="25"/>
        <v>216.398</v>
      </c>
      <c r="X29" s="36"/>
    </row>
    <row r="30" spans="1:36" ht="33.75" customHeight="1" thickBot="1" x14ac:dyDescent="0.3">
      <c r="A30" s="195" t="s">
        <v>15</v>
      </c>
      <c r="B30" s="37">
        <f>+(B25/B27)/7*1000</f>
        <v>82.5</v>
      </c>
      <c r="C30" s="38">
        <f t="shared" ref="C30:W30" si="26">+(C25/C27)/7*1000</f>
        <v>83.999999999999972</v>
      </c>
      <c r="D30" s="38">
        <f t="shared" si="26"/>
        <v>87.000000000000014</v>
      </c>
      <c r="E30" s="38">
        <f t="shared" si="26"/>
        <v>88.5</v>
      </c>
      <c r="F30" s="38">
        <f t="shared" si="26"/>
        <v>87</v>
      </c>
      <c r="G30" s="38">
        <f t="shared" si="26"/>
        <v>85.999999999999986</v>
      </c>
      <c r="H30" s="38">
        <f t="shared" si="26"/>
        <v>84.499999999999986</v>
      </c>
      <c r="I30" s="207">
        <f t="shared" si="26"/>
        <v>82.999999999999986</v>
      </c>
      <c r="J30" s="37">
        <f t="shared" si="26"/>
        <v>87.500000000000014</v>
      </c>
      <c r="K30" s="38">
        <f t="shared" si="26"/>
        <v>86.5</v>
      </c>
      <c r="L30" s="38">
        <f t="shared" si="26"/>
        <v>84</v>
      </c>
      <c r="M30" s="207">
        <f t="shared" si="26"/>
        <v>81.999999999999986</v>
      </c>
      <c r="N30" s="37">
        <f t="shared" si="26"/>
        <v>88.999999999999986</v>
      </c>
      <c r="O30" s="38">
        <f t="shared" si="26"/>
        <v>87</v>
      </c>
      <c r="P30" s="38">
        <f t="shared" si="26"/>
        <v>83.5</v>
      </c>
      <c r="Q30" s="38">
        <f t="shared" si="26"/>
        <v>82.5</v>
      </c>
      <c r="R30" s="207">
        <f t="shared" si="26"/>
        <v>81.500000000000014</v>
      </c>
      <c r="S30" s="37">
        <f t="shared" si="26"/>
        <v>88.500000000000014</v>
      </c>
      <c r="T30" s="38">
        <f t="shared" si="26"/>
        <v>86.499999999999986</v>
      </c>
      <c r="U30" s="38">
        <f t="shared" si="26"/>
        <v>83.500000000000028</v>
      </c>
      <c r="V30" s="38">
        <f t="shared" si="26"/>
        <v>82.5</v>
      </c>
      <c r="W30" s="39">
        <f t="shared" si="26"/>
        <v>81.999999999999986</v>
      </c>
      <c r="X30" s="40"/>
    </row>
    <row r="31" spans="1:36" ht="33.75" customHeight="1" x14ac:dyDescent="0.25">
      <c r="A31" s="41"/>
      <c r="B31" s="42">
        <v>-4.7812620983350484E-2</v>
      </c>
      <c r="C31" s="42">
        <v>-3.8361508452538828E-2</v>
      </c>
      <c r="D31" s="42">
        <v>-3.2148900169218564E-2</v>
      </c>
      <c r="E31" s="42">
        <v>-1.5256410256409936</v>
      </c>
      <c r="F31" s="42">
        <v>-1.5555555555555571</v>
      </c>
      <c r="G31" s="42">
        <v>-1.6507936507936307</v>
      </c>
      <c r="H31" s="42">
        <v>-1.6219512195122121</v>
      </c>
      <c r="I31" s="42">
        <v>-1.6230158730158593</v>
      </c>
      <c r="J31" s="42">
        <v>-1.5289855072463894</v>
      </c>
      <c r="K31" s="42">
        <v>-1.5140845070422557</v>
      </c>
      <c r="L31" s="42">
        <v>-1.6019261637239168</v>
      </c>
      <c r="M31" s="42">
        <v>-1.5487804878048763</v>
      </c>
      <c r="N31" s="264">
        <v>-1.4707503179313335</v>
      </c>
      <c r="O31" s="264">
        <v>-1.3969587835133979</v>
      </c>
      <c r="P31" s="264">
        <v>-1.5656427519461431</v>
      </c>
      <c r="Q31" s="264">
        <v>-1.5501990269792003</v>
      </c>
      <c r="R31" s="264">
        <v>-1.6062165500205765</v>
      </c>
      <c r="S31" s="42">
        <v>-1.5344827586206975</v>
      </c>
      <c r="T31" s="201">
        <v>-1.7639751552794962</v>
      </c>
      <c r="U31" s="201">
        <v>-1.441043083900226</v>
      </c>
      <c r="V31" s="201">
        <v>-1.6677018633540257</v>
      </c>
      <c r="W31" s="201">
        <v>-1.5822281167108656</v>
      </c>
      <c r="X31" s="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>
        <v>41.5</v>
      </c>
      <c r="AC32" s="42"/>
      <c r="AD32" s="42"/>
      <c r="AE32" s="42"/>
      <c r="AF32" s="42"/>
      <c r="AG32" s="42"/>
      <c r="AH32" s="42"/>
      <c r="AI32" s="42"/>
      <c r="AJ32" s="41"/>
    </row>
    <row r="33" spans="1:3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2"/>
      <c r="L33" s="2"/>
      <c r="M33" s="2"/>
      <c r="N33" s="2"/>
      <c r="O33" s="2"/>
      <c r="P33" s="2"/>
      <c r="Q33" s="2"/>
      <c r="R33" s="2"/>
      <c r="S33" s="42"/>
      <c r="T33" s="42"/>
      <c r="U33" s="42"/>
      <c r="V33" s="42"/>
      <c r="W33" s="42"/>
      <c r="X33" s="42"/>
      <c r="Y33" s="42"/>
      <c r="Z33" s="42"/>
      <c r="AA33" s="42"/>
      <c r="AB33" s="42">
        <v>41</v>
      </c>
      <c r="AC33" s="42"/>
      <c r="AD33" s="42"/>
      <c r="AE33" s="42"/>
      <c r="AF33" s="42"/>
      <c r="AG33" s="42"/>
      <c r="AH33" s="42"/>
      <c r="AI33" s="42"/>
      <c r="AJ33" s="41"/>
    </row>
    <row r="34" spans="1:3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>
        <v>40.5</v>
      </c>
      <c r="AC34" s="42"/>
      <c r="AD34" s="42"/>
      <c r="AE34" s="42"/>
      <c r="AF34" s="42"/>
      <c r="AG34" s="42"/>
      <c r="AH34" s="41"/>
    </row>
    <row r="35" spans="1:36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>
        <v>40</v>
      </c>
      <c r="AC35" s="43"/>
      <c r="AD35" s="43"/>
      <c r="AE35" s="43"/>
      <c r="AF35" s="43"/>
      <c r="AG35" s="43"/>
      <c r="AH35" s="3"/>
    </row>
    <row r="36" spans="1:36" ht="33.75" customHeight="1" thickBot="1" x14ac:dyDescent="0.3">
      <c r="A36" s="69" t="s">
        <v>16</v>
      </c>
      <c r="B36" s="966" t="s">
        <v>17</v>
      </c>
      <c r="C36" s="967"/>
      <c r="D36" s="967"/>
      <c r="E36" s="967"/>
      <c r="F36" s="967"/>
      <c r="G36" s="967"/>
      <c r="H36" s="237"/>
      <c r="O36" s="44"/>
      <c r="P36" s="88" t="s">
        <v>18</v>
      </c>
      <c r="Q36" s="973" t="s">
        <v>17</v>
      </c>
      <c r="R36" s="974"/>
      <c r="S36" s="974"/>
      <c r="T36" s="975"/>
      <c r="U36" s="229"/>
      <c r="V36" s="269"/>
      <c r="X36" s="45"/>
      <c r="Y36" s="45"/>
      <c r="Z36" s="46"/>
      <c r="AA36" s="3"/>
      <c r="AB36" s="45">
        <v>39.5</v>
      </c>
      <c r="AC36" s="45"/>
      <c r="AD36" s="45"/>
      <c r="AE36" s="3"/>
    </row>
    <row r="37" spans="1:36" ht="33.75" customHeight="1" thickBot="1" x14ac:dyDescent="0.3">
      <c r="A37" s="170" t="s">
        <v>34</v>
      </c>
      <c r="B37" s="141"/>
      <c r="C37" s="118"/>
      <c r="D37" s="118"/>
      <c r="E37" s="118"/>
      <c r="F37" s="118"/>
      <c r="G37" s="119"/>
      <c r="H37" s="236" t="s">
        <v>9</v>
      </c>
      <c r="I37" s="47"/>
      <c r="J37" s="47"/>
      <c r="K37" s="47"/>
      <c r="L37" s="47"/>
      <c r="M37" s="47"/>
      <c r="N37" s="970"/>
      <c r="O37" s="970"/>
      <c r="P37" s="97" t="s">
        <v>33</v>
      </c>
      <c r="Q37" s="186"/>
      <c r="R37" s="173"/>
      <c r="S37" s="173"/>
      <c r="T37" s="173"/>
      <c r="U37" s="261" t="s">
        <v>9</v>
      </c>
      <c r="V37" s="2"/>
      <c r="X37" s="47"/>
      <c r="Y37" s="47"/>
      <c r="Z37" s="3"/>
      <c r="AA37" s="46"/>
      <c r="AB37" s="3">
        <v>39.5</v>
      </c>
      <c r="AC37" s="45"/>
      <c r="AD37" s="45"/>
      <c r="AE37" s="45"/>
    </row>
    <row r="38" spans="1:36" ht="33.75" customHeight="1" thickBot="1" x14ac:dyDescent="0.3">
      <c r="A38" s="170" t="s">
        <v>10</v>
      </c>
      <c r="B38" s="221">
        <v>1</v>
      </c>
      <c r="C38" s="222">
        <v>2</v>
      </c>
      <c r="D38" s="222">
        <v>3</v>
      </c>
      <c r="E38" s="222">
        <v>4</v>
      </c>
      <c r="F38" s="222">
        <v>5</v>
      </c>
      <c r="G38" s="223">
        <v>6</v>
      </c>
      <c r="H38" s="238"/>
      <c r="I38" s="47"/>
      <c r="J38" s="47"/>
      <c r="K38" s="47"/>
      <c r="L38" s="47"/>
      <c r="M38" s="47"/>
      <c r="N38" s="144"/>
      <c r="O38" s="145"/>
      <c r="P38" s="80" t="s">
        <v>10</v>
      </c>
      <c r="Q38" s="186">
        <v>1</v>
      </c>
      <c r="R38" s="174">
        <v>2</v>
      </c>
      <c r="S38" s="174">
        <v>3</v>
      </c>
      <c r="T38" s="203" t="s">
        <v>72</v>
      </c>
      <c r="U38" s="126"/>
      <c r="V38" s="270"/>
      <c r="X38" s="47"/>
      <c r="Y38" s="47"/>
      <c r="Z38" s="48"/>
      <c r="AA38" s="48"/>
      <c r="AB38" s="2"/>
      <c r="AC38" s="2"/>
      <c r="AD38" s="2"/>
      <c r="AE38" s="2"/>
    </row>
    <row r="39" spans="1:36" ht="33.75" customHeight="1" x14ac:dyDescent="0.25">
      <c r="A39" s="171" t="s">
        <v>32</v>
      </c>
      <c r="B39" s="133">
        <v>36</v>
      </c>
      <c r="C39" s="134">
        <v>96.8</v>
      </c>
      <c r="D39" s="134">
        <v>64</v>
      </c>
      <c r="E39" s="134">
        <v>45.1</v>
      </c>
      <c r="F39" s="134">
        <v>92.8</v>
      </c>
      <c r="G39" s="156">
        <v>49.7</v>
      </c>
      <c r="H39" s="265">
        <f t="shared" ref="H39:H46" si="27">SUM(B39:G39)</f>
        <v>384.4</v>
      </c>
      <c r="I39" s="49"/>
      <c r="J39" s="49"/>
      <c r="K39" s="49"/>
      <c r="L39" s="49"/>
      <c r="M39" s="49"/>
      <c r="N39" s="144"/>
      <c r="O39" s="145"/>
      <c r="P39" s="171" t="s">
        <v>53</v>
      </c>
      <c r="Q39" s="133">
        <v>8.6</v>
      </c>
      <c r="R39" s="134">
        <v>20.9</v>
      </c>
      <c r="S39" s="134">
        <v>7.9</v>
      </c>
      <c r="T39" s="156">
        <v>1.6</v>
      </c>
      <c r="U39" s="136">
        <f>SUM(Q39:T39)</f>
        <v>39</v>
      </c>
      <c r="V39" s="271"/>
      <c r="X39" s="2"/>
      <c r="Y39" s="49"/>
      <c r="Z39" s="48"/>
      <c r="AA39" s="48"/>
      <c r="AB39" s="2"/>
      <c r="AC39" s="2"/>
      <c r="AD39" s="2"/>
      <c r="AE39" s="2"/>
    </row>
    <row r="40" spans="1:36" ht="33.75" customHeight="1" x14ac:dyDescent="0.25">
      <c r="A40" s="171" t="s">
        <v>24</v>
      </c>
      <c r="B40" s="18">
        <v>36</v>
      </c>
      <c r="C40" s="19">
        <v>96.8</v>
      </c>
      <c r="D40" s="19">
        <v>64</v>
      </c>
      <c r="E40" s="19">
        <v>45.1</v>
      </c>
      <c r="F40" s="19">
        <v>92.8</v>
      </c>
      <c r="G40" s="20">
        <v>49.7</v>
      </c>
      <c r="H40" s="136">
        <f t="shared" si="27"/>
        <v>384.4</v>
      </c>
      <c r="I40" s="49"/>
      <c r="J40" s="49"/>
      <c r="K40" s="49"/>
      <c r="L40" s="49"/>
      <c r="M40" s="49"/>
      <c r="N40" s="144"/>
      <c r="O40" s="145"/>
      <c r="P40" s="171" t="s">
        <v>24</v>
      </c>
      <c r="Q40" s="18">
        <v>8.6</v>
      </c>
      <c r="R40" s="19">
        <v>20.9</v>
      </c>
      <c r="S40" s="19">
        <v>7.9</v>
      </c>
      <c r="T40" s="20">
        <v>1.6</v>
      </c>
      <c r="U40" s="136">
        <f t="shared" ref="U40:U45" si="28">SUM(Q40:T40)</f>
        <v>39</v>
      </c>
      <c r="V40" s="271"/>
      <c r="X40" s="2"/>
      <c r="Y40" s="49"/>
      <c r="Z40" s="48"/>
      <c r="AA40" s="48"/>
      <c r="AB40" s="2"/>
      <c r="AC40" s="2"/>
      <c r="AD40" s="2"/>
      <c r="AE40" s="2"/>
    </row>
    <row r="41" spans="1:36" ht="33.75" customHeight="1" x14ac:dyDescent="0.25">
      <c r="A41" s="171" t="s">
        <v>20</v>
      </c>
      <c r="B41" s="18">
        <f>((((($B$47*$B$48)/1000)*7)-$B$39-$B$40)/5)</f>
        <v>20.861799999999999</v>
      </c>
      <c r="C41" s="19">
        <f>((((($C$47*$C$48)/1000)*7)-$C$39-$C$40)/5)</f>
        <v>55.689700000000002</v>
      </c>
      <c r="D41" s="19">
        <f>((((($D$47*$D$48)/1000)*7)-$D$39-$D$40)/5)</f>
        <v>34.331900000000005</v>
      </c>
      <c r="E41" s="19">
        <f>((((($E$47*$E$48)/1000)*7)-$E$39-$E$40)/5)</f>
        <v>24.721600000000002</v>
      </c>
      <c r="F41" s="19">
        <f>((((($F$47*$F$48)/1000)*7)-$F$39-$F$40)/5)</f>
        <v>52.304999999999993</v>
      </c>
      <c r="G41" s="20">
        <f>((((($G$47*$G$48)/1000)*7)-$G$39-$G$40)/5)</f>
        <v>28.314999999999998</v>
      </c>
      <c r="H41" s="136">
        <f t="shared" si="27"/>
        <v>216.22500000000002</v>
      </c>
      <c r="I41" s="49"/>
      <c r="J41" s="49"/>
      <c r="K41" s="49"/>
      <c r="L41" s="49"/>
      <c r="M41" s="49"/>
      <c r="N41" s="144"/>
      <c r="O41" s="145"/>
      <c r="P41" s="171" t="s">
        <v>20</v>
      </c>
      <c r="Q41" s="18">
        <f>((((($Q$47*$Q$48)/1000)*7)-$Q$39-$Q$40)/5)</f>
        <v>7.8264999999999985</v>
      </c>
      <c r="R41" s="19">
        <f>((((($R$47*$R$48)/1000)*7)-$R$39-$R$40)/5)</f>
        <v>19.223500000000001</v>
      </c>
      <c r="S41" s="19">
        <f>((((($S$47*$S$48)/1000)*7)-$S$39-$S$40)/5)</f>
        <v>7.144000000000001</v>
      </c>
      <c r="T41" s="20">
        <f>((((($T$47*$T$48)/1000)*7)-$T$39-$T$40)/5)</f>
        <v>1.0434999999999999</v>
      </c>
      <c r="U41" s="136">
        <f t="shared" si="28"/>
        <v>35.237500000000004</v>
      </c>
      <c r="V41" s="271"/>
      <c r="X41" s="2"/>
      <c r="Y41" s="49"/>
      <c r="Z41" s="48"/>
      <c r="AA41" s="48"/>
      <c r="AB41" s="2"/>
      <c r="AC41" s="2"/>
      <c r="AD41" s="2"/>
      <c r="AE41" s="2"/>
    </row>
    <row r="42" spans="1:36" ht="33.75" customHeight="1" x14ac:dyDescent="0.25">
      <c r="A42" s="171" t="s">
        <v>28</v>
      </c>
      <c r="B42" s="18">
        <f t="shared" ref="B42:B45" si="29">((((($B$47*$B$48)/1000)*7)-$B$39-$B$40)/5)</f>
        <v>20.861799999999999</v>
      </c>
      <c r="C42" s="19">
        <f t="shared" ref="C42:C45" si="30">((((($C$47*$C$48)/1000)*7)-$C$39-$C$40)/5)</f>
        <v>55.689700000000002</v>
      </c>
      <c r="D42" s="19">
        <f t="shared" ref="D42:D45" si="31">((((($D$47*$D$48)/1000)*7)-$D$39-$D$40)/5)</f>
        <v>34.331900000000005</v>
      </c>
      <c r="E42" s="19">
        <f t="shared" ref="E42:E45" si="32">((((($E$47*$E$48)/1000)*7)-$E$39-$E$40)/5)</f>
        <v>24.721600000000002</v>
      </c>
      <c r="F42" s="19">
        <f t="shared" ref="F42:F45" si="33">((((($F$47*$F$48)/1000)*7)-$F$39-$F$40)/5)</f>
        <v>52.304999999999993</v>
      </c>
      <c r="G42" s="20">
        <f t="shared" ref="G42:G45" si="34">((((($G$47*$G$48)/1000)*7)-$G$39-$G$40)/5)</f>
        <v>28.314999999999998</v>
      </c>
      <c r="H42" s="136">
        <f t="shared" si="27"/>
        <v>216.22500000000002</v>
      </c>
      <c r="I42" s="49"/>
      <c r="J42" s="49"/>
      <c r="K42" s="49"/>
      <c r="L42" s="49"/>
      <c r="M42" s="49"/>
      <c r="N42" s="144"/>
      <c r="O42" s="145"/>
      <c r="P42" s="171" t="s">
        <v>28</v>
      </c>
      <c r="Q42" s="18">
        <f t="shared" ref="Q42:Q45" si="35">((((($Q$47*$Q$48)/1000)*7)-$Q$39-$Q$40)/5)</f>
        <v>7.8264999999999985</v>
      </c>
      <c r="R42" s="19">
        <f t="shared" ref="R42:R45" si="36">((((($R$47*$R$48)/1000)*7)-$R$39-$R$40)/5)</f>
        <v>19.223500000000001</v>
      </c>
      <c r="S42" s="19">
        <f t="shared" ref="S42:S45" si="37">((((($S$47*$S$48)/1000)*7)-$S$39-$S$40)/5)</f>
        <v>7.144000000000001</v>
      </c>
      <c r="T42" s="20">
        <f t="shared" ref="T42:T45" si="38">((((($T$47*$T$48)/1000)*7)-$T$39-$T$40)/5)</f>
        <v>1.0434999999999999</v>
      </c>
      <c r="U42" s="136">
        <f>SUM(Q42:T42)</f>
        <v>35.237500000000004</v>
      </c>
      <c r="V42" s="271"/>
      <c r="X42" s="2"/>
      <c r="Y42" s="49"/>
      <c r="Z42" s="48"/>
      <c r="AA42" s="48"/>
      <c r="AB42" s="2"/>
      <c r="AC42" s="2"/>
      <c r="AD42" s="2"/>
      <c r="AE42" s="2"/>
    </row>
    <row r="43" spans="1:36" ht="33.75" customHeight="1" x14ac:dyDescent="0.25">
      <c r="A43" s="171" t="s">
        <v>21</v>
      </c>
      <c r="B43" s="18">
        <f t="shared" si="29"/>
        <v>20.861799999999999</v>
      </c>
      <c r="C43" s="19">
        <f t="shared" si="30"/>
        <v>55.689700000000002</v>
      </c>
      <c r="D43" s="19">
        <f t="shared" si="31"/>
        <v>34.331900000000005</v>
      </c>
      <c r="E43" s="19">
        <f t="shared" si="32"/>
        <v>24.721600000000002</v>
      </c>
      <c r="F43" s="19">
        <f t="shared" si="33"/>
        <v>52.304999999999993</v>
      </c>
      <c r="G43" s="20">
        <f t="shared" si="34"/>
        <v>28.314999999999998</v>
      </c>
      <c r="H43" s="136">
        <f t="shared" si="27"/>
        <v>216.22500000000002</v>
      </c>
      <c r="I43" s="49"/>
      <c r="J43" s="49"/>
      <c r="K43" s="49"/>
      <c r="L43" s="49"/>
      <c r="M43" s="49"/>
      <c r="N43" s="144"/>
      <c r="O43" s="145"/>
      <c r="P43" s="171" t="s">
        <v>21</v>
      </c>
      <c r="Q43" s="18">
        <f t="shared" si="35"/>
        <v>7.8264999999999985</v>
      </c>
      <c r="R43" s="19">
        <f t="shared" si="36"/>
        <v>19.223500000000001</v>
      </c>
      <c r="S43" s="19">
        <f t="shared" si="37"/>
        <v>7.144000000000001</v>
      </c>
      <c r="T43" s="20">
        <f t="shared" si="38"/>
        <v>1.0434999999999999</v>
      </c>
      <c r="U43" s="136">
        <f t="shared" si="28"/>
        <v>35.237500000000004</v>
      </c>
      <c r="V43" s="271"/>
      <c r="X43" s="2"/>
      <c r="Y43" s="49"/>
      <c r="Z43" s="48"/>
      <c r="AA43" s="48"/>
      <c r="AB43" s="2"/>
      <c r="AC43" s="2"/>
      <c r="AD43" s="2"/>
      <c r="AE43" s="2"/>
    </row>
    <row r="44" spans="1:36" ht="33.75" customHeight="1" x14ac:dyDescent="0.25">
      <c r="A44" s="171" t="s">
        <v>22</v>
      </c>
      <c r="B44" s="18">
        <f t="shared" si="29"/>
        <v>20.861799999999999</v>
      </c>
      <c r="C44" s="19">
        <f t="shared" si="30"/>
        <v>55.689700000000002</v>
      </c>
      <c r="D44" s="19">
        <f t="shared" si="31"/>
        <v>34.331900000000005</v>
      </c>
      <c r="E44" s="19">
        <f t="shared" si="32"/>
        <v>24.721600000000002</v>
      </c>
      <c r="F44" s="19">
        <f t="shared" si="33"/>
        <v>52.304999999999993</v>
      </c>
      <c r="G44" s="20">
        <f t="shared" si="34"/>
        <v>28.314999999999998</v>
      </c>
      <c r="H44" s="136">
        <f t="shared" si="27"/>
        <v>216.22500000000002</v>
      </c>
      <c r="I44" s="49"/>
      <c r="J44" s="49"/>
      <c r="K44" s="49"/>
      <c r="L44" s="49"/>
      <c r="M44" s="49"/>
      <c r="N44" s="144"/>
      <c r="O44" s="145"/>
      <c r="P44" s="171" t="s">
        <v>22</v>
      </c>
      <c r="Q44" s="18">
        <f t="shared" si="35"/>
        <v>7.8264999999999985</v>
      </c>
      <c r="R44" s="19">
        <f t="shared" si="36"/>
        <v>19.223500000000001</v>
      </c>
      <c r="S44" s="19">
        <f t="shared" si="37"/>
        <v>7.144000000000001</v>
      </c>
      <c r="T44" s="20">
        <f t="shared" si="38"/>
        <v>1.0434999999999999</v>
      </c>
      <c r="U44" s="136">
        <f t="shared" si="28"/>
        <v>35.237500000000004</v>
      </c>
      <c r="V44" s="271"/>
      <c r="X44" s="2"/>
      <c r="Y44" s="49"/>
      <c r="Z44" s="48"/>
      <c r="AA44" s="48"/>
      <c r="AB44" s="2"/>
      <c r="AC44" s="2"/>
      <c r="AD44" s="2"/>
      <c r="AE44" s="2"/>
    </row>
    <row r="45" spans="1:36" ht="33.75" customHeight="1" thickBot="1" x14ac:dyDescent="0.3">
      <c r="A45" s="171" t="s">
        <v>32</v>
      </c>
      <c r="B45" s="153">
        <f t="shared" si="29"/>
        <v>20.861799999999999</v>
      </c>
      <c r="C45" s="154">
        <f t="shared" si="30"/>
        <v>55.689700000000002</v>
      </c>
      <c r="D45" s="154">
        <f t="shared" si="31"/>
        <v>34.331900000000005</v>
      </c>
      <c r="E45" s="154">
        <f t="shared" si="32"/>
        <v>24.721600000000002</v>
      </c>
      <c r="F45" s="154">
        <f t="shared" si="33"/>
        <v>52.304999999999993</v>
      </c>
      <c r="G45" s="182">
        <f t="shared" si="34"/>
        <v>28.314999999999998</v>
      </c>
      <c r="H45" s="266">
        <f t="shared" si="27"/>
        <v>216.22500000000002</v>
      </c>
      <c r="I45" s="49"/>
      <c r="J45" s="49"/>
      <c r="K45" s="49"/>
      <c r="L45" s="49"/>
      <c r="M45" s="49"/>
      <c r="N45" s="144"/>
      <c r="O45" s="145"/>
      <c r="P45" s="171" t="s">
        <v>23</v>
      </c>
      <c r="Q45" s="153">
        <f t="shared" si="35"/>
        <v>7.8264999999999985</v>
      </c>
      <c r="R45" s="154">
        <f t="shared" si="36"/>
        <v>19.223500000000001</v>
      </c>
      <c r="S45" s="154">
        <f t="shared" si="37"/>
        <v>7.144000000000001</v>
      </c>
      <c r="T45" s="182">
        <f t="shared" si="38"/>
        <v>1.0434999999999999</v>
      </c>
      <c r="U45" s="136">
        <f t="shared" si="28"/>
        <v>35.237500000000004</v>
      </c>
      <c r="V45" s="271"/>
      <c r="X45" s="2"/>
      <c r="Y45" s="49"/>
      <c r="Z45" s="48"/>
      <c r="AA45" s="48"/>
      <c r="AB45" s="48"/>
      <c r="AC45" s="48"/>
      <c r="AD45" s="2"/>
      <c r="AE45" s="2"/>
      <c r="AF45" s="2"/>
      <c r="AG45" s="2"/>
    </row>
    <row r="46" spans="1:36" ht="33.75" customHeight="1" x14ac:dyDescent="0.25">
      <c r="A46" s="170" t="s">
        <v>9</v>
      </c>
      <c r="B46" s="217">
        <f t="shared" ref="B46:G46" si="39">SUM(B39:B45)</f>
        <v>176.30899999999997</v>
      </c>
      <c r="C46" s="218">
        <f t="shared" si="39"/>
        <v>472.04850000000005</v>
      </c>
      <c r="D46" s="218">
        <f t="shared" si="39"/>
        <v>299.65950000000009</v>
      </c>
      <c r="E46" s="218">
        <f t="shared" si="39"/>
        <v>213.80799999999999</v>
      </c>
      <c r="F46" s="218">
        <f t="shared" si="39"/>
        <v>447.125</v>
      </c>
      <c r="G46" s="178">
        <f t="shared" si="39"/>
        <v>240.97499999999999</v>
      </c>
      <c r="H46" s="239">
        <f t="shared" si="27"/>
        <v>1849.9250000000002</v>
      </c>
      <c r="I46" s="49"/>
      <c r="J46" s="49"/>
      <c r="K46" s="49"/>
      <c r="L46" s="49"/>
      <c r="M46" s="49"/>
      <c r="N46" s="49"/>
      <c r="P46" s="170" t="s">
        <v>9</v>
      </c>
      <c r="Q46" s="179">
        <f>SUM(Q39:Q45)</f>
        <v>56.332499999999982</v>
      </c>
      <c r="R46" s="180">
        <f>SUM(R39:R45)</f>
        <v>137.91750000000002</v>
      </c>
      <c r="S46" s="180">
        <f>SUM(S39:S45)</f>
        <v>51.52</v>
      </c>
      <c r="T46" s="181">
        <f>SUM(T39:T45)</f>
        <v>8.4175000000000004</v>
      </c>
      <c r="U46" s="239">
        <f>SUM(U39,U40,U41,U42,U43,U44,U45)</f>
        <v>254.18750000000006</v>
      </c>
      <c r="V46" s="272"/>
      <c r="X46" s="49"/>
      <c r="Y46" s="49"/>
      <c r="Z46" s="2"/>
      <c r="AA46" s="2"/>
      <c r="AB46" s="2"/>
      <c r="AC46" s="2"/>
      <c r="AD46" s="2"/>
      <c r="AE46" s="2"/>
      <c r="AF46" s="2"/>
      <c r="AG46" s="2"/>
    </row>
    <row r="47" spans="1:36" ht="33.75" customHeight="1" x14ac:dyDescent="0.25">
      <c r="A47" s="192" t="s">
        <v>11</v>
      </c>
      <c r="B47" s="23">
        <v>89</v>
      </c>
      <c r="C47" s="24">
        <v>91.5</v>
      </c>
      <c r="D47" s="24">
        <v>94.5</v>
      </c>
      <c r="E47" s="24">
        <v>92</v>
      </c>
      <c r="F47" s="24">
        <v>87.5</v>
      </c>
      <c r="G47" s="25">
        <v>85</v>
      </c>
      <c r="H47" s="137">
        <f>+((H46/H48)/7)*1000</f>
        <v>89.889455782312936</v>
      </c>
      <c r="I47" s="50"/>
      <c r="J47" s="50"/>
      <c r="K47" s="50"/>
      <c r="L47" s="50"/>
      <c r="M47" s="50"/>
      <c r="N47" s="49"/>
      <c r="P47" s="273" t="s">
        <v>11</v>
      </c>
      <c r="Q47" s="23">
        <v>92.5</v>
      </c>
      <c r="R47" s="24">
        <v>92.5</v>
      </c>
      <c r="S47" s="24">
        <v>92</v>
      </c>
      <c r="T47" s="25">
        <v>92.5</v>
      </c>
      <c r="U47" s="137">
        <f>+((U46/U48)/7)*1000</f>
        <v>92.398218829516566</v>
      </c>
      <c r="V47" s="2"/>
      <c r="X47" s="50"/>
      <c r="Y47" s="50"/>
    </row>
    <row r="48" spans="1:36" ht="33.75" customHeight="1" x14ac:dyDescent="0.25">
      <c r="A48" s="193" t="s">
        <v>12</v>
      </c>
      <c r="B48" s="26">
        <v>283</v>
      </c>
      <c r="C48" s="27">
        <v>737</v>
      </c>
      <c r="D48" s="27">
        <v>453</v>
      </c>
      <c r="E48" s="27">
        <v>332</v>
      </c>
      <c r="F48" s="27">
        <v>730</v>
      </c>
      <c r="G48" s="28">
        <v>405</v>
      </c>
      <c r="H48" s="138">
        <f>SUM(B48:G48)</f>
        <v>2940</v>
      </c>
      <c r="I48" s="198"/>
      <c r="J48" s="198"/>
      <c r="K48" s="198"/>
      <c r="L48" s="198"/>
      <c r="M48" s="198"/>
      <c r="N48" s="49"/>
      <c r="O48" s="51"/>
      <c r="P48" s="193" t="s">
        <v>12</v>
      </c>
      <c r="Q48" s="257">
        <v>87</v>
      </c>
      <c r="R48" s="275">
        <v>213</v>
      </c>
      <c r="S48" s="275">
        <v>80</v>
      </c>
      <c r="T48" s="276">
        <v>13</v>
      </c>
      <c r="U48" s="254">
        <f>SUM(Q48:T48)</f>
        <v>393</v>
      </c>
      <c r="V48" s="2"/>
      <c r="X48" s="52"/>
      <c r="Y48" s="52"/>
    </row>
    <row r="49" spans="1:37" ht="33.75" customHeight="1" x14ac:dyDescent="0.25">
      <c r="A49" s="194" t="s">
        <v>13</v>
      </c>
      <c r="B49" s="30">
        <f t="shared" ref="B49:G49" si="40">(B48*B47)/1000</f>
        <v>25.187000000000001</v>
      </c>
      <c r="C49" s="31">
        <f t="shared" si="40"/>
        <v>67.435500000000005</v>
      </c>
      <c r="D49" s="31">
        <f t="shared" si="40"/>
        <v>42.808500000000002</v>
      </c>
      <c r="E49" s="31">
        <f t="shared" si="40"/>
        <v>30.544</v>
      </c>
      <c r="F49" s="31">
        <f t="shared" si="40"/>
        <v>63.875</v>
      </c>
      <c r="G49" s="32">
        <f t="shared" si="40"/>
        <v>34.424999999999997</v>
      </c>
      <c r="H49" s="139">
        <f>((H46*1000)/H48)/7</f>
        <v>89.889455782312936</v>
      </c>
      <c r="I49" s="199"/>
      <c r="J49" s="199"/>
      <c r="K49" s="199"/>
      <c r="L49" s="199"/>
      <c r="M49" s="199"/>
      <c r="N49" s="49"/>
      <c r="P49" s="194" t="s">
        <v>13</v>
      </c>
      <c r="Q49" s="30"/>
      <c r="R49" s="31"/>
      <c r="S49" s="31"/>
      <c r="T49" s="32"/>
      <c r="U49" s="274">
        <f>((U46*1000)/U48)/7</f>
        <v>92.398218829516551</v>
      </c>
      <c r="V49" s="43"/>
      <c r="X49" s="52"/>
      <c r="Y49" s="52"/>
    </row>
    <row r="50" spans="1:37" ht="33.75" customHeight="1" x14ac:dyDescent="0.25">
      <c r="A50" s="185" t="s">
        <v>14</v>
      </c>
      <c r="B50" s="34">
        <f t="shared" ref="B50:G50" si="41">((B48*B47)*7)/1000</f>
        <v>176.309</v>
      </c>
      <c r="C50" s="35">
        <f t="shared" si="41"/>
        <v>472.04849999999999</v>
      </c>
      <c r="D50" s="35">
        <f t="shared" si="41"/>
        <v>299.65949999999998</v>
      </c>
      <c r="E50" s="35">
        <f t="shared" si="41"/>
        <v>213.80799999999999</v>
      </c>
      <c r="F50" s="35">
        <f t="shared" si="41"/>
        <v>447.125</v>
      </c>
      <c r="G50" s="68">
        <f t="shared" si="41"/>
        <v>240.97499999999999</v>
      </c>
      <c r="H50" s="112"/>
      <c r="I50" s="41"/>
      <c r="J50" s="41"/>
      <c r="K50" s="41"/>
      <c r="L50" s="41"/>
      <c r="M50" s="41"/>
      <c r="N50" s="49"/>
      <c r="P50" s="185" t="s">
        <v>14</v>
      </c>
      <c r="Q50" s="34">
        <f>((Q48*Q47)*7)/1000</f>
        <v>56.332500000000003</v>
      </c>
      <c r="R50" s="35">
        <f>((R48*R47)*7)/1000</f>
        <v>137.91749999999999</v>
      </c>
      <c r="S50" s="35">
        <f>((S48*S47)*7)/1000</f>
        <v>51.52</v>
      </c>
      <c r="T50" s="68">
        <f>((T48*T47)*7)/1000</f>
        <v>8.4175000000000004</v>
      </c>
      <c r="U50" s="36"/>
      <c r="V50" s="41"/>
    </row>
    <row r="51" spans="1:37" ht="33.75" customHeight="1" thickBot="1" x14ac:dyDescent="0.3">
      <c r="A51" s="195" t="s">
        <v>15</v>
      </c>
      <c r="B51" s="37">
        <f t="shared" ref="B51:G51" si="42">+(B46/B48)/7*1000</f>
        <v>88.999999999999986</v>
      </c>
      <c r="C51" s="38">
        <f t="shared" si="42"/>
        <v>91.500000000000014</v>
      </c>
      <c r="D51" s="38">
        <f t="shared" si="42"/>
        <v>94.500000000000028</v>
      </c>
      <c r="E51" s="38">
        <f t="shared" si="42"/>
        <v>92</v>
      </c>
      <c r="F51" s="38">
        <f t="shared" si="42"/>
        <v>87.500000000000014</v>
      </c>
      <c r="G51" s="39">
        <f t="shared" si="42"/>
        <v>84.999999999999986</v>
      </c>
      <c r="H51" s="140"/>
      <c r="I51" s="41"/>
      <c r="J51" s="41"/>
      <c r="K51" s="41"/>
      <c r="L51" s="41"/>
      <c r="M51" s="41"/>
      <c r="N51" s="49"/>
      <c r="O51" s="41"/>
      <c r="P51" s="195" t="s">
        <v>15</v>
      </c>
      <c r="Q51" s="37">
        <f>+(Q46/Q48)/7*1000</f>
        <v>92.499999999999957</v>
      </c>
      <c r="R51" s="38">
        <f>+(R46/R48)/7*1000</f>
        <v>92.500000000000014</v>
      </c>
      <c r="S51" s="38">
        <f>+(S46/S48)/7*1000</f>
        <v>92</v>
      </c>
      <c r="T51" s="39">
        <f>+(T46/T48)/7*1000</f>
        <v>92.500000000000014</v>
      </c>
      <c r="U51" s="259"/>
      <c r="V51" s="42"/>
      <c r="X51" s="42"/>
      <c r="Y51" s="42"/>
    </row>
    <row r="52" spans="1:37" ht="33.75" customHeight="1" x14ac:dyDescent="0.25">
      <c r="A52" s="41"/>
      <c r="B52" s="2"/>
      <c r="C52" s="2"/>
      <c r="D52" s="2"/>
      <c r="E52" s="2"/>
      <c r="F52" s="2"/>
      <c r="G52" s="2"/>
      <c r="H52" s="41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2"/>
      <c r="AB52" s="2"/>
      <c r="AC52" s="2"/>
      <c r="AD52" s="2"/>
      <c r="AE52" s="2"/>
    </row>
    <row r="53" spans="1:37" ht="33.75" customHeight="1" x14ac:dyDescent="0.25">
      <c r="A53" s="41"/>
      <c r="B53" s="10"/>
      <c r="C53" s="10"/>
      <c r="D53" s="10"/>
      <c r="E53" s="10"/>
      <c r="F53" s="10"/>
      <c r="G53" s="10"/>
      <c r="H53" s="41"/>
      <c r="I53" s="41"/>
      <c r="J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2"/>
      <c r="X53" s="43"/>
      <c r="Y53" s="43"/>
      <c r="Z53" s="43"/>
      <c r="AA53" s="2"/>
      <c r="AB53" s="2"/>
      <c r="AC53" s="2"/>
      <c r="AD53" s="2"/>
      <c r="AH53" s="3"/>
    </row>
    <row r="54" spans="1:37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958"/>
      <c r="P54" s="958"/>
      <c r="Q54" s="54"/>
      <c r="R54" s="54"/>
      <c r="S54" s="54"/>
      <c r="T54" s="54"/>
      <c r="U54" s="55"/>
      <c r="Z54" s="43"/>
      <c r="AA54" s="43"/>
      <c r="AB54" s="43"/>
      <c r="AC54" s="2"/>
      <c r="AD54" s="2"/>
      <c r="AE54" s="2"/>
      <c r="AF54" s="2"/>
      <c r="AH54" s="2"/>
      <c r="AI54" s="2"/>
      <c r="AJ54" s="2"/>
    </row>
    <row r="55" spans="1:37" ht="33.75" customHeight="1" thickBot="1" x14ac:dyDescent="0.3">
      <c r="A55" s="88" t="s">
        <v>19</v>
      </c>
      <c r="B55" s="973" t="s">
        <v>30</v>
      </c>
      <c r="C55" s="974"/>
      <c r="D55" s="974"/>
      <c r="E55" s="974"/>
      <c r="F55" s="974"/>
      <c r="G55" s="975"/>
      <c r="H55" s="85"/>
      <c r="I55" s="56"/>
      <c r="J55" s="56"/>
      <c r="K55" s="56"/>
      <c r="L55" s="56"/>
      <c r="M55" s="56"/>
      <c r="N55" s="56"/>
      <c r="O55" s="56"/>
      <c r="AA55" s="43"/>
      <c r="AB55" s="43"/>
      <c r="AC55" s="43"/>
      <c r="AD55" s="2"/>
      <c r="AE55" s="2"/>
      <c r="AF55" s="2"/>
      <c r="AG55" s="2"/>
      <c r="AI55" s="2"/>
      <c r="AJ55" s="2"/>
      <c r="AK55" s="2"/>
    </row>
    <row r="56" spans="1:37" ht="33.75" customHeight="1" thickBot="1" x14ac:dyDescent="0.3">
      <c r="A56" s="80" t="s">
        <v>34</v>
      </c>
      <c r="B56" s="188"/>
      <c r="C56" s="249"/>
      <c r="D56" s="249"/>
      <c r="E56" s="249"/>
      <c r="F56" s="249"/>
      <c r="G56" s="250"/>
      <c r="H56" s="13" t="s">
        <v>9</v>
      </c>
      <c r="O56" s="45"/>
      <c r="P56" s="45"/>
      <c r="Q56" s="45"/>
      <c r="R56" s="45"/>
      <c r="S56" s="57"/>
      <c r="T56" s="57"/>
      <c r="U56" s="57"/>
      <c r="V56" s="57"/>
      <c r="W56" s="45"/>
      <c r="X56" s="45"/>
      <c r="Y56" s="58"/>
      <c r="Z56" s="58"/>
      <c r="AA56" s="58"/>
      <c r="AB56" s="2"/>
      <c r="AC56" s="2"/>
      <c r="AD56" s="2"/>
      <c r="AE56" s="2"/>
      <c r="AG56" s="2"/>
      <c r="AH56" s="2"/>
      <c r="AI56" s="2"/>
    </row>
    <row r="57" spans="1:37" ht="33.75" customHeight="1" thickBot="1" x14ac:dyDescent="0.3">
      <c r="A57" s="80" t="s">
        <v>10</v>
      </c>
      <c r="B57" s="186">
        <v>1</v>
      </c>
      <c r="C57" s="174">
        <v>2</v>
      </c>
      <c r="D57" s="174">
        <v>3</v>
      </c>
      <c r="E57" s="174">
        <v>4</v>
      </c>
      <c r="F57" s="174">
        <v>5</v>
      </c>
      <c r="G57" s="277" t="s">
        <v>74</v>
      </c>
      <c r="H57" s="13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57"/>
      <c r="T57" s="57"/>
      <c r="U57" s="57"/>
      <c r="V57" s="57"/>
      <c r="W57" s="45"/>
      <c r="X57" s="45"/>
      <c r="Y57" s="58"/>
      <c r="Z57" s="58"/>
      <c r="AA57" s="58"/>
      <c r="AB57" s="2"/>
      <c r="AC57" s="2"/>
      <c r="AD57" s="2"/>
      <c r="AE57" s="2"/>
      <c r="AF57" s="2"/>
      <c r="AG57" s="2"/>
      <c r="AH57" s="2"/>
      <c r="AI57" s="2"/>
    </row>
    <row r="58" spans="1:37" ht="33.75" customHeight="1" x14ac:dyDescent="0.25">
      <c r="A58" s="171" t="s">
        <v>53</v>
      </c>
      <c r="B58" s="133">
        <v>10.405899999999999</v>
      </c>
      <c r="C58" s="134">
        <v>16.378599999999999</v>
      </c>
      <c r="D58" s="134">
        <v>23.3843</v>
      </c>
      <c r="E58" s="134">
        <v>34.000799999999998</v>
      </c>
      <c r="F58" s="134">
        <v>39.782899999999998</v>
      </c>
      <c r="G58" s="156">
        <v>9.1169999999999991</v>
      </c>
      <c r="H58" s="136">
        <f>SUM(B58:G58)</f>
        <v>133.06950000000001</v>
      </c>
      <c r="I58" s="42"/>
      <c r="J58" s="42"/>
      <c r="K58" s="42"/>
      <c r="L58" s="42"/>
      <c r="M58" s="42"/>
      <c r="N58" s="42"/>
      <c r="O58" s="2"/>
      <c r="P58" s="45"/>
      <c r="Q58" s="45"/>
      <c r="R58" s="45"/>
      <c r="S58" s="57"/>
      <c r="T58" s="57"/>
      <c r="U58" s="57"/>
      <c r="V58" s="57"/>
      <c r="W58" s="45"/>
      <c r="X58" s="45"/>
      <c r="Y58" s="58"/>
      <c r="Z58" s="58"/>
      <c r="AA58" s="58"/>
      <c r="AB58" s="2"/>
      <c r="AC58" s="2"/>
      <c r="AD58" s="2"/>
      <c r="AE58" s="2"/>
      <c r="AF58" s="2"/>
      <c r="AG58" s="2"/>
      <c r="AH58" s="2"/>
      <c r="AI58" s="2"/>
    </row>
    <row r="59" spans="1:37" ht="33.75" customHeight="1" x14ac:dyDescent="0.25">
      <c r="A59" s="171" t="s">
        <v>24</v>
      </c>
      <c r="B59" s="18">
        <v>10.405899999999999</v>
      </c>
      <c r="C59" s="19">
        <v>16.378599999999999</v>
      </c>
      <c r="D59" s="19">
        <v>23.3843</v>
      </c>
      <c r="E59" s="19">
        <v>34.000799999999998</v>
      </c>
      <c r="F59" s="19">
        <v>39.782899999999998</v>
      </c>
      <c r="G59" s="20">
        <v>9.1169999999999991</v>
      </c>
      <c r="H59" s="136">
        <f t="shared" ref="H59:H64" si="43">SUM(B59:G59)</f>
        <v>133.06950000000001</v>
      </c>
      <c r="I59" s="42"/>
      <c r="J59" s="42"/>
      <c r="K59" s="42"/>
      <c r="L59" s="42"/>
      <c r="M59" s="42"/>
      <c r="N59" s="42"/>
      <c r="O59" s="2"/>
      <c r="P59" s="45"/>
      <c r="Q59" s="45"/>
      <c r="R59" s="45"/>
      <c r="S59" s="57"/>
      <c r="T59" s="57"/>
      <c r="U59" s="57"/>
      <c r="V59" s="57"/>
      <c r="W59" s="45"/>
      <c r="X59" s="45"/>
      <c r="Y59" s="58"/>
      <c r="Z59" s="58"/>
      <c r="AA59" s="58"/>
      <c r="AB59" s="2"/>
      <c r="AC59" s="2"/>
      <c r="AD59" s="2"/>
      <c r="AE59" s="2"/>
      <c r="AF59" s="2"/>
      <c r="AG59" s="2"/>
      <c r="AH59" s="2"/>
      <c r="AI59" s="2"/>
    </row>
    <row r="60" spans="1:37" ht="33.75" customHeight="1" x14ac:dyDescent="0.25">
      <c r="A60" s="171" t="s">
        <v>20</v>
      </c>
      <c r="B60" s="18">
        <f>((((($B$66*$B$67)/1000)*7)-$B$58-$B$59)/5)</f>
        <v>9.3924399999999988</v>
      </c>
      <c r="C60" s="19">
        <f>((((($C$66*$C$67)/1000)*7)-$C$58-$C$59)/5)</f>
        <v>14.767759999999999</v>
      </c>
      <c r="D60" s="19">
        <f>((((($D$66*$D$67)/1000)*7)-$D$58-$D$59)/5)</f>
        <v>21.04588</v>
      </c>
      <c r="E60" s="19">
        <f>((((($E$66*$E$67)/1000)*7)-$E$58-$E$59)/5)</f>
        <v>30.617280000000001</v>
      </c>
      <c r="F60" s="19">
        <f>((((($F$66*$F$67)/1000)*7)-$F$58-$F$59)/5)</f>
        <v>35.805640000000004</v>
      </c>
      <c r="G60" s="20">
        <f>((((($G$66*$G$67)/1000)*7)-$G$58-$G$59)/5)</f>
        <v>8.0655999999999999</v>
      </c>
      <c r="H60" s="136">
        <f t="shared" si="43"/>
        <v>119.69460000000002</v>
      </c>
      <c r="I60" s="42"/>
      <c r="J60" s="42"/>
      <c r="K60" s="42"/>
      <c r="L60" s="42"/>
      <c r="M60" s="42"/>
      <c r="N60" s="42"/>
      <c r="O60" s="2"/>
      <c r="P60" s="45"/>
      <c r="Q60" s="45"/>
      <c r="R60" s="45"/>
      <c r="S60" s="57"/>
      <c r="T60" s="57"/>
      <c r="U60" s="57"/>
      <c r="V60" s="57"/>
      <c r="W60" s="45"/>
      <c r="X60" s="45"/>
      <c r="Y60" s="58"/>
      <c r="Z60" s="58"/>
      <c r="AA60" s="58"/>
      <c r="AB60" s="2"/>
      <c r="AC60" s="2"/>
      <c r="AD60" s="2"/>
      <c r="AE60" s="2"/>
      <c r="AF60" s="2"/>
      <c r="AG60" s="2"/>
      <c r="AH60" s="2"/>
      <c r="AI60" s="2"/>
    </row>
    <row r="61" spans="1:37" ht="33.75" customHeight="1" x14ac:dyDescent="0.25">
      <c r="A61" s="171" t="s">
        <v>28</v>
      </c>
      <c r="B61" s="18">
        <f t="shared" ref="B61:B64" si="44">((((($B$66*$B$67)/1000)*7)-$B$58-$B$59)/5)</f>
        <v>9.3924399999999988</v>
      </c>
      <c r="C61" s="19">
        <f t="shared" ref="C61:C64" si="45">((((($C$66*$C$67)/1000)*7)-$C$58-$C$59)/5)</f>
        <v>14.767759999999999</v>
      </c>
      <c r="D61" s="19">
        <f t="shared" ref="D61:D63" si="46">((((($D$66*$D$67)/1000)*7)-$D$58-$D$59)/5)</f>
        <v>21.04588</v>
      </c>
      <c r="E61" s="19">
        <f t="shared" ref="E61:E64" si="47">((((($E$66*$E$67)/1000)*7)-$E$58-$E$59)/5)</f>
        <v>30.617280000000001</v>
      </c>
      <c r="F61" s="19">
        <f t="shared" ref="F61:F64" si="48">((((($F$66*$F$67)/1000)*7)-$F$58-$F$59)/5)</f>
        <v>35.805640000000004</v>
      </c>
      <c r="G61" s="20">
        <f t="shared" ref="G61:G64" si="49">((((($G$66*$G$67)/1000)*7)-$G$58-$G$59)/5)</f>
        <v>8.0655999999999999</v>
      </c>
      <c r="H61" s="136">
        <f t="shared" si="43"/>
        <v>119.69460000000002</v>
      </c>
      <c r="I61" s="42"/>
      <c r="J61" s="42"/>
      <c r="K61" s="42"/>
      <c r="L61" s="42"/>
      <c r="M61" s="42"/>
      <c r="N61" s="42"/>
      <c r="O61" s="2"/>
      <c r="P61" s="45"/>
      <c r="Q61" s="45"/>
      <c r="R61" s="45"/>
      <c r="S61" s="57"/>
      <c r="T61" s="57"/>
      <c r="U61" s="57"/>
      <c r="V61" s="57"/>
      <c r="W61" s="45"/>
      <c r="X61" s="45"/>
      <c r="Y61" s="58"/>
      <c r="Z61" s="58"/>
      <c r="AA61" s="58"/>
      <c r="AB61" s="3"/>
      <c r="AC61" s="3"/>
      <c r="AD61" s="2"/>
      <c r="AE61" s="2"/>
      <c r="AF61" s="2"/>
      <c r="AG61" s="2"/>
      <c r="AH61" s="2"/>
      <c r="AI61" s="2"/>
    </row>
    <row r="62" spans="1:37" ht="33.75" customHeight="1" x14ac:dyDescent="0.25">
      <c r="A62" s="171" t="s">
        <v>21</v>
      </c>
      <c r="B62" s="18">
        <f t="shared" si="44"/>
        <v>9.3924399999999988</v>
      </c>
      <c r="C62" s="19">
        <f t="shared" si="45"/>
        <v>14.767759999999999</v>
      </c>
      <c r="D62" s="19">
        <f t="shared" si="46"/>
        <v>21.04588</v>
      </c>
      <c r="E62" s="19">
        <f t="shared" si="47"/>
        <v>30.617280000000001</v>
      </c>
      <c r="F62" s="19">
        <f t="shared" si="48"/>
        <v>35.805640000000004</v>
      </c>
      <c r="G62" s="20">
        <f t="shared" si="49"/>
        <v>8.0655999999999999</v>
      </c>
      <c r="H62" s="136">
        <f t="shared" si="43"/>
        <v>119.69460000000002</v>
      </c>
      <c r="I62" s="42"/>
      <c r="J62" s="42"/>
      <c r="K62" s="42"/>
      <c r="L62" s="42"/>
      <c r="M62" s="42"/>
      <c r="N62" s="42"/>
      <c r="O62" s="2"/>
      <c r="P62" s="45"/>
      <c r="Q62" s="45"/>
      <c r="R62" s="45"/>
      <c r="S62" s="57"/>
      <c r="T62" s="57"/>
      <c r="U62" s="57"/>
      <c r="V62" s="57"/>
      <c r="W62" s="45"/>
      <c r="X62" s="45"/>
      <c r="Y62" s="58"/>
      <c r="Z62" s="58"/>
      <c r="AA62" s="58"/>
      <c r="AB62" s="3"/>
      <c r="AC62" s="3"/>
      <c r="AD62" s="2"/>
      <c r="AE62" s="2"/>
      <c r="AF62" s="2"/>
      <c r="AG62" s="2"/>
      <c r="AH62" s="2"/>
      <c r="AI62" s="2"/>
    </row>
    <row r="63" spans="1:37" ht="33.75" customHeight="1" x14ac:dyDescent="0.25">
      <c r="A63" s="171" t="s">
        <v>22</v>
      </c>
      <c r="B63" s="18">
        <f t="shared" si="44"/>
        <v>9.3924399999999988</v>
      </c>
      <c r="C63" s="19">
        <f t="shared" si="45"/>
        <v>14.767759999999999</v>
      </c>
      <c r="D63" s="19">
        <f t="shared" si="46"/>
        <v>21.04588</v>
      </c>
      <c r="E63" s="19">
        <f t="shared" si="47"/>
        <v>30.617280000000001</v>
      </c>
      <c r="F63" s="19">
        <f t="shared" si="48"/>
        <v>35.805640000000004</v>
      </c>
      <c r="G63" s="20">
        <f t="shared" si="49"/>
        <v>8.0655999999999999</v>
      </c>
      <c r="H63" s="136">
        <f t="shared" si="43"/>
        <v>119.69460000000002</v>
      </c>
      <c r="I63" s="42"/>
      <c r="J63" s="42"/>
      <c r="K63" s="42"/>
      <c r="L63" s="42"/>
      <c r="M63" s="42"/>
      <c r="N63" s="42"/>
      <c r="O63" s="2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3"/>
      <c r="AC63" s="3"/>
      <c r="AF63" s="2"/>
      <c r="AG63" s="2"/>
      <c r="AH63" s="2"/>
      <c r="AI63" s="2"/>
    </row>
    <row r="64" spans="1:37" ht="33.75" customHeight="1" thickBot="1" x14ac:dyDescent="0.3">
      <c r="A64" s="171" t="s">
        <v>23</v>
      </c>
      <c r="B64" s="18">
        <f t="shared" si="44"/>
        <v>9.3924399999999988</v>
      </c>
      <c r="C64" s="19">
        <f t="shared" si="45"/>
        <v>14.767759999999999</v>
      </c>
      <c r="D64" s="19">
        <f>((((($D$66*$D$67)/1000)*7)-$D$58-$D$59)/5)</f>
        <v>21.04588</v>
      </c>
      <c r="E64" s="19">
        <f t="shared" si="47"/>
        <v>30.617280000000001</v>
      </c>
      <c r="F64" s="19">
        <f t="shared" si="48"/>
        <v>35.805640000000004</v>
      </c>
      <c r="G64" s="20">
        <f t="shared" si="49"/>
        <v>8.0655999999999999</v>
      </c>
      <c r="H64" s="136">
        <f t="shared" si="43"/>
        <v>119.69460000000002</v>
      </c>
      <c r="I64" s="42"/>
      <c r="J64" s="42"/>
      <c r="K64" s="42"/>
      <c r="L64" s="42"/>
      <c r="M64" s="42"/>
      <c r="N64" s="42"/>
      <c r="O64" s="2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3"/>
      <c r="AC64" s="3"/>
      <c r="AF64" s="2"/>
      <c r="AG64" s="2"/>
      <c r="AH64" s="2"/>
      <c r="AI64" s="2"/>
    </row>
    <row r="65" spans="1:35" ht="33.75" customHeight="1" x14ac:dyDescent="0.25">
      <c r="A65" s="170" t="s">
        <v>9</v>
      </c>
      <c r="B65" s="131">
        <f t="shared" ref="B65:G65" si="50">SUM(B58:B64)</f>
        <v>67.774000000000001</v>
      </c>
      <c r="C65" s="128">
        <f t="shared" si="50"/>
        <v>106.59599999999998</v>
      </c>
      <c r="D65" s="128">
        <f t="shared" si="50"/>
        <v>151.99800000000002</v>
      </c>
      <c r="E65" s="128">
        <f t="shared" si="50"/>
        <v>221.08799999999997</v>
      </c>
      <c r="F65" s="128">
        <f t="shared" si="50"/>
        <v>258.59400000000005</v>
      </c>
      <c r="G65" s="129">
        <f t="shared" si="50"/>
        <v>58.562000000000012</v>
      </c>
      <c r="H65" s="136">
        <f>SUM(B65:G65)</f>
        <v>864.61199999999997</v>
      </c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3"/>
      <c r="AC65" s="3"/>
      <c r="AD65" s="3"/>
      <c r="AE65" s="3"/>
      <c r="AF65" s="2"/>
      <c r="AG65" s="2"/>
      <c r="AH65" s="2"/>
      <c r="AI65" s="2"/>
    </row>
    <row r="66" spans="1:35" ht="33.75" customHeight="1" x14ac:dyDescent="0.25">
      <c r="A66" s="192" t="s">
        <v>11</v>
      </c>
      <c r="B66" s="23">
        <v>94</v>
      </c>
      <c r="C66" s="24">
        <v>94</v>
      </c>
      <c r="D66" s="24">
        <v>94</v>
      </c>
      <c r="E66" s="24">
        <v>94</v>
      </c>
      <c r="F66" s="24">
        <v>94</v>
      </c>
      <c r="G66" s="25">
        <v>94</v>
      </c>
      <c r="H66" s="137">
        <f>+((H65/H67)/7)*1000</f>
        <v>94</v>
      </c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3"/>
      <c r="AC66" s="3"/>
      <c r="AD66" s="3"/>
      <c r="AE66" s="3"/>
      <c r="AF66" s="2"/>
      <c r="AG66" s="2"/>
      <c r="AH66" s="2"/>
      <c r="AI66" s="2"/>
    </row>
    <row r="67" spans="1:35" ht="33.75" customHeight="1" x14ac:dyDescent="0.25">
      <c r="A67" s="193" t="s">
        <v>12</v>
      </c>
      <c r="B67" s="257">
        <v>103</v>
      </c>
      <c r="C67" s="275">
        <v>162</v>
      </c>
      <c r="D67" s="275">
        <v>231</v>
      </c>
      <c r="E67" s="275">
        <v>336</v>
      </c>
      <c r="F67" s="275">
        <v>393</v>
      </c>
      <c r="G67" s="276">
        <v>89</v>
      </c>
      <c r="H67" s="254">
        <f>SUM(B67:G67)</f>
        <v>1314</v>
      </c>
      <c r="O67" s="59"/>
      <c r="S67" s="3"/>
      <c r="T67" s="3"/>
      <c r="U67" s="3"/>
      <c r="V67" s="3"/>
      <c r="W67" s="3"/>
      <c r="X67" s="3"/>
    </row>
    <row r="68" spans="1:35" ht="33.75" customHeight="1" x14ac:dyDescent="0.25">
      <c r="A68" s="194" t="s">
        <v>13</v>
      </c>
      <c r="B68" s="30">
        <v>83.71</v>
      </c>
      <c r="C68" s="31">
        <f>(C67*C66)/1000</f>
        <v>15.228</v>
      </c>
      <c r="D68" s="31">
        <f>(D67*D66)/1000</f>
        <v>21.713999999999999</v>
      </c>
      <c r="E68" s="31">
        <f>(E67*E66)/1000</f>
        <v>31.584</v>
      </c>
      <c r="F68" s="31">
        <f>(F67*F66)/1000</f>
        <v>36.942</v>
      </c>
      <c r="G68" s="32">
        <f>(G67*G66)/1000</f>
        <v>8.3659999999999997</v>
      </c>
      <c r="H68" s="255">
        <f>((H65*1000)/H67)/7</f>
        <v>94</v>
      </c>
      <c r="S68" s="3"/>
      <c r="T68" s="3"/>
      <c r="U68" s="3"/>
      <c r="V68" s="3"/>
      <c r="W68" s="3"/>
      <c r="X68" s="3"/>
    </row>
    <row r="69" spans="1:35" ht="33.75" customHeight="1" x14ac:dyDescent="0.25">
      <c r="A69" s="185" t="s">
        <v>14</v>
      </c>
      <c r="B69" s="34">
        <f t="shared" ref="B69:G69" si="51">((B67*B66)*7)/1000</f>
        <v>67.774000000000001</v>
      </c>
      <c r="C69" s="35">
        <f t="shared" si="51"/>
        <v>106.596</v>
      </c>
      <c r="D69" s="35">
        <f t="shared" si="51"/>
        <v>151.99799999999999</v>
      </c>
      <c r="E69" s="35">
        <f t="shared" si="51"/>
        <v>221.08799999999999</v>
      </c>
      <c r="F69" s="35">
        <f t="shared" si="51"/>
        <v>258.59399999999999</v>
      </c>
      <c r="G69" s="68">
        <f t="shared" si="51"/>
        <v>58.561999999999998</v>
      </c>
      <c r="H69" s="112"/>
      <c r="I69" s="41"/>
      <c r="J69" s="41"/>
      <c r="K69" s="41"/>
      <c r="L69" s="41"/>
      <c r="M69" s="41"/>
      <c r="N69" s="41"/>
      <c r="X69" s="3"/>
    </row>
    <row r="70" spans="1:35" ht="33.75" customHeight="1" thickBot="1" x14ac:dyDescent="0.3">
      <c r="A70" s="195" t="s">
        <v>15</v>
      </c>
      <c r="B70" s="37">
        <f t="shared" ref="B70:G70" si="52">+(B65/B67)/7*1000</f>
        <v>94</v>
      </c>
      <c r="C70" s="38">
        <f t="shared" si="52"/>
        <v>93.999999999999972</v>
      </c>
      <c r="D70" s="38">
        <f t="shared" si="52"/>
        <v>94</v>
      </c>
      <c r="E70" s="38">
        <f t="shared" si="52"/>
        <v>93.999999999999986</v>
      </c>
      <c r="F70" s="38">
        <f t="shared" si="52"/>
        <v>94.000000000000014</v>
      </c>
      <c r="G70" s="39">
        <f t="shared" si="52"/>
        <v>94.000000000000014</v>
      </c>
      <c r="H70" s="40"/>
      <c r="X70" s="3"/>
    </row>
    <row r="71" spans="1:35" ht="33.75" customHeight="1" x14ac:dyDescent="0.25">
      <c r="B71" s="148"/>
    </row>
    <row r="72" spans="1:35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52"/>
    </row>
    <row r="73" spans="1:35" ht="33.75" customHeight="1" x14ac:dyDescent="0.25"/>
    <row r="74" spans="1:35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  <c r="M74" s="45"/>
      <c r="N74" s="45"/>
      <c r="O74" s="45"/>
    </row>
    <row r="75" spans="1:35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5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5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5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5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G36"/>
    <mergeCell ref="N37:O37"/>
    <mergeCell ref="O54:P54"/>
    <mergeCell ref="Q36:T36"/>
    <mergeCell ref="B55:G55"/>
    <mergeCell ref="A3:C3"/>
    <mergeCell ref="E9:G9"/>
    <mergeCell ref="X9:Y9"/>
    <mergeCell ref="P11:Q11"/>
    <mergeCell ref="B15:I15"/>
    <mergeCell ref="J15:M15"/>
    <mergeCell ref="N15:R15"/>
    <mergeCell ref="S15:X15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K239"/>
  <sheetViews>
    <sheetView workbookViewId="0"/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6" width="21.28515625" style="14" bestFit="1" customWidth="1"/>
    <col min="7" max="7" width="28.42578125" style="14" customWidth="1"/>
    <col min="8" max="8" width="29.140625" style="14" customWidth="1"/>
    <col min="9" max="13" width="20.140625" style="14" customWidth="1"/>
    <col min="14" max="14" width="28.28515625" style="14" bestFit="1" customWidth="1"/>
    <col min="15" max="16" width="33.42578125" style="14" bestFit="1" customWidth="1"/>
    <col min="17" max="17" width="22.7109375" style="14" customWidth="1"/>
    <col min="18" max="19" width="21.28515625" style="14" customWidth="1"/>
    <col min="20" max="20" width="28" style="14" customWidth="1"/>
    <col min="21" max="21" width="21.28515625" style="14" bestFit="1" customWidth="1"/>
    <col min="22" max="22" width="21.28515625" style="14" customWidth="1"/>
    <col min="23" max="23" width="27.85546875" style="14" customWidth="1"/>
    <col min="24" max="24" width="25.85546875" style="14" customWidth="1"/>
    <col min="25" max="25" width="21.42578125" style="14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 t="s">
        <v>3</v>
      </c>
      <c r="X9" s="960" t="s">
        <v>35</v>
      </c>
      <c r="Y9" s="960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65" t="s">
        <v>76</v>
      </c>
      <c r="Q11" s="965"/>
      <c r="R11" s="6"/>
      <c r="S11" s="6"/>
      <c r="T11" s="6"/>
      <c r="U11" s="1"/>
      <c r="V11" s="1"/>
      <c r="W11" s="1" t="s">
        <v>6</v>
      </c>
      <c r="X11" s="95">
        <v>45455</v>
      </c>
      <c r="Y11" s="6"/>
      <c r="Z11" s="6"/>
      <c r="AA11" s="6"/>
      <c r="AB11" s="6"/>
      <c r="AC11" s="6"/>
      <c r="AD11" s="6"/>
      <c r="AE11" s="1"/>
      <c r="AF11" s="1"/>
      <c r="AG11" s="1"/>
      <c r="AH11" s="1"/>
      <c r="AI11" s="1"/>
      <c r="AJ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1"/>
      <c r="AD13" s="1"/>
      <c r="AE13" s="1"/>
    </row>
    <row r="14" spans="1:3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1"/>
      <c r="AE14" s="1"/>
      <c r="AF14" s="1"/>
    </row>
    <row r="15" spans="1:36" s="10" customFormat="1" ht="36" thickBot="1" x14ac:dyDescent="0.3">
      <c r="A15" s="69" t="s">
        <v>7</v>
      </c>
      <c r="B15" s="971" t="s">
        <v>8</v>
      </c>
      <c r="C15" s="968"/>
      <c r="D15" s="968"/>
      <c r="E15" s="968"/>
      <c r="F15" s="968"/>
      <c r="G15" s="968"/>
      <c r="H15" s="968"/>
      <c r="I15" s="968"/>
      <c r="J15" s="971" t="s">
        <v>30</v>
      </c>
      <c r="K15" s="968"/>
      <c r="L15" s="968"/>
      <c r="M15" s="969"/>
      <c r="N15" s="971" t="s">
        <v>29</v>
      </c>
      <c r="O15" s="968"/>
      <c r="P15" s="968"/>
      <c r="Q15" s="968"/>
      <c r="R15" s="969"/>
      <c r="S15" s="962" t="s">
        <v>31</v>
      </c>
      <c r="T15" s="963"/>
      <c r="U15" s="963"/>
      <c r="V15" s="963"/>
      <c r="W15" s="963"/>
      <c r="X15" s="964"/>
    </row>
    <row r="16" spans="1:36" ht="39.950000000000003" customHeight="1" thickBot="1" x14ac:dyDescent="0.3">
      <c r="A16" s="80" t="s">
        <v>34</v>
      </c>
      <c r="B16" s="186">
        <v>4</v>
      </c>
      <c r="C16" s="174">
        <v>3</v>
      </c>
      <c r="D16" s="174">
        <v>2</v>
      </c>
      <c r="E16" s="174">
        <v>1</v>
      </c>
      <c r="F16" s="174">
        <v>1</v>
      </c>
      <c r="G16" s="174">
        <v>2</v>
      </c>
      <c r="H16" s="174">
        <v>3</v>
      </c>
      <c r="I16" s="175">
        <v>4</v>
      </c>
      <c r="J16" s="186">
        <v>1</v>
      </c>
      <c r="K16" s="174">
        <v>2</v>
      </c>
      <c r="L16" s="174">
        <v>3</v>
      </c>
      <c r="M16" s="175">
        <v>4</v>
      </c>
      <c r="N16" s="202">
        <v>1</v>
      </c>
      <c r="O16" s="174">
        <v>2</v>
      </c>
      <c r="P16" s="174">
        <v>3</v>
      </c>
      <c r="Q16" s="174">
        <v>4</v>
      </c>
      <c r="R16" s="203">
        <v>5</v>
      </c>
      <c r="S16" s="186">
        <v>1</v>
      </c>
      <c r="T16" s="174">
        <v>2</v>
      </c>
      <c r="U16" s="174">
        <v>3</v>
      </c>
      <c r="V16" s="174">
        <v>4</v>
      </c>
      <c r="W16" s="175">
        <v>5</v>
      </c>
      <c r="X16" s="126" t="s">
        <v>9</v>
      </c>
      <c r="AB16" s="15"/>
      <c r="AC16" s="15"/>
    </row>
    <row r="17" spans="1:36" ht="39.950000000000003" customHeight="1" thickBot="1" x14ac:dyDescent="0.3">
      <c r="A17" s="80" t="s">
        <v>10</v>
      </c>
      <c r="B17" s="186">
        <v>1</v>
      </c>
      <c r="C17" s="174">
        <v>2</v>
      </c>
      <c r="D17" s="174">
        <v>3</v>
      </c>
      <c r="E17" s="174">
        <v>4</v>
      </c>
      <c r="F17" s="174">
        <v>5</v>
      </c>
      <c r="G17" s="174">
        <v>6</v>
      </c>
      <c r="H17" s="174">
        <v>7</v>
      </c>
      <c r="I17" s="175">
        <v>8</v>
      </c>
      <c r="J17" s="186">
        <v>1</v>
      </c>
      <c r="K17" s="174">
        <v>2</v>
      </c>
      <c r="L17" s="174">
        <v>3</v>
      </c>
      <c r="M17" s="175">
        <v>4</v>
      </c>
      <c r="N17" s="202">
        <v>1</v>
      </c>
      <c r="O17" s="174">
        <v>2</v>
      </c>
      <c r="P17" s="174">
        <v>3</v>
      </c>
      <c r="Q17" s="174">
        <v>4</v>
      </c>
      <c r="R17" s="203">
        <v>5</v>
      </c>
      <c r="S17" s="186">
        <v>1</v>
      </c>
      <c r="T17" s="174">
        <v>2</v>
      </c>
      <c r="U17" s="174">
        <v>3</v>
      </c>
      <c r="V17" s="174">
        <v>4</v>
      </c>
      <c r="W17" s="175">
        <v>5</v>
      </c>
      <c r="X17" s="208"/>
      <c r="AB17" s="2"/>
      <c r="AC17" s="15"/>
    </row>
    <row r="18" spans="1:36" ht="39.950000000000003" customHeight="1" x14ac:dyDescent="0.25">
      <c r="A18" s="171" t="s">
        <v>53</v>
      </c>
      <c r="B18" s="133">
        <v>30.1</v>
      </c>
      <c r="C18" s="134">
        <v>64.3</v>
      </c>
      <c r="D18" s="134">
        <v>50.4</v>
      </c>
      <c r="E18" s="134">
        <v>20.6</v>
      </c>
      <c r="F18" s="134">
        <v>31.3</v>
      </c>
      <c r="G18" s="134">
        <v>46.6</v>
      </c>
      <c r="H18" s="134">
        <v>40.799999999999997</v>
      </c>
      <c r="I18" s="156">
        <v>35.5</v>
      </c>
      <c r="J18" s="133">
        <v>12.4</v>
      </c>
      <c r="K18" s="134">
        <v>24.8</v>
      </c>
      <c r="L18" s="134">
        <v>36.6</v>
      </c>
      <c r="M18" s="156">
        <v>32.799999999999997</v>
      </c>
      <c r="N18" s="133">
        <v>30</v>
      </c>
      <c r="O18" s="134">
        <v>32</v>
      </c>
      <c r="P18" s="134">
        <v>55.8</v>
      </c>
      <c r="Q18" s="134">
        <v>52.1</v>
      </c>
      <c r="R18" s="156">
        <v>27.6</v>
      </c>
      <c r="S18" s="133">
        <v>25.7</v>
      </c>
      <c r="T18" s="134">
        <v>39.5</v>
      </c>
      <c r="U18" s="134">
        <v>52.3</v>
      </c>
      <c r="V18" s="134">
        <v>47.2</v>
      </c>
      <c r="W18" s="156">
        <v>30.8</v>
      </c>
      <c r="X18" s="98">
        <f>SUM(B18:W18)</f>
        <v>819.2</v>
      </c>
      <c r="AB18" s="2"/>
      <c r="AC18" s="15"/>
    </row>
    <row r="19" spans="1:36" ht="39.950000000000003" customHeight="1" x14ac:dyDescent="0.25">
      <c r="A19" s="171" t="s">
        <v>24</v>
      </c>
      <c r="B19" s="18">
        <v>30.1</v>
      </c>
      <c r="C19" s="19">
        <v>64.3</v>
      </c>
      <c r="D19" s="19">
        <v>50.4</v>
      </c>
      <c r="E19" s="19">
        <v>20.6</v>
      </c>
      <c r="F19" s="19">
        <v>31.3</v>
      </c>
      <c r="G19" s="19">
        <v>46.6</v>
      </c>
      <c r="H19" s="19">
        <v>40.799999999999997</v>
      </c>
      <c r="I19" s="20">
        <v>35.5</v>
      </c>
      <c r="J19" s="18">
        <v>12.4</v>
      </c>
      <c r="K19" s="19">
        <v>24.8</v>
      </c>
      <c r="L19" s="19">
        <v>36.6</v>
      </c>
      <c r="M19" s="20">
        <v>32.799999999999997</v>
      </c>
      <c r="N19" s="18">
        <v>30</v>
      </c>
      <c r="O19" s="19">
        <v>32</v>
      </c>
      <c r="P19" s="19">
        <v>55.8</v>
      </c>
      <c r="Q19" s="19">
        <v>52.1</v>
      </c>
      <c r="R19" s="20">
        <v>27.6</v>
      </c>
      <c r="S19" s="18">
        <v>25.7</v>
      </c>
      <c r="T19" s="19">
        <v>39.5</v>
      </c>
      <c r="U19" s="19">
        <v>52.3</v>
      </c>
      <c r="V19" s="19">
        <v>47.2</v>
      </c>
      <c r="W19" s="20">
        <v>30.8</v>
      </c>
      <c r="X19" s="98">
        <f t="shared" ref="X19:X24" si="0">SUM(B19:W19)</f>
        <v>819.2</v>
      </c>
      <c r="AB19" s="2"/>
      <c r="AC19" s="15"/>
    </row>
    <row r="20" spans="1:36" ht="39.75" customHeight="1" x14ac:dyDescent="0.25">
      <c r="A20" s="171" t="s">
        <v>20</v>
      </c>
      <c r="B20" s="18">
        <f>((((($B$26*$B$27)*7)/1000)-$B$18-$B$19)/5)</f>
        <v>34.195700000000002</v>
      </c>
      <c r="C20" s="19">
        <f>((((($C$26*$C$27)*7)/1000)-$C$18-$C$19)/5)</f>
        <v>72.250599999999991</v>
      </c>
      <c r="D20" s="19">
        <f>((((($D$26*$D$27)*7)/1000)-$D$18-$D$19)/5)</f>
        <v>58.029300000000013</v>
      </c>
      <c r="E20" s="19">
        <f>(((($E$26*$E$27)*7)/1000)-$E$18-$E$19)/5</f>
        <v>23.313200000000002</v>
      </c>
      <c r="F20" s="19">
        <f>(((($F$26*$F$27)*7)/1000)-$F$18-$F$19)/5</f>
        <v>34.855999999999995</v>
      </c>
      <c r="G20" s="19">
        <f>(((($G$26*$G$27)*7)/1000)-$G$18-$G$19)/5</f>
        <v>52.83979999999999</v>
      </c>
      <c r="H20" s="19">
        <f>(((($H$26*$H$27)*7)/1000)-$H$18-$H$19)/5</f>
        <v>46.705199999999991</v>
      </c>
      <c r="I20" s="20">
        <f>(((($I$26*$I$27)*7)/1000)-$I$18-$I$19)/5</f>
        <v>40.534400000000005</v>
      </c>
      <c r="J20" s="18">
        <f>(((($J$26*$J$27)*7)/1000)-$J$18-$J$19)/5</f>
        <v>13.2974</v>
      </c>
      <c r="K20" s="19">
        <f>(((($K$26*$K$27)*7)/1000)-$K$18-$K$19)/5</f>
        <v>27.255599999999994</v>
      </c>
      <c r="L20" s="19">
        <f>(((($L$26*$L$27)*7)/1000)-$L$18-$L$19)/5</f>
        <v>42.052999999999997</v>
      </c>
      <c r="M20" s="20">
        <f>(((($M$26*$M$27)*7)/1000)-$M$18-$M$19)/5</f>
        <v>37.965999999999994</v>
      </c>
      <c r="N20" s="18">
        <f>(((($N$26*$N$27)*7)/1000)-$N$18-$N$19)/5</f>
        <v>33.2928</v>
      </c>
      <c r="O20" s="19">
        <f>(((($O$26*$O$27)*7)/1000)-$O$18-$O$19)/5</f>
        <v>34.431100000000001</v>
      </c>
      <c r="P20" s="19">
        <f>(((($P$26*$P$27)*7)/1000)-$P$18-$P$19)/5</f>
        <v>64.184600000000003</v>
      </c>
      <c r="Q20" s="19">
        <f>(((($Q$26*$Q$27)*7)/1000)-$Q$18-$Q$19)/5</f>
        <v>61.134899999999995</v>
      </c>
      <c r="R20" s="20">
        <f>(((($R$26*$R$27)*7)/1000)-$R$18-$R$19)/5</f>
        <v>32.196200000000005</v>
      </c>
      <c r="S20" s="18">
        <f>(((($S$26*$S$27)*7)/1000)-$S$18-$S$19)/5</f>
        <v>29.099200000000003</v>
      </c>
      <c r="T20" s="19">
        <f>(((($T$26*$T$27)*7)/1000)-$T$18-$T$19)/5</f>
        <v>44.867600000000003</v>
      </c>
      <c r="U20" s="19">
        <f>(((($U$26*$U$27)*7)/1000)-$U$18-$U$19)/5</f>
        <v>59.341999999999999</v>
      </c>
      <c r="V20" s="19">
        <f>(((($V$26*$V$27)*7)/1000)-$V$18-$V$19)/5</f>
        <v>53.570000000000007</v>
      </c>
      <c r="W20" s="20">
        <f>(((($W$26*$W$27)*7)/1000)-$W$18-$W$19)/5</f>
        <v>34.918099999999995</v>
      </c>
      <c r="X20" s="98">
        <f t="shared" si="0"/>
        <v>930.33270000000005</v>
      </c>
      <c r="AB20" s="2"/>
      <c r="AC20" s="15"/>
    </row>
    <row r="21" spans="1:36" ht="39.950000000000003" customHeight="1" x14ac:dyDescent="0.25">
      <c r="A21" s="171" t="s">
        <v>28</v>
      </c>
      <c r="B21" s="18">
        <f t="shared" ref="B21:B24" si="1">((((($B$26*$B$27)*7)/1000)-$B$18-$B$19)/5)</f>
        <v>34.195700000000002</v>
      </c>
      <c r="C21" s="19">
        <f t="shared" ref="C21:C24" si="2">((((($C$26*$C$27)*7)/1000)-$C$18-$C$19)/5)</f>
        <v>72.250599999999991</v>
      </c>
      <c r="D21" s="19">
        <f t="shared" ref="D21:D24" si="3">((((($D$26*$D$27)*7)/1000)-$D$18-$D$19)/5)</f>
        <v>58.029300000000013</v>
      </c>
      <c r="E21" s="19">
        <f t="shared" ref="E21:E24" si="4">(((($E$26*$E$27)*7)/1000)-$E$18-$E$19)/5</f>
        <v>23.313200000000002</v>
      </c>
      <c r="F21" s="19">
        <f t="shared" ref="F21:F24" si="5">(((($F$26*$F$27)*7)/1000)-$F$18-$F$19)/5</f>
        <v>34.855999999999995</v>
      </c>
      <c r="G21" s="19">
        <f t="shared" ref="G21:G24" si="6">(((($G$26*$G$27)*7)/1000)-$G$18-$G$19)/5</f>
        <v>52.83979999999999</v>
      </c>
      <c r="H21" s="19">
        <f t="shared" ref="H21:H24" si="7">(((($H$26*$H$27)*7)/1000)-$H$18-$H$19)/5</f>
        <v>46.705199999999991</v>
      </c>
      <c r="I21" s="20">
        <f t="shared" ref="I21:I24" si="8">(((($I$26*$I$27)*7)/1000)-$I$18-$I$19)/5</f>
        <v>40.534400000000005</v>
      </c>
      <c r="J21" s="18">
        <f t="shared" ref="J21:J24" si="9">(((($J$26*$J$27)*7)/1000)-$J$18-$J$19)/5</f>
        <v>13.2974</v>
      </c>
      <c r="K21" s="19">
        <f t="shared" ref="K21:K24" si="10">(((($K$26*$K$27)*7)/1000)-$K$18-$K$19)/5</f>
        <v>27.255599999999994</v>
      </c>
      <c r="L21" s="19">
        <f t="shared" ref="L21:L24" si="11">(((($L$26*$L$27)*7)/1000)-$L$18-$L$19)/5</f>
        <v>42.052999999999997</v>
      </c>
      <c r="M21" s="20">
        <f t="shared" ref="M21:M24" si="12">(((($M$26*$M$27)*7)/1000)-$M$18-$M$19)/5</f>
        <v>37.965999999999994</v>
      </c>
      <c r="N21" s="18">
        <f t="shared" ref="N21:N24" si="13">(((($N$26*$N$27)*7)/1000)-$N$18-$N$19)/5</f>
        <v>33.2928</v>
      </c>
      <c r="O21" s="19">
        <f t="shared" ref="O21:O24" si="14">(((($O$26*$O$27)*7)/1000)-$O$18-$O$19)/5</f>
        <v>34.431100000000001</v>
      </c>
      <c r="P21" s="19">
        <f t="shared" ref="P21:P24" si="15">(((($P$26*$P$27)*7)/1000)-$P$18-$P$19)/5</f>
        <v>64.184600000000003</v>
      </c>
      <c r="Q21" s="19">
        <f t="shared" ref="Q21:Q24" si="16">(((($Q$26*$Q$27)*7)/1000)-$Q$18-$Q$19)/5</f>
        <v>61.134899999999995</v>
      </c>
      <c r="R21" s="20">
        <f t="shared" ref="R21:R24" si="17">(((($R$26*$R$27)*7)/1000)-$R$18-$R$19)/5</f>
        <v>32.196200000000005</v>
      </c>
      <c r="S21" s="18">
        <f t="shared" ref="S21:S24" si="18">(((($S$26*$S$27)*7)/1000)-$S$18-$S$19)/5</f>
        <v>29.099200000000003</v>
      </c>
      <c r="T21" s="19">
        <f t="shared" ref="T21:T24" si="19">(((($T$26*$T$27)*7)/1000)-$T$18-$T$19)/5</f>
        <v>44.867600000000003</v>
      </c>
      <c r="U21" s="19">
        <f t="shared" ref="U21:U24" si="20">(((($U$26*$U$27)*7)/1000)-$U$18-$U$19)/5</f>
        <v>59.341999999999999</v>
      </c>
      <c r="V21" s="19">
        <f t="shared" ref="V21:V24" si="21">(((($V$26*$V$27)*7)/1000)-$V$18-$V$19)/5</f>
        <v>53.570000000000007</v>
      </c>
      <c r="W21" s="20">
        <f t="shared" ref="W21:W24" si="22">(((($W$26*$W$27)*7)/1000)-$W$18-$W$19)/5</f>
        <v>34.918099999999995</v>
      </c>
      <c r="X21" s="98">
        <f t="shared" si="0"/>
        <v>930.33270000000005</v>
      </c>
      <c r="AB21" s="2"/>
      <c r="AC21" s="15"/>
    </row>
    <row r="22" spans="1:36" ht="39.950000000000003" customHeight="1" x14ac:dyDescent="0.25">
      <c r="A22" s="171" t="s">
        <v>21</v>
      </c>
      <c r="B22" s="18">
        <f t="shared" si="1"/>
        <v>34.195700000000002</v>
      </c>
      <c r="C22" s="19">
        <f t="shared" si="2"/>
        <v>72.250599999999991</v>
      </c>
      <c r="D22" s="19">
        <f t="shared" si="3"/>
        <v>58.029300000000013</v>
      </c>
      <c r="E22" s="19">
        <f t="shared" si="4"/>
        <v>23.313200000000002</v>
      </c>
      <c r="F22" s="19">
        <f t="shared" si="5"/>
        <v>34.855999999999995</v>
      </c>
      <c r="G22" s="19">
        <f t="shared" si="6"/>
        <v>52.83979999999999</v>
      </c>
      <c r="H22" s="19">
        <f t="shared" si="7"/>
        <v>46.705199999999991</v>
      </c>
      <c r="I22" s="20">
        <f t="shared" si="8"/>
        <v>40.534400000000005</v>
      </c>
      <c r="J22" s="18">
        <f t="shared" si="9"/>
        <v>13.2974</v>
      </c>
      <c r="K22" s="19">
        <f t="shared" si="10"/>
        <v>27.255599999999994</v>
      </c>
      <c r="L22" s="19">
        <f t="shared" si="11"/>
        <v>42.052999999999997</v>
      </c>
      <c r="M22" s="20">
        <f t="shared" si="12"/>
        <v>37.965999999999994</v>
      </c>
      <c r="N22" s="18">
        <f t="shared" si="13"/>
        <v>33.2928</v>
      </c>
      <c r="O22" s="19">
        <f t="shared" si="14"/>
        <v>34.431100000000001</v>
      </c>
      <c r="P22" s="19">
        <f t="shared" si="15"/>
        <v>64.184600000000003</v>
      </c>
      <c r="Q22" s="19">
        <f t="shared" si="16"/>
        <v>61.134899999999995</v>
      </c>
      <c r="R22" s="20">
        <f t="shared" si="17"/>
        <v>32.196200000000005</v>
      </c>
      <c r="S22" s="18">
        <f t="shared" si="18"/>
        <v>29.099200000000003</v>
      </c>
      <c r="T22" s="19">
        <f t="shared" si="19"/>
        <v>44.867600000000003</v>
      </c>
      <c r="U22" s="19">
        <f t="shared" si="20"/>
        <v>59.341999999999999</v>
      </c>
      <c r="V22" s="19">
        <f t="shared" si="21"/>
        <v>53.570000000000007</v>
      </c>
      <c r="W22" s="20">
        <f t="shared" si="22"/>
        <v>34.918099999999995</v>
      </c>
      <c r="X22" s="98">
        <f t="shared" si="0"/>
        <v>930.33270000000005</v>
      </c>
      <c r="AB22" s="2"/>
      <c r="AC22" s="15"/>
    </row>
    <row r="23" spans="1:36" ht="39.950000000000003" customHeight="1" x14ac:dyDescent="0.25">
      <c r="A23" s="171" t="s">
        <v>22</v>
      </c>
      <c r="B23" s="18">
        <f t="shared" si="1"/>
        <v>34.195700000000002</v>
      </c>
      <c r="C23" s="19">
        <f t="shared" si="2"/>
        <v>72.250599999999991</v>
      </c>
      <c r="D23" s="19">
        <f t="shared" si="3"/>
        <v>58.029300000000013</v>
      </c>
      <c r="E23" s="19">
        <f t="shared" si="4"/>
        <v>23.313200000000002</v>
      </c>
      <c r="F23" s="19">
        <f t="shared" si="5"/>
        <v>34.855999999999995</v>
      </c>
      <c r="G23" s="19">
        <f t="shared" si="6"/>
        <v>52.83979999999999</v>
      </c>
      <c r="H23" s="19">
        <f t="shared" si="7"/>
        <v>46.705199999999991</v>
      </c>
      <c r="I23" s="20">
        <f t="shared" si="8"/>
        <v>40.534400000000005</v>
      </c>
      <c r="J23" s="18">
        <f t="shared" si="9"/>
        <v>13.2974</v>
      </c>
      <c r="K23" s="19">
        <f t="shared" si="10"/>
        <v>27.255599999999994</v>
      </c>
      <c r="L23" s="19">
        <f t="shared" si="11"/>
        <v>42.052999999999997</v>
      </c>
      <c r="M23" s="20">
        <f t="shared" si="12"/>
        <v>37.965999999999994</v>
      </c>
      <c r="N23" s="18">
        <f t="shared" si="13"/>
        <v>33.2928</v>
      </c>
      <c r="O23" s="19">
        <f t="shared" si="14"/>
        <v>34.431100000000001</v>
      </c>
      <c r="P23" s="19">
        <f t="shared" si="15"/>
        <v>64.184600000000003</v>
      </c>
      <c r="Q23" s="19">
        <f t="shared" si="16"/>
        <v>61.134899999999995</v>
      </c>
      <c r="R23" s="20">
        <f t="shared" si="17"/>
        <v>32.196200000000005</v>
      </c>
      <c r="S23" s="18">
        <f t="shared" si="18"/>
        <v>29.099200000000003</v>
      </c>
      <c r="T23" s="19">
        <f t="shared" si="19"/>
        <v>44.867600000000003</v>
      </c>
      <c r="U23" s="19">
        <f t="shared" si="20"/>
        <v>59.341999999999999</v>
      </c>
      <c r="V23" s="19">
        <f t="shared" si="21"/>
        <v>53.570000000000007</v>
      </c>
      <c r="W23" s="20">
        <f t="shared" si="22"/>
        <v>34.918099999999995</v>
      </c>
      <c r="X23" s="98">
        <f t="shared" si="0"/>
        <v>930.33270000000005</v>
      </c>
      <c r="AB23" s="2"/>
      <c r="AC23" s="15"/>
    </row>
    <row r="24" spans="1:36" ht="39.950000000000003" customHeight="1" thickBot="1" x14ac:dyDescent="0.3">
      <c r="A24" s="171" t="s">
        <v>23</v>
      </c>
      <c r="B24" s="153">
        <f t="shared" si="1"/>
        <v>34.195700000000002</v>
      </c>
      <c r="C24" s="154">
        <f t="shared" si="2"/>
        <v>72.250599999999991</v>
      </c>
      <c r="D24" s="154">
        <f t="shared" si="3"/>
        <v>58.029300000000013</v>
      </c>
      <c r="E24" s="154">
        <f t="shared" si="4"/>
        <v>23.313200000000002</v>
      </c>
      <c r="F24" s="154">
        <f t="shared" si="5"/>
        <v>34.855999999999995</v>
      </c>
      <c r="G24" s="154">
        <f t="shared" si="6"/>
        <v>52.83979999999999</v>
      </c>
      <c r="H24" s="154">
        <f t="shared" si="7"/>
        <v>46.705199999999991</v>
      </c>
      <c r="I24" s="182">
        <f t="shared" si="8"/>
        <v>40.534400000000005</v>
      </c>
      <c r="J24" s="153">
        <f t="shared" si="9"/>
        <v>13.2974</v>
      </c>
      <c r="K24" s="154">
        <f t="shared" si="10"/>
        <v>27.255599999999994</v>
      </c>
      <c r="L24" s="154">
        <f t="shared" si="11"/>
        <v>42.052999999999997</v>
      </c>
      <c r="M24" s="182">
        <f t="shared" si="12"/>
        <v>37.965999999999994</v>
      </c>
      <c r="N24" s="153">
        <f t="shared" si="13"/>
        <v>33.2928</v>
      </c>
      <c r="O24" s="154">
        <f t="shared" si="14"/>
        <v>34.431100000000001</v>
      </c>
      <c r="P24" s="154">
        <f t="shared" si="15"/>
        <v>64.184600000000003</v>
      </c>
      <c r="Q24" s="154">
        <f t="shared" si="16"/>
        <v>61.134899999999995</v>
      </c>
      <c r="R24" s="182">
        <f t="shared" si="17"/>
        <v>32.196200000000005</v>
      </c>
      <c r="S24" s="153">
        <f t="shared" si="18"/>
        <v>29.099200000000003</v>
      </c>
      <c r="T24" s="154">
        <f t="shared" si="19"/>
        <v>44.867600000000003</v>
      </c>
      <c r="U24" s="154">
        <f t="shared" si="20"/>
        <v>59.341999999999999</v>
      </c>
      <c r="V24" s="154">
        <f t="shared" si="21"/>
        <v>53.570000000000007</v>
      </c>
      <c r="W24" s="182">
        <f t="shared" si="22"/>
        <v>34.918099999999995</v>
      </c>
      <c r="X24" s="98">
        <f t="shared" si="0"/>
        <v>930.33270000000005</v>
      </c>
      <c r="AB24" s="2"/>
    </row>
    <row r="25" spans="1:36" ht="41.45" customHeight="1" x14ac:dyDescent="0.25">
      <c r="A25" s="268" t="s">
        <v>9</v>
      </c>
      <c r="B25" s="217">
        <f>SUM(B18:B24)</f>
        <v>231.17849999999999</v>
      </c>
      <c r="C25" s="218">
        <f t="shared" ref="C25:W25" si="23">SUM(C18:C24)</f>
        <v>489.85299999999984</v>
      </c>
      <c r="D25" s="218">
        <f t="shared" si="23"/>
        <v>390.94650000000013</v>
      </c>
      <c r="E25" s="218">
        <f t="shared" si="23"/>
        <v>157.76599999999999</v>
      </c>
      <c r="F25" s="218">
        <f t="shared" si="23"/>
        <v>236.87999999999997</v>
      </c>
      <c r="G25" s="218">
        <f t="shared" si="23"/>
        <v>357.39899999999994</v>
      </c>
      <c r="H25" s="218">
        <f t="shared" si="23"/>
        <v>315.12599999999998</v>
      </c>
      <c r="I25" s="219">
        <f t="shared" si="23"/>
        <v>273.67200000000003</v>
      </c>
      <c r="J25" s="217">
        <f t="shared" si="23"/>
        <v>91.286999999999992</v>
      </c>
      <c r="K25" s="218">
        <f t="shared" si="23"/>
        <v>185.87799999999996</v>
      </c>
      <c r="L25" s="218">
        <f t="shared" si="23"/>
        <v>283.46499999999997</v>
      </c>
      <c r="M25" s="219">
        <f t="shared" si="23"/>
        <v>255.43</v>
      </c>
      <c r="N25" s="217">
        <f t="shared" si="23"/>
        <v>226.464</v>
      </c>
      <c r="O25" s="218">
        <f t="shared" si="23"/>
        <v>236.15550000000002</v>
      </c>
      <c r="P25" s="218">
        <f t="shared" si="23"/>
        <v>432.52299999999997</v>
      </c>
      <c r="Q25" s="218">
        <f t="shared" si="23"/>
        <v>409.87450000000001</v>
      </c>
      <c r="R25" s="219">
        <f t="shared" si="23"/>
        <v>216.18100000000004</v>
      </c>
      <c r="S25" s="217">
        <f t="shared" si="23"/>
        <v>196.89599999999999</v>
      </c>
      <c r="T25" s="218">
        <f t="shared" si="23"/>
        <v>303.33800000000002</v>
      </c>
      <c r="U25" s="218">
        <f t="shared" si="23"/>
        <v>401.30999999999995</v>
      </c>
      <c r="V25" s="218">
        <f t="shared" si="23"/>
        <v>362.25</v>
      </c>
      <c r="W25" s="178">
        <f t="shared" si="23"/>
        <v>236.19049999999993</v>
      </c>
      <c r="X25" s="98">
        <f>SUM(X18,X19,X20,X21,X22,X23,X24)</f>
        <v>6290.0635000000002</v>
      </c>
    </row>
    <row r="26" spans="1:36" s="2" customFormat="1" ht="36.75" customHeight="1" x14ac:dyDescent="0.25">
      <c r="A26" s="192" t="s">
        <v>11</v>
      </c>
      <c r="B26" s="23">
        <v>89.5</v>
      </c>
      <c r="C26" s="24">
        <v>91</v>
      </c>
      <c r="D26" s="24">
        <v>94.5</v>
      </c>
      <c r="E26" s="24">
        <v>95.5</v>
      </c>
      <c r="F26" s="24">
        <v>94</v>
      </c>
      <c r="G26" s="24">
        <v>93</v>
      </c>
      <c r="H26" s="24">
        <v>91.5</v>
      </c>
      <c r="I26" s="228">
        <v>90.5</v>
      </c>
      <c r="J26" s="23">
        <v>94.5</v>
      </c>
      <c r="K26" s="24">
        <v>93.5</v>
      </c>
      <c r="L26" s="24">
        <v>91</v>
      </c>
      <c r="M26" s="228">
        <v>89</v>
      </c>
      <c r="N26" s="23">
        <v>96</v>
      </c>
      <c r="O26" s="24">
        <v>94.5</v>
      </c>
      <c r="P26" s="24">
        <v>91</v>
      </c>
      <c r="Q26" s="24">
        <v>90.5</v>
      </c>
      <c r="R26" s="228">
        <v>89</v>
      </c>
      <c r="S26" s="23">
        <v>96</v>
      </c>
      <c r="T26" s="24">
        <v>94</v>
      </c>
      <c r="U26" s="24">
        <v>91</v>
      </c>
      <c r="V26" s="24">
        <v>90</v>
      </c>
      <c r="W26" s="25">
        <v>89.5</v>
      </c>
      <c r="X26" s="99">
        <f>(((X25*1000)/7)/X27)</f>
        <v>91.898189813867873</v>
      </c>
    </row>
    <row r="27" spans="1:36" s="2" customFormat="1" ht="33" customHeight="1" x14ac:dyDescent="0.25">
      <c r="A27" s="193" t="s">
        <v>12</v>
      </c>
      <c r="B27" s="26">
        <v>369</v>
      </c>
      <c r="C27" s="27">
        <v>769</v>
      </c>
      <c r="D27" s="27">
        <v>591</v>
      </c>
      <c r="E27" s="27">
        <v>236</v>
      </c>
      <c r="F27" s="27">
        <v>360</v>
      </c>
      <c r="G27" s="27">
        <v>549</v>
      </c>
      <c r="H27" s="27">
        <v>492</v>
      </c>
      <c r="I27" s="183">
        <v>432</v>
      </c>
      <c r="J27" s="26">
        <v>138</v>
      </c>
      <c r="K27" s="27">
        <v>284</v>
      </c>
      <c r="L27" s="27">
        <v>445</v>
      </c>
      <c r="M27" s="183">
        <v>410</v>
      </c>
      <c r="N27" s="26">
        <v>337</v>
      </c>
      <c r="O27" s="27">
        <v>357</v>
      </c>
      <c r="P27" s="27">
        <v>679</v>
      </c>
      <c r="Q27" s="27">
        <v>647</v>
      </c>
      <c r="R27" s="183">
        <v>347</v>
      </c>
      <c r="S27" s="26">
        <v>293</v>
      </c>
      <c r="T27" s="27">
        <v>461</v>
      </c>
      <c r="U27" s="27">
        <v>630</v>
      </c>
      <c r="V27" s="27">
        <v>575</v>
      </c>
      <c r="W27" s="28">
        <v>377</v>
      </c>
      <c r="X27" s="29">
        <f>SUM(B27,C27,D27,E27,F27,G27,H27,I27,J27,K27,L27,M27,N27,O27,P27,Q27,R27,S27,T27,U27,V27,W27)</f>
        <v>9778</v>
      </c>
    </row>
    <row r="28" spans="1:36" s="2" customFormat="1" ht="33" customHeight="1" x14ac:dyDescent="0.25">
      <c r="A28" s="194" t="s">
        <v>13</v>
      </c>
      <c r="B28" s="30">
        <f t="shared" ref="B28:W28" si="24">(B27*B26)/1000</f>
        <v>33.025500000000001</v>
      </c>
      <c r="C28" s="31">
        <f t="shared" si="24"/>
        <v>69.978999999999999</v>
      </c>
      <c r="D28" s="31">
        <f t="shared" si="24"/>
        <v>55.849499999999999</v>
      </c>
      <c r="E28" s="31">
        <f t="shared" si="24"/>
        <v>22.538</v>
      </c>
      <c r="F28" s="31">
        <f t="shared" si="24"/>
        <v>33.840000000000003</v>
      </c>
      <c r="G28" s="31">
        <f t="shared" si="24"/>
        <v>51.057000000000002</v>
      </c>
      <c r="H28" s="31">
        <f t="shared" si="24"/>
        <v>45.018000000000001</v>
      </c>
      <c r="I28" s="163">
        <f t="shared" si="24"/>
        <v>39.095999999999997</v>
      </c>
      <c r="J28" s="30">
        <f t="shared" si="24"/>
        <v>13.041</v>
      </c>
      <c r="K28" s="31">
        <f t="shared" si="24"/>
        <v>26.553999999999998</v>
      </c>
      <c r="L28" s="31">
        <f t="shared" si="24"/>
        <v>40.494999999999997</v>
      </c>
      <c r="M28" s="163">
        <f t="shared" si="24"/>
        <v>36.49</v>
      </c>
      <c r="N28" s="30">
        <f t="shared" si="24"/>
        <v>32.351999999999997</v>
      </c>
      <c r="O28" s="31">
        <f t="shared" si="24"/>
        <v>33.736499999999999</v>
      </c>
      <c r="P28" s="31">
        <f t="shared" si="24"/>
        <v>61.789000000000001</v>
      </c>
      <c r="Q28" s="31">
        <f t="shared" si="24"/>
        <v>58.5535</v>
      </c>
      <c r="R28" s="163">
        <f t="shared" si="24"/>
        <v>30.882999999999999</v>
      </c>
      <c r="S28" s="30">
        <f t="shared" si="24"/>
        <v>28.128</v>
      </c>
      <c r="T28" s="31">
        <f t="shared" si="24"/>
        <v>43.334000000000003</v>
      </c>
      <c r="U28" s="31">
        <f t="shared" si="24"/>
        <v>57.33</v>
      </c>
      <c r="V28" s="31">
        <f t="shared" si="24"/>
        <v>51.75</v>
      </c>
      <c r="W28" s="32">
        <f t="shared" si="24"/>
        <v>33.741500000000002</v>
      </c>
      <c r="X28" s="33"/>
    </row>
    <row r="29" spans="1:36" ht="33.75" customHeight="1" x14ac:dyDescent="0.25">
      <c r="A29" s="185" t="s">
        <v>14</v>
      </c>
      <c r="B29" s="34">
        <f t="shared" ref="B29:W29" si="25">((B27*B26)*7)/1000</f>
        <v>231.17850000000001</v>
      </c>
      <c r="C29" s="35">
        <f t="shared" si="25"/>
        <v>489.85300000000001</v>
      </c>
      <c r="D29" s="35">
        <f t="shared" si="25"/>
        <v>390.94650000000001</v>
      </c>
      <c r="E29" s="35">
        <f t="shared" si="25"/>
        <v>157.76599999999999</v>
      </c>
      <c r="F29" s="35">
        <f t="shared" si="25"/>
        <v>236.88</v>
      </c>
      <c r="G29" s="35">
        <f t="shared" si="25"/>
        <v>357.399</v>
      </c>
      <c r="H29" s="35">
        <f t="shared" si="25"/>
        <v>315.12599999999998</v>
      </c>
      <c r="I29" s="206">
        <f t="shared" si="25"/>
        <v>273.67200000000003</v>
      </c>
      <c r="J29" s="34">
        <f t="shared" si="25"/>
        <v>91.287000000000006</v>
      </c>
      <c r="K29" s="35">
        <f t="shared" si="25"/>
        <v>185.87799999999999</v>
      </c>
      <c r="L29" s="35">
        <f t="shared" si="25"/>
        <v>283.46499999999997</v>
      </c>
      <c r="M29" s="206">
        <f t="shared" si="25"/>
        <v>255.43</v>
      </c>
      <c r="N29" s="34">
        <f t="shared" si="25"/>
        <v>226.464</v>
      </c>
      <c r="O29" s="35">
        <f t="shared" si="25"/>
        <v>236.15549999999999</v>
      </c>
      <c r="P29" s="35">
        <f t="shared" si="25"/>
        <v>432.52300000000002</v>
      </c>
      <c r="Q29" s="35">
        <f t="shared" si="25"/>
        <v>409.87450000000001</v>
      </c>
      <c r="R29" s="206">
        <f t="shared" si="25"/>
        <v>216.18100000000001</v>
      </c>
      <c r="S29" s="34">
        <f t="shared" si="25"/>
        <v>196.89599999999999</v>
      </c>
      <c r="T29" s="35">
        <f t="shared" si="25"/>
        <v>303.33800000000002</v>
      </c>
      <c r="U29" s="35">
        <f t="shared" si="25"/>
        <v>401.31</v>
      </c>
      <c r="V29" s="35">
        <f t="shared" si="25"/>
        <v>362.25</v>
      </c>
      <c r="W29" s="68">
        <f t="shared" si="25"/>
        <v>236.19049999999999</v>
      </c>
      <c r="X29" s="36"/>
    </row>
    <row r="30" spans="1:36" ht="33.75" customHeight="1" thickBot="1" x14ac:dyDescent="0.3">
      <c r="A30" s="195" t="s">
        <v>15</v>
      </c>
      <c r="B30" s="37">
        <f>+(B25/B27)/7*1000</f>
        <v>89.5</v>
      </c>
      <c r="C30" s="38">
        <f t="shared" ref="C30:W30" si="26">+(C25/C27)/7*1000</f>
        <v>90.999999999999972</v>
      </c>
      <c r="D30" s="38">
        <f t="shared" si="26"/>
        <v>94.500000000000028</v>
      </c>
      <c r="E30" s="38">
        <f t="shared" si="26"/>
        <v>95.5</v>
      </c>
      <c r="F30" s="38">
        <f t="shared" si="26"/>
        <v>93.999999999999986</v>
      </c>
      <c r="G30" s="38">
        <f t="shared" si="26"/>
        <v>92.999999999999986</v>
      </c>
      <c r="H30" s="38">
        <f t="shared" si="26"/>
        <v>91.5</v>
      </c>
      <c r="I30" s="207">
        <f t="shared" si="26"/>
        <v>90.500000000000014</v>
      </c>
      <c r="J30" s="37">
        <f t="shared" si="26"/>
        <v>94.5</v>
      </c>
      <c r="K30" s="38">
        <f t="shared" si="26"/>
        <v>93.499999999999986</v>
      </c>
      <c r="L30" s="38">
        <f t="shared" si="26"/>
        <v>90.999999999999986</v>
      </c>
      <c r="M30" s="207">
        <f t="shared" si="26"/>
        <v>89</v>
      </c>
      <c r="N30" s="37">
        <f t="shared" si="26"/>
        <v>96</v>
      </c>
      <c r="O30" s="38">
        <f t="shared" si="26"/>
        <v>94.500000000000014</v>
      </c>
      <c r="P30" s="38">
        <f t="shared" si="26"/>
        <v>90.999999999999986</v>
      </c>
      <c r="Q30" s="38">
        <f t="shared" si="26"/>
        <v>90.500000000000014</v>
      </c>
      <c r="R30" s="207">
        <f t="shared" si="26"/>
        <v>89.000000000000014</v>
      </c>
      <c r="S30" s="37">
        <f t="shared" si="26"/>
        <v>95.999999999999986</v>
      </c>
      <c r="T30" s="38">
        <f t="shared" si="26"/>
        <v>94</v>
      </c>
      <c r="U30" s="38">
        <f t="shared" si="26"/>
        <v>90.999999999999986</v>
      </c>
      <c r="V30" s="38">
        <f t="shared" si="26"/>
        <v>90</v>
      </c>
      <c r="W30" s="39">
        <f t="shared" si="26"/>
        <v>89.499999999999986</v>
      </c>
      <c r="X30" s="40"/>
    </row>
    <row r="31" spans="1:36" ht="33.75" customHeight="1" x14ac:dyDescent="0.25">
      <c r="A31" s="41"/>
      <c r="B31" s="42">
        <f>B29-B25</f>
        <v>0</v>
      </c>
      <c r="C31" s="42">
        <f t="shared" ref="C31:W31" si="27">C29-C25</f>
        <v>0</v>
      </c>
      <c r="D31" s="42">
        <f t="shared" si="27"/>
        <v>0</v>
      </c>
      <c r="E31" s="42">
        <f t="shared" si="27"/>
        <v>0</v>
      </c>
      <c r="F31" s="42">
        <f t="shared" si="27"/>
        <v>0</v>
      </c>
      <c r="G31" s="42">
        <f t="shared" si="27"/>
        <v>0</v>
      </c>
      <c r="H31" s="42">
        <f t="shared" si="27"/>
        <v>0</v>
      </c>
      <c r="I31" s="42">
        <f t="shared" si="27"/>
        <v>0</v>
      </c>
      <c r="J31" s="42">
        <f t="shared" si="27"/>
        <v>0</v>
      </c>
      <c r="K31" s="42">
        <f t="shared" si="27"/>
        <v>0</v>
      </c>
      <c r="L31" s="42">
        <f t="shared" si="27"/>
        <v>0</v>
      </c>
      <c r="M31" s="42">
        <f t="shared" si="27"/>
        <v>0</v>
      </c>
      <c r="N31" s="42">
        <f t="shared" si="27"/>
        <v>0</v>
      </c>
      <c r="O31" s="42">
        <f t="shared" si="27"/>
        <v>0</v>
      </c>
      <c r="P31" s="42">
        <f t="shared" si="27"/>
        <v>0</v>
      </c>
      <c r="Q31" s="42">
        <f t="shared" si="27"/>
        <v>0</v>
      </c>
      <c r="R31" s="42">
        <f t="shared" si="27"/>
        <v>0</v>
      </c>
      <c r="S31" s="42">
        <f t="shared" si="27"/>
        <v>0</v>
      </c>
      <c r="T31" s="42">
        <f t="shared" si="27"/>
        <v>0</v>
      </c>
      <c r="U31" s="42">
        <f t="shared" si="27"/>
        <v>0</v>
      </c>
      <c r="V31" s="42">
        <f t="shared" si="27"/>
        <v>0</v>
      </c>
      <c r="W31" s="42">
        <f t="shared" si="27"/>
        <v>0</v>
      </c>
      <c r="X31" s="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>
        <v>41.5</v>
      </c>
      <c r="AC32" s="42"/>
      <c r="AD32" s="42"/>
      <c r="AE32" s="42"/>
      <c r="AF32" s="42"/>
      <c r="AG32" s="42"/>
      <c r="AH32" s="42"/>
      <c r="AI32" s="42"/>
      <c r="AJ32" s="41"/>
    </row>
    <row r="33" spans="1:3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2"/>
      <c r="L33" s="2"/>
      <c r="M33" s="2"/>
      <c r="N33" s="2"/>
      <c r="O33" s="2"/>
      <c r="P33" s="2"/>
      <c r="Q33" s="2"/>
      <c r="R33" s="2"/>
      <c r="S33" s="42"/>
      <c r="T33" s="42"/>
      <c r="U33" s="42"/>
      <c r="V33" s="42"/>
      <c r="W33" s="42"/>
      <c r="X33" s="42"/>
      <c r="Y33" s="42"/>
      <c r="Z33" s="42"/>
      <c r="AA33" s="42"/>
      <c r="AB33" s="42">
        <v>41</v>
      </c>
      <c r="AC33" s="42"/>
      <c r="AD33" s="42"/>
      <c r="AE33" s="42"/>
      <c r="AF33" s="42"/>
      <c r="AG33" s="42"/>
      <c r="AH33" s="42"/>
      <c r="AI33" s="42"/>
      <c r="AJ33" s="41"/>
    </row>
    <row r="34" spans="1:3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>
        <v>40.5</v>
      </c>
      <c r="AC34" s="42"/>
      <c r="AD34" s="42"/>
      <c r="AE34" s="42"/>
      <c r="AF34" s="42"/>
      <c r="AG34" s="42"/>
      <c r="AH34" s="41"/>
    </row>
    <row r="35" spans="1:36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>
        <v>40</v>
      </c>
      <c r="AC35" s="43"/>
      <c r="AD35" s="43"/>
      <c r="AE35" s="43"/>
      <c r="AF35" s="43"/>
      <c r="AG35" s="43"/>
      <c r="AH35" s="3"/>
    </row>
    <row r="36" spans="1:36" ht="33.75" customHeight="1" thickBot="1" x14ac:dyDescent="0.3">
      <c r="A36" s="69" t="s">
        <v>16</v>
      </c>
      <c r="B36" s="966" t="s">
        <v>17</v>
      </c>
      <c r="C36" s="967"/>
      <c r="D36" s="967"/>
      <c r="E36" s="967"/>
      <c r="F36" s="967"/>
      <c r="G36" s="967"/>
      <c r="H36" s="237"/>
      <c r="O36" s="44"/>
      <c r="P36" s="88" t="s">
        <v>18</v>
      </c>
      <c r="Q36" s="973" t="s">
        <v>17</v>
      </c>
      <c r="R36" s="974"/>
      <c r="S36" s="974"/>
      <c r="T36" s="975"/>
      <c r="U36" s="229"/>
      <c r="V36" s="269"/>
      <c r="X36" s="45"/>
      <c r="Y36" s="45"/>
      <c r="Z36" s="46"/>
      <c r="AA36" s="3"/>
      <c r="AB36" s="45">
        <v>39.5</v>
      </c>
      <c r="AC36" s="45"/>
      <c r="AD36" s="45"/>
      <c r="AE36" s="3"/>
    </row>
    <row r="37" spans="1:36" ht="33.75" customHeight="1" thickBot="1" x14ac:dyDescent="0.3">
      <c r="A37" s="170" t="s">
        <v>34</v>
      </c>
      <c r="B37" s="141"/>
      <c r="C37" s="118"/>
      <c r="D37" s="118"/>
      <c r="E37" s="118"/>
      <c r="F37" s="118"/>
      <c r="G37" s="119"/>
      <c r="H37" s="236" t="s">
        <v>9</v>
      </c>
      <c r="I37" s="47"/>
      <c r="J37" s="47"/>
      <c r="K37" s="47"/>
      <c r="L37" s="47"/>
      <c r="M37" s="47"/>
      <c r="N37" s="970"/>
      <c r="O37" s="970"/>
      <c r="P37" s="97" t="s">
        <v>33</v>
      </c>
      <c r="Q37" s="186"/>
      <c r="R37" s="173"/>
      <c r="S37" s="173"/>
      <c r="T37" s="173"/>
      <c r="U37" s="261" t="s">
        <v>9</v>
      </c>
      <c r="V37" s="2"/>
      <c r="X37" s="47"/>
      <c r="Y37" s="47"/>
      <c r="Z37" s="3"/>
      <c r="AA37" s="46"/>
      <c r="AB37" s="3">
        <v>39.5</v>
      </c>
      <c r="AC37" s="45"/>
      <c r="AD37" s="45"/>
      <c r="AE37" s="45"/>
    </row>
    <row r="38" spans="1:36" ht="33.75" customHeight="1" thickBot="1" x14ac:dyDescent="0.3">
      <c r="A38" s="170" t="s">
        <v>10</v>
      </c>
      <c r="B38" s="221">
        <v>1</v>
      </c>
      <c r="C38" s="222">
        <v>2</v>
      </c>
      <c r="D38" s="222">
        <v>3</v>
      </c>
      <c r="E38" s="222">
        <v>4</v>
      </c>
      <c r="F38" s="222">
        <v>5</v>
      </c>
      <c r="G38" s="223">
        <v>6</v>
      </c>
      <c r="H38" s="238"/>
      <c r="I38" s="47"/>
      <c r="J38" s="47"/>
      <c r="K38" s="47"/>
      <c r="L38" s="47"/>
      <c r="M38" s="47"/>
      <c r="N38" s="144"/>
      <c r="O38" s="145"/>
      <c r="P38" s="80" t="s">
        <v>10</v>
      </c>
      <c r="Q38" s="186">
        <v>1</v>
      </c>
      <c r="R38" s="174">
        <v>2</v>
      </c>
      <c r="S38" s="174">
        <v>3</v>
      </c>
      <c r="T38" s="203" t="s">
        <v>72</v>
      </c>
      <c r="U38" s="126"/>
      <c r="V38" s="270"/>
      <c r="X38" s="47"/>
      <c r="Y38" s="47"/>
      <c r="Z38" s="48"/>
      <c r="AA38" s="48"/>
      <c r="AB38" s="2"/>
      <c r="AC38" s="2"/>
      <c r="AD38" s="2"/>
      <c r="AE38" s="2"/>
    </row>
    <row r="39" spans="1:36" ht="33.75" customHeight="1" x14ac:dyDescent="0.25">
      <c r="A39" s="171" t="s">
        <v>32</v>
      </c>
      <c r="B39" s="133">
        <v>20.9</v>
      </c>
      <c r="C39" s="134">
        <v>55.7</v>
      </c>
      <c r="D39" s="134">
        <v>34.4</v>
      </c>
      <c r="E39" s="134">
        <v>24.8</v>
      </c>
      <c r="F39" s="134">
        <v>52.3</v>
      </c>
      <c r="G39" s="156">
        <v>28.4</v>
      </c>
      <c r="H39" s="265">
        <f t="shared" ref="H39:H46" si="28">SUM(B39:G39)</f>
        <v>216.50000000000003</v>
      </c>
      <c r="I39" s="49"/>
      <c r="J39" s="49"/>
      <c r="K39" s="49"/>
      <c r="L39" s="49"/>
      <c r="M39" s="49"/>
      <c r="N39" s="144"/>
      <c r="O39" s="145"/>
      <c r="P39" s="171" t="s">
        <v>53</v>
      </c>
      <c r="Q39" s="133">
        <v>7.9</v>
      </c>
      <c r="R39" s="134">
        <v>19.3</v>
      </c>
      <c r="S39" s="134">
        <v>7.2</v>
      </c>
      <c r="T39" s="156">
        <v>1.2</v>
      </c>
      <c r="U39" s="136">
        <f>SUM(Q39:T39)</f>
        <v>35.600000000000009</v>
      </c>
      <c r="V39" s="271"/>
      <c r="X39" s="2"/>
      <c r="Y39" s="49"/>
      <c r="Z39" s="48"/>
      <c r="AA39" s="48"/>
      <c r="AB39" s="2"/>
      <c r="AC39" s="2"/>
      <c r="AD39" s="2"/>
      <c r="AE39" s="2"/>
    </row>
    <row r="40" spans="1:36" ht="33.75" customHeight="1" x14ac:dyDescent="0.25">
      <c r="A40" s="171" t="s">
        <v>24</v>
      </c>
      <c r="B40" s="18">
        <v>20.9</v>
      </c>
      <c r="C40" s="19">
        <v>55.7</v>
      </c>
      <c r="D40" s="19">
        <v>34.4</v>
      </c>
      <c r="E40" s="19">
        <v>24.8</v>
      </c>
      <c r="F40" s="19">
        <v>52.3</v>
      </c>
      <c r="G40" s="20">
        <v>28.4</v>
      </c>
      <c r="H40" s="136">
        <f t="shared" si="28"/>
        <v>216.50000000000003</v>
      </c>
      <c r="I40" s="49"/>
      <c r="J40" s="49"/>
      <c r="K40" s="49"/>
      <c r="L40" s="49"/>
      <c r="M40" s="49"/>
      <c r="N40" s="144"/>
      <c r="O40" s="145"/>
      <c r="P40" s="171" t="s">
        <v>24</v>
      </c>
      <c r="Q40" s="18">
        <v>7.9</v>
      </c>
      <c r="R40" s="19">
        <v>19.3</v>
      </c>
      <c r="S40" s="19">
        <v>7.2</v>
      </c>
      <c r="T40" s="20">
        <v>1.2</v>
      </c>
      <c r="U40" s="136">
        <f t="shared" ref="U40:U45" si="29">SUM(Q40:T40)</f>
        <v>35.600000000000009</v>
      </c>
      <c r="V40" s="271"/>
      <c r="X40" s="2"/>
      <c r="Y40" s="49"/>
      <c r="Z40" s="48"/>
      <c r="AA40" s="48"/>
      <c r="AB40" s="2"/>
      <c r="AC40" s="2"/>
      <c r="AD40" s="2"/>
      <c r="AE40" s="2"/>
    </row>
    <row r="41" spans="1:36" ht="33.75" customHeight="1" x14ac:dyDescent="0.25">
      <c r="A41" s="171" t="s">
        <v>20</v>
      </c>
      <c r="B41" s="18">
        <f>((((($B$47*$B$48)/1000)*7)-$B$39-$B$40)/5)</f>
        <v>29.279000000000003</v>
      </c>
      <c r="C41" s="19">
        <f>((((($C$47*$C$48)/1000)*7)-$C$39-$C$40)/5)</f>
        <v>78.836399999999998</v>
      </c>
      <c r="D41" s="19">
        <f>((((($D$47*$D$48)/1000)*7)-$D$39-$D$40)/5)</f>
        <v>50.294200000000004</v>
      </c>
      <c r="E41" s="19">
        <f>((((($E$47*$E$48)/1000)*7)-$E$39-$E$40)/5)</f>
        <v>35.862799999999993</v>
      </c>
      <c r="F41" s="19">
        <f>((((($F$47*$F$48)/1000)*7)-$F$39-$F$40)/5)</f>
        <v>75.01639999999999</v>
      </c>
      <c r="G41" s="20">
        <f>((((($G$47*$G$48)/1000)*7)-$G$39-$G$40)/5)</f>
        <v>40.1096</v>
      </c>
      <c r="H41" s="136">
        <f t="shared" si="28"/>
        <v>309.39839999999998</v>
      </c>
      <c r="I41" s="49"/>
      <c r="J41" s="49"/>
      <c r="K41" s="49"/>
      <c r="L41" s="49"/>
      <c r="M41" s="49"/>
      <c r="N41" s="144"/>
      <c r="O41" s="145"/>
      <c r="P41" s="171" t="s">
        <v>20</v>
      </c>
      <c r="Q41" s="18">
        <f>((((($Q$47*$Q$48)/1000)*7)-$Q$39-$Q$40)/5)</f>
        <v>8.8373000000000008</v>
      </c>
      <c r="R41" s="19">
        <f>((((($R$47*$R$48)/1000)*7)-$R$39-$R$40)/5)</f>
        <v>21.503599999999999</v>
      </c>
      <c r="S41" s="19">
        <f>((((($S$47*$S$48)/1000)*7)-$S$39-$S$40)/5)</f>
        <v>8.0399999999999991</v>
      </c>
      <c r="T41" s="20">
        <f>((((($T$47*$T$48)/1000)*7)-$T$39-$T$40)/5)</f>
        <v>1.3035999999999999</v>
      </c>
      <c r="U41" s="136">
        <f t="shared" si="29"/>
        <v>39.6845</v>
      </c>
      <c r="V41" s="271"/>
      <c r="X41" s="2"/>
      <c r="Y41" s="49"/>
      <c r="Z41" s="48"/>
      <c r="AA41" s="48"/>
      <c r="AB41" s="2"/>
      <c r="AC41" s="2"/>
      <c r="AD41" s="2"/>
      <c r="AE41" s="2"/>
    </row>
    <row r="42" spans="1:36" ht="33.75" customHeight="1" x14ac:dyDescent="0.25">
      <c r="A42" s="171" t="s">
        <v>28</v>
      </c>
      <c r="B42" s="18">
        <f t="shared" ref="B42:B45" si="30">((((($B$47*$B$48)/1000)*7)-$B$39-$B$40)/5)</f>
        <v>29.279000000000003</v>
      </c>
      <c r="C42" s="19">
        <f t="shared" ref="C42:C45" si="31">((((($C$47*$C$48)/1000)*7)-$C$39-$C$40)/5)</f>
        <v>78.836399999999998</v>
      </c>
      <c r="D42" s="19">
        <f t="shared" ref="D42:D45" si="32">((((($D$47*$D$48)/1000)*7)-$D$39-$D$40)/5)</f>
        <v>50.294200000000004</v>
      </c>
      <c r="E42" s="19">
        <f t="shared" ref="E42:E45" si="33">((((($E$47*$E$48)/1000)*7)-$E$39-$E$40)/5)</f>
        <v>35.862799999999993</v>
      </c>
      <c r="F42" s="19">
        <f t="shared" ref="F42:F45" si="34">((((($F$47*$F$48)/1000)*7)-$F$39-$F$40)/5)</f>
        <v>75.01639999999999</v>
      </c>
      <c r="G42" s="20">
        <f t="shared" ref="G42:G45" si="35">((((($G$47*$G$48)/1000)*7)-$G$39-$G$40)/5)</f>
        <v>40.1096</v>
      </c>
      <c r="H42" s="136">
        <f t="shared" si="28"/>
        <v>309.39839999999998</v>
      </c>
      <c r="I42" s="49"/>
      <c r="J42" s="49"/>
      <c r="K42" s="49"/>
      <c r="L42" s="49"/>
      <c r="M42" s="49"/>
      <c r="N42" s="144"/>
      <c r="O42" s="145"/>
      <c r="P42" s="171" t="s">
        <v>28</v>
      </c>
      <c r="Q42" s="18">
        <f t="shared" ref="Q42:Q45" si="36">((((($Q$47*$Q$48)/1000)*7)-$Q$39-$Q$40)/5)</f>
        <v>8.8373000000000008</v>
      </c>
      <c r="R42" s="19">
        <f t="shared" ref="R42:R45" si="37">((((($R$47*$R$48)/1000)*7)-$R$39-$R$40)/5)</f>
        <v>21.503599999999999</v>
      </c>
      <c r="S42" s="19">
        <f t="shared" ref="S42:S45" si="38">((((($S$47*$S$48)/1000)*7)-$S$39-$S$40)/5)</f>
        <v>8.0399999999999991</v>
      </c>
      <c r="T42" s="20">
        <f t="shared" ref="T42:T45" si="39">((((($T$47*$T$48)/1000)*7)-$T$39-$T$40)/5)</f>
        <v>1.3035999999999999</v>
      </c>
      <c r="U42" s="136">
        <f>SUM(Q42:T42)</f>
        <v>39.6845</v>
      </c>
      <c r="V42" s="271"/>
      <c r="X42" s="2"/>
      <c r="Y42" s="49"/>
      <c r="Z42" s="48"/>
      <c r="AA42" s="48"/>
      <c r="AB42" s="2"/>
      <c r="AC42" s="2"/>
      <c r="AD42" s="2"/>
      <c r="AE42" s="2"/>
    </row>
    <row r="43" spans="1:36" ht="33.75" customHeight="1" x14ac:dyDescent="0.25">
      <c r="A43" s="171" t="s">
        <v>21</v>
      </c>
      <c r="B43" s="18">
        <f t="shared" si="30"/>
        <v>29.279000000000003</v>
      </c>
      <c r="C43" s="19">
        <f t="shared" si="31"/>
        <v>78.836399999999998</v>
      </c>
      <c r="D43" s="19">
        <f t="shared" si="32"/>
        <v>50.294200000000004</v>
      </c>
      <c r="E43" s="19">
        <f t="shared" si="33"/>
        <v>35.862799999999993</v>
      </c>
      <c r="F43" s="19">
        <f t="shared" si="34"/>
        <v>75.01639999999999</v>
      </c>
      <c r="G43" s="20">
        <f t="shared" si="35"/>
        <v>40.1096</v>
      </c>
      <c r="H43" s="136">
        <f t="shared" si="28"/>
        <v>309.39839999999998</v>
      </c>
      <c r="I43" s="49"/>
      <c r="J43" s="49"/>
      <c r="K43" s="49"/>
      <c r="L43" s="49"/>
      <c r="M43" s="49"/>
      <c r="N43" s="144"/>
      <c r="O43" s="145"/>
      <c r="P43" s="171" t="s">
        <v>21</v>
      </c>
      <c r="Q43" s="18">
        <f t="shared" si="36"/>
        <v>8.8373000000000008</v>
      </c>
      <c r="R43" s="19">
        <f t="shared" si="37"/>
        <v>21.503599999999999</v>
      </c>
      <c r="S43" s="19">
        <f t="shared" si="38"/>
        <v>8.0399999999999991</v>
      </c>
      <c r="T43" s="20">
        <f t="shared" si="39"/>
        <v>1.3035999999999999</v>
      </c>
      <c r="U43" s="136">
        <f t="shared" si="29"/>
        <v>39.6845</v>
      </c>
      <c r="V43" s="271"/>
      <c r="X43" s="2"/>
      <c r="Y43" s="49"/>
      <c r="Z43" s="48"/>
      <c r="AA43" s="48"/>
      <c r="AB43" s="2"/>
      <c r="AC43" s="2"/>
      <c r="AD43" s="2"/>
      <c r="AE43" s="2"/>
    </row>
    <row r="44" spans="1:36" ht="33.75" customHeight="1" x14ac:dyDescent="0.25">
      <c r="A44" s="171" t="s">
        <v>22</v>
      </c>
      <c r="B44" s="18">
        <f t="shared" si="30"/>
        <v>29.279000000000003</v>
      </c>
      <c r="C44" s="19">
        <f t="shared" si="31"/>
        <v>78.836399999999998</v>
      </c>
      <c r="D44" s="19">
        <f t="shared" si="32"/>
        <v>50.294200000000004</v>
      </c>
      <c r="E44" s="19">
        <f t="shared" si="33"/>
        <v>35.862799999999993</v>
      </c>
      <c r="F44" s="19">
        <f t="shared" si="34"/>
        <v>75.01639999999999</v>
      </c>
      <c r="G44" s="20">
        <f t="shared" si="35"/>
        <v>40.1096</v>
      </c>
      <c r="H44" s="136">
        <f t="shared" si="28"/>
        <v>309.39839999999998</v>
      </c>
      <c r="I44" s="49"/>
      <c r="J44" s="49"/>
      <c r="K44" s="49"/>
      <c r="L44" s="49"/>
      <c r="M44" s="49"/>
      <c r="N44" s="144"/>
      <c r="O44" s="145"/>
      <c r="P44" s="171" t="s">
        <v>22</v>
      </c>
      <c r="Q44" s="18">
        <f t="shared" si="36"/>
        <v>8.8373000000000008</v>
      </c>
      <c r="R44" s="19">
        <f t="shared" si="37"/>
        <v>21.503599999999999</v>
      </c>
      <c r="S44" s="19">
        <f t="shared" si="38"/>
        <v>8.0399999999999991</v>
      </c>
      <c r="T44" s="20">
        <f t="shared" si="39"/>
        <v>1.3035999999999999</v>
      </c>
      <c r="U44" s="136">
        <f t="shared" si="29"/>
        <v>39.6845</v>
      </c>
      <c r="V44" s="271"/>
      <c r="X44" s="2"/>
      <c r="Y44" s="49"/>
      <c r="Z44" s="48"/>
      <c r="AA44" s="48"/>
      <c r="AB44" s="2"/>
      <c r="AC44" s="2"/>
      <c r="AD44" s="2"/>
      <c r="AE44" s="2"/>
    </row>
    <row r="45" spans="1:36" ht="33.75" customHeight="1" thickBot="1" x14ac:dyDescent="0.3">
      <c r="A45" s="171" t="s">
        <v>32</v>
      </c>
      <c r="B45" s="153">
        <f t="shared" si="30"/>
        <v>29.279000000000003</v>
      </c>
      <c r="C45" s="154">
        <f t="shared" si="31"/>
        <v>78.836399999999998</v>
      </c>
      <c r="D45" s="154">
        <f t="shared" si="32"/>
        <v>50.294200000000004</v>
      </c>
      <c r="E45" s="154">
        <f t="shared" si="33"/>
        <v>35.862799999999993</v>
      </c>
      <c r="F45" s="154">
        <f t="shared" si="34"/>
        <v>75.01639999999999</v>
      </c>
      <c r="G45" s="182">
        <f t="shared" si="35"/>
        <v>40.1096</v>
      </c>
      <c r="H45" s="266">
        <f t="shared" si="28"/>
        <v>309.39839999999998</v>
      </c>
      <c r="I45" s="49"/>
      <c r="J45" s="49"/>
      <c r="K45" s="49"/>
      <c r="L45" s="49"/>
      <c r="M45" s="49"/>
      <c r="N45" s="144"/>
      <c r="O45" s="145"/>
      <c r="P45" s="171" t="s">
        <v>23</v>
      </c>
      <c r="Q45" s="153">
        <f t="shared" si="36"/>
        <v>8.8373000000000008</v>
      </c>
      <c r="R45" s="154">
        <f t="shared" si="37"/>
        <v>21.503599999999999</v>
      </c>
      <c r="S45" s="154">
        <f t="shared" si="38"/>
        <v>8.0399999999999991</v>
      </c>
      <c r="T45" s="182">
        <f t="shared" si="39"/>
        <v>1.3035999999999999</v>
      </c>
      <c r="U45" s="136">
        <f t="shared" si="29"/>
        <v>39.6845</v>
      </c>
      <c r="V45" s="271"/>
      <c r="X45" s="2"/>
      <c r="Y45" s="49"/>
      <c r="Z45" s="48"/>
      <c r="AA45" s="48"/>
      <c r="AB45" s="48"/>
      <c r="AC45" s="48"/>
      <c r="AD45" s="2"/>
      <c r="AE45" s="2"/>
      <c r="AF45" s="2"/>
      <c r="AG45" s="2"/>
    </row>
    <row r="46" spans="1:36" ht="33.75" customHeight="1" x14ac:dyDescent="0.25">
      <c r="A46" s="170" t="s">
        <v>9</v>
      </c>
      <c r="B46" s="217">
        <f t="shared" ref="B46:G46" si="40">SUM(B39:B45)</f>
        <v>188.19499999999999</v>
      </c>
      <c r="C46" s="218">
        <f t="shared" si="40"/>
        <v>505.58200000000011</v>
      </c>
      <c r="D46" s="218">
        <f t="shared" si="40"/>
        <v>320.27099999999996</v>
      </c>
      <c r="E46" s="218">
        <f t="shared" si="40"/>
        <v>228.91399999999996</v>
      </c>
      <c r="F46" s="218">
        <f t="shared" si="40"/>
        <v>479.6819999999999</v>
      </c>
      <c r="G46" s="178">
        <f t="shared" si="40"/>
        <v>257.34800000000001</v>
      </c>
      <c r="H46" s="239">
        <f t="shared" si="28"/>
        <v>1979.9919999999997</v>
      </c>
      <c r="I46" s="49"/>
      <c r="J46" s="49"/>
      <c r="K46" s="49"/>
      <c r="L46" s="49"/>
      <c r="M46" s="49"/>
      <c r="N46" s="49"/>
      <c r="P46" s="170" t="s">
        <v>9</v>
      </c>
      <c r="Q46" s="179">
        <f>SUM(Q39:Q45)</f>
        <v>59.986499999999999</v>
      </c>
      <c r="R46" s="180">
        <f>SUM(R39:R45)</f>
        <v>146.11800000000002</v>
      </c>
      <c r="S46" s="180">
        <f>SUM(S39:S45)</f>
        <v>54.599999999999994</v>
      </c>
      <c r="T46" s="181">
        <f>SUM(T39:T45)</f>
        <v>8.9179999999999975</v>
      </c>
      <c r="U46" s="239">
        <f>SUM(U39,U40,U41,U42,U43,U44,U45)</f>
        <v>269.62250000000006</v>
      </c>
      <c r="V46" s="272"/>
      <c r="X46" s="49"/>
      <c r="Y46" s="49"/>
      <c r="Z46" s="2"/>
      <c r="AA46" s="2"/>
      <c r="AB46" s="2"/>
      <c r="AC46" s="2"/>
      <c r="AD46" s="2"/>
      <c r="AE46" s="2"/>
      <c r="AF46" s="2"/>
      <c r="AG46" s="2"/>
    </row>
    <row r="47" spans="1:36" ht="33.75" customHeight="1" x14ac:dyDescent="0.25">
      <c r="A47" s="192" t="s">
        <v>11</v>
      </c>
      <c r="B47" s="23">
        <v>95</v>
      </c>
      <c r="C47" s="24">
        <v>98</v>
      </c>
      <c r="D47" s="24">
        <v>101</v>
      </c>
      <c r="E47" s="24">
        <v>98.5</v>
      </c>
      <c r="F47" s="24">
        <v>94</v>
      </c>
      <c r="G47" s="25">
        <v>91</v>
      </c>
      <c r="H47" s="137">
        <f>+((H46/H48)/7)*1000</f>
        <v>96.275017018379828</v>
      </c>
      <c r="I47" s="50"/>
      <c r="J47" s="50"/>
      <c r="K47" s="50"/>
      <c r="L47" s="50"/>
      <c r="M47" s="50"/>
      <c r="N47" s="49"/>
      <c r="P47" s="273" t="s">
        <v>11</v>
      </c>
      <c r="Q47" s="23">
        <v>98.5</v>
      </c>
      <c r="R47" s="24">
        <v>98</v>
      </c>
      <c r="S47" s="24">
        <v>97.5</v>
      </c>
      <c r="T47" s="25">
        <v>98</v>
      </c>
      <c r="U47" s="137">
        <f>+((U46/U48)/7)*1000</f>
        <v>98.008905852417328</v>
      </c>
      <c r="V47" s="2"/>
      <c r="X47" s="50"/>
      <c r="Y47" s="50"/>
    </row>
    <row r="48" spans="1:36" ht="33.75" customHeight="1" x14ac:dyDescent="0.25">
      <c r="A48" s="193" t="s">
        <v>12</v>
      </c>
      <c r="B48" s="26">
        <v>283</v>
      </c>
      <c r="C48" s="27">
        <v>737</v>
      </c>
      <c r="D48" s="27">
        <v>453</v>
      </c>
      <c r="E48" s="27">
        <v>332</v>
      </c>
      <c r="F48" s="27">
        <v>729</v>
      </c>
      <c r="G48" s="28">
        <v>404</v>
      </c>
      <c r="H48" s="138">
        <f>SUM(B48:G48)</f>
        <v>2938</v>
      </c>
      <c r="I48" s="198"/>
      <c r="J48" s="198"/>
      <c r="K48" s="198"/>
      <c r="L48" s="198"/>
      <c r="M48" s="198"/>
      <c r="N48" s="49"/>
      <c r="O48" s="51"/>
      <c r="P48" s="193" t="s">
        <v>12</v>
      </c>
      <c r="Q48" s="257">
        <v>87</v>
      </c>
      <c r="R48" s="275">
        <v>213</v>
      </c>
      <c r="S48" s="275">
        <v>80</v>
      </c>
      <c r="T48" s="276">
        <v>13</v>
      </c>
      <c r="U48" s="254">
        <f>SUM(Q48:T48)</f>
        <v>393</v>
      </c>
      <c r="V48" s="2"/>
      <c r="X48" s="52"/>
      <c r="Y48" s="52"/>
    </row>
    <row r="49" spans="1:37" ht="33.75" customHeight="1" x14ac:dyDescent="0.25">
      <c r="A49" s="194" t="s">
        <v>13</v>
      </c>
      <c r="B49" s="30">
        <f t="shared" ref="B49:G49" si="41">(B48*B47)/1000</f>
        <v>26.885000000000002</v>
      </c>
      <c r="C49" s="31">
        <f t="shared" si="41"/>
        <v>72.225999999999999</v>
      </c>
      <c r="D49" s="31">
        <f t="shared" si="41"/>
        <v>45.753</v>
      </c>
      <c r="E49" s="31">
        <f t="shared" si="41"/>
        <v>32.701999999999998</v>
      </c>
      <c r="F49" s="31">
        <f t="shared" si="41"/>
        <v>68.525999999999996</v>
      </c>
      <c r="G49" s="32">
        <f t="shared" si="41"/>
        <v>36.764000000000003</v>
      </c>
      <c r="H49" s="139">
        <f>((H46*1000)/H48)/7</f>
        <v>96.275017018379828</v>
      </c>
      <c r="I49" s="199"/>
      <c r="J49" s="199"/>
      <c r="K49" s="199"/>
      <c r="L49" s="199"/>
      <c r="M49" s="199"/>
      <c r="N49" s="49"/>
      <c r="P49" s="194" t="s">
        <v>13</v>
      </c>
      <c r="Q49" s="30"/>
      <c r="R49" s="31"/>
      <c r="S49" s="31"/>
      <c r="T49" s="32"/>
      <c r="U49" s="274">
        <f>((U46*1000)/U48)/7</f>
        <v>98.008905852417328</v>
      </c>
      <c r="V49" s="43"/>
      <c r="X49" s="52"/>
      <c r="Y49" s="52"/>
    </row>
    <row r="50" spans="1:37" ht="33.75" customHeight="1" x14ac:dyDescent="0.25">
      <c r="A50" s="185" t="s">
        <v>14</v>
      </c>
      <c r="B50" s="34">
        <f t="shared" ref="B50:G50" si="42">((B48*B47)*7)/1000</f>
        <v>188.19499999999999</v>
      </c>
      <c r="C50" s="35">
        <f t="shared" si="42"/>
        <v>505.58199999999999</v>
      </c>
      <c r="D50" s="35">
        <f t="shared" si="42"/>
        <v>320.27100000000002</v>
      </c>
      <c r="E50" s="35">
        <f t="shared" si="42"/>
        <v>228.91399999999999</v>
      </c>
      <c r="F50" s="35">
        <f t="shared" si="42"/>
        <v>479.68200000000002</v>
      </c>
      <c r="G50" s="68">
        <f t="shared" si="42"/>
        <v>257.34800000000001</v>
      </c>
      <c r="H50" s="112"/>
      <c r="I50" s="41"/>
      <c r="J50" s="41"/>
      <c r="K50" s="41"/>
      <c r="L50" s="41"/>
      <c r="M50" s="41"/>
      <c r="N50" s="49"/>
      <c r="P50" s="185" t="s">
        <v>14</v>
      </c>
      <c r="Q50" s="34">
        <f>((Q48*Q47)*7)/1000</f>
        <v>59.986499999999999</v>
      </c>
      <c r="R50" s="35">
        <f>((R48*R47)*7)/1000</f>
        <v>146.11799999999999</v>
      </c>
      <c r="S50" s="35">
        <f>((S48*S47)*7)/1000</f>
        <v>54.6</v>
      </c>
      <c r="T50" s="68">
        <f>((T48*T47)*7)/1000</f>
        <v>8.9179999999999993</v>
      </c>
      <c r="U50" s="36"/>
      <c r="V50" s="41"/>
    </row>
    <row r="51" spans="1:37" ht="33.75" customHeight="1" thickBot="1" x14ac:dyDescent="0.3">
      <c r="A51" s="195" t="s">
        <v>15</v>
      </c>
      <c r="B51" s="37">
        <f t="shared" ref="B51:G51" si="43">+(B46/B48)/7*1000</f>
        <v>94.999999999999986</v>
      </c>
      <c r="C51" s="38">
        <f t="shared" si="43"/>
        <v>98.000000000000014</v>
      </c>
      <c r="D51" s="38">
        <f t="shared" si="43"/>
        <v>100.99999999999999</v>
      </c>
      <c r="E51" s="38">
        <f t="shared" si="43"/>
        <v>98.499999999999986</v>
      </c>
      <c r="F51" s="38">
        <f t="shared" si="43"/>
        <v>93.999999999999986</v>
      </c>
      <c r="G51" s="39">
        <f t="shared" si="43"/>
        <v>91</v>
      </c>
      <c r="H51" s="140"/>
      <c r="I51" s="41"/>
      <c r="J51" s="41"/>
      <c r="K51" s="41"/>
      <c r="L51" s="41"/>
      <c r="M51" s="41"/>
      <c r="N51" s="49"/>
      <c r="O51" s="41"/>
      <c r="P51" s="195" t="s">
        <v>15</v>
      </c>
      <c r="Q51" s="37">
        <f>+(Q46/Q48)/7*1000</f>
        <v>98.5</v>
      </c>
      <c r="R51" s="38">
        <f>+(R46/R48)/7*1000</f>
        <v>98.000000000000014</v>
      </c>
      <c r="S51" s="38">
        <f>+(S46/S48)/7*1000</f>
        <v>97.499999999999986</v>
      </c>
      <c r="T51" s="39">
        <f>+(T46/T48)/7*1000</f>
        <v>97.999999999999972</v>
      </c>
      <c r="U51" s="259"/>
      <c r="V51" s="42"/>
      <c r="X51" s="42"/>
      <c r="Y51" s="42"/>
    </row>
    <row r="52" spans="1:37" ht="33.75" customHeight="1" x14ac:dyDescent="0.25">
      <c r="A52" s="41"/>
      <c r="B52" s="2"/>
      <c r="C52" s="2"/>
      <c r="D52" s="2"/>
      <c r="E52" s="2"/>
      <c r="F52" s="2"/>
      <c r="G52" s="2"/>
      <c r="H52" s="41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2"/>
      <c r="AB52" s="2"/>
      <c r="AC52" s="2"/>
      <c r="AD52" s="2"/>
      <c r="AE52" s="2"/>
    </row>
    <row r="53" spans="1:37" ht="33.75" customHeight="1" x14ac:dyDescent="0.25">
      <c r="A53" s="41"/>
      <c r="B53" s="10"/>
      <c r="C53" s="10"/>
      <c r="D53" s="10"/>
      <c r="E53" s="10"/>
      <c r="F53" s="10"/>
      <c r="G53" s="10"/>
      <c r="H53" s="41"/>
      <c r="I53" s="41"/>
      <c r="J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2"/>
      <c r="X53" s="43"/>
      <c r="Y53" s="43"/>
      <c r="Z53" s="43"/>
      <c r="AA53" s="2"/>
      <c r="AB53" s="2"/>
      <c r="AC53" s="2"/>
      <c r="AD53" s="2"/>
      <c r="AH53" s="3"/>
    </row>
    <row r="54" spans="1:37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958"/>
      <c r="P54" s="958"/>
      <c r="Q54" s="54"/>
      <c r="R54" s="54"/>
      <c r="S54" s="54"/>
      <c r="T54" s="54"/>
      <c r="U54" s="55"/>
      <c r="Z54" s="43"/>
      <c r="AA54" s="43"/>
      <c r="AB54" s="43"/>
      <c r="AC54" s="2"/>
      <c r="AD54" s="2"/>
      <c r="AE54" s="2"/>
      <c r="AF54" s="2"/>
      <c r="AH54" s="2"/>
      <c r="AI54" s="2"/>
      <c r="AJ54" s="2"/>
    </row>
    <row r="55" spans="1:37" ht="33.75" customHeight="1" thickBot="1" x14ac:dyDescent="0.3">
      <c r="A55" s="88" t="s">
        <v>19</v>
      </c>
      <c r="B55" s="973" t="s">
        <v>30</v>
      </c>
      <c r="C55" s="974"/>
      <c r="D55" s="974"/>
      <c r="E55" s="974"/>
      <c r="F55" s="974"/>
      <c r="G55" s="975"/>
      <c r="H55" s="85"/>
      <c r="I55" s="56"/>
      <c r="J55" s="56"/>
      <c r="K55" s="56"/>
      <c r="L55" s="56"/>
      <c r="M55" s="56"/>
      <c r="N55" s="56"/>
      <c r="O55" s="56"/>
      <c r="AA55" s="43"/>
      <c r="AB55" s="43"/>
      <c r="AC55" s="43"/>
      <c r="AD55" s="2"/>
      <c r="AE55" s="2"/>
      <c r="AF55" s="2"/>
      <c r="AG55" s="2"/>
      <c r="AI55" s="2"/>
      <c r="AJ55" s="2"/>
      <c r="AK55" s="2"/>
    </row>
    <row r="56" spans="1:37" ht="33.75" customHeight="1" thickBot="1" x14ac:dyDescent="0.3">
      <c r="A56" s="80" t="s">
        <v>34</v>
      </c>
      <c r="B56" s="188"/>
      <c r="C56" s="249"/>
      <c r="D56" s="249"/>
      <c r="E56" s="249"/>
      <c r="F56" s="249"/>
      <c r="G56" s="250"/>
      <c r="H56" s="13" t="s">
        <v>9</v>
      </c>
      <c r="O56" s="45"/>
      <c r="P56" s="45"/>
      <c r="Q56" s="45"/>
      <c r="R56" s="45"/>
      <c r="S56" s="57"/>
      <c r="T56" s="57"/>
      <c r="U56" s="57"/>
      <c r="V56" s="57"/>
      <c r="W56" s="45"/>
      <c r="X56" s="45"/>
      <c r="Y56" s="58"/>
      <c r="Z56" s="58"/>
      <c r="AA56" s="58"/>
      <c r="AB56" s="2"/>
      <c r="AC56" s="2"/>
      <c r="AD56" s="2"/>
      <c r="AE56" s="2"/>
      <c r="AG56" s="2"/>
      <c r="AH56" s="2"/>
      <c r="AI56" s="2"/>
    </row>
    <row r="57" spans="1:37" ht="33.75" customHeight="1" thickBot="1" x14ac:dyDescent="0.3">
      <c r="A57" s="80" t="s">
        <v>10</v>
      </c>
      <c r="B57" s="186">
        <v>1</v>
      </c>
      <c r="C57" s="174">
        <v>2</v>
      </c>
      <c r="D57" s="174">
        <v>3</v>
      </c>
      <c r="E57" s="174">
        <v>4</v>
      </c>
      <c r="F57" s="174">
        <v>5</v>
      </c>
      <c r="G57" s="277" t="s">
        <v>74</v>
      </c>
      <c r="H57" s="13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57"/>
      <c r="T57" s="57"/>
      <c r="U57" s="57"/>
      <c r="V57" s="57"/>
      <c r="W57" s="45"/>
      <c r="X57" s="45"/>
      <c r="Y57" s="58"/>
      <c r="Z57" s="58"/>
      <c r="AA57" s="58"/>
      <c r="AB57" s="2"/>
      <c r="AC57" s="2"/>
      <c r="AD57" s="2"/>
      <c r="AE57" s="2"/>
      <c r="AF57" s="2"/>
      <c r="AG57" s="2"/>
      <c r="AH57" s="2"/>
      <c r="AI57" s="2"/>
    </row>
    <row r="58" spans="1:37" ht="33.75" customHeight="1" x14ac:dyDescent="0.25">
      <c r="A58" s="171" t="s">
        <v>53</v>
      </c>
      <c r="B58" s="133">
        <v>9.4</v>
      </c>
      <c r="C58" s="134">
        <v>14.8</v>
      </c>
      <c r="D58" s="134">
        <v>21.1</v>
      </c>
      <c r="E58" s="134">
        <v>30.6</v>
      </c>
      <c r="F58" s="134">
        <v>35.799999999999997</v>
      </c>
      <c r="G58" s="156">
        <v>8.1</v>
      </c>
      <c r="H58" s="136">
        <f>SUM(B58:G58)</f>
        <v>119.8</v>
      </c>
      <c r="I58" s="42"/>
      <c r="J58" s="42"/>
      <c r="K58" s="42"/>
      <c r="L58" s="42"/>
      <c r="M58" s="42"/>
      <c r="N58" s="42"/>
      <c r="O58" s="2"/>
      <c r="P58" s="45"/>
      <c r="Q58" s="45"/>
      <c r="R58" s="45"/>
      <c r="S58" s="57"/>
      <c r="T58" s="57"/>
      <c r="U58" s="57"/>
      <c r="V58" s="57"/>
      <c r="W58" s="45"/>
      <c r="X58" s="45"/>
      <c r="Y58" s="58"/>
      <c r="Z58" s="58"/>
      <c r="AA58" s="58"/>
      <c r="AB58" s="2"/>
      <c r="AC58" s="2"/>
      <c r="AD58" s="2"/>
      <c r="AE58" s="2"/>
      <c r="AF58" s="2"/>
      <c r="AG58" s="2"/>
      <c r="AH58" s="2"/>
      <c r="AI58" s="2"/>
    </row>
    <row r="59" spans="1:37" ht="33.75" customHeight="1" x14ac:dyDescent="0.25">
      <c r="A59" s="171" t="s">
        <v>24</v>
      </c>
      <c r="B59" s="18">
        <v>9.4</v>
      </c>
      <c r="C59" s="19">
        <v>14.8</v>
      </c>
      <c r="D59" s="19">
        <v>21.1</v>
      </c>
      <c r="E59" s="19">
        <v>30.7</v>
      </c>
      <c r="F59" s="19">
        <v>35.799999999999997</v>
      </c>
      <c r="G59" s="20">
        <v>8.1</v>
      </c>
      <c r="H59" s="136">
        <f t="shared" ref="H59:H64" si="44">SUM(B59:G59)</f>
        <v>119.89999999999999</v>
      </c>
      <c r="I59" s="42"/>
      <c r="J59" s="42"/>
      <c r="K59" s="42"/>
      <c r="L59" s="42"/>
      <c r="M59" s="42"/>
      <c r="N59" s="42"/>
      <c r="O59" s="2"/>
      <c r="P59" s="45"/>
      <c r="Q59" s="45"/>
      <c r="R59" s="45"/>
      <c r="S59" s="57"/>
      <c r="T59" s="57"/>
      <c r="U59" s="57"/>
      <c r="V59" s="57"/>
      <c r="W59" s="45"/>
      <c r="X59" s="45"/>
      <c r="Y59" s="58"/>
      <c r="Z59" s="58"/>
      <c r="AA59" s="58"/>
      <c r="AB59" s="2"/>
      <c r="AC59" s="2"/>
      <c r="AD59" s="2"/>
      <c r="AE59" s="2"/>
      <c r="AF59" s="2"/>
      <c r="AG59" s="2"/>
      <c r="AH59" s="2"/>
      <c r="AI59" s="2"/>
    </row>
    <row r="60" spans="1:37" ht="33.75" customHeight="1" x14ac:dyDescent="0.25">
      <c r="A60" s="171" t="s">
        <v>20</v>
      </c>
      <c r="B60" s="18">
        <f>((((($B$66*$B$67)/1000)*7)-$B$58-$B$59)/5)</f>
        <v>10.660000000000002</v>
      </c>
      <c r="C60" s="19">
        <f>((((($C$66*$C$67)/1000)*7)-$C$58-$C$59)/5)</f>
        <v>16.620000000000005</v>
      </c>
      <c r="D60" s="19">
        <f>((((($D$66*$D$67)/1000)*7)-$D$58-$D$59)/5)</f>
        <v>23.900000000000006</v>
      </c>
      <c r="E60" s="19">
        <f>((((($E$66*$E$67)/1000)*7)-$E$58-$E$59)/5)</f>
        <v>34.780000000000008</v>
      </c>
      <c r="F60" s="19">
        <f>((((($F$66*$F$67)/1000)*7)-$F$58-$F$59)/5)</f>
        <v>40.699999999999989</v>
      </c>
      <c r="G60" s="20">
        <f>((((($G$66*$G$67)/1000)*7)-$G$58-$G$59)/5)</f>
        <v>9.2200000000000006</v>
      </c>
      <c r="H60" s="136">
        <f t="shared" si="44"/>
        <v>135.88000000000002</v>
      </c>
      <c r="I60" s="42"/>
      <c r="J60" s="42"/>
      <c r="K60" s="42"/>
      <c r="L60" s="42"/>
      <c r="M60" s="42"/>
      <c r="N60" s="42"/>
      <c r="O60" s="2"/>
      <c r="P60" s="45"/>
      <c r="Q60" s="45"/>
      <c r="R60" s="45"/>
      <c r="S60" s="57"/>
      <c r="T60" s="57"/>
      <c r="U60" s="57"/>
      <c r="V60" s="57"/>
      <c r="W60" s="45"/>
      <c r="X60" s="45"/>
      <c r="Y60" s="58"/>
      <c r="Z60" s="58"/>
      <c r="AA60" s="58"/>
      <c r="AB60" s="2"/>
      <c r="AC60" s="2"/>
      <c r="AD60" s="2"/>
      <c r="AE60" s="2"/>
      <c r="AF60" s="2"/>
      <c r="AG60" s="2"/>
      <c r="AH60" s="2"/>
      <c r="AI60" s="2"/>
    </row>
    <row r="61" spans="1:37" ht="33.75" customHeight="1" x14ac:dyDescent="0.25">
      <c r="A61" s="171" t="s">
        <v>28</v>
      </c>
      <c r="B61" s="18">
        <f t="shared" ref="B61:B64" si="45">((((($B$66*$B$67)/1000)*7)-$B$58-$B$59)/5)</f>
        <v>10.660000000000002</v>
      </c>
      <c r="C61" s="19">
        <f t="shared" ref="C61:C64" si="46">((((($C$66*$C$67)/1000)*7)-$C$58-$C$59)/5)</f>
        <v>16.620000000000005</v>
      </c>
      <c r="D61" s="19">
        <f t="shared" ref="D61:D63" si="47">((((($D$66*$D$67)/1000)*7)-$D$58-$D$59)/5)</f>
        <v>23.900000000000006</v>
      </c>
      <c r="E61" s="19">
        <f t="shared" ref="E61:E64" si="48">((((($E$66*$E$67)/1000)*7)-$E$58-$E$59)/5)</f>
        <v>34.780000000000008</v>
      </c>
      <c r="F61" s="19">
        <f t="shared" ref="F61:F64" si="49">((((($F$66*$F$67)/1000)*7)-$F$58-$F$59)/5)</f>
        <v>40.699999999999989</v>
      </c>
      <c r="G61" s="20">
        <f t="shared" ref="G61:G64" si="50">((((($G$66*$G$67)/1000)*7)-$G$58-$G$59)/5)</f>
        <v>9.2200000000000006</v>
      </c>
      <c r="H61" s="136">
        <f t="shared" si="44"/>
        <v>135.88000000000002</v>
      </c>
      <c r="I61" s="42"/>
      <c r="J61" s="42"/>
      <c r="K61" s="42"/>
      <c r="L61" s="42"/>
      <c r="M61" s="42"/>
      <c r="N61" s="42"/>
      <c r="O61" s="2"/>
      <c r="P61" s="45"/>
      <c r="Q61" s="45"/>
      <c r="R61" s="45"/>
      <c r="S61" s="57"/>
      <c r="T61" s="57"/>
      <c r="U61" s="57"/>
      <c r="V61" s="57"/>
      <c r="W61" s="45"/>
      <c r="X61" s="45"/>
      <c r="Y61" s="58"/>
      <c r="Z61" s="58"/>
      <c r="AA61" s="58"/>
      <c r="AB61" s="3"/>
      <c r="AC61" s="3"/>
      <c r="AD61" s="2"/>
      <c r="AE61" s="2"/>
      <c r="AF61" s="2"/>
      <c r="AG61" s="2"/>
      <c r="AH61" s="2"/>
      <c r="AI61" s="2"/>
    </row>
    <row r="62" spans="1:37" ht="33.75" customHeight="1" x14ac:dyDescent="0.25">
      <c r="A62" s="171" t="s">
        <v>21</v>
      </c>
      <c r="B62" s="18">
        <f t="shared" si="45"/>
        <v>10.660000000000002</v>
      </c>
      <c r="C62" s="19">
        <f t="shared" si="46"/>
        <v>16.620000000000005</v>
      </c>
      <c r="D62" s="19">
        <f t="shared" si="47"/>
        <v>23.900000000000006</v>
      </c>
      <c r="E62" s="19">
        <f t="shared" si="48"/>
        <v>34.780000000000008</v>
      </c>
      <c r="F62" s="19">
        <f t="shared" si="49"/>
        <v>40.699999999999989</v>
      </c>
      <c r="G62" s="20">
        <f t="shared" si="50"/>
        <v>9.2200000000000006</v>
      </c>
      <c r="H62" s="136">
        <f t="shared" si="44"/>
        <v>135.88000000000002</v>
      </c>
      <c r="I62" s="42"/>
      <c r="J62" s="42"/>
      <c r="K62" s="42"/>
      <c r="L62" s="42"/>
      <c r="M62" s="42"/>
      <c r="N62" s="42"/>
      <c r="O62" s="2"/>
      <c r="P62" s="45"/>
      <c r="Q62" s="45"/>
      <c r="R62" s="45"/>
      <c r="S62" s="57"/>
      <c r="T62" s="57"/>
      <c r="U62" s="57"/>
      <c r="V62" s="57"/>
      <c r="W62" s="45"/>
      <c r="X62" s="45"/>
      <c r="Y62" s="58"/>
      <c r="Z62" s="58"/>
      <c r="AA62" s="58"/>
      <c r="AB62" s="3"/>
      <c r="AC62" s="3"/>
      <c r="AD62" s="2"/>
      <c r="AE62" s="2"/>
      <c r="AF62" s="2"/>
      <c r="AG62" s="2"/>
      <c r="AH62" s="2"/>
      <c r="AI62" s="2"/>
    </row>
    <row r="63" spans="1:37" ht="33.75" customHeight="1" x14ac:dyDescent="0.25">
      <c r="A63" s="171" t="s">
        <v>22</v>
      </c>
      <c r="B63" s="18">
        <f t="shared" si="45"/>
        <v>10.660000000000002</v>
      </c>
      <c r="C63" s="19">
        <f t="shared" si="46"/>
        <v>16.620000000000005</v>
      </c>
      <c r="D63" s="19">
        <f t="shared" si="47"/>
        <v>23.900000000000006</v>
      </c>
      <c r="E63" s="19">
        <f t="shared" si="48"/>
        <v>34.780000000000008</v>
      </c>
      <c r="F63" s="19">
        <f t="shared" si="49"/>
        <v>40.699999999999989</v>
      </c>
      <c r="G63" s="20">
        <f t="shared" si="50"/>
        <v>9.2200000000000006</v>
      </c>
      <c r="H63" s="136">
        <f t="shared" si="44"/>
        <v>135.88000000000002</v>
      </c>
      <c r="I63" s="42"/>
      <c r="J63" s="42"/>
      <c r="K63" s="42"/>
      <c r="L63" s="42"/>
      <c r="M63" s="42"/>
      <c r="N63" s="42"/>
      <c r="O63" s="2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3"/>
      <c r="AC63" s="3"/>
      <c r="AF63" s="2"/>
      <c r="AG63" s="2"/>
      <c r="AH63" s="2"/>
      <c r="AI63" s="2"/>
    </row>
    <row r="64" spans="1:37" ht="33.75" customHeight="1" thickBot="1" x14ac:dyDescent="0.3">
      <c r="A64" s="171" t="s">
        <v>23</v>
      </c>
      <c r="B64" s="18">
        <f t="shared" si="45"/>
        <v>10.660000000000002</v>
      </c>
      <c r="C64" s="19">
        <f t="shared" si="46"/>
        <v>16.620000000000005</v>
      </c>
      <c r="D64" s="19">
        <f>((((($D$66*$D$67)/1000)*7)-$D$58-$D$59)/5)</f>
        <v>23.900000000000006</v>
      </c>
      <c r="E64" s="19">
        <f t="shared" si="48"/>
        <v>34.780000000000008</v>
      </c>
      <c r="F64" s="19">
        <f t="shared" si="49"/>
        <v>40.699999999999989</v>
      </c>
      <c r="G64" s="20">
        <f t="shared" si="50"/>
        <v>9.2200000000000006</v>
      </c>
      <c r="H64" s="136">
        <f t="shared" si="44"/>
        <v>135.88000000000002</v>
      </c>
      <c r="I64" s="42"/>
      <c r="J64" s="42"/>
      <c r="K64" s="42"/>
      <c r="L64" s="42"/>
      <c r="M64" s="42"/>
      <c r="N64" s="42"/>
      <c r="O64" s="2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3"/>
      <c r="AC64" s="3"/>
      <c r="AF64" s="2"/>
      <c r="AG64" s="2"/>
      <c r="AH64" s="2"/>
      <c r="AI64" s="2"/>
    </row>
    <row r="65" spans="1:35" ht="33.75" customHeight="1" x14ac:dyDescent="0.25">
      <c r="A65" s="170" t="s">
        <v>9</v>
      </c>
      <c r="B65" s="131">
        <f t="shared" ref="B65:G65" si="51">SUM(B58:B64)</f>
        <v>72.100000000000009</v>
      </c>
      <c r="C65" s="128">
        <f t="shared" si="51"/>
        <v>112.70000000000002</v>
      </c>
      <c r="D65" s="128">
        <f t="shared" si="51"/>
        <v>161.70000000000002</v>
      </c>
      <c r="E65" s="128">
        <f t="shared" si="51"/>
        <v>235.20000000000002</v>
      </c>
      <c r="F65" s="128">
        <f t="shared" si="51"/>
        <v>275.09999999999991</v>
      </c>
      <c r="G65" s="129">
        <f t="shared" si="51"/>
        <v>62.3</v>
      </c>
      <c r="H65" s="136">
        <f>SUM(B65:G65)</f>
        <v>919.09999999999991</v>
      </c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3"/>
      <c r="AC65" s="3"/>
      <c r="AD65" s="3"/>
      <c r="AE65" s="3"/>
      <c r="AF65" s="2"/>
      <c r="AG65" s="2"/>
      <c r="AH65" s="2"/>
      <c r="AI65" s="2"/>
    </row>
    <row r="66" spans="1:35" ht="33.75" customHeight="1" x14ac:dyDescent="0.25">
      <c r="A66" s="192" t="s">
        <v>11</v>
      </c>
      <c r="B66" s="23">
        <v>100</v>
      </c>
      <c r="C66" s="24">
        <v>100</v>
      </c>
      <c r="D66" s="24">
        <v>100</v>
      </c>
      <c r="E66" s="24">
        <v>100</v>
      </c>
      <c r="F66" s="24">
        <v>100</v>
      </c>
      <c r="G66" s="25">
        <v>100</v>
      </c>
      <c r="H66" s="137">
        <f>+((H65/H67)/7)*1000</f>
        <v>99.999999999999986</v>
      </c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3"/>
      <c r="AC66" s="3"/>
      <c r="AD66" s="3"/>
      <c r="AE66" s="3"/>
      <c r="AF66" s="2"/>
      <c r="AG66" s="2"/>
      <c r="AH66" s="2"/>
      <c r="AI66" s="2"/>
    </row>
    <row r="67" spans="1:35" ht="33.75" customHeight="1" x14ac:dyDescent="0.25">
      <c r="A67" s="193" t="s">
        <v>12</v>
      </c>
      <c r="B67" s="257">
        <v>103</v>
      </c>
      <c r="C67" s="275">
        <v>161</v>
      </c>
      <c r="D67" s="275">
        <v>231</v>
      </c>
      <c r="E67" s="275">
        <v>336</v>
      </c>
      <c r="F67" s="275">
        <v>393</v>
      </c>
      <c r="G67" s="276">
        <v>89</v>
      </c>
      <c r="H67" s="254">
        <f>SUM(B67:G67)</f>
        <v>1313</v>
      </c>
      <c r="O67" s="59"/>
      <c r="S67" s="3"/>
      <c r="T67" s="3"/>
      <c r="U67" s="3"/>
      <c r="V67" s="3"/>
      <c r="W67" s="3"/>
      <c r="X67" s="3"/>
    </row>
    <row r="68" spans="1:35" ht="33.75" customHeight="1" x14ac:dyDescent="0.25">
      <c r="A68" s="194" t="s">
        <v>13</v>
      </c>
      <c r="B68" s="30">
        <v>83.71</v>
      </c>
      <c r="C68" s="31">
        <f>(C67*C66)/1000</f>
        <v>16.100000000000001</v>
      </c>
      <c r="D68" s="31">
        <f>(D67*D66)/1000</f>
        <v>23.1</v>
      </c>
      <c r="E68" s="31">
        <f>(E67*E66)/1000</f>
        <v>33.6</v>
      </c>
      <c r="F68" s="31">
        <f>(F67*F66)/1000</f>
        <v>39.299999999999997</v>
      </c>
      <c r="G68" s="32">
        <f>(G67*G66)/1000</f>
        <v>8.9</v>
      </c>
      <c r="H68" s="255">
        <f>((H65*1000)/H67)/7</f>
        <v>99.999999999999986</v>
      </c>
      <c r="S68" s="3"/>
      <c r="T68" s="3"/>
      <c r="U68" s="3"/>
      <c r="V68" s="3"/>
      <c r="W68" s="3"/>
      <c r="X68" s="3"/>
    </row>
    <row r="69" spans="1:35" ht="33.75" customHeight="1" x14ac:dyDescent="0.25">
      <c r="A69" s="185" t="s">
        <v>14</v>
      </c>
      <c r="B69" s="34">
        <f t="shared" ref="B69:G69" si="52">((B67*B66)*7)/1000</f>
        <v>72.099999999999994</v>
      </c>
      <c r="C69" s="35">
        <f t="shared" si="52"/>
        <v>112.7</v>
      </c>
      <c r="D69" s="35">
        <f t="shared" si="52"/>
        <v>161.69999999999999</v>
      </c>
      <c r="E69" s="35">
        <f t="shared" si="52"/>
        <v>235.2</v>
      </c>
      <c r="F69" s="35">
        <f t="shared" si="52"/>
        <v>275.10000000000002</v>
      </c>
      <c r="G69" s="68">
        <f t="shared" si="52"/>
        <v>62.3</v>
      </c>
      <c r="H69" s="112"/>
      <c r="I69" s="41"/>
      <c r="J69" s="41"/>
      <c r="K69" s="41"/>
      <c r="L69" s="41"/>
      <c r="M69" s="41"/>
      <c r="N69" s="41"/>
      <c r="X69" s="3"/>
    </row>
    <row r="70" spans="1:35" ht="33.75" customHeight="1" thickBot="1" x14ac:dyDescent="0.3">
      <c r="A70" s="195" t="s">
        <v>15</v>
      </c>
      <c r="B70" s="37">
        <f t="shared" ref="B70:G70" si="53">+(B65/B67)/7*1000</f>
        <v>100</v>
      </c>
      <c r="C70" s="38">
        <f t="shared" si="53"/>
        <v>100</v>
      </c>
      <c r="D70" s="38">
        <f t="shared" si="53"/>
        <v>100</v>
      </c>
      <c r="E70" s="38">
        <f t="shared" si="53"/>
        <v>100</v>
      </c>
      <c r="F70" s="38">
        <f t="shared" si="53"/>
        <v>99.999999999999957</v>
      </c>
      <c r="G70" s="39">
        <f t="shared" si="53"/>
        <v>99.999999999999986</v>
      </c>
      <c r="H70" s="40"/>
      <c r="X70" s="3"/>
    </row>
    <row r="71" spans="1:35" ht="33.75" customHeight="1" x14ac:dyDescent="0.25">
      <c r="B71" s="148"/>
    </row>
    <row r="72" spans="1:35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52"/>
    </row>
    <row r="73" spans="1:35" ht="33.75" customHeight="1" x14ac:dyDescent="0.25"/>
    <row r="74" spans="1:35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  <c r="M74" s="45"/>
      <c r="N74" s="45"/>
      <c r="O74" s="45"/>
    </row>
    <row r="75" spans="1:35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5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5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5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5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G36"/>
    <mergeCell ref="Q36:T36"/>
    <mergeCell ref="N37:O37"/>
    <mergeCell ref="O54:P54"/>
    <mergeCell ref="B55:G55"/>
    <mergeCell ref="A3:C3"/>
    <mergeCell ref="E9:G9"/>
    <mergeCell ref="X9:Y9"/>
    <mergeCell ref="P11:Q11"/>
    <mergeCell ref="B15:I15"/>
    <mergeCell ref="J15:M15"/>
    <mergeCell ref="N15:R15"/>
    <mergeCell ref="S15:X15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J239"/>
  <sheetViews>
    <sheetView workbookViewId="0"/>
  </sheetViews>
  <sheetFormatPr baseColWidth="10" defaultRowHeight="15" x14ac:dyDescent="0.25"/>
  <cols>
    <col min="1" max="1" width="52.42578125" style="14" bestFit="1" customWidth="1"/>
    <col min="2" max="6" width="23.140625" style="14" bestFit="1" customWidth="1"/>
    <col min="7" max="7" width="28.42578125" style="14" customWidth="1"/>
    <col min="8" max="8" width="29.140625" style="14" customWidth="1"/>
    <col min="9" max="13" width="20.140625" style="14" customWidth="1"/>
    <col min="14" max="14" width="28.28515625" style="14" bestFit="1" customWidth="1"/>
    <col min="15" max="16" width="33.42578125" style="14" bestFit="1" customWidth="1"/>
    <col min="17" max="17" width="22.7109375" style="14" customWidth="1"/>
    <col min="18" max="19" width="21.28515625" style="14" customWidth="1"/>
    <col min="20" max="20" width="28" style="14" customWidth="1"/>
    <col min="21" max="21" width="21.28515625" style="14" bestFit="1" customWidth="1"/>
    <col min="22" max="22" width="21.28515625" style="14" customWidth="1"/>
    <col min="23" max="23" width="27.85546875" style="14" customWidth="1"/>
    <col min="24" max="24" width="25.85546875" style="14" customWidth="1"/>
    <col min="25" max="25" width="21.42578125" style="14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 t="s">
        <v>3</v>
      </c>
      <c r="X9" s="960" t="s">
        <v>35</v>
      </c>
      <c r="Y9" s="960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65" t="s">
        <v>77</v>
      </c>
      <c r="Q11" s="965"/>
      <c r="R11" s="6"/>
      <c r="S11" s="6"/>
      <c r="T11" s="6"/>
      <c r="U11" s="1"/>
      <c r="V11" s="1"/>
      <c r="W11" s="1" t="s">
        <v>6</v>
      </c>
      <c r="X11" s="95">
        <v>45462</v>
      </c>
      <c r="Y11" s="6"/>
      <c r="Z11" s="6"/>
      <c r="AA11" s="6"/>
      <c r="AB11" s="6"/>
      <c r="AC11" s="6"/>
      <c r="AD11" s="6"/>
      <c r="AE11" s="1"/>
      <c r="AF11" s="1"/>
      <c r="AG11" s="1"/>
      <c r="AH11" s="1"/>
      <c r="AI11" s="1"/>
      <c r="AJ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1"/>
      <c r="AD13" s="1"/>
      <c r="AE13" s="1"/>
    </row>
    <row r="14" spans="1:3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1"/>
      <c r="AE14" s="1"/>
      <c r="AF14" s="1"/>
    </row>
    <row r="15" spans="1:36" s="10" customFormat="1" ht="36" thickBot="1" x14ac:dyDescent="0.3">
      <c r="A15" s="69" t="s">
        <v>7</v>
      </c>
      <c r="B15" s="971" t="s">
        <v>8</v>
      </c>
      <c r="C15" s="968"/>
      <c r="D15" s="968"/>
      <c r="E15" s="968"/>
      <c r="F15" s="968"/>
      <c r="G15" s="968"/>
      <c r="H15" s="968"/>
      <c r="I15" s="968"/>
      <c r="J15" s="971" t="s">
        <v>30</v>
      </c>
      <c r="K15" s="968"/>
      <c r="L15" s="968"/>
      <c r="M15" s="969"/>
      <c r="N15" s="971" t="s">
        <v>29</v>
      </c>
      <c r="O15" s="968"/>
      <c r="P15" s="968"/>
      <c r="Q15" s="968"/>
      <c r="R15" s="969"/>
      <c r="S15" s="962" t="s">
        <v>31</v>
      </c>
      <c r="T15" s="963"/>
      <c r="U15" s="963"/>
      <c r="V15" s="963"/>
      <c r="W15" s="963"/>
      <c r="X15" s="964"/>
    </row>
    <row r="16" spans="1:36" ht="39.950000000000003" customHeight="1" thickBot="1" x14ac:dyDescent="0.3">
      <c r="A16" s="80" t="s">
        <v>34</v>
      </c>
      <c r="B16" s="186">
        <v>4</v>
      </c>
      <c r="C16" s="174">
        <v>3</v>
      </c>
      <c r="D16" s="174">
        <v>2</v>
      </c>
      <c r="E16" s="174">
        <v>1</v>
      </c>
      <c r="F16" s="174">
        <v>1</v>
      </c>
      <c r="G16" s="174">
        <v>2</v>
      </c>
      <c r="H16" s="174">
        <v>3</v>
      </c>
      <c r="I16" s="175">
        <v>4</v>
      </c>
      <c r="J16" s="186">
        <v>1</v>
      </c>
      <c r="K16" s="174">
        <v>2</v>
      </c>
      <c r="L16" s="174">
        <v>3</v>
      </c>
      <c r="M16" s="175">
        <v>4</v>
      </c>
      <c r="N16" s="202">
        <v>1</v>
      </c>
      <c r="O16" s="174">
        <v>2</v>
      </c>
      <c r="P16" s="174">
        <v>3</v>
      </c>
      <c r="Q16" s="174">
        <v>4</v>
      </c>
      <c r="R16" s="203">
        <v>5</v>
      </c>
      <c r="S16" s="186">
        <v>1</v>
      </c>
      <c r="T16" s="174">
        <v>2</v>
      </c>
      <c r="U16" s="174">
        <v>3</v>
      </c>
      <c r="V16" s="174">
        <v>4</v>
      </c>
      <c r="W16" s="175">
        <v>5</v>
      </c>
      <c r="X16" s="126" t="s">
        <v>9</v>
      </c>
      <c r="AB16" s="15"/>
      <c r="AC16" s="15"/>
    </row>
    <row r="17" spans="1:36" ht="39.950000000000003" customHeight="1" thickBot="1" x14ac:dyDescent="0.3">
      <c r="A17" s="80" t="s">
        <v>10</v>
      </c>
      <c r="B17" s="186">
        <v>1</v>
      </c>
      <c r="C17" s="174">
        <v>2</v>
      </c>
      <c r="D17" s="174">
        <v>3</v>
      </c>
      <c r="E17" s="174">
        <v>4</v>
      </c>
      <c r="F17" s="174">
        <v>5</v>
      </c>
      <c r="G17" s="174">
        <v>6</v>
      </c>
      <c r="H17" s="174">
        <v>7</v>
      </c>
      <c r="I17" s="175">
        <v>8</v>
      </c>
      <c r="J17" s="186">
        <v>1</v>
      </c>
      <c r="K17" s="174">
        <v>2</v>
      </c>
      <c r="L17" s="174">
        <v>3</v>
      </c>
      <c r="M17" s="175">
        <v>4</v>
      </c>
      <c r="N17" s="202">
        <v>1</v>
      </c>
      <c r="O17" s="174">
        <v>2</v>
      </c>
      <c r="P17" s="174">
        <v>3</v>
      </c>
      <c r="Q17" s="174">
        <v>4</v>
      </c>
      <c r="R17" s="203">
        <v>5</v>
      </c>
      <c r="S17" s="186">
        <v>1</v>
      </c>
      <c r="T17" s="174">
        <v>2</v>
      </c>
      <c r="U17" s="174">
        <v>3</v>
      </c>
      <c r="V17" s="174">
        <v>4</v>
      </c>
      <c r="W17" s="175">
        <v>5</v>
      </c>
      <c r="X17" s="208"/>
      <c r="AB17" s="2"/>
      <c r="AC17" s="15"/>
    </row>
    <row r="18" spans="1:36" ht="39.950000000000003" customHeight="1" x14ac:dyDescent="0.25">
      <c r="A18" s="171" t="s">
        <v>53</v>
      </c>
      <c r="B18" s="133">
        <v>34.200000000000003</v>
      </c>
      <c r="C18" s="134">
        <v>72.3</v>
      </c>
      <c r="D18" s="134">
        <v>58</v>
      </c>
      <c r="E18" s="134">
        <v>23.3</v>
      </c>
      <c r="F18" s="134">
        <v>34.9</v>
      </c>
      <c r="G18" s="134">
        <v>52.9</v>
      </c>
      <c r="H18" s="134">
        <v>46.7</v>
      </c>
      <c r="I18" s="156">
        <v>40.5</v>
      </c>
      <c r="J18" s="133">
        <v>13.3</v>
      </c>
      <c r="K18" s="134">
        <v>27.3</v>
      </c>
      <c r="L18" s="134">
        <v>42.1</v>
      </c>
      <c r="M18" s="156">
        <v>37.9</v>
      </c>
      <c r="N18" s="133">
        <v>33.299999999999997</v>
      </c>
      <c r="O18" s="134">
        <v>34.5</v>
      </c>
      <c r="P18" s="134">
        <v>64.2</v>
      </c>
      <c r="Q18" s="134">
        <v>61.1</v>
      </c>
      <c r="R18" s="156">
        <v>32.200000000000003</v>
      </c>
      <c r="S18" s="133">
        <v>29.1</v>
      </c>
      <c r="T18" s="134">
        <v>44.9</v>
      </c>
      <c r="U18" s="134">
        <v>59.3</v>
      </c>
      <c r="V18" s="134">
        <v>53.6</v>
      </c>
      <c r="W18" s="156">
        <v>34.9</v>
      </c>
      <c r="X18" s="98">
        <f>SUM(B18:W18)</f>
        <v>930.50000000000011</v>
      </c>
      <c r="AB18" s="2"/>
      <c r="AC18" s="15"/>
    </row>
    <row r="19" spans="1:36" ht="39.950000000000003" customHeight="1" x14ac:dyDescent="0.25">
      <c r="A19" s="171" t="s">
        <v>24</v>
      </c>
      <c r="B19" s="18">
        <v>34.200000000000003</v>
      </c>
      <c r="C19" s="19">
        <v>72.3</v>
      </c>
      <c r="D19" s="19">
        <v>58</v>
      </c>
      <c r="E19" s="19">
        <v>23.3</v>
      </c>
      <c r="F19" s="19">
        <v>34.9</v>
      </c>
      <c r="G19" s="19">
        <v>52.9</v>
      </c>
      <c r="H19" s="19">
        <v>46.7</v>
      </c>
      <c r="I19" s="20">
        <v>40.5</v>
      </c>
      <c r="J19" s="18">
        <v>13.3</v>
      </c>
      <c r="K19" s="19">
        <v>27.3</v>
      </c>
      <c r="L19" s="19">
        <v>42.1</v>
      </c>
      <c r="M19" s="20">
        <v>37.9</v>
      </c>
      <c r="N19" s="18">
        <v>33.299999999999997</v>
      </c>
      <c r="O19" s="19">
        <v>34.5</v>
      </c>
      <c r="P19" s="19">
        <v>64.2</v>
      </c>
      <c r="Q19" s="19">
        <v>61.1</v>
      </c>
      <c r="R19" s="20">
        <v>32.200000000000003</v>
      </c>
      <c r="S19" s="18">
        <v>29.1</v>
      </c>
      <c r="T19" s="19">
        <v>44.9</v>
      </c>
      <c r="U19" s="19">
        <v>59.3</v>
      </c>
      <c r="V19" s="19">
        <v>53.6</v>
      </c>
      <c r="W19" s="20">
        <v>34.9</v>
      </c>
      <c r="X19" s="98">
        <f t="shared" ref="X19:X24" si="0">SUM(B19:W19)</f>
        <v>930.50000000000011</v>
      </c>
      <c r="AB19" s="2"/>
      <c r="AC19" s="15"/>
    </row>
    <row r="20" spans="1:36" ht="39.75" customHeight="1" x14ac:dyDescent="0.25">
      <c r="A20" s="171" t="s">
        <v>20</v>
      </c>
      <c r="B20" s="18">
        <v>36.4</v>
      </c>
      <c r="C20" s="19">
        <v>77.099999999999994</v>
      </c>
      <c r="D20" s="19">
        <v>61.2</v>
      </c>
      <c r="E20" s="19">
        <v>24.4</v>
      </c>
      <c r="F20" s="19">
        <v>36.9</v>
      </c>
      <c r="G20" s="19">
        <v>56</v>
      </c>
      <c r="H20" s="19">
        <v>49.5</v>
      </c>
      <c r="I20" s="20">
        <v>42.7</v>
      </c>
      <c r="J20" s="18">
        <v>14.3</v>
      </c>
      <c r="K20" s="19">
        <v>29</v>
      </c>
      <c r="L20" s="19">
        <v>44.5</v>
      </c>
      <c r="M20" s="20">
        <v>40.200000000000003</v>
      </c>
      <c r="N20" s="18">
        <v>35.5</v>
      </c>
      <c r="O20" s="19">
        <v>37.1</v>
      </c>
      <c r="P20" s="19">
        <v>67.900000000000006</v>
      </c>
      <c r="Q20" s="19">
        <v>64.3</v>
      </c>
      <c r="R20" s="20">
        <v>34</v>
      </c>
      <c r="S20" s="18">
        <v>30.5</v>
      </c>
      <c r="T20" s="19">
        <v>47.4</v>
      </c>
      <c r="U20" s="19">
        <v>63.1</v>
      </c>
      <c r="V20" s="19">
        <v>56.6</v>
      </c>
      <c r="W20" s="20">
        <v>37.200000000000003</v>
      </c>
      <c r="X20" s="98">
        <f t="shared" si="0"/>
        <v>985.80000000000007</v>
      </c>
      <c r="AB20" s="2"/>
      <c r="AC20" s="15"/>
    </row>
    <row r="21" spans="1:36" ht="39.950000000000003" customHeight="1" x14ac:dyDescent="0.25">
      <c r="A21" s="171" t="s">
        <v>28</v>
      </c>
      <c r="B21" s="18">
        <v>36.4</v>
      </c>
      <c r="C21" s="19">
        <v>77.099999999999994</v>
      </c>
      <c r="D21" s="19">
        <v>61.2</v>
      </c>
      <c r="E21" s="19">
        <v>24.4</v>
      </c>
      <c r="F21" s="19">
        <v>36.9</v>
      </c>
      <c r="G21" s="19">
        <v>56.1</v>
      </c>
      <c r="H21" s="19">
        <v>49.5</v>
      </c>
      <c r="I21" s="20">
        <v>42.7</v>
      </c>
      <c r="J21" s="18">
        <v>14.4</v>
      </c>
      <c r="K21" s="19">
        <v>29</v>
      </c>
      <c r="L21" s="19">
        <v>44.5</v>
      </c>
      <c r="M21" s="20">
        <v>40.200000000000003</v>
      </c>
      <c r="N21" s="18">
        <v>35.5</v>
      </c>
      <c r="O21" s="19">
        <v>37.200000000000003</v>
      </c>
      <c r="P21" s="19">
        <v>67.900000000000006</v>
      </c>
      <c r="Q21" s="19">
        <v>64.3</v>
      </c>
      <c r="R21" s="20">
        <v>34</v>
      </c>
      <c r="S21" s="18">
        <v>30.5</v>
      </c>
      <c r="T21" s="19">
        <v>47.4</v>
      </c>
      <c r="U21" s="19">
        <v>63.1</v>
      </c>
      <c r="V21" s="19">
        <v>56.6</v>
      </c>
      <c r="W21" s="20">
        <v>37.200000000000003</v>
      </c>
      <c r="X21" s="98">
        <f t="shared" si="0"/>
        <v>986.1</v>
      </c>
      <c r="AB21" s="2"/>
      <c r="AC21" s="15"/>
    </row>
    <row r="22" spans="1:36" ht="39.950000000000003" customHeight="1" x14ac:dyDescent="0.25">
      <c r="A22" s="171" t="s">
        <v>21</v>
      </c>
      <c r="B22" s="18">
        <v>36.4</v>
      </c>
      <c r="C22" s="19">
        <v>77.099999999999994</v>
      </c>
      <c r="D22" s="19">
        <v>61.2</v>
      </c>
      <c r="E22" s="19">
        <v>24.4</v>
      </c>
      <c r="F22" s="19">
        <v>36.9</v>
      </c>
      <c r="G22" s="19">
        <v>56.1</v>
      </c>
      <c r="H22" s="19">
        <v>49.5</v>
      </c>
      <c r="I22" s="20">
        <v>42.8</v>
      </c>
      <c r="J22" s="18">
        <v>14.4</v>
      </c>
      <c r="K22" s="19">
        <v>29</v>
      </c>
      <c r="L22" s="19">
        <v>44.5</v>
      </c>
      <c r="M22" s="20">
        <v>40.200000000000003</v>
      </c>
      <c r="N22" s="18">
        <v>35.5</v>
      </c>
      <c r="O22" s="19">
        <v>37.200000000000003</v>
      </c>
      <c r="P22" s="19">
        <v>68</v>
      </c>
      <c r="Q22" s="19">
        <v>64.3</v>
      </c>
      <c r="R22" s="20">
        <v>34</v>
      </c>
      <c r="S22" s="18">
        <v>30.5</v>
      </c>
      <c r="T22" s="19">
        <v>47.4</v>
      </c>
      <c r="U22" s="19">
        <v>63.2</v>
      </c>
      <c r="V22" s="19">
        <v>56.6</v>
      </c>
      <c r="W22" s="20">
        <v>37.200000000000003</v>
      </c>
      <c r="X22" s="98">
        <f t="shared" si="0"/>
        <v>986.40000000000009</v>
      </c>
      <c r="AB22" s="2"/>
      <c r="AC22" s="15"/>
    </row>
    <row r="23" spans="1:36" ht="39.950000000000003" customHeight="1" x14ac:dyDescent="0.25">
      <c r="A23" s="171" t="s">
        <v>22</v>
      </c>
      <c r="B23" s="18">
        <v>36.5</v>
      </c>
      <c r="C23" s="19">
        <v>77.099999999999994</v>
      </c>
      <c r="D23" s="19">
        <v>61.2</v>
      </c>
      <c r="E23" s="19">
        <v>24.4</v>
      </c>
      <c r="F23" s="19">
        <v>37</v>
      </c>
      <c r="G23" s="19">
        <v>56.1</v>
      </c>
      <c r="H23" s="19">
        <v>49.5</v>
      </c>
      <c r="I23" s="20">
        <v>42.8</v>
      </c>
      <c r="J23" s="18">
        <v>14.4</v>
      </c>
      <c r="K23" s="19">
        <v>29.1</v>
      </c>
      <c r="L23" s="19">
        <v>44.5</v>
      </c>
      <c r="M23" s="20">
        <v>40.299999999999997</v>
      </c>
      <c r="N23" s="18">
        <v>35.5</v>
      </c>
      <c r="O23" s="19">
        <v>37.200000000000003</v>
      </c>
      <c r="P23" s="19">
        <v>68</v>
      </c>
      <c r="Q23" s="19">
        <v>64.3</v>
      </c>
      <c r="R23" s="20">
        <v>34</v>
      </c>
      <c r="S23" s="18">
        <v>30.5</v>
      </c>
      <c r="T23" s="19">
        <v>47.4</v>
      </c>
      <c r="U23" s="19">
        <v>63.2</v>
      </c>
      <c r="V23" s="19">
        <v>56.7</v>
      </c>
      <c r="W23" s="20">
        <v>37.299999999999997</v>
      </c>
      <c r="X23" s="98">
        <f t="shared" si="0"/>
        <v>987</v>
      </c>
      <c r="AB23" s="2"/>
      <c r="AC23" s="15"/>
    </row>
    <row r="24" spans="1:36" ht="39.950000000000003" customHeight="1" thickBot="1" x14ac:dyDescent="0.3">
      <c r="A24" s="171" t="s">
        <v>23</v>
      </c>
      <c r="B24" s="18">
        <v>36.5</v>
      </c>
      <c r="C24" s="19">
        <v>77.2</v>
      </c>
      <c r="D24" s="19">
        <v>61.2</v>
      </c>
      <c r="E24" s="19">
        <v>24.5</v>
      </c>
      <c r="F24" s="19">
        <v>37</v>
      </c>
      <c r="G24" s="19">
        <v>56.1</v>
      </c>
      <c r="H24" s="19">
        <v>49.6</v>
      </c>
      <c r="I24" s="20">
        <v>42.8</v>
      </c>
      <c r="J24" s="18">
        <v>14.4</v>
      </c>
      <c r="K24" s="19">
        <v>29.1</v>
      </c>
      <c r="L24" s="19">
        <v>44.6</v>
      </c>
      <c r="M24" s="20">
        <v>40.299999999999997</v>
      </c>
      <c r="N24" s="18">
        <v>35.6</v>
      </c>
      <c r="O24" s="19">
        <v>37.200000000000003</v>
      </c>
      <c r="P24" s="19">
        <v>68</v>
      </c>
      <c r="Q24" s="19">
        <v>64.400000000000006</v>
      </c>
      <c r="R24" s="20">
        <v>34</v>
      </c>
      <c r="S24" s="18">
        <v>30.6</v>
      </c>
      <c r="T24" s="19">
        <v>47.4</v>
      </c>
      <c r="U24" s="19">
        <v>63.2</v>
      </c>
      <c r="V24" s="19">
        <v>56.7</v>
      </c>
      <c r="W24" s="20">
        <v>37.299999999999997</v>
      </c>
      <c r="X24" s="98">
        <f t="shared" si="0"/>
        <v>987.70000000000016</v>
      </c>
      <c r="AB24" s="2"/>
    </row>
    <row r="25" spans="1:36" ht="41.45" customHeight="1" x14ac:dyDescent="0.25">
      <c r="A25" s="268" t="s">
        <v>9</v>
      </c>
      <c r="B25" s="217">
        <f>SUM(B18:B24)</f>
        <v>250.60000000000002</v>
      </c>
      <c r="C25" s="218">
        <f t="shared" ref="C25:W25" si="1">SUM(C18:C24)</f>
        <v>530.20000000000005</v>
      </c>
      <c r="D25" s="218">
        <f t="shared" si="1"/>
        <v>421.99999999999994</v>
      </c>
      <c r="E25" s="218">
        <f t="shared" si="1"/>
        <v>168.70000000000002</v>
      </c>
      <c r="F25" s="218">
        <f t="shared" si="1"/>
        <v>254.5</v>
      </c>
      <c r="G25" s="218">
        <f t="shared" si="1"/>
        <v>386.20000000000005</v>
      </c>
      <c r="H25" s="218">
        <f t="shared" si="1"/>
        <v>341</v>
      </c>
      <c r="I25" s="219">
        <f t="shared" si="1"/>
        <v>294.8</v>
      </c>
      <c r="J25" s="217">
        <f t="shared" si="1"/>
        <v>98.500000000000014</v>
      </c>
      <c r="K25" s="218">
        <f t="shared" si="1"/>
        <v>199.79999999999998</v>
      </c>
      <c r="L25" s="218">
        <f t="shared" si="1"/>
        <v>306.8</v>
      </c>
      <c r="M25" s="219">
        <f t="shared" si="1"/>
        <v>277</v>
      </c>
      <c r="N25" s="217">
        <f t="shared" si="1"/>
        <v>244.2</v>
      </c>
      <c r="O25" s="218">
        <f t="shared" si="1"/>
        <v>254.89999999999998</v>
      </c>
      <c r="P25" s="218">
        <f t="shared" si="1"/>
        <v>468.20000000000005</v>
      </c>
      <c r="Q25" s="218">
        <f t="shared" si="1"/>
        <v>443.80000000000007</v>
      </c>
      <c r="R25" s="219">
        <f t="shared" si="1"/>
        <v>234.4</v>
      </c>
      <c r="S25" s="217">
        <f t="shared" si="1"/>
        <v>210.79999999999998</v>
      </c>
      <c r="T25" s="218">
        <f t="shared" si="1"/>
        <v>326.79999999999995</v>
      </c>
      <c r="U25" s="218">
        <f t="shared" si="1"/>
        <v>434.4</v>
      </c>
      <c r="V25" s="218">
        <f t="shared" si="1"/>
        <v>390.4</v>
      </c>
      <c r="W25" s="178">
        <f t="shared" si="1"/>
        <v>256</v>
      </c>
      <c r="X25" s="98">
        <f>SUM(X18,X19,X20,X21,X22,X23,X24)</f>
        <v>6794</v>
      </c>
    </row>
    <row r="26" spans="1:36" s="2" customFormat="1" ht="36.75" customHeight="1" x14ac:dyDescent="0.25">
      <c r="A26" s="192" t="s">
        <v>11</v>
      </c>
      <c r="B26" s="23">
        <v>97</v>
      </c>
      <c r="C26" s="24">
        <v>98.5</v>
      </c>
      <c r="D26" s="24">
        <v>102</v>
      </c>
      <c r="E26" s="24">
        <v>103</v>
      </c>
      <c r="F26" s="24">
        <v>101</v>
      </c>
      <c r="G26" s="24">
        <v>100.5</v>
      </c>
      <c r="H26" s="24">
        <v>99</v>
      </c>
      <c r="I26" s="228">
        <v>97.5</v>
      </c>
      <c r="J26" s="23">
        <v>102</v>
      </c>
      <c r="K26" s="24">
        <v>100.5</v>
      </c>
      <c r="L26" s="24">
        <v>98.5</v>
      </c>
      <c r="M26" s="228">
        <v>96.5</v>
      </c>
      <c r="N26" s="23">
        <v>103.5</v>
      </c>
      <c r="O26" s="24">
        <v>102</v>
      </c>
      <c r="P26" s="24">
        <v>98.5</v>
      </c>
      <c r="Q26" s="24">
        <v>98</v>
      </c>
      <c r="R26" s="228">
        <v>96.5</v>
      </c>
      <c r="S26" s="23">
        <v>103.5</v>
      </c>
      <c r="T26" s="24">
        <v>101.5</v>
      </c>
      <c r="U26" s="24">
        <v>98.5</v>
      </c>
      <c r="V26" s="24">
        <v>97</v>
      </c>
      <c r="W26" s="25">
        <v>97</v>
      </c>
      <c r="X26" s="99">
        <f>(((X25*1000)/7)/X27)</f>
        <v>99.31151423016766</v>
      </c>
    </row>
    <row r="27" spans="1:36" s="2" customFormat="1" ht="33" customHeight="1" x14ac:dyDescent="0.25">
      <c r="A27" s="193" t="s">
        <v>12</v>
      </c>
      <c r="B27" s="26">
        <v>369</v>
      </c>
      <c r="C27" s="27">
        <v>769</v>
      </c>
      <c r="D27" s="27">
        <v>591</v>
      </c>
      <c r="E27" s="27">
        <v>234</v>
      </c>
      <c r="F27" s="27">
        <v>360</v>
      </c>
      <c r="G27" s="27">
        <v>549</v>
      </c>
      <c r="H27" s="27">
        <v>492</v>
      </c>
      <c r="I27" s="183">
        <v>432</v>
      </c>
      <c r="J27" s="26">
        <v>138</v>
      </c>
      <c r="K27" s="27">
        <v>284</v>
      </c>
      <c r="L27" s="27">
        <v>445</v>
      </c>
      <c r="M27" s="183">
        <v>410</v>
      </c>
      <c r="N27" s="26">
        <v>337</v>
      </c>
      <c r="O27" s="27">
        <v>357</v>
      </c>
      <c r="P27" s="27">
        <v>679</v>
      </c>
      <c r="Q27" s="27">
        <v>647</v>
      </c>
      <c r="R27" s="183">
        <v>347</v>
      </c>
      <c r="S27" s="26">
        <v>291</v>
      </c>
      <c r="T27" s="27">
        <v>460</v>
      </c>
      <c r="U27" s="27">
        <v>630</v>
      </c>
      <c r="V27" s="27">
        <v>575</v>
      </c>
      <c r="W27" s="28">
        <v>377</v>
      </c>
      <c r="X27" s="29">
        <f>SUM(B27,C27,D27,E27,F27,G27,H27,I27,J27,K27,L27,M27,N27,O27,P27,Q27,R27,S27,T27,U27,V27,W27)</f>
        <v>9773</v>
      </c>
    </row>
    <row r="28" spans="1:36" s="2" customFormat="1" ht="33" customHeight="1" x14ac:dyDescent="0.25">
      <c r="A28" s="194" t="s">
        <v>13</v>
      </c>
      <c r="B28" s="30">
        <f t="shared" ref="B28:W28" si="2">(B27*B26)/1000</f>
        <v>35.792999999999999</v>
      </c>
      <c r="C28" s="31">
        <f t="shared" si="2"/>
        <v>75.746499999999997</v>
      </c>
      <c r="D28" s="31">
        <f t="shared" si="2"/>
        <v>60.281999999999996</v>
      </c>
      <c r="E28" s="31">
        <f t="shared" si="2"/>
        <v>24.102</v>
      </c>
      <c r="F28" s="31">
        <f t="shared" si="2"/>
        <v>36.36</v>
      </c>
      <c r="G28" s="31">
        <f t="shared" si="2"/>
        <v>55.174500000000002</v>
      </c>
      <c r="H28" s="31">
        <f t="shared" si="2"/>
        <v>48.707999999999998</v>
      </c>
      <c r="I28" s="163">
        <f t="shared" si="2"/>
        <v>42.12</v>
      </c>
      <c r="J28" s="30">
        <f t="shared" si="2"/>
        <v>14.076000000000001</v>
      </c>
      <c r="K28" s="31">
        <f t="shared" si="2"/>
        <v>28.542000000000002</v>
      </c>
      <c r="L28" s="31">
        <f t="shared" si="2"/>
        <v>43.832500000000003</v>
      </c>
      <c r="M28" s="163">
        <f t="shared" si="2"/>
        <v>39.564999999999998</v>
      </c>
      <c r="N28" s="30">
        <f t="shared" si="2"/>
        <v>34.8795</v>
      </c>
      <c r="O28" s="31">
        <f t="shared" si="2"/>
        <v>36.414000000000001</v>
      </c>
      <c r="P28" s="31">
        <f t="shared" si="2"/>
        <v>66.881500000000003</v>
      </c>
      <c r="Q28" s="31">
        <f t="shared" si="2"/>
        <v>63.405999999999999</v>
      </c>
      <c r="R28" s="163">
        <f t="shared" si="2"/>
        <v>33.485500000000002</v>
      </c>
      <c r="S28" s="30">
        <f t="shared" si="2"/>
        <v>30.118500000000001</v>
      </c>
      <c r="T28" s="31">
        <f t="shared" si="2"/>
        <v>46.69</v>
      </c>
      <c r="U28" s="31">
        <f t="shared" si="2"/>
        <v>62.055</v>
      </c>
      <c r="V28" s="31">
        <f t="shared" si="2"/>
        <v>55.774999999999999</v>
      </c>
      <c r="W28" s="32">
        <f t="shared" si="2"/>
        <v>36.569000000000003</v>
      </c>
      <c r="X28" s="33"/>
    </row>
    <row r="29" spans="1:36" ht="33.75" customHeight="1" x14ac:dyDescent="0.25">
      <c r="A29" s="185" t="s">
        <v>14</v>
      </c>
      <c r="B29" s="279">
        <f t="shared" ref="B29:W29" si="3">((B27*B26)*7)/1000</f>
        <v>250.55099999999999</v>
      </c>
      <c r="C29" s="280">
        <f t="shared" si="3"/>
        <v>530.22550000000001</v>
      </c>
      <c r="D29" s="280">
        <f t="shared" si="3"/>
        <v>421.97399999999999</v>
      </c>
      <c r="E29" s="280">
        <f t="shared" si="3"/>
        <v>168.714</v>
      </c>
      <c r="F29" s="280">
        <f t="shared" si="3"/>
        <v>254.52</v>
      </c>
      <c r="G29" s="280">
        <f t="shared" si="3"/>
        <v>386.22149999999999</v>
      </c>
      <c r="H29" s="280">
        <f t="shared" si="3"/>
        <v>340.95600000000002</v>
      </c>
      <c r="I29" s="281">
        <f t="shared" si="3"/>
        <v>294.83999999999997</v>
      </c>
      <c r="J29" s="279">
        <f t="shared" si="3"/>
        <v>98.531999999999996</v>
      </c>
      <c r="K29" s="280">
        <f t="shared" si="3"/>
        <v>199.79400000000001</v>
      </c>
      <c r="L29" s="280">
        <f t="shared" si="3"/>
        <v>306.82749999999999</v>
      </c>
      <c r="M29" s="281">
        <f t="shared" si="3"/>
        <v>276.95499999999998</v>
      </c>
      <c r="N29" s="279">
        <f t="shared" si="3"/>
        <v>244.15649999999999</v>
      </c>
      <c r="O29" s="280">
        <f t="shared" si="3"/>
        <v>254.898</v>
      </c>
      <c r="P29" s="280">
        <f t="shared" si="3"/>
        <v>468.1705</v>
      </c>
      <c r="Q29" s="280">
        <f t="shared" si="3"/>
        <v>443.84199999999998</v>
      </c>
      <c r="R29" s="281">
        <f t="shared" si="3"/>
        <v>234.39850000000001</v>
      </c>
      <c r="S29" s="279">
        <f t="shared" si="3"/>
        <v>210.8295</v>
      </c>
      <c r="T29" s="280">
        <f t="shared" si="3"/>
        <v>326.83</v>
      </c>
      <c r="U29" s="280">
        <f t="shared" si="3"/>
        <v>434.38499999999999</v>
      </c>
      <c r="V29" s="280">
        <f t="shared" si="3"/>
        <v>390.42500000000001</v>
      </c>
      <c r="W29" s="282">
        <f t="shared" si="3"/>
        <v>255.983</v>
      </c>
      <c r="X29" s="36"/>
    </row>
    <row r="30" spans="1:36" ht="33.75" customHeight="1" thickBot="1" x14ac:dyDescent="0.3">
      <c r="A30" s="195" t="s">
        <v>15</v>
      </c>
      <c r="B30" s="37">
        <f>+(B25/B27)/7*1000</f>
        <v>97.018970189701918</v>
      </c>
      <c r="C30" s="38">
        <f t="shared" ref="C30:W30" si="4">+(C25/C27)/7*1000</f>
        <v>98.495262864573661</v>
      </c>
      <c r="D30" s="38">
        <f t="shared" si="4"/>
        <v>102.00628474740149</v>
      </c>
      <c r="E30" s="38">
        <f t="shared" si="4"/>
        <v>102.991452991453</v>
      </c>
      <c r="F30" s="38">
        <f t="shared" si="4"/>
        <v>100.99206349206349</v>
      </c>
      <c r="G30" s="38">
        <f t="shared" si="4"/>
        <v>100.49440541243821</v>
      </c>
      <c r="H30" s="38">
        <f t="shared" si="4"/>
        <v>99.012775842044135</v>
      </c>
      <c r="I30" s="207">
        <f t="shared" si="4"/>
        <v>97.486772486772495</v>
      </c>
      <c r="J30" s="37">
        <f t="shared" si="4"/>
        <v>101.96687370600414</v>
      </c>
      <c r="K30" s="38">
        <f t="shared" si="4"/>
        <v>100.5030181086519</v>
      </c>
      <c r="L30" s="38">
        <f t="shared" si="4"/>
        <v>98.49117174959872</v>
      </c>
      <c r="M30" s="207">
        <f t="shared" si="4"/>
        <v>96.515679442508713</v>
      </c>
      <c r="N30" s="37">
        <f t="shared" si="4"/>
        <v>103.51844001695633</v>
      </c>
      <c r="O30" s="38">
        <f t="shared" si="4"/>
        <v>102.00080032012804</v>
      </c>
      <c r="P30" s="38">
        <f t="shared" si="4"/>
        <v>98.506206606353899</v>
      </c>
      <c r="Q30" s="38">
        <f t="shared" si="4"/>
        <v>97.990726429675433</v>
      </c>
      <c r="R30" s="207">
        <f t="shared" si="4"/>
        <v>96.500617538081514</v>
      </c>
      <c r="S30" s="37">
        <f t="shared" si="4"/>
        <v>103.4855179185076</v>
      </c>
      <c r="T30" s="38">
        <f t="shared" si="4"/>
        <v>101.49068322981365</v>
      </c>
      <c r="U30" s="38">
        <f t="shared" si="4"/>
        <v>98.503401360544217</v>
      </c>
      <c r="V30" s="38">
        <f t="shared" si="4"/>
        <v>96.993788819875761</v>
      </c>
      <c r="W30" s="39">
        <f t="shared" si="4"/>
        <v>97.006441834028038</v>
      </c>
      <c r="X30" s="40"/>
    </row>
    <row r="31" spans="1:36" ht="33.75" customHeight="1" x14ac:dyDescent="0.25">
      <c r="A31" s="41"/>
      <c r="B31" s="42">
        <f>B29-B25</f>
        <v>-4.9000000000035016E-2</v>
      </c>
      <c r="C31" s="42">
        <f t="shared" ref="C31:W32" si="5">C29-C25</f>
        <v>2.5499999999965439E-2</v>
      </c>
      <c r="D31" s="42">
        <f t="shared" si="5"/>
        <v>-2.5999999999953616E-2</v>
      </c>
      <c r="E31" s="42">
        <f t="shared" si="5"/>
        <v>1.3999999999981583E-2</v>
      </c>
      <c r="F31" s="42">
        <f t="shared" si="5"/>
        <v>2.0000000000010232E-2</v>
      </c>
      <c r="G31" s="42">
        <f t="shared" si="5"/>
        <v>2.149999999994634E-2</v>
      </c>
      <c r="H31" s="42">
        <f t="shared" si="5"/>
        <v>-4.399999999998272E-2</v>
      </c>
      <c r="I31" s="42">
        <f t="shared" si="5"/>
        <v>3.999999999996362E-2</v>
      </c>
      <c r="J31" s="42">
        <f t="shared" si="5"/>
        <v>3.1999999999982265E-2</v>
      </c>
      <c r="K31" s="42">
        <f t="shared" si="5"/>
        <v>-5.9999999999718057E-3</v>
      </c>
      <c r="L31" s="42">
        <f t="shared" si="5"/>
        <v>2.7499999999974989E-2</v>
      </c>
      <c r="M31" s="42">
        <f t="shared" si="5"/>
        <v>-4.5000000000015916E-2</v>
      </c>
      <c r="N31" s="42">
        <f t="shared" si="5"/>
        <v>-4.3499999999994543E-2</v>
      </c>
      <c r="O31" s="42">
        <f t="shared" si="5"/>
        <v>-1.999999999981128E-3</v>
      </c>
      <c r="P31" s="42">
        <f t="shared" si="5"/>
        <v>-2.9500000000041382E-2</v>
      </c>
      <c r="Q31" s="42">
        <f t="shared" si="5"/>
        <v>4.1999999999916326E-2</v>
      </c>
      <c r="R31" s="42">
        <f t="shared" si="5"/>
        <v>-1.4999999999929514E-3</v>
      </c>
      <c r="S31" s="42">
        <f t="shared" si="5"/>
        <v>2.950000000001296E-2</v>
      </c>
      <c r="T31" s="42">
        <f t="shared" si="5"/>
        <v>3.0000000000029559E-2</v>
      </c>
      <c r="U31" s="42">
        <f t="shared" si="5"/>
        <v>-1.4999999999986358E-2</v>
      </c>
      <c r="V31" s="42">
        <f t="shared" si="5"/>
        <v>2.5000000000034106E-2</v>
      </c>
      <c r="W31" s="42">
        <f t="shared" si="5"/>
        <v>-1.6999999999995907E-2</v>
      </c>
      <c r="X31" s="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1.8970189701917661E-2</v>
      </c>
      <c r="C32" s="42">
        <f t="shared" si="5"/>
        <v>-4.7371354263390231E-3</v>
      </c>
      <c r="D32" s="42">
        <f t="shared" si="5"/>
        <v>6.2847474014944282E-3</v>
      </c>
      <c r="E32" s="42">
        <f t="shared" si="5"/>
        <v>-8.5470085469978585E-3</v>
      </c>
      <c r="F32" s="42">
        <f t="shared" si="5"/>
        <v>-7.936507936506132E-3</v>
      </c>
      <c r="G32" s="42">
        <f t="shared" si="5"/>
        <v>-5.5945875617879892E-3</v>
      </c>
      <c r="H32" s="42">
        <f t="shared" si="5"/>
        <v>1.2775842044135288E-2</v>
      </c>
      <c r="I32" s="42">
        <f t="shared" si="5"/>
        <v>-1.3227513227505483E-2</v>
      </c>
      <c r="J32" s="42">
        <f t="shared" si="5"/>
        <v>-3.3126293995863421E-2</v>
      </c>
      <c r="K32" s="42">
        <f t="shared" si="5"/>
        <v>3.0181086519007749E-3</v>
      </c>
      <c r="L32" s="42">
        <f t="shared" si="5"/>
        <v>-8.8282504012795471E-3</v>
      </c>
      <c r="M32" s="42">
        <f t="shared" si="5"/>
        <v>1.5679442508712782E-2</v>
      </c>
      <c r="N32" s="42">
        <f t="shared" si="5"/>
        <v>1.8440016956333238E-2</v>
      </c>
      <c r="O32" s="42">
        <f t="shared" si="5"/>
        <v>8.0032012803599173E-4</v>
      </c>
      <c r="P32" s="42">
        <f t="shared" si="5"/>
        <v>6.2066063538992466E-3</v>
      </c>
      <c r="Q32" s="42">
        <f t="shared" si="5"/>
        <v>-9.2735703245665491E-3</v>
      </c>
      <c r="R32" s="42">
        <f t="shared" si="5"/>
        <v>6.1753808151365774E-4</v>
      </c>
      <c r="S32" s="42">
        <f t="shared" si="5"/>
        <v>-1.4482081492403154E-2</v>
      </c>
      <c r="T32" s="42">
        <f t="shared" si="5"/>
        <v>-9.3167701863450247E-3</v>
      </c>
      <c r="U32" s="42">
        <f t="shared" si="5"/>
        <v>3.4013605442169137E-3</v>
      </c>
      <c r="V32" s="42">
        <f t="shared" si="5"/>
        <v>-6.2111801242394904E-3</v>
      </c>
      <c r="W32" s="42">
        <f t="shared" si="5"/>
        <v>6.4418340280383291E-3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2"/>
      <c r="L33" s="2"/>
      <c r="M33" s="2"/>
      <c r="N33" s="2"/>
      <c r="O33" s="2"/>
      <c r="P33" s="2"/>
      <c r="Q33" s="2"/>
      <c r="R33" s="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1"/>
    </row>
    <row r="34" spans="1:3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1"/>
    </row>
    <row r="35" spans="1:36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3"/>
    </row>
    <row r="36" spans="1:36" ht="33.75" customHeight="1" thickBot="1" x14ac:dyDescent="0.3">
      <c r="A36" s="69" t="s">
        <v>16</v>
      </c>
      <c r="B36" s="973" t="s">
        <v>17</v>
      </c>
      <c r="C36" s="974"/>
      <c r="D36" s="974"/>
      <c r="E36" s="974"/>
      <c r="F36" s="974"/>
      <c r="G36" s="975"/>
      <c r="H36" s="237"/>
      <c r="O36" s="44"/>
      <c r="P36" s="88" t="s">
        <v>18</v>
      </c>
      <c r="Q36" s="973" t="s">
        <v>17</v>
      </c>
      <c r="R36" s="974"/>
      <c r="S36" s="975"/>
      <c r="T36" s="229"/>
      <c r="U36" s="269"/>
      <c r="W36" s="45"/>
      <c r="X36" s="45"/>
      <c r="Y36" s="46"/>
      <c r="Z36" s="3"/>
      <c r="AA36" s="45"/>
      <c r="AB36" s="45"/>
      <c r="AC36" s="45"/>
      <c r="AD36" s="3"/>
    </row>
    <row r="37" spans="1:36" ht="33.75" customHeight="1" thickBot="1" x14ac:dyDescent="0.3">
      <c r="A37" s="170" t="s">
        <v>34</v>
      </c>
      <c r="B37" s="141"/>
      <c r="C37" s="118"/>
      <c r="D37" s="118"/>
      <c r="E37" s="118"/>
      <c r="F37" s="118"/>
      <c r="G37" s="119"/>
      <c r="H37" s="236" t="s">
        <v>9</v>
      </c>
      <c r="I37" s="47"/>
      <c r="J37" s="47"/>
      <c r="K37" s="47"/>
      <c r="L37" s="47"/>
      <c r="M37" s="47"/>
      <c r="N37" s="970"/>
      <c r="O37" s="976"/>
      <c r="P37" s="97" t="s">
        <v>33</v>
      </c>
      <c r="Q37" s="186"/>
      <c r="R37" s="173"/>
      <c r="S37" s="173"/>
      <c r="T37" s="261" t="s">
        <v>9</v>
      </c>
      <c r="U37" s="2"/>
      <c r="W37" s="47"/>
      <c r="X37" s="47"/>
      <c r="Y37" s="3"/>
      <c r="Z37" s="46"/>
      <c r="AA37" s="3"/>
      <c r="AB37" s="45"/>
      <c r="AC37" s="45"/>
      <c r="AD37" s="45"/>
    </row>
    <row r="38" spans="1:36" ht="33.75" customHeight="1" thickBot="1" x14ac:dyDescent="0.3">
      <c r="A38" s="170" t="s">
        <v>10</v>
      </c>
      <c r="B38" s="221">
        <v>1</v>
      </c>
      <c r="C38" s="222">
        <v>2</v>
      </c>
      <c r="D38" s="222">
        <v>3</v>
      </c>
      <c r="E38" s="222">
        <v>4</v>
      </c>
      <c r="F38" s="222">
        <v>5</v>
      </c>
      <c r="G38" s="223">
        <v>6</v>
      </c>
      <c r="H38" s="238"/>
      <c r="I38" s="47"/>
      <c r="J38" s="47"/>
      <c r="K38" s="47"/>
      <c r="L38" s="47"/>
      <c r="M38" s="47"/>
      <c r="N38" s="144"/>
      <c r="O38" s="145"/>
      <c r="P38" s="80" t="s">
        <v>10</v>
      </c>
      <c r="Q38" s="186">
        <v>1</v>
      </c>
      <c r="R38" s="174">
        <v>2</v>
      </c>
      <c r="S38" s="175">
        <v>3</v>
      </c>
      <c r="T38" s="278"/>
      <c r="U38" s="270"/>
      <c r="W38" s="47"/>
      <c r="X38" s="47"/>
      <c r="Y38" s="48"/>
      <c r="Z38" s="48"/>
      <c r="AA38" s="2"/>
      <c r="AB38" s="2"/>
      <c r="AC38" s="2"/>
      <c r="AD38" s="2"/>
    </row>
    <row r="39" spans="1:36" ht="33.75" customHeight="1" x14ac:dyDescent="0.25">
      <c r="A39" s="171" t="s">
        <v>32</v>
      </c>
      <c r="B39" s="133">
        <v>29.3</v>
      </c>
      <c r="C39" s="134">
        <v>78.900000000000006</v>
      </c>
      <c r="D39" s="134">
        <v>50.3</v>
      </c>
      <c r="E39" s="134">
        <v>35.799999999999997</v>
      </c>
      <c r="F39" s="134">
        <v>75</v>
      </c>
      <c r="G39" s="156">
        <v>40.1</v>
      </c>
      <c r="H39" s="265">
        <f t="shared" ref="H39:H46" si="6">SUM(B39:G39)</f>
        <v>309.40000000000003</v>
      </c>
      <c r="I39" s="49"/>
      <c r="J39" s="49"/>
      <c r="K39" s="49"/>
      <c r="L39" s="49"/>
      <c r="M39" s="49"/>
      <c r="N39" s="144"/>
      <c r="O39" s="145"/>
      <c r="P39" s="171" t="s">
        <v>53</v>
      </c>
      <c r="Q39" s="133">
        <v>8.9</v>
      </c>
      <c r="R39" s="134">
        <v>21.5</v>
      </c>
      <c r="S39" s="156">
        <v>8.1</v>
      </c>
      <c r="T39" s="136">
        <f t="shared" ref="T39:T45" si="7">SUM(Q39:S39)</f>
        <v>38.5</v>
      </c>
      <c r="U39" s="271"/>
      <c r="W39" s="2"/>
      <c r="X39" s="49"/>
      <c r="Y39" s="48"/>
      <c r="Z39" s="48"/>
      <c r="AA39" s="2"/>
      <c r="AB39" s="2"/>
      <c r="AC39" s="2"/>
      <c r="AD39" s="2"/>
    </row>
    <row r="40" spans="1:36" ht="33.75" customHeight="1" x14ac:dyDescent="0.25">
      <c r="A40" s="171" t="s">
        <v>24</v>
      </c>
      <c r="B40" s="18">
        <v>29.3</v>
      </c>
      <c r="C40" s="19">
        <v>78.900000000000006</v>
      </c>
      <c r="D40" s="19">
        <v>50.3</v>
      </c>
      <c r="E40" s="19">
        <v>35.799999999999997</v>
      </c>
      <c r="F40" s="19">
        <v>75</v>
      </c>
      <c r="G40" s="20">
        <v>40.1</v>
      </c>
      <c r="H40" s="136">
        <f t="shared" si="6"/>
        <v>309.40000000000003</v>
      </c>
      <c r="I40" s="49"/>
      <c r="J40" s="49"/>
      <c r="K40" s="49"/>
      <c r="L40" s="49"/>
      <c r="M40" s="49"/>
      <c r="N40" s="144"/>
      <c r="O40" s="145"/>
      <c r="P40" s="171" t="s">
        <v>24</v>
      </c>
      <c r="Q40" s="18">
        <v>8.9</v>
      </c>
      <c r="R40" s="19">
        <v>21.5</v>
      </c>
      <c r="S40" s="20">
        <v>8.1</v>
      </c>
      <c r="T40" s="136">
        <f t="shared" si="7"/>
        <v>38.5</v>
      </c>
      <c r="U40" s="271"/>
      <c r="W40" s="2"/>
      <c r="X40" s="49"/>
      <c r="Y40" s="48"/>
      <c r="Z40" s="48"/>
      <c r="AA40" s="2"/>
      <c r="AB40" s="2"/>
      <c r="AC40" s="2"/>
      <c r="AD40" s="2"/>
    </row>
    <row r="41" spans="1:36" ht="33.75" customHeight="1" x14ac:dyDescent="0.25">
      <c r="A41" s="171" t="s">
        <v>20</v>
      </c>
      <c r="B41" s="18">
        <v>28.3</v>
      </c>
      <c r="C41" s="19">
        <v>75.599999999999994</v>
      </c>
      <c r="D41" s="19">
        <v>47.7</v>
      </c>
      <c r="E41" s="19">
        <v>34.4</v>
      </c>
      <c r="F41" s="19">
        <v>72</v>
      </c>
      <c r="G41" s="20">
        <v>38.5</v>
      </c>
      <c r="H41" s="136">
        <f t="shared" si="6"/>
        <v>296.5</v>
      </c>
      <c r="I41" s="49"/>
      <c r="J41" s="49"/>
      <c r="K41" s="49"/>
      <c r="L41" s="49"/>
      <c r="M41" s="49"/>
      <c r="N41" s="144"/>
      <c r="O41" s="145"/>
      <c r="P41" s="171" t="s">
        <v>20</v>
      </c>
      <c r="Q41" s="18">
        <v>8.8000000000000007</v>
      </c>
      <c r="R41" s="19">
        <v>22.4</v>
      </c>
      <c r="S41" s="20">
        <v>8.3000000000000007</v>
      </c>
      <c r="T41" s="136">
        <f t="shared" si="7"/>
        <v>39.5</v>
      </c>
      <c r="U41" s="271"/>
      <c r="W41" s="2"/>
      <c r="X41" s="49"/>
      <c r="Y41" s="48"/>
      <c r="Z41" s="48"/>
      <c r="AA41" s="2"/>
      <c r="AB41" s="2"/>
      <c r="AC41" s="2"/>
      <c r="AD41" s="2"/>
    </row>
    <row r="42" spans="1:36" ht="33.75" customHeight="1" x14ac:dyDescent="0.25">
      <c r="A42" s="171" t="s">
        <v>28</v>
      </c>
      <c r="B42" s="18">
        <v>28.3</v>
      </c>
      <c r="C42" s="19">
        <v>75.599999999999994</v>
      </c>
      <c r="D42" s="19">
        <v>47.7</v>
      </c>
      <c r="E42" s="19">
        <v>34.5</v>
      </c>
      <c r="F42" s="19">
        <v>72</v>
      </c>
      <c r="G42" s="20">
        <v>38.5</v>
      </c>
      <c r="H42" s="136">
        <f t="shared" si="6"/>
        <v>296.60000000000002</v>
      </c>
      <c r="I42" s="49"/>
      <c r="J42" s="49"/>
      <c r="K42" s="49"/>
      <c r="L42" s="49"/>
      <c r="M42" s="49"/>
      <c r="N42" s="144"/>
      <c r="O42" s="145"/>
      <c r="P42" s="171" t="s">
        <v>28</v>
      </c>
      <c r="Q42" s="18">
        <v>8.9</v>
      </c>
      <c r="R42" s="19">
        <v>22.4</v>
      </c>
      <c r="S42" s="20">
        <v>8.3000000000000007</v>
      </c>
      <c r="T42" s="136">
        <f t="shared" si="7"/>
        <v>39.599999999999994</v>
      </c>
      <c r="U42" s="271"/>
      <c r="W42" s="2"/>
      <c r="X42" s="49"/>
      <c r="Y42" s="48"/>
      <c r="Z42" s="48"/>
      <c r="AA42" s="2"/>
      <c r="AB42" s="2"/>
      <c r="AC42" s="2"/>
      <c r="AD42" s="2"/>
    </row>
    <row r="43" spans="1:36" ht="33.75" customHeight="1" x14ac:dyDescent="0.25">
      <c r="A43" s="171" t="s">
        <v>21</v>
      </c>
      <c r="B43" s="18">
        <v>28.3</v>
      </c>
      <c r="C43" s="19">
        <v>75.599999999999994</v>
      </c>
      <c r="D43" s="19">
        <v>47.7</v>
      </c>
      <c r="E43" s="19">
        <v>34.5</v>
      </c>
      <c r="F43" s="19">
        <v>72.099999999999994</v>
      </c>
      <c r="G43" s="20">
        <v>38.5</v>
      </c>
      <c r="H43" s="136">
        <f t="shared" si="6"/>
        <v>296.7</v>
      </c>
      <c r="I43" s="49"/>
      <c r="J43" s="49"/>
      <c r="K43" s="49"/>
      <c r="L43" s="49"/>
      <c r="M43" s="49"/>
      <c r="N43" s="144"/>
      <c r="O43" s="145"/>
      <c r="P43" s="171" t="s">
        <v>21</v>
      </c>
      <c r="Q43" s="18">
        <v>8.9</v>
      </c>
      <c r="R43" s="19">
        <v>22.4</v>
      </c>
      <c r="S43" s="20">
        <v>8.3000000000000007</v>
      </c>
      <c r="T43" s="136">
        <f t="shared" si="7"/>
        <v>39.599999999999994</v>
      </c>
      <c r="U43" s="271"/>
      <c r="W43" s="2"/>
      <c r="X43" s="49"/>
      <c r="Y43" s="48"/>
      <c r="Z43" s="48"/>
      <c r="AA43" s="2"/>
      <c r="AB43" s="2"/>
      <c r="AC43" s="2"/>
      <c r="AD43" s="2"/>
    </row>
    <row r="44" spans="1:36" ht="33.75" customHeight="1" x14ac:dyDescent="0.25">
      <c r="A44" s="171" t="s">
        <v>22</v>
      </c>
      <c r="B44" s="18">
        <v>28.3</v>
      </c>
      <c r="C44" s="19">
        <v>75.599999999999994</v>
      </c>
      <c r="D44" s="19">
        <v>47.8</v>
      </c>
      <c r="E44" s="19">
        <v>34.5</v>
      </c>
      <c r="F44" s="19">
        <v>72.099999999999994</v>
      </c>
      <c r="G44" s="20">
        <v>38.6</v>
      </c>
      <c r="H44" s="136">
        <f t="shared" si="6"/>
        <v>296.89999999999998</v>
      </c>
      <c r="I44" s="49"/>
      <c r="J44" s="49"/>
      <c r="K44" s="49"/>
      <c r="L44" s="49"/>
      <c r="M44" s="49"/>
      <c r="N44" s="144"/>
      <c r="O44" s="145"/>
      <c r="P44" s="171" t="s">
        <v>22</v>
      </c>
      <c r="Q44" s="18">
        <v>8.9</v>
      </c>
      <c r="R44" s="19">
        <v>22.4</v>
      </c>
      <c r="S44" s="20">
        <v>8.3000000000000007</v>
      </c>
      <c r="T44" s="136">
        <f t="shared" si="7"/>
        <v>39.599999999999994</v>
      </c>
      <c r="U44" s="271"/>
      <c r="W44" s="2"/>
      <c r="X44" s="49"/>
      <c r="Y44" s="48"/>
      <c r="Z44" s="48"/>
      <c r="AA44" s="2"/>
      <c r="AB44" s="2"/>
      <c r="AC44" s="2"/>
      <c r="AD44" s="2"/>
    </row>
    <row r="45" spans="1:36" ht="33.75" customHeight="1" thickBot="1" x14ac:dyDescent="0.3">
      <c r="A45" s="171" t="s">
        <v>32</v>
      </c>
      <c r="B45" s="18">
        <v>28.3</v>
      </c>
      <c r="C45" s="19">
        <v>75.599999999999994</v>
      </c>
      <c r="D45" s="19">
        <v>47.8</v>
      </c>
      <c r="E45" s="19">
        <v>34.5</v>
      </c>
      <c r="F45" s="19">
        <v>72.099999999999994</v>
      </c>
      <c r="G45" s="20">
        <v>38.6</v>
      </c>
      <c r="H45" s="266">
        <f t="shared" si="6"/>
        <v>296.89999999999998</v>
      </c>
      <c r="I45" s="49"/>
      <c r="J45" s="49"/>
      <c r="K45" s="49"/>
      <c r="L45" s="49"/>
      <c r="M45" s="49"/>
      <c r="N45" s="144"/>
      <c r="O45" s="145"/>
      <c r="P45" s="171" t="s">
        <v>23</v>
      </c>
      <c r="Q45" s="18">
        <v>8.9</v>
      </c>
      <c r="R45" s="19">
        <v>22.5</v>
      </c>
      <c r="S45" s="20">
        <v>8.3000000000000007</v>
      </c>
      <c r="T45" s="136">
        <f t="shared" si="7"/>
        <v>39.700000000000003</v>
      </c>
      <c r="U45" s="271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6" ht="33.75" customHeight="1" x14ac:dyDescent="0.25">
      <c r="A46" s="170" t="s">
        <v>9</v>
      </c>
      <c r="B46" s="217">
        <f t="shared" ref="B46:G46" si="8">SUM(B39:B45)</f>
        <v>200.10000000000002</v>
      </c>
      <c r="C46" s="218">
        <f t="shared" si="8"/>
        <v>535.80000000000007</v>
      </c>
      <c r="D46" s="218">
        <f t="shared" si="8"/>
        <v>339.3</v>
      </c>
      <c r="E46" s="218">
        <f t="shared" si="8"/>
        <v>244</v>
      </c>
      <c r="F46" s="218">
        <f t="shared" si="8"/>
        <v>510.30000000000007</v>
      </c>
      <c r="G46" s="178">
        <f t="shared" si="8"/>
        <v>272.89999999999998</v>
      </c>
      <c r="H46" s="239">
        <f t="shared" si="6"/>
        <v>2102.4</v>
      </c>
      <c r="I46" s="49"/>
      <c r="J46" s="49"/>
      <c r="K46" s="49"/>
      <c r="L46" s="49"/>
      <c r="M46" s="49"/>
      <c r="N46" s="49"/>
      <c r="P46" s="170" t="s">
        <v>9</v>
      </c>
      <c r="Q46" s="179">
        <f>SUM(Q39:Q45)</f>
        <v>62.199999999999996</v>
      </c>
      <c r="R46" s="180">
        <f>SUM(R39:R45)</f>
        <v>155.10000000000002</v>
      </c>
      <c r="S46" s="180">
        <f>SUM(S39:S45)</f>
        <v>57.699999999999989</v>
      </c>
      <c r="T46" s="239">
        <f>SUM(T39,T40,T41,T42,T43,T44,T45)</f>
        <v>275</v>
      </c>
      <c r="U46" s="272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6" ht="33.75" customHeight="1" x14ac:dyDescent="0.25">
      <c r="A47" s="192" t="s">
        <v>11</v>
      </c>
      <c r="B47" s="23">
        <v>101</v>
      </c>
      <c r="C47" s="24">
        <v>104</v>
      </c>
      <c r="D47" s="24">
        <v>107</v>
      </c>
      <c r="E47" s="24">
        <v>105</v>
      </c>
      <c r="F47" s="24">
        <v>100</v>
      </c>
      <c r="G47" s="25">
        <v>96.5</v>
      </c>
      <c r="H47" s="137">
        <f>+((H46/H48)/7)*1000</f>
        <v>102.26178316065958</v>
      </c>
      <c r="I47" s="50"/>
      <c r="J47" s="50"/>
      <c r="K47" s="50"/>
      <c r="L47" s="50"/>
      <c r="M47" s="50"/>
      <c r="N47" s="49"/>
      <c r="P47" s="273" t="s">
        <v>11</v>
      </c>
      <c r="Q47" s="23">
        <v>104.5</v>
      </c>
      <c r="R47" s="24">
        <v>104.5</v>
      </c>
      <c r="S47" s="24">
        <v>103</v>
      </c>
      <c r="T47" s="137">
        <f>+((T46/T48)/7)*1000</f>
        <v>104.2061386888973</v>
      </c>
      <c r="U47" s="2"/>
      <c r="W47" s="50"/>
      <c r="X47" s="50"/>
    </row>
    <row r="48" spans="1:36" ht="33.75" customHeight="1" x14ac:dyDescent="0.25">
      <c r="A48" s="193" t="s">
        <v>12</v>
      </c>
      <c r="B48" s="26">
        <v>283</v>
      </c>
      <c r="C48" s="27">
        <v>736</v>
      </c>
      <c r="D48" s="27">
        <v>453</v>
      </c>
      <c r="E48" s="27">
        <v>332</v>
      </c>
      <c r="F48" s="27">
        <v>729</v>
      </c>
      <c r="G48" s="28">
        <v>404</v>
      </c>
      <c r="H48" s="138">
        <f>SUM(B48:G48)</f>
        <v>2937</v>
      </c>
      <c r="I48" s="198"/>
      <c r="J48" s="198"/>
      <c r="K48" s="198"/>
      <c r="L48" s="198"/>
      <c r="M48" s="198"/>
      <c r="N48" s="49"/>
      <c r="O48" s="51"/>
      <c r="P48" s="193" t="s">
        <v>12</v>
      </c>
      <c r="Q48" s="257">
        <v>85</v>
      </c>
      <c r="R48" s="275">
        <v>212</v>
      </c>
      <c r="S48" s="275">
        <v>80</v>
      </c>
      <c r="T48" s="254">
        <f>SUM(Q48:S48)</f>
        <v>377</v>
      </c>
      <c r="U48" s="2"/>
      <c r="W48" s="52"/>
      <c r="X48" s="52"/>
    </row>
    <row r="49" spans="1:36" ht="33.75" customHeight="1" x14ac:dyDescent="0.25">
      <c r="A49" s="194" t="s">
        <v>13</v>
      </c>
      <c r="B49" s="30">
        <f t="shared" ref="B49:G49" si="9">(B48*B47)/1000</f>
        <v>28.582999999999998</v>
      </c>
      <c r="C49" s="31">
        <f t="shared" si="9"/>
        <v>76.543999999999997</v>
      </c>
      <c r="D49" s="31">
        <f t="shared" si="9"/>
        <v>48.470999999999997</v>
      </c>
      <c r="E49" s="31">
        <f t="shared" si="9"/>
        <v>34.86</v>
      </c>
      <c r="F49" s="31">
        <f t="shared" si="9"/>
        <v>72.900000000000006</v>
      </c>
      <c r="G49" s="32">
        <f t="shared" si="9"/>
        <v>38.985999999999997</v>
      </c>
      <c r="H49" s="139">
        <f>((H46*1000)/H48)/7</f>
        <v>102.26178316065956</v>
      </c>
      <c r="I49" s="199"/>
      <c r="J49" s="199"/>
      <c r="K49" s="199"/>
      <c r="L49" s="199"/>
      <c r="M49" s="199"/>
      <c r="N49" s="49"/>
      <c r="P49" s="194" t="s">
        <v>13</v>
      </c>
      <c r="Q49" s="30">
        <f t="shared" ref="Q49:S49" si="10">(Q48*Q47)/1000</f>
        <v>8.8825000000000003</v>
      </c>
      <c r="R49" s="30">
        <f t="shared" si="10"/>
        <v>22.154</v>
      </c>
      <c r="S49" s="30">
        <f t="shared" si="10"/>
        <v>8.24</v>
      </c>
      <c r="T49" s="274">
        <f>((T46*1000)/T48)/7</f>
        <v>104.20613868889731</v>
      </c>
      <c r="U49" s="43"/>
      <c r="W49" s="52"/>
      <c r="X49" s="52"/>
    </row>
    <row r="50" spans="1:36" ht="33.75" customHeight="1" x14ac:dyDescent="0.25">
      <c r="A50" s="185" t="s">
        <v>14</v>
      </c>
      <c r="B50" s="279">
        <f t="shared" ref="B50:G50" si="11">((B48*B47)*7)/1000</f>
        <v>200.08099999999999</v>
      </c>
      <c r="C50" s="280">
        <f t="shared" si="11"/>
        <v>535.80799999999999</v>
      </c>
      <c r="D50" s="280">
        <f t="shared" si="11"/>
        <v>339.29700000000003</v>
      </c>
      <c r="E50" s="280">
        <f t="shared" si="11"/>
        <v>244.02</v>
      </c>
      <c r="F50" s="280">
        <f t="shared" si="11"/>
        <v>510.3</v>
      </c>
      <c r="G50" s="282">
        <f t="shared" si="11"/>
        <v>272.90199999999999</v>
      </c>
      <c r="H50" s="112"/>
      <c r="I50" s="41"/>
      <c r="J50" s="41"/>
      <c r="K50" s="41"/>
      <c r="L50" s="41"/>
      <c r="M50" s="41"/>
      <c r="N50" s="49"/>
      <c r="P50" s="185" t="s">
        <v>14</v>
      </c>
      <c r="Q50" s="279">
        <f>((Q48*Q47)*7)/1000</f>
        <v>62.177500000000002</v>
      </c>
      <c r="R50" s="280">
        <f>((R48*R47)*7)/1000</f>
        <v>155.078</v>
      </c>
      <c r="S50" s="280">
        <f>((S48*S47)*7)/1000</f>
        <v>57.68</v>
      </c>
      <c r="T50" s="36"/>
      <c r="U50" s="41"/>
    </row>
    <row r="51" spans="1:36" ht="33.75" customHeight="1" thickBot="1" x14ac:dyDescent="0.3">
      <c r="A51" s="195" t="s">
        <v>15</v>
      </c>
      <c r="B51" s="37">
        <f t="shared" ref="B51:G51" si="12">+(B46/B48)/7*1000</f>
        <v>101.0095911155982</v>
      </c>
      <c r="C51" s="38">
        <f t="shared" si="12"/>
        <v>103.99844720496897</v>
      </c>
      <c r="D51" s="38">
        <f t="shared" si="12"/>
        <v>107.00094607379376</v>
      </c>
      <c r="E51" s="38">
        <f t="shared" si="12"/>
        <v>104.99139414802065</v>
      </c>
      <c r="F51" s="38">
        <f t="shared" si="12"/>
        <v>100</v>
      </c>
      <c r="G51" s="39">
        <f t="shared" si="12"/>
        <v>96.499292786421478</v>
      </c>
      <c r="H51" s="140"/>
      <c r="I51" s="41"/>
      <c r="J51" s="41"/>
      <c r="K51" s="41"/>
      <c r="L51" s="41"/>
      <c r="M51" s="41"/>
      <c r="N51" s="49"/>
      <c r="O51" s="41"/>
      <c r="P51" s="195" t="s">
        <v>15</v>
      </c>
      <c r="Q51" s="37">
        <f>+(Q46/Q48)/7*1000</f>
        <v>104.53781512605042</v>
      </c>
      <c r="R51" s="38">
        <f>+(R46/R48)/7*1000</f>
        <v>104.51482479784369</v>
      </c>
      <c r="S51" s="38">
        <f>+(S46/S48)/7*1000</f>
        <v>103.03571428571426</v>
      </c>
      <c r="T51" s="259"/>
      <c r="U51" s="42"/>
      <c r="W51" s="42"/>
      <c r="X51" s="42"/>
    </row>
    <row r="52" spans="1:36" ht="33.75" customHeight="1" x14ac:dyDescent="0.25">
      <c r="A52" s="41"/>
      <c r="B52" s="43">
        <f>B50-B46</f>
        <v>-1.9000000000033879E-2</v>
      </c>
      <c r="C52" s="43">
        <f t="shared" ref="C52:G52" si="13">C50-C46</f>
        <v>7.9999999999245119E-3</v>
      </c>
      <c r="D52" s="43">
        <f t="shared" si="13"/>
        <v>-2.9999999999859028E-3</v>
      </c>
      <c r="E52" s="43">
        <f t="shared" si="13"/>
        <v>2.0000000000010232E-2</v>
      </c>
      <c r="F52" s="43">
        <f t="shared" si="13"/>
        <v>0</v>
      </c>
      <c r="G52" s="43">
        <f t="shared" si="13"/>
        <v>2.0000000000095497E-3</v>
      </c>
      <c r="H52" s="41"/>
      <c r="I52" s="41"/>
      <c r="J52" s="41"/>
      <c r="K52" s="41"/>
      <c r="L52" s="41"/>
      <c r="M52" s="41"/>
      <c r="N52" s="41"/>
      <c r="O52" s="41"/>
      <c r="P52" s="42"/>
      <c r="Q52" s="43">
        <f>Q50-Q46</f>
        <v>-2.2499999999993747E-2</v>
      </c>
      <c r="R52" s="43">
        <f t="shared" ref="R52:S52" si="14">R50-R46</f>
        <v>-2.2000000000019782E-2</v>
      </c>
      <c r="S52" s="43">
        <f t="shared" si="14"/>
        <v>-1.9999999999988916E-2</v>
      </c>
      <c r="T52" s="42"/>
      <c r="U52" s="42"/>
      <c r="V52" s="42"/>
      <c r="W52" s="42"/>
      <c r="X52" s="42"/>
      <c r="Y52" s="42"/>
      <c r="Z52" s="42"/>
      <c r="AA52" s="2"/>
      <c r="AB52" s="2"/>
      <c r="AC52" s="2"/>
      <c r="AD52" s="2"/>
      <c r="AE52" s="2"/>
    </row>
    <row r="53" spans="1:36" ht="33.75" customHeight="1" x14ac:dyDescent="0.25">
      <c r="A53" s="41"/>
      <c r="B53" s="42">
        <f t="shared" ref="B53:G53" si="15">B51-B47</f>
        <v>9.5911155981980301E-3</v>
      </c>
      <c r="C53" s="42">
        <f t="shared" si="15"/>
        <v>-1.5527950310314509E-3</v>
      </c>
      <c r="D53" s="42">
        <f t="shared" si="15"/>
        <v>9.4607379375588607E-4</v>
      </c>
      <c r="E53" s="42">
        <f t="shared" si="15"/>
        <v>-8.605851979353929E-3</v>
      </c>
      <c r="F53" s="42">
        <f t="shared" si="15"/>
        <v>0</v>
      </c>
      <c r="G53" s="42">
        <f t="shared" si="15"/>
        <v>-7.0721357852221445E-4</v>
      </c>
      <c r="H53" s="41"/>
      <c r="I53" s="41"/>
      <c r="J53" s="41"/>
      <c r="K53" s="41"/>
      <c r="L53" s="41"/>
      <c r="M53" s="41"/>
      <c r="N53" s="41"/>
      <c r="O53" s="42"/>
      <c r="P53" s="42"/>
      <c r="Q53" s="42">
        <f t="shared" ref="Q53:S53" si="16">Q51-Q47</f>
        <v>3.7815126050418257E-2</v>
      </c>
      <c r="R53" s="42">
        <f t="shared" si="16"/>
        <v>1.4824797843687065E-2</v>
      </c>
      <c r="S53" s="42">
        <f t="shared" si="16"/>
        <v>3.5714285714263383E-2</v>
      </c>
      <c r="T53" s="42"/>
      <c r="U53" s="42"/>
      <c r="V53" s="42"/>
      <c r="W53" s="42"/>
      <c r="X53" s="43"/>
      <c r="Y53" s="43"/>
      <c r="Z53" s="43"/>
      <c r="AA53" s="2"/>
      <c r="AB53" s="2"/>
      <c r="AC53" s="2"/>
      <c r="AD53" s="2"/>
      <c r="AH53" s="3"/>
    </row>
    <row r="54" spans="1:36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958"/>
      <c r="P54" s="958"/>
      <c r="Q54" s="54"/>
      <c r="R54" s="54"/>
      <c r="S54" s="54"/>
      <c r="T54" s="54"/>
      <c r="U54" s="55"/>
      <c r="Z54" s="43"/>
      <c r="AA54" s="43"/>
      <c r="AB54" s="43"/>
      <c r="AC54" s="2"/>
      <c r="AD54" s="2"/>
      <c r="AE54" s="2"/>
      <c r="AF54" s="2"/>
      <c r="AH54" s="2"/>
      <c r="AI54" s="2"/>
      <c r="AJ54" s="2"/>
    </row>
    <row r="55" spans="1:36" ht="33.75" customHeight="1" thickBot="1" x14ac:dyDescent="0.3">
      <c r="A55" s="88" t="s">
        <v>19</v>
      </c>
      <c r="B55" s="973" t="s">
        <v>30</v>
      </c>
      <c r="C55" s="974"/>
      <c r="D55" s="974"/>
      <c r="E55" s="974"/>
      <c r="F55" s="975"/>
      <c r="G55" s="85"/>
      <c r="H55" s="56"/>
      <c r="I55" s="56"/>
      <c r="J55" s="56"/>
      <c r="K55" s="56"/>
      <c r="L55" s="56"/>
      <c r="M55" s="56"/>
      <c r="N55" s="56"/>
      <c r="Z55" s="43"/>
      <c r="AA55" s="43"/>
      <c r="AB55" s="43"/>
      <c r="AC55" s="2"/>
      <c r="AD55" s="2"/>
      <c r="AE55" s="2"/>
      <c r="AF55" s="2"/>
      <c r="AH55" s="2"/>
      <c r="AI55" s="2"/>
      <c r="AJ55" s="2"/>
    </row>
    <row r="56" spans="1:36" ht="33.75" customHeight="1" thickBot="1" x14ac:dyDescent="0.3">
      <c r="A56" s="80" t="s">
        <v>34</v>
      </c>
      <c r="B56" s="188"/>
      <c r="C56" s="249"/>
      <c r="D56" s="249"/>
      <c r="E56" s="249"/>
      <c r="F56" s="250"/>
      <c r="G56" s="13" t="s">
        <v>9</v>
      </c>
      <c r="N56" s="45"/>
      <c r="O56" s="45"/>
      <c r="P56" s="45"/>
      <c r="Q56" s="45"/>
      <c r="R56" s="57"/>
      <c r="S56" s="57"/>
      <c r="T56" s="57"/>
      <c r="U56" s="57"/>
      <c r="V56" s="45"/>
      <c r="W56" s="45"/>
      <c r="X56" s="58"/>
      <c r="Y56" s="58"/>
      <c r="Z56" s="58"/>
      <c r="AA56" s="2"/>
      <c r="AB56" s="2"/>
      <c r="AC56" s="2"/>
      <c r="AD56" s="2"/>
      <c r="AF56" s="2"/>
      <c r="AG56" s="2"/>
      <c r="AH56" s="2"/>
    </row>
    <row r="57" spans="1:36" ht="33.75" customHeight="1" thickBot="1" x14ac:dyDescent="0.3">
      <c r="A57" s="80" t="s">
        <v>10</v>
      </c>
      <c r="B57" s="186">
        <v>1</v>
      </c>
      <c r="C57" s="174">
        <v>2</v>
      </c>
      <c r="D57" s="174">
        <v>3</v>
      </c>
      <c r="E57" s="174">
        <v>4</v>
      </c>
      <c r="F57" s="175">
        <v>5</v>
      </c>
      <c r="G57" s="13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57"/>
      <c r="V57" s="45"/>
      <c r="W57" s="45"/>
      <c r="X57" s="58"/>
      <c r="Y57" s="58"/>
      <c r="Z57" s="58"/>
      <c r="AA57" s="2"/>
      <c r="AB57" s="2"/>
      <c r="AC57" s="2"/>
      <c r="AD57" s="2"/>
      <c r="AE57" s="2"/>
      <c r="AF57" s="2"/>
      <c r="AG57" s="2"/>
      <c r="AH57" s="2"/>
    </row>
    <row r="58" spans="1:36" ht="33.75" customHeight="1" x14ac:dyDescent="0.25">
      <c r="A58" s="171" t="s">
        <v>53</v>
      </c>
      <c r="B58" s="133">
        <v>10.660000000000002</v>
      </c>
      <c r="C58" s="134">
        <v>16.620000000000005</v>
      </c>
      <c r="D58" s="134">
        <v>23.900000000000006</v>
      </c>
      <c r="E58" s="134">
        <v>34.780000000000008</v>
      </c>
      <c r="F58" s="156">
        <v>40.699999999999989</v>
      </c>
      <c r="G58" s="136">
        <f t="shared" ref="G58:G65" si="17">SUM(B58:F58)</f>
        <v>126.66000000000001</v>
      </c>
      <c r="H58" s="42"/>
      <c r="I58" s="42"/>
      <c r="J58" s="42"/>
      <c r="K58" s="42"/>
      <c r="L58" s="42"/>
      <c r="M58" s="42"/>
      <c r="N58" s="2"/>
      <c r="O58" s="45"/>
      <c r="P58" s="45"/>
      <c r="Q58" s="45"/>
      <c r="R58" s="57"/>
      <c r="S58" s="57"/>
      <c r="T58" s="57"/>
      <c r="U58" s="57"/>
      <c r="V58" s="45"/>
      <c r="W58" s="45"/>
      <c r="X58" s="58"/>
      <c r="Y58" s="58"/>
      <c r="Z58" s="58"/>
      <c r="AA58" s="2"/>
      <c r="AB58" s="2"/>
      <c r="AC58" s="2"/>
      <c r="AD58" s="2"/>
      <c r="AE58" s="2"/>
      <c r="AF58" s="2"/>
      <c r="AG58" s="2"/>
      <c r="AH58" s="2"/>
    </row>
    <row r="59" spans="1:36" ht="33.75" customHeight="1" x14ac:dyDescent="0.25">
      <c r="A59" s="171" t="s">
        <v>24</v>
      </c>
      <c r="B59" s="18">
        <v>10.660000000000002</v>
      </c>
      <c r="C59" s="19">
        <v>16.620000000000005</v>
      </c>
      <c r="D59" s="19">
        <v>23.900000000000006</v>
      </c>
      <c r="E59" s="19">
        <v>34.780000000000008</v>
      </c>
      <c r="F59" s="20">
        <v>40.699999999999989</v>
      </c>
      <c r="G59" s="136">
        <f t="shared" si="17"/>
        <v>126.66000000000001</v>
      </c>
      <c r="H59" s="42"/>
      <c r="I59" s="42"/>
      <c r="J59" s="42"/>
      <c r="K59" s="42"/>
      <c r="L59" s="42"/>
      <c r="M59" s="42"/>
      <c r="N59" s="2"/>
      <c r="O59" s="45"/>
      <c r="P59" s="45"/>
      <c r="Q59" s="45"/>
      <c r="R59" s="57"/>
      <c r="S59" s="57"/>
      <c r="T59" s="57"/>
      <c r="U59" s="57"/>
      <c r="V59" s="45"/>
      <c r="W59" s="45"/>
      <c r="X59" s="58"/>
      <c r="Y59" s="58"/>
      <c r="Z59" s="58"/>
      <c r="AA59" s="2"/>
      <c r="AB59" s="2"/>
      <c r="AC59" s="2"/>
      <c r="AD59" s="2"/>
      <c r="AE59" s="2"/>
      <c r="AF59" s="2"/>
      <c r="AG59" s="2"/>
      <c r="AH59" s="2"/>
    </row>
    <row r="60" spans="1:36" ht="33.75" customHeight="1" x14ac:dyDescent="0.25">
      <c r="A60" s="171" t="s">
        <v>20</v>
      </c>
      <c r="B60" s="18">
        <v>11.1</v>
      </c>
      <c r="C60" s="19">
        <v>17.399999999999999</v>
      </c>
      <c r="D60" s="19">
        <v>25.2</v>
      </c>
      <c r="E60" s="19">
        <v>36.5</v>
      </c>
      <c r="F60" s="20">
        <v>42.8</v>
      </c>
      <c r="G60" s="136">
        <f t="shared" si="17"/>
        <v>133</v>
      </c>
      <c r="H60" s="42"/>
      <c r="I60" s="42"/>
      <c r="J60" s="42"/>
      <c r="K60" s="42"/>
      <c r="L60" s="42"/>
      <c r="M60" s="42"/>
      <c r="N60" s="2"/>
      <c r="O60" s="45"/>
      <c r="P60" s="45"/>
      <c r="Q60" s="45"/>
      <c r="R60" s="57"/>
      <c r="S60" s="57"/>
      <c r="T60" s="57"/>
      <c r="U60" s="57"/>
      <c r="V60" s="45"/>
      <c r="W60" s="45"/>
      <c r="X60" s="58"/>
      <c r="Y60" s="58"/>
      <c r="Z60" s="58"/>
      <c r="AA60" s="2"/>
      <c r="AB60" s="2"/>
      <c r="AC60" s="2"/>
      <c r="AD60" s="2"/>
      <c r="AE60" s="2"/>
      <c r="AF60" s="2"/>
      <c r="AG60" s="2"/>
      <c r="AH60" s="2"/>
    </row>
    <row r="61" spans="1:36" ht="33.75" customHeight="1" x14ac:dyDescent="0.25">
      <c r="A61" s="171" t="s">
        <v>28</v>
      </c>
      <c r="B61" s="18">
        <v>11.1</v>
      </c>
      <c r="C61" s="19">
        <v>17.399999999999999</v>
      </c>
      <c r="D61" s="19">
        <v>25.2</v>
      </c>
      <c r="E61" s="19">
        <v>36.5</v>
      </c>
      <c r="F61" s="20">
        <v>42.8</v>
      </c>
      <c r="G61" s="136">
        <f t="shared" si="17"/>
        <v>133</v>
      </c>
      <c r="H61" s="42"/>
      <c r="I61" s="42"/>
      <c r="J61" s="42"/>
      <c r="K61" s="42"/>
      <c r="L61" s="42"/>
      <c r="M61" s="42"/>
      <c r="N61" s="2"/>
      <c r="O61" s="45"/>
      <c r="P61" s="45"/>
      <c r="Q61" s="45"/>
      <c r="R61" s="57"/>
      <c r="S61" s="57"/>
      <c r="T61" s="57"/>
      <c r="U61" s="57"/>
      <c r="V61" s="45"/>
      <c r="W61" s="45"/>
      <c r="X61" s="58"/>
      <c r="Y61" s="58"/>
      <c r="Z61" s="58"/>
      <c r="AA61" s="3"/>
      <c r="AB61" s="3"/>
      <c r="AC61" s="2"/>
      <c r="AD61" s="2"/>
      <c r="AE61" s="2"/>
      <c r="AF61" s="2"/>
      <c r="AG61" s="2"/>
      <c r="AH61" s="2"/>
    </row>
    <row r="62" spans="1:36" ht="33.75" customHeight="1" x14ac:dyDescent="0.25">
      <c r="A62" s="171" t="s">
        <v>21</v>
      </c>
      <c r="B62" s="18">
        <v>11.2</v>
      </c>
      <c r="C62" s="19">
        <v>17.5</v>
      </c>
      <c r="D62" s="19">
        <v>25.2</v>
      </c>
      <c r="E62" s="19">
        <v>36.5</v>
      </c>
      <c r="F62" s="20">
        <v>42.9</v>
      </c>
      <c r="G62" s="136">
        <f t="shared" si="17"/>
        <v>133.30000000000001</v>
      </c>
      <c r="H62" s="42"/>
      <c r="I62" s="42"/>
      <c r="J62" s="42"/>
      <c r="K62" s="42"/>
      <c r="L62" s="42"/>
      <c r="M62" s="42"/>
      <c r="N62" s="2"/>
      <c r="O62" s="45"/>
      <c r="P62" s="45"/>
      <c r="Q62" s="45"/>
      <c r="R62" s="57"/>
      <c r="S62" s="57"/>
      <c r="T62" s="57"/>
      <c r="U62" s="57"/>
      <c r="V62" s="45"/>
      <c r="W62" s="45"/>
      <c r="X62" s="58"/>
      <c r="Y62" s="58"/>
      <c r="Z62" s="58"/>
      <c r="AA62" s="3"/>
      <c r="AB62" s="3"/>
      <c r="AC62" s="2"/>
      <c r="AD62" s="2"/>
      <c r="AE62" s="2"/>
      <c r="AF62" s="2"/>
      <c r="AG62" s="2"/>
      <c r="AH62" s="2"/>
    </row>
    <row r="63" spans="1:36" ht="33.75" customHeight="1" x14ac:dyDescent="0.25">
      <c r="A63" s="171" t="s">
        <v>22</v>
      </c>
      <c r="B63" s="18">
        <v>11.2</v>
      </c>
      <c r="C63" s="19">
        <v>17.5</v>
      </c>
      <c r="D63" s="19">
        <v>25.2</v>
      </c>
      <c r="E63" s="19">
        <v>36.5</v>
      </c>
      <c r="F63" s="20">
        <v>42.9</v>
      </c>
      <c r="G63" s="136">
        <f t="shared" si="17"/>
        <v>133.30000000000001</v>
      </c>
      <c r="H63" s="42"/>
      <c r="I63" s="42"/>
      <c r="J63" s="42"/>
      <c r="K63" s="42"/>
      <c r="L63" s="42"/>
      <c r="M63" s="4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3"/>
      <c r="AB63" s="3"/>
      <c r="AE63" s="2"/>
      <c r="AF63" s="2"/>
      <c r="AG63" s="2"/>
      <c r="AH63" s="2"/>
    </row>
    <row r="64" spans="1:36" ht="33.75" customHeight="1" thickBot="1" x14ac:dyDescent="0.3">
      <c r="A64" s="171" t="s">
        <v>23</v>
      </c>
      <c r="B64" s="18">
        <v>11.2</v>
      </c>
      <c r="C64" s="19">
        <v>17.5</v>
      </c>
      <c r="D64" s="19">
        <v>25.2</v>
      </c>
      <c r="E64" s="19">
        <v>36.5</v>
      </c>
      <c r="F64" s="20">
        <v>42.9</v>
      </c>
      <c r="G64" s="136">
        <f t="shared" si="17"/>
        <v>133.30000000000001</v>
      </c>
      <c r="H64" s="42"/>
      <c r="I64" s="42"/>
      <c r="J64" s="42"/>
      <c r="K64" s="42"/>
      <c r="L64" s="42"/>
      <c r="M64" s="4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3"/>
      <c r="AB64" s="3"/>
      <c r="AE64" s="2"/>
      <c r="AF64" s="2"/>
      <c r="AG64" s="2"/>
      <c r="AH64" s="2"/>
    </row>
    <row r="65" spans="1:34" ht="33.75" customHeight="1" x14ac:dyDescent="0.25">
      <c r="A65" s="170" t="s">
        <v>9</v>
      </c>
      <c r="B65" s="131">
        <f t="shared" ref="B65:F65" si="18">SUM(B58:B64)</f>
        <v>77.12</v>
      </c>
      <c r="C65" s="128">
        <f t="shared" si="18"/>
        <v>120.54</v>
      </c>
      <c r="D65" s="128">
        <f t="shared" si="18"/>
        <v>173.8</v>
      </c>
      <c r="E65" s="128">
        <f t="shared" si="18"/>
        <v>252.06</v>
      </c>
      <c r="F65" s="128">
        <f t="shared" si="18"/>
        <v>295.7</v>
      </c>
      <c r="G65" s="136">
        <f t="shared" si="17"/>
        <v>919.22</v>
      </c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3"/>
      <c r="AB65" s="3"/>
      <c r="AC65" s="3"/>
      <c r="AD65" s="3"/>
      <c r="AE65" s="2"/>
      <c r="AF65" s="2"/>
      <c r="AG65" s="2"/>
      <c r="AH65" s="2"/>
    </row>
    <row r="66" spans="1:34" ht="33.75" customHeight="1" x14ac:dyDescent="0.25">
      <c r="A66" s="192" t="s">
        <v>11</v>
      </c>
      <c r="B66" s="23">
        <v>107</v>
      </c>
      <c r="C66" s="24">
        <v>107</v>
      </c>
      <c r="D66" s="24">
        <v>107.5</v>
      </c>
      <c r="E66" s="24">
        <v>107.5</v>
      </c>
      <c r="F66" s="24">
        <v>107.5</v>
      </c>
      <c r="G66" s="137">
        <f>+((G65/G67)/7)*1000</f>
        <v>107.37297044737764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3"/>
      <c r="AB66" s="3"/>
      <c r="AC66" s="3"/>
      <c r="AD66" s="3"/>
      <c r="AE66" s="2"/>
      <c r="AF66" s="2"/>
      <c r="AG66" s="2"/>
      <c r="AH66" s="2"/>
    </row>
    <row r="67" spans="1:34" ht="33.75" customHeight="1" x14ac:dyDescent="0.25">
      <c r="A67" s="193" t="s">
        <v>12</v>
      </c>
      <c r="B67" s="257">
        <v>103</v>
      </c>
      <c r="C67" s="275">
        <v>161</v>
      </c>
      <c r="D67" s="275">
        <v>231</v>
      </c>
      <c r="E67" s="275">
        <v>335</v>
      </c>
      <c r="F67" s="275">
        <v>393</v>
      </c>
      <c r="G67" s="254">
        <f>SUM(B67:F67)</f>
        <v>1223</v>
      </c>
      <c r="N67" s="59"/>
      <c r="R67" s="3"/>
      <c r="S67" s="3"/>
      <c r="T67" s="3"/>
      <c r="U67" s="3"/>
      <c r="V67" s="3"/>
      <c r="W67" s="3"/>
    </row>
    <row r="68" spans="1:34" ht="33.75" customHeight="1" x14ac:dyDescent="0.25">
      <c r="A68" s="194" t="s">
        <v>13</v>
      </c>
      <c r="B68" s="30">
        <v>83.71</v>
      </c>
      <c r="C68" s="31">
        <f>(C67*C66)/1000</f>
        <v>17.227</v>
      </c>
      <c r="D68" s="31">
        <f>(D67*D66)/1000</f>
        <v>24.8325</v>
      </c>
      <c r="E68" s="31">
        <f>(E67*E66)/1000</f>
        <v>36.012500000000003</v>
      </c>
      <c r="F68" s="31">
        <f>(F67*F66)/1000</f>
        <v>42.247500000000002</v>
      </c>
      <c r="G68" s="139">
        <f>((G65*1000)/G67)/7</f>
        <v>107.37297044737764</v>
      </c>
      <c r="R68" s="3"/>
      <c r="S68" s="3"/>
      <c r="T68" s="3"/>
      <c r="U68" s="3"/>
      <c r="V68" s="3"/>
      <c r="W68" s="3"/>
    </row>
    <row r="69" spans="1:34" ht="33.75" customHeight="1" x14ac:dyDescent="0.25">
      <c r="A69" s="185" t="s">
        <v>14</v>
      </c>
      <c r="B69" s="279">
        <f t="shared" ref="B69:F69" si="19">((B67*B66)*7)/1000</f>
        <v>77.147000000000006</v>
      </c>
      <c r="C69" s="280">
        <f t="shared" si="19"/>
        <v>120.589</v>
      </c>
      <c r="D69" s="280">
        <f t="shared" si="19"/>
        <v>173.82749999999999</v>
      </c>
      <c r="E69" s="280">
        <f t="shared" si="19"/>
        <v>252.08750000000001</v>
      </c>
      <c r="F69" s="280">
        <f t="shared" si="19"/>
        <v>295.73250000000002</v>
      </c>
      <c r="G69" s="112"/>
      <c r="H69" s="41"/>
      <c r="I69" s="41"/>
      <c r="J69" s="41"/>
      <c r="K69" s="41"/>
      <c r="L69" s="41"/>
      <c r="M69" s="41"/>
      <c r="W69" s="3"/>
    </row>
    <row r="70" spans="1:34" ht="33.75" customHeight="1" thickBot="1" x14ac:dyDescent="0.3">
      <c r="A70" s="195" t="s">
        <v>15</v>
      </c>
      <c r="B70" s="37">
        <f t="shared" ref="B70:F70" si="20">+(B65/B67)/7*1000</f>
        <v>106.96255201109571</v>
      </c>
      <c r="C70" s="38">
        <f t="shared" si="20"/>
        <v>106.95652173913044</v>
      </c>
      <c r="D70" s="38">
        <f t="shared" si="20"/>
        <v>107.48299319727893</v>
      </c>
      <c r="E70" s="38">
        <f t="shared" si="20"/>
        <v>107.48827292110875</v>
      </c>
      <c r="F70" s="38">
        <f t="shared" si="20"/>
        <v>107.4881861141403</v>
      </c>
      <c r="G70" s="40"/>
      <c r="W70" s="3"/>
    </row>
    <row r="71" spans="1:34" ht="33.75" customHeight="1" x14ac:dyDescent="0.25">
      <c r="B71" s="43">
        <f>B69-B65</f>
        <v>2.7000000000001023E-2</v>
      </c>
      <c r="C71" s="43">
        <f t="shared" ref="C71:F71" si="21">C69-C65</f>
        <v>4.8999999999992383E-2</v>
      </c>
      <c r="D71" s="43">
        <f t="shared" si="21"/>
        <v>2.7499999999974989E-2</v>
      </c>
      <c r="E71" s="43">
        <f t="shared" si="21"/>
        <v>2.7500000000003411E-2</v>
      </c>
      <c r="F71" s="43">
        <f t="shared" si="21"/>
        <v>3.2500000000027285E-2</v>
      </c>
    </row>
    <row r="72" spans="1:34" ht="33.75" customHeight="1" x14ac:dyDescent="0.25">
      <c r="B72" s="42">
        <f t="shared" ref="B72:F72" si="22">B70-B66</f>
        <v>-3.7447988904290241E-2</v>
      </c>
      <c r="C72" s="42">
        <f t="shared" si="22"/>
        <v>-4.3478260869562746E-2</v>
      </c>
      <c r="D72" s="42">
        <f t="shared" si="22"/>
        <v>-1.7006802721070358E-2</v>
      </c>
      <c r="E72" s="42">
        <f t="shared" si="22"/>
        <v>-1.1727078891254905E-2</v>
      </c>
      <c r="F72" s="42">
        <f t="shared" si="22"/>
        <v>-1.1813885859695006E-2</v>
      </c>
      <c r="G72" s="45"/>
      <c r="H72" s="45"/>
      <c r="I72" s="45"/>
      <c r="J72" s="45"/>
      <c r="K72" s="45"/>
      <c r="L72" s="45"/>
      <c r="M72" s="45"/>
      <c r="N72" s="52"/>
    </row>
    <row r="73" spans="1:34" ht="33.75" customHeight="1" x14ac:dyDescent="0.25"/>
    <row r="74" spans="1:34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  <c r="M74" s="45"/>
      <c r="N74" s="45"/>
      <c r="O74" s="45"/>
    </row>
    <row r="75" spans="1:34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4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4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4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4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4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X9:Y9"/>
    <mergeCell ref="P11:Q11"/>
    <mergeCell ref="B15:I15"/>
    <mergeCell ref="J15:M15"/>
    <mergeCell ref="N15:R15"/>
    <mergeCell ref="S15:X15"/>
    <mergeCell ref="Q36:S36"/>
    <mergeCell ref="B36:G36"/>
    <mergeCell ref="N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J240"/>
  <sheetViews>
    <sheetView workbookViewId="0"/>
  </sheetViews>
  <sheetFormatPr baseColWidth="10" defaultRowHeight="15" x14ac:dyDescent="0.25"/>
  <cols>
    <col min="1" max="1" width="52.42578125" style="14" bestFit="1" customWidth="1"/>
    <col min="2" max="6" width="23.140625" style="14" bestFit="1" customWidth="1"/>
    <col min="7" max="7" width="28.42578125" style="14" customWidth="1"/>
    <col min="8" max="8" width="29.140625" style="14" customWidth="1"/>
    <col min="9" max="13" width="20.140625" style="14" customWidth="1"/>
    <col min="14" max="14" width="28.28515625" style="14" bestFit="1" customWidth="1"/>
    <col min="15" max="16" width="33.42578125" style="14" bestFit="1" customWidth="1"/>
    <col min="17" max="17" width="22.7109375" style="14" customWidth="1"/>
    <col min="18" max="19" width="21.28515625" style="14" customWidth="1"/>
    <col min="20" max="20" width="28" style="14" customWidth="1"/>
    <col min="21" max="21" width="21.28515625" style="14" bestFit="1" customWidth="1"/>
    <col min="22" max="22" width="21.28515625" style="14" customWidth="1"/>
    <col min="23" max="23" width="27.85546875" style="14" customWidth="1"/>
    <col min="24" max="24" width="25.85546875" style="14" customWidth="1"/>
    <col min="25" max="25" width="21.42578125" style="14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 t="s">
        <v>3</v>
      </c>
      <c r="X9" s="960" t="s">
        <v>35</v>
      </c>
      <c r="Y9" s="960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65" t="s">
        <v>78</v>
      </c>
      <c r="Q11" s="965"/>
      <c r="R11" s="6"/>
      <c r="S11" s="6"/>
      <c r="T11" s="6"/>
      <c r="U11" s="1"/>
      <c r="V11" s="1"/>
      <c r="W11" s="1" t="s">
        <v>6</v>
      </c>
      <c r="X11" s="95">
        <v>45469</v>
      </c>
      <c r="Y11" s="6"/>
      <c r="Z11" s="6"/>
      <c r="AA11" s="6"/>
      <c r="AB11" s="6"/>
      <c r="AC11" s="6"/>
      <c r="AD11" s="6"/>
      <c r="AE11" s="1"/>
      <c r="AF11" s="1"/>
      <c r="AG11" s="1"/>
      <c r="AH11" s="1"/>
      <c r="AI11" s="1"/>
      <c r="AJ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1"/>
      <c r="AD13" s="1"/>
      <c r="AE13" s="1"/>
    </row>
    <row r="14" spans="1:3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1"/>
      <c r="AE14" s="1"/>
      <c r="AF14" s="1"/>
    </row>
    <row r="15" spans="1:36" s="10" customFormat="1" ht="36" thickBot="1" x14ac:dyDescent="0.3">
      <c r="A15" s="69" t="s">
        <v>7</v>
      </c>
      <c r="B15" s="971" t="s">
        <v>8</v>
      </c>
      <c r="C15" s="968"/>
      <c r="D15" s="968"/>
      <c r="E15" s="968"/>
      <c r="F15" s="968"/>
      <c r="G15" s="968"/>
      <c r="H15" s="968"/>
      <c r="I15" s="968"/>
      <c r="J15" s="971" t="s">
        <v>30</v>
      </c>
      <c r="K15" s="968"/>
      <c r="L15" s="968"/>
      <c r="M15" s="969"/>
      <c r="N15" s="971" t="s">
        <v>29</v>
      </c>
      <c r="O15" s="968"/>
      <c r="P15" s="968"/>
      <c r="Q15" s="968"/>
      <c r="R15" s="969"/>
      <c r="S15" s="962" t="s">
        <v>31</v>
      </c>
      <c r="T15" s="963"/>
      <c r="U15" s="963"/>
      <c r="V15" s="963"/>
      <c r="W15" s="963"/>
      <c r="X15" s="964"/>
    </row>
    <row r="16" spans="1:36" ht="39.950000000000003" customHeight="1" thickBot="1" x14ac:dyDescent="0.3">
      <c r="A16" s="80" t="s">
        <v>34</v>
      </c>
      <c r="B16" s="186">
        <v>4</v>
      </c>
      <c r="C16" s="174">
        <v>3</v>
      </c>
      <c r="D16" s="174">
        <v>2</v>
      </c>
      <c r="E16" s="174">
        <v>1</v>
      </c>
      <c r="F16" s="174">
        <v>1</v>
      </c>
      <c r="G16" s="174">
        <v>2</v>
      </c>
      <c r="H16" s="174">
        <v>3</v>
      </c>
      <c r="I16" s="175">
        <v>4</v>
      </c>
      <c r="J16" s="186">
        <v>1</v>
      </c>
      <c r="K16" s="174">
        <v>2</v>
      </c>
      <c r="L16" s="174">
        <v>3</v>
      </c>
      <c r="M16" s="175">
        <v>4</v>
      </c>
      <c r="N16" s="202">
        <v>1</v>
      </c>
      <c r="O16" s="174">
        <v>2</v>
      </c>
      <c r="P16" s="174">
        <v>3</v>
      </c>
      <c r="Q16" s="174">
        <v>4</v>
      </c>
      <c r="R16" s="203">
        <v>5</v>
      </c>
      <c r="S16" s="186">
        <v>1</v>
      </c>
      <c r="T16" s="174">
        <v>2</v>
      </c>
      <c r="U16" s="174">
        <v>3</v>
      </c>
      <c r="V16" s="174">
        <v>4</v>
      </c>
      <c r="W16" s="175">
        <v>5</v>
      </c>
      <c r="X16" s="126" t="s">
        <v>9</v>
      </c>
      <c r="AB16" s="15"/>
      <c r="AC16" s="15"/>
    </row>
    <row r="17" spans="1:36" ht="39.950000000000003" customHeight="1" thickBot="1" x14ac:dyDescent="0.3">
      <c r="A17" s="80" t="s">
        <v>10</v>
      </c>
      <c r="B17" s="186">
        <v>1</v>
      </c>
      <c r="C17" s="174">
        <v>2</v>
      </c>
      <c r="D17" s="174">
        <v>3</v>
      </c>
      <c r="E17" s="174">
        <v>4</v>
      </c>
      <c r="F17" s="174">
        <v>5</v>
      </c>
      <c r="G17" s="174">
        <v>6</v>
      </c>
      <c r="H17" s="174">
        <v>7</v>
      </c>
      <c r="I17" s="175">
        <v>8</v>
      </c>
      <c r="J17" s="186">
        <v>1</v>
      </c>
      <c r="K17" s="174">
        <v>2</v>
      </c>
      <c r="L17" s="174">
        <v>3</v>
      </c>
      <c r="M17" s="175">
        <v>4</v>
      </c>
      <c r="N17" s="202">
        <v>1</v>
      </c>
      <c r="O17" s="174">
        <v>2</v>
      </c>
      <c r="P17" s="174">
        <v>3</v>
      </c>
      <c r="Q17" s="174">
        <v>4</v>
      </c>
      <c r="R17" s="203">
        <v>5</v>
      </c>
      <c r="S17" s="186">
        <v>1</v>
      </c>
      <c r="T17" s="174">
        <v>2</v>
      </c>
      <c r="U17" s="174">
        <v>3</v>
      </c>
      <c r="V17" s="174">
        <v>4</v>
      </c>
      <c r="W17" s="175">
        <v>5</v>
      </c>
      <c r="X17" s="208"/>
      <c r="AB17" s="2"/>
      <c r="AC17" s="15"/>
    </row>
    <row r="18" spans="1:36" ht="39.950000000000003" customHeight="1" x14ac:dyDescent="0.25">
      <c r="A18" s="171" t="s">
        <v>53</v>
      </c>
      <c r="B18" s="133">
        <v>36.5</v>
      </c>
      <c r="C18" s="134">
        <v>77.2</v>
      </c>
      <c r="D18" s="134">
        <v>61.2</v>
      </c>
      <c r="E18" s="134">
        <v>24.5</v>
      </c>
      <c r="F18" s="134">
        <v>37</v>
      </c>
      <c r="G18" s="134">
        <v>56.1</v>
      </c>
      <c r="H18" s="134">
        <v>49.6</v>
      </c>
      <c r="I18" s="156">
        <v>42.8</v>
      </c>
      <c r="J18" s="133">
        <v>14.4</v>
      </c>
      <c r="K18" s="134">
        <v>29.1</v>
      </c>
      <c r="L18" s="134">
        <v>44.6</v>
      </c>
      <c r="M18" s="156">
        <v>40.299999999999997</v>
      </c>
      <c r="N18" s="133">
        <v>35.6</v>
      </c>
      <c r="O18" s="134">
        <v>37.200000000000003</v>
      </c>
      <c r="P18" s="134">
        <v>68</v>
      </c>
      <c r="Q18" s="134">
        <v>64.400000000000006</v>
      </c>
      <c r="R18" s="156">
        <v>34</v>
      </c>
      <c r="S18" s="133">
        <v>30.6</v>
      </c>
      <c r="T18" s="134">
        <v>47.4</v>
      </c>
      <c r="U18" s="134">
        <v>63.2</v>
      </c>
      <c r="V18" s="134">
        <v>56.7</v>
      </c>
      <c r="W18" s="156">
        <v>37.299999999999997</v>
      </c>
      <c r="X18" s="98">
        <f>SUM(B18:W18)</f>
        <v>987.70000000000016</v>
      </c>
      <c r="AB18" s="2"/>
      <c r="AC18" s="15"/>
    </row>
    <row r="19" spans="1:36" ht="39.950000000000003" customHeight="1" x14ac:dyDescent="0.25">
      <c r="A19" s="171" t="s">
        <v>24</v>
      </c>
      <c r="B19" s="18">
        <v>36.5</v>
      </c>
      <c r="C19" s="19">
        <v>77.2</v>
      </c>
      <c r="D19" s="19">
        <v>61.2</v>
      </c>
      <c r="E19" s="19">
        <v>24.5</v>
      </c>
      <c r="F19" s="19">
        <v>37</v>
      </c>
      <c r="G19" s="19">
        <v>56.1</v>
      </c>
      <c r="H19" s="19">
        <v>49.6</v>
      </c>
      <c r="I19" s="20">
        <v>42.8</v>
      </c>
      <c r="J19" s="18">
        <v>14.4</v>
      </c>
      <c r="K19" s="19">
        <v>29.1</v>
      </c>
      <c r="L19" s="19">
        <v>44.6</v>
      </c>
      <c r="M19" s="20">
        <v>40.299999999999997</v>
      </c>
      <c r="N19" s="18">
        <v>35.6</v>
      </c>
      <c r="O19" s="19">
        <v>37.200000000000003</v>
      </c>
      <c r="P19" s="19">
        <v>68</v>
      </c>
      <c r="Q19" s="19">
        <v>64.400000000000006</v>
      </c>
      <c r="R19" s="20">
        <v>34</v>
      </c>
      <c r="S19" s="18">
        <v>30.6</v>
      </c>
      <c r="T19" s="19">
        <v>47.4</v>
      </c>
      <c r="U19" s="19">
        <v>63.2</v>
      </c>
      <c r="V19" s="19">
        <v>56.7</v>
      </c>
      <c r="W19" s="20">
        <v>37.299999999999997</v>
      </c>
      <c r="X19" s="98">
        <f t="shared" ref="X19:X24" si="0">SUM(B19:W19)</f>
        <v>987.70000000000016</v>
      </c>
      <c r="AB19" s="2"/>
      <c r="AC19" s="15"/>
    </row>
    <row r="20" spans="1:36" ht="39.75" customHeight="1" x14ac:dyDescent="0.25">
      <c r="A20" s="171" t="s">
        <v>20</v>
      </c>
      <c r="B20" s="18">
        <v>39.299999999999997</v>
      </c>
      <c r="C20" s="19">
        <v>82.7</v>
      </c>
      <c r="D20" s="19">
        <v>65.7</v>
      </c>
      <c r="E20" s="19">
        <v>26.4</v>
      </c>
      <c r="F20" s="19">
        <v>39.799999999999997</v>
      </c>
      <c r="G20" s="19">
        <v>60.5</v>
      </c>
      <c r="H20" s="19">
        <v>53.5</v>
      </c>
      <c r="I20" s="20">
        <v>46</v>
      </c>
      <c r="J20" s="18">
        <v>15.4</v>
      </c>
      <c r="K20" s="19">
        <v>31.1</v>
      </c>
      <c r="L20" s="19">
        <v>48.2</v>
      </c>
      <c r="M20" s="20">
        <v>43.2</v>
      </c>
      <c r="N20" s="18">
        <v>37.9</v>
      </c>
      <c r="O20" s="19">
        <v>39.6</v>
      </c>
      <c r="P20" s="19">
        <v>73</v>
      </c>
      <c r="Q20" s="19">
        <v>69.2</v>
      </c>
      <c r="R20" s="20">
        <v>36.6</v>
      </c>
      <c r="S20" s="18">
        <v>32.6</v>
      </c>
      <c r="T20" s="19">
        <v>51.2</v>
      </c>
      <c r="U20" s="19">
        <v>67.7</v>
      </c>
      <c r="V20" s="19">
        <v>61.4</v>
      </c>
      <c r="W20" s="20">
        <v>40.200000000000003</v>
      </c>
      <c r="X20" s="98">
        <f t="shared" si="0"/>
        <v>1061.2</v>
      </c>
      <c r="AB20" s="2"/>
      <c r="AC20" s="15"/>
    </row>
    <row r="21" spans="1:36" ht="39.950000000000003" customHeight="1" x14ac:dyDescent="0.25">
      <c r="A21" s="171" t="s">
        <v>28</v>
      </c>
      <c r="B21" s="18">
        <v>39.4</v>
      </c>
      <c r="C21" s="19">
        <v>82.7</v>
      </c>
      <c r="D21" s="19">
        <v>65.7</v>
      </c>
      <c r="E21" s="19">
        <v>26.4</v>
      </c>
      <c r="F21" s="19">
        <v>39.9</v>
      </c>
      <c r="G21" s="19">
        <v>60.5</v>
      </c>
      <c r="H21" s="19">
        <v>53.5</v>
      </c>
      <c r="I21" s="20">
        <v>46.1</v>
      </c>
      <c r="J21" s="18">
        <v>15.4</v>
      </c>
      <c r="K21" s="19">
        <v>31.1</v>
      </c>
      <c r="L21" s="19">
        <v>48.2</v>
      </c>
      <c r="M21" s="20">
        <v>43.3</v>
      </c>
      <c r="N21" s="18">
        <v>37.9</v>
      </c>
      <c r="O21" s="19">
        <v>39.6</v>
      </c>
      <c r="P21" s="19">
        <v>73.099999999999994</v>
      </c>
      <c r="Q21" s="19">
        <v>69.2</v>
      </c>
      <c r="R21" s="20">
        <v>36.700000000000003</v>
      </c>
      <c r="S21" s="18">
        <v>32.6</v>
      </c>
      <c r="T21" s="19">
        <v>51.2</v>
      </c>
      <c r="U21" s="19">
        <v>67.8</v>
      </c>
      <c r="V21" s="19">
        <v>61.4</v>
      </c>
      <c r="W21" s="20">
        <v>40.200000000000003</v>
      </c>
      <c r="X21" s="98">
        <f t="shared" si="0"/>
        <v>1061.9000000000001</v>
      </c>
      <c r="AB21" s="2"/>
      <c r="AC21" s="15"/>
    </row>
    <row r="22" spans="1:36" ht="39.950000000000003" customHeight="1" x14ac:dyDescent="0.25">
      <c r="A22" s="171" t="s">
        <v>21</v>
      </c>
      <c r="B22" s="18">
        <v>39.4</v>
      </c>
      <c r="C22" s="19">
        <v>82.7</v>
      </c>
      <c r="D22" s="19">
        <v>65.7</v>
      </c>
      <c r="E22" s="19">
        <v>26.4</v>
      </c>
      <c r="F22" s="19">
        <v>39.9</v>
      </c>
      <c r="G22" s="19">
        <v>60.6</v>
      </c>
      <c r="H22" s="19">
        <v>53.5</v>
      </c>
      <c r="I22" s="20">
        <v>46.1</v>
      </c>
      <c r="J22" s="18">
        <v>15.4</v>
      </c>
      <c r="K22" s="19">
        <v>31.1</v>
      </c>
      <c r="L22" s="19">
        <v>48.2</v>
      </c>
      <c r="M22" s="20">
        <v>43.3</v>
      </c>
      <c r="N22" s="18">
        <v>37.9</v>
      </c>
      <c r="O22" s="19">
        <v>39.6</v>
      </c>
      <c r="P22" s="19">
        <v>73.099999999999994</v>
      </c>
      <c r="Q22" s="19">
        <v>69.2</v>
      </c>
      <c r="R22" s="20">
        <v>36.700000000000003</v>
      </c>
      <c r="S22" s="18">
        <v>32.6</v>
      </c>
      <c r="T22" s="19">
        <v>51.2</v>
      </c>
      <c r="U22" s="19">
        <v>67.8</v>
      </c>
      <c r="V22" s="19">
        <v>61.4</v>
      </c>
      <c r="W22" s="20">
        <v>40.200000000000003</v>
      </c>
      <c r="X22" s="98">
        <f t="shared" si="0"/>
        <v>1062.0000000000002</v>
      </c>
      <c r="AB22" s="2"/>
      <c r="AC22" s="15"/>
    </row>
    <row r="23" spans="1:36" ht="39.950000000000003" customHeight="1" x14ac:dyDescent="0.25">
      <c r="A23" s="171" t="s">
        <v>22</v>
      </c>
      <c r="B23" s="18">
        <v>39.4</v>
      </c>
      <c r="C23" s="19">
        <v>82.7</v>
      </c>
      <c r="D23" s="19">
        <v>65.7</v>
      </c>
      <c r="E23" s="19">
        <v>26.4</v>
      </c>
      <c r="F23" s="19">
        <v>39.9</v>
      </c>
      <c r="G23" s="19">
        <v>60.6</v>
      </c>
      <c r="H23" s="19">
        <v>53.5</v>
      </c>
      <c r="I23" s="20">
        <v>46.1</v>
      </c>
      <c r="J23" s="18">
        <v>15.4</v>
      </c>
      <c r="K23" s="19">
        <v>31.1</v>
      </c>
      <c r="L23" s="19">
        <v>48.2</v>
      </c>
      <c r="M23" s="20">
        <v>43.3</v>
      </c>
      <c r="N23" s="18">
        <v>37.9</v>
      </c>
      <c r="O23" s="19">
        <v>39.6</v>
      </c>
      <c r="P23" s="19">
        <v>73.099999999999994</v>
      </c>
      <c r="Q23" s="19">
        <v>69.2</v>
      </c>
      <c r="R23" s="20">
        <v>36.700000000000003</v>
      </c>
      <c r="S23" s="18">
        <v>32.6</v>
      </c>
      <c r="T23" s="19">
        <v>51.3</v>
      </c>
      <c r="U23" s="19">
        <v>67.8</v>
      </c>
      <c r="V23" s="19">
        <v>61.5</v>
      </c>
      <c r="W23" s="20">
        <v>40.299999999999997</v>
      </c>
      <c r="X23" s="98">
        <f t="shared" si="0"/>
        <v>1062.3000000000002</v>
      </c>
      <c r="AB23" s="2"/>
      <c r="AC23" s="15"/>
    </row>
    <row r="24" spans="1:36" ht="39.950000000000003" customHeight="1" thickBot="1" x14ac:dyDescent="0.3">
      <c r="A24" s="171" t="s">
        <v>23</v>
      </c>
      <c r="B24" s="18">
        <v>39.4</v>
      </c>
      <c r="C24" s="19">
        <v>82.7</v>
      </c>
      <c r="D24" s="19">
        <v>65.7</v>
      </c>
      <c r="E24" s="19">
        <v>26.4</v>
      </c>
      <c r="F24" s="19">
        <v>39.9</v>
      </c>
      <c r="G24" s="19">
        <v>60.6</v>
      </c>
      <c r="H24" s="19">
        <v>53.6</v>
      </c>
      <c r="I24" s="20">
        <v>46.1</v>
      </c>
      <c r="J24" s="18">
        <v>15.4</v>
      </c>
      <c r="K24" s="19">
        <v>31.1</v>
      </c>
      <c r="L24" s="19">
        <v>48.2</v>
      </c>
      <c r="M24" s="20">
        <v>43.3</v>
      </c>
      <c r="N24" s="18">
        <v>37.9</v>
      </c>
      <c r="O24" s="19">
        <v>39.6</v>
      </c>
      <c r="P24" s="19">
        <v>73.099999999999994</v>
      </c>
      <c r="Q24" s="19">
        <v>69.2</v>
      </c>
      <c r="R24" s="20">
        <v>36.700000000000003</v>
      </c>
      <c r="S24" s="18">
        <v>32.700000000000003</v>
      </c>
      <c r="T24" s="19">
        <v>51.3</v>
      </c>
      <c r="U24" s="19">
        <v>67.8</v>
      </c>
      <c r="V24" s="19">
        <v>61.5</v>
      </c>
      <c r="W24" s="20">
        <v>40.299999999999997</v>
      </c>
      <c r="X24" s="98">
        <f t="shared" si="0"/>
        <v>1062.5000000000002</v>
      </c>
      <c r="AB24" s="2"/>
    </row>
    <row r="25" spans="1:36" ht="41.45" customHeight="1" x14ac:dyDescent="0.25">
      <c r="A25" s="268" t="s">
        <v>9</v>
      </c>
      <c r="B25" s="217">
        <f>SUM(B18:B24)</f>
        <v>269.89999999999998</v>
      </c>
      <c r="C25" s="218">
        <f t="shared" ref="C25:W25" si="1">SUM(C18:C24)</f>
        <v>567.9</v>
      </c>
      <c r="D25" s="218">
        <f t="shared" si="1"/>
        <v>450.9</v>
      </c>
      <c r="E25" s="218">
        <f t="shared" si="1"/>
        <v>181.00000000000003</v>
      </c>
      <c r="F25" s="218">
        <f t="shared" si="1"/>
        <v>273.39999999999998</v>
      </c>
      <c r="G25" s="218">
        <f t="shared" si="1"/>
        <v>415.00000000000006</v>
      </c>
      <c r="H25" s="218">
        <f t="shared" si="1"/>
        <v>366.8</v>
      </c>
      <c r="I25" s="219">
        <f t="shared" si="1"/>
        <v>316</v>
      </c>
      <c r="J25" s="217">
        <f t="shared" si="1"/>
        <v>105.80000000000001</v>
      </c>
      <c r="K25" s="218">
        <f t="shared" si="1"/>
        <v>213.7</v>
      </c>
      <c r="L25" s="218">
        <f t="shared" si="1"/>
        <v>330.2</v>
      </c>
      <c r="M25" s="219">
        <f t="shared" si="1"/>
        <v>297</v>
      </c>
      <c r="N25" s="217">
        <f t="shared" si="1"/>
        <v>260.7</v>
      </c>
      <c r="O25" s="218">
        <f t="shared" si="1"/>
        <v>272.39999999999998</v>
      </c>
      <c r="P25" s="218">
        <f t="shared" si="1"/>
        <v>501.40000000000009</v>
      </c>
      <c r="Q25" s="218">
        <f t="shared" si="1"/>
        <v>474.79999999999995</v>
      </c>
      <c r="R25" s="219">
        <f t="shared" si="1"/>
        <v>251.39999999999998</v>
      </c>
      <c r="S25" s="217">
        <f t="shared" si="1"/>
        <v>224.3</v>
      </c>
      <c r="T25" s="218">
        <f t="shared" si="1"/>
        <v>351</v>
      </c>
      <c r="U25" s="218">
        <f t="shared" si="1"/>
        <v>465.30000000000007</v>
      </c>
      <c r="V25" s="218">
        <f t="shared" si="1"/>
        <v>420.6</v>
      </c>
      <c r="W25" s="178">
        <f t="shared" si="1"/>
        <v>275.8</v>
      </c>
      <c r="X25" s="98">
        <f>SUM(X18,X19,X20,X21,X22,X23,X24)</f>
        <v>7285.3</v>
      </c>
    </row>
    <row r="26" spans="1:36" s="2" customFormat="1" ht="36.75" customHeight="1" x14ac:dyDescent="0.25">
      <c r="A26" s="192" t="s">
        <v>11</v>
      </c>
      <c r="B26" s="23">
        <v>104.5</v>
      </c>
      <c r="C26" s="24">
        <v>105.5</v>
      </c>
      <c r="D26" s="24">
        <v>109</v>
      </c>
      <c r="E26" s="24">
        <v>110.5</v>
      </c>
      <c r="F26" s="24">
        <v>108.5</v>
      </c>
      <c r="G26" s="24">
        <v>108</v>
      </c>
      <c r="H26" s="24">
        <v>106.5</v>
      </c>
      <c r="I26" s="228">
        <v>104.5</v>
      </c>
      <c r="J26" s="23">
        <v>109.5</v>
      </c>
      <c r="K26" s="24">
        <v>107.5</v>
      </c>
      <c r="L26" s="24">
        <v>106</v>
      </c>
      <c r="M26" s="228">
        <v>103.5</v>
      </c>
      <c r="N26" s="23">
        <v>110.5</v>
      </c>
      <c r="O26" s="24">
        <v>109</v>
      </c>
      <c r="P26" s="24">
        <v>105.5</v>
      </c>
      <c r="Q26" s="24">
        <v>105</v>
      </c>
      <c r="R26" s="228">
        <v>103.5</v>
      </c>
      <c r="S26" s="23">
        <v>110.5</v>
      </c>
      <c r="T26" s="24">
        <v>109</v>
      </c>
      <c r="U26" s="24">
        <v>105.5</v>
      </c>
      <c r="V26" s="24">
        <v>104.5</v>
      </c>
      <c r="W26" s="25">
        <v>104.5</v>
      </c>
      <c r="X26" s="99">
        <f>(((X25*1000)/7)/X27)</f>
        <v>106.51490562451569</v>
      </c>
    </row>
    <row r="27" spans="1:36" s="2" customFormat="1" ht="33" customHeight="1" x14ac:dyDescent="0.25">
      <c r="A27" s="193" t="s">
        <v>12</v>
      </c>
      <c r="B27" s="26">
        <v>369</v>
      </c>
      <c r="C27" s="27">
        <v>769</v>
      </c>
      <c r="D27" s="27">
        <v>591</v>
      </c>
      <c r="E27" s="27">
        <v>234</v>
      </c>
      <c r="F27" s="27">
        <v>360</v>
      </c>
      <c r="G27" s="27">
        <v>549</v>
      </c>
      <c r="H27" s="27">
        <v>492</v>
      </c>
      <c r="I27" s="183">
        <v>432</v>
      </c>
      <c r="J27" s="26">
        <v>138</v>
      </c>
      <c r="K27" s="27">
        <v>284</v>
      </c>
      <c r="L27" s="27">
        <v>445</v>
      </c>
      <c r="M27" s="183">
        <v>410</v>
      </c>
      <c r="N27" s="26">
        <v>337</v>
      </c>
      <c r="O27" s="27">
        <v>357</v>
      </c>
      <c r="P27" s="27">
        <v>679</v>
      </c>
      <c r="Q27" s="27">
        <v>646</v>
      </c>
      <c r="R27" s="183">
        <v>347</v>
      </c>
      <c r="S27" s="26">
        <v>290</v>
      </c>
      <c r="T27" s="27">
        <v>460</v>
      </c>
      <c r="U27" s="27">
        <v>630</v>
      </c>
      <c r="V27" s="27">
        <v>575</v>
      </c>
      <c r="W27" s="28">
        <v>377</v>
      </c>
      <c r="X27" s="29">
        <f>SUM(B27,C27,D27,E27,F27,G27,H27,I27,J27,K27,L27,M27,N27,O27,P27,Q27,R27,S27,T27,U27,V27,W27)</f>
        <v>9771</v>
      </c>
    </row>
    <row r="28" spans="1:36" s="2" customFormat="1" ht="33" customHeight="1" x14ac:dyDescent="0.25">
      <c r="A28" s="194" t="s">
        <v>13</v>
      </c>
      <c r="B28" s="30">
        <f>((((B26*7)*B27)/1000)-(B18+B19))/5</f>
        <v>39.384699999999995</v>
      </c>
      <c r="C28" s="30">
        <f t="shared" ref="C28:W28" si="2">((((C26*7)*C27)/1000)-(C18+C19))/5</f>
        <v>82.701300000000018</v>
      </c>
      <c r="D28" s="30">
        <f t="shared" si="2"/>
        <v>65.706600000000009</v>
      </c>
      <c r="E28" s="30">
        <f t="shared" si="2"/>
        <v>26.399799999999999</v>
      </c>
      <c r="F28" s="30">
        <f t="shared" si="2"/>
        <v>39.884</v>
      </c>
      <c r="G28" s="30">
        <f t="shared" si="2"/>
        <v>60.568799999999996</v>
      </c>
      <c r="H28" s="30">
        <f t="shared" si="2"/>
        <v>53.517200000000003</v>
      </c>
      <c r="I28" s="30">
        <f t="shared" si="2"/>
        <v>46.081599999999995</v>
      </c>
      <c r="J28" s="30">
        <f t="shared" si="2"/>
        <v>15.3954</v>
      </c>
      <c r="K28" s="30">
        <f t="shared" si="2"/>
        <v>31.101999999999997</v>
      </c>
      <c r="L28" s="30">
        <f t="shared" si="2"/>
        <v>48.198</v>
      </c>
      <c r="M28" s="30">
        <f t="shared" si="2"/>
        <v>43.289000000000001</v>
      </c>
      <c r="N28" s="30">
        <f t="shared" si="2"/>
        <v>37.893900000000009</v>
      </c>
      <c r="O28" s="30">
        <f t="shared" si="2"/>
        <v>39.598200000000006</v>
      </c>
      <c r="P28" s="30">
        <f t="shared" si="2"/>
        <v>73.088300000000004</v>
      </c>
      <c r="Q28" s="30">
        <f t="shared" si="2"/>
        <v>69.201999999999998</v>
      </c>
      <c r="R28" s="30">
        <f t="shared" si="2"/>
        <v>36.680300000000003</v>
      </c>
      <c r="S28" s="30">
        <f t="shared" si="2"/>
        <v>32.623000000000005</v>
      </c>
      <c r="T28" s="30">
        <f t="shared" si="2"/>
        <v>51.236000000000004</v>
      </c>
      <c r="U28" s="30">
        <f t="shared" si="2"/>
        <v>67.771000000000001</v>
      </c>
      <c r="V28" s="30">
        <f t="shared" si="2"/>
        <v>61.442499999999995</v>
      </c>
      <c r="W28" s="30">
        <f t="shared" si="2"/>
        <v>40.235100000000003</v>
      </c>
      <c r="X28" s="33"/>
    </row>
    <row r="29" spans="1:36" ht="33.75" customHeight="1" x14ac:dyDescent="0.25">
      <c r="A29" s="185" t="s">
        <v>14</v>
      </c>
      <c r="B29" s="279">
        <f t="shared" ref="B29:W29" si="3">((B27*B26)*7)/1000</f>
        <v>269.92349999999999</v>
      </c>
      <c r="C29" s="280">
        <f t="shared" si="3"/>
        <v>567.90650000000005</v>
      </c>
      <c r="D29" s="280">
        <f t="shared" si="3"/>
        <v>450.93299999999999</v>
      </c>
      <c r="E29" s="280">
        <f t="shared" si="3"/>
        <v>180.999</v>
      </c>
      <c r="F29" s="280">
        <f t="shared" si="3"/>
        <v>273.42</v>
      </c>
      <c r="G29" s="280">
        <f t="shared" si="3"/>
        <v>415.04399999999998</v>
      </c>
      <c r="H29" s="280">
        <f t="shared" si="3"/>
        <v>366.786</v>
      </c>
      <c r="I29" s="281">
        <f t="shared" si="3"/>
        <v>316.00799999999998</v>
      </c>
      <c r="J29" s="279">
        <f t="shared" si="3"/>
        <v>105.777</v>
      </c>
      <c r="K29" s="280">
        <f t="shared" si="3"/>
        <v>213.71</v>
      </c>
      <c r="L29" s="280">
        <f t="shared" si="3"/>
        <v>330.19</v>
      </c>
      <c r="M29" s="281">
        <f t="shared" si="3"/>
        <v>297.04500000000002</v>
      </c>
      <c r="N29" s="279">
        <f t="shared" si="3"/>
        <v>260.66950000000003</v>
      </c>
      <c r="O29" s="280">
        <f t="shared" si="3"/>
        <v>272.39100000000002</v>
      </c>
      <c r="P29" s="280">
        <f t="shared" si="3"/>
        <v>501.44150000000002</v>
      </c>
      <c r="Q29" s="280">
        <f t="shared" si="3"/>
        <v>474.81</v>
      </c>
      <c r="R29" s="281">
        <f t="shared" si="3"/>
        <v>251.4015</v>
      </c>
      <c r="S29" s="279">
        <f t="shared" si="3"/>
        <v>224.315</v>
      </c>
      <c r="T29" s="280">
        <f t="shared" si="3"/>
        <v>350.98</v>
      </c>
      <c r="U29" s="280">
        <f t="shared" si="3"/>
        <v>465.255</v>
      </c>
      <c r="V29" s="280">
        <f t="shared" si="3"/>
        <v>420.61250000000001</v>
      </c>
      <c r="W29" s="282">
        <f t="shared" si="3"/>
        <v>275.77550000000002</v>
      </c>
      <c r="X29" s="36"/>
    </row>
    <row r="30" spans="1:36" ht="33.75" customHeight="1" thickBot="1" x14ac:dyDescent="0.3">
      <c r="A30" s="195" t="s">
        <v>15</v>
      </c>
      <c r="B30" s="37">
        <f>+(B25/B27)/7*1000</f>
        <v>104.49090205187765</v>
      </c>
      <c r="C30" s="38">
        <f t="shared" ref="C30:W30" si="4">+(C25/C27)/7*1000</f>
        <v>105.49879249489133</v>
      </c>
      <c r="D30" s="38">
        <f t="shared" si="4"/>
        <v>108.99202320522117</v>
      </c>
      <c r="E30" s="38">
        <f t="shared" si="4"/>
        <v>110.50061050061052</v>
      </c>
      <c r="F30" s="38">
        <f t="shared" si="4"/>
        <v>108.49206349206349</v>
      </c>
      <c r="G30" s="38">
        <f t="shared" si="4"/>
        <v>107.98855061150145</v>
      </c>
      <c r="H30" s="38">
        <f t="shared" si="4"/>
        <v>106.50406504065042</v>
      </c>
      <c r="I30" s="207">
        <f t="shared" si="4"/>
        <v>104.49735449735451</v>
      </c>
      <c r="J30" s="37">
        <f t="shared" si="4"/>
        <v>109.52380952380953</v>
      </c>
      <c r="K30" s="38">
        <f t="shared" si="4"/>
        <v>107.49496981891348</v>
      </c>
      <c r="L30" s="38">
        <f t="shared" si="4"/>
        <v>106.00321027287319</v>
      </c>
      <c r="M30" s="207">
        <f t="shared" si="4"/>
        <v>103.48432055749127</v>
      </c>
      <c r="N30" s="37">
        <f t="shared" si="4"/>
        <v>110.51292920729121</v>
      </c>
      <c r="O30" s="38">
        <f t="shared" si="4"/>
        <v>109.00360144057622</v>
      </c>
      <c r="P30" s="38">
        <f t="shared" si="4"/>
        <v>105.49126867241743</v>
      </c>
      <c r="Q30" s="38">
        <f t="shared" si="4"/>
        <v>104.99778858911986</v>
      </c>
      <c r="R30" s="207">
        <f t="shared" si="4"/>
        <v>103.49938246191847</v>
      </c>
      <c r="S30" s="37">
        <f t="shared" si="4"/>
        <v>110.49261083743843</v>
      </c>
      <c r="T30" s="38">
        <f t="shared" si="4"/>
        <v>109.00621118012423</v>
      </c>
      <c r="U30" s="38">
        <f t="shared" si="4"/>
        <v>105.51020408163266</v>
      </c>
      <c r="V30" s="38">
        <f t="shared" si="4"/>
        <v>104.49689440993789</v>
      </c>
      <c r="W30" s="39">
        <f t="shared" si="4"/>
        <v>104.50928381962865</v>
      </c>
      <c r="X30" s="40"/>
    </row>
    <row r="31" spans="1:36" ht="33.75" customHeight="1" x14ac:dyDescent="0.25">
      <c r="A31" s="41"/>
      <c r="B31" s="42">
        <f>B29-B25</f>
        <v>2.3500000000012733E-2</v>
      </c>
      <c r="C31" s="42">
        <f t="shared" ref="C31:W31" si="5">C29-C25</f>
        <v>6.5000000000736691E-3</v>
      </c>
      <c r="D31" s="42">
        <f t="shared" si="5"/>
        <v>3.3000000000015461E-2</v>
      </c>
      <c r="E31" s="42">
        <f t="shared" si="5"/>
        <v>-1.0000000000331966E-3</v>
      </c>
      <c r="F31" s="42">
        <f t="shared" si="5"/>
        <v>2.0000000000038654E-2</v>
      </c>
      <c r="G31" s="42">
        <f t="shared" si="5"/>
        <v>4.3999999999925876E-2</v>
      </c>
      <c r="H31" s="42">
        <f t="shared" si="5"/>
        <v>-1.4000000000010004E-2</v>
      </c>
      <c r="I31" s="42">
        <f t="shared" si="5"/>
        <v>7.9999999999813554E-3</v>
      </c>
      <c r="J31" s="42">
        <f t="shared" si="5"/>
        <v>-2.3000000000010346E-2</v>
      </c>
      <c r="K31" s="42">
        <f t="shared" si="5"/>
        <v>1.0000000000019327E-2</v>
      </c>
      <c r="L31" s="42">
        <f t="shared" si="5"/>
        <v>-9.9999999999909051E-3</v>
      </c>
      <c r="M31" s="42">
        <f t="shared" si="5"/>
        <v>4.5000000000015916E-2</v>
      </c>
      <c r="N31" s="42">
        <f t="shared" si="5"/>
        <v>-3.0499999999960892E-2</v>
      </c>
      <c r="O31" s="42">
        <f t="shared" si="5"/>
        <v>-8.9999999999577085E-3</v>
      </c>
      <c r="P31" s="42">
        <f t="shared" si="5"/>
        <v>4.149999999992815E-2</v>
      </c>
      <c r="Q31" s="42">
        <f t="shared" si="5"/>
        <v>1.0000000000047748E-2</v>
      </c>
      <c r="R31" s="42">
        <f t="shared" si="5"/>
        <v>1.5000000000213731E-3</v>
      </c>
      <c r="S31" s="42">
        <f t="shared" si="5"/>
        <v>1.4999999999986358E-2</v>
      </c>
      <c r="T31" s="42">
        <f t="shared" si="5"/>
        <v>-1.999999999998181E-2</v>
      </c>
      <c r="U31" s="42">
        <f t="shared" si="5"/>
        <v>-4.500000000007276E-2</v>
      </c>
      <c r="V31" s="42">
        <f t="shared" si="5"/>
        <v>1.2499999999988631E-2</v>
      </c>
      <c r="W31" s="42">
        <f t="shared" si="5"/>
        <v>-2.4499999999989086E-2</v>
      </c>
      <c r="X31" s="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-9.097948122345656E-3</v>
      </c>
      <c r="C32" s="42">
        <f t="shared" ref="C32:W32" si="6">C30-C26</f>
        <v>-1.2075051086668509E-3</v>
      </c>
      <c r="D32" s="42">
        <f t="shared" si="6"/>
        <v>-7.9767947788269566E-3</v>
      </c>
      <c r="E32" s="42">
        <f t="shared" si="6"/>
        <v>6.1050061052014826E-4</v>
      </c>
      <c r="F32" s="42">
        <f t="shared" si="6"/>
        <v>-7.936507936506132E-3</v>
      </c>
      <c r="G32" s="42">
        <f t="shared" si="6"/>
        <v>-1.1449388498547819E-2</v>
      </c>
      <c r="H32" s="42">
        <f t="shared" si="6"/>
        <v>4.0650406504170178E-3</v>
      </c>
      <c r="I32" s="42">
        <f t="shared" si="6"/>
        <v>-2.6455026454925701E-3</v>
      </c>
      <c r="J32" s="42">
        <f t="shared" si="6"/>
        <v>2.3809523809532607E-2</v>
      </c>
      <c r="K32" s="42">
        <f t="shared" si="6"/>
        <v>-5.0301810865249763E-3</v>
      </c>
      <c r="L32" s="42">
        <f t="shared" si="6"/>
        <v>3.2102728731899788E-3</v>
      </c>
      <c r="M32" s="42">
        <f t="shared" si="6"/>
        <v>-1.5679442508726993E-2</v>
      </c>
      <c r="N32" s="42">
        <f t="shared" si="6"/>
        <v>1.2929207291207945E-2</v>
      </c>
      <c r="O32" s="42">
        <f t="shared" si="6"/>
        <v>3.6014405762188062E-3</v>
      </c>
      <c r="P32" s="42">
        <f t="shared" si="6"/>
        <v>-8.7313275825664505E-3</v>
      </c>
      <c r="Q32" s="42">
        <f t="shared" si="6"/>
        <v>-2.2114108801360999E-3</v>
      </c>
      <c r="R32" s="42">
        <f t="shared" si="6"/>
        <v>-6.175380815278686E-4</v>
      </c>
      <c r="S32" s="42">
        <f t="shared" si="6"/>
        <v>-7.389162561565854E-3</v>
      </c>
      <c r="T32" s="42">
        <f t="shared" si="6"/>
        <v>6.2111801242252795E-3</v>
      </c>
      <c r="U32" s="42">
        <f t="shared" si="6"/>
        <v>1.0204081632664952E-2</v>
      </c>
      <c r="V32" s="42">
        <f t="shared" si="6"/>
        <v>-3.1055900621055343E-3</v>
      </c>
      <c r="W32" s="42">
        <f t="shared" si="6"/>
        <v>9.2838196286493258E-3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1"/>
    </row>
    <row r="34" spans="1:3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1"/>
    </row>
    <row r="35" spans="1:36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3"/>
    </row>
    <row r="36" spans="1:36" ht="33.75" customHeight="1" thickBot="1" x14ac:dyDescent="0.3">
      <c r="A36" s="69" t="s">
        <v>16</v>
      </c>
      <c r="B36" s="973" t="s">
        <v>17</v>
      </c>
      <c r="C36" s="974"/>
      <c r="D36" s="974"/>
      <c r="E36" s="974"/>
      <c r="F36" s="974"/>
      <c r="G36" s="975"/>
      <c r="H36" s="237"/>
      <c r="O36" s="44"/>
      <c r="P36" s="88" t="s">
        <v>18</v>
      </c>
      <c r="Q36" s="973" t="s">
        <v>17</v>
      </c>
      <c r="R36" s="974"/>
      <c r="S36" s="975"/>
      <c r="T36" s="229"/>
      <c r="U36" s="269"/>
      <c r="W36" s="45"/>
      <c r="X36" s="45"/>
      <c r="Y36" s="46"/>
      <c r="Z36" s="3"/>
      <c r="AA36" s="45"/>
      <c r="AB36" s="45"/>
      <c r="AC36" s="45"/>
      <c r="AD36" s="3"/>
    </row>
    <row r="37" spans="1:36" ht="33.75" customHeight="1" thickBot="1" x14ac:dyDescent="0.3">
      <c r="A37" s="170" t="s">
        <v>34</v>
      </c>
      <c r="B37" s="141"/>
      <c r="C37" s="118"/>
      <c r="D37" s="118"/>
      <c r="E37" s="118"/>
      <c r="F37" s="118"/>
      <c r="G37" s="119"/>
      <c r="H37" s="236" t="s">
        <v>9</v>
      </c>
      <c r="I37" s="47"/>
      <c r="J37" s="47"/>
      <c r="K37" s="47"/>
      <c r="L37" s="47"/>
      <c r="M37" s="47"/>
      <c r="N37" s="970"/>
      <c r="O37" s="976"/>
      <c r="P37" s="97" t="s">
        <v>33</v>
      </c>
      <c r="Q37" s="186"/>
      <c r="R37" s="173"/>
      <c r="S37" s="173"/>
      <c r="T37" s="261" t="s">
        <v>9</v>
      </c>
      <c r="U37" s="2"/>
      <c r="W37" s="47"/>
      <c r="X37" s="47"/>
      <c r="Y37" s="3"/>
      <c r="Z37" s="46"/>
      <c r="AA37" s="3"/>
      <c r="AB37" s="45"/>
      <c r="AC37" s="45"/>
      <c r="AD37" s="45"/>
    </row>
    <row r="38" spans="1:36" ht="33.75" customHeight="1" thickBot="1" x14ac:dyDescent="0.3">
      <c r="A38" s="170" t="s">
        <v>10</v>
      </c>
      <c r="B38" s="221">
        <v>1</v>
      </c>
      <c r="C38" s="222">
        <v>2</v>
      </c>
      <c r="D38" s="222">
        <v>3</v>
      </c>
      <c r="E38" s="222">
        <v>4</v>
      </c>
      <c r="F38" s="222">
        <v>5</v>
      </c>
      <c r="G38" s="223">
        <v>6</v>
      </c>
      <c r="H38" s="238"/>
      <c r="I38" s="47"/>
      <c r="J38" s="47"/>
      <c r="K38" s="47"/>
      <c r="L38" s="47"/>
      <c r="M38" s="47"/>
      <c r="N38" s="144"/>
      <c r="O38" s="145"/>
      <c r="P38" s="80" t="s">
        <v>10</v>
      </c>
      <c r="Q38" s="186">
        <v>1</v>
      </c>
      <c r="R38" s="174">
        <v>2</v>
      </c>
      <c r="S38" s="175">
        <v>3</v>
      </c>
      <c r="T38" s="278"/>
      <c r="U38" s="270"/>
      <c r="W38" s="47"/>
      <c r="X38" s="47"/>
      <c r="Y38" s="48"/>
      <c r="Z38" s="48"/>
      <c r="AA38" s="2"/>
      <c r="AB38" s="2"/>
      <c r="AC38" s="2"/>
      <c r="AD38" s="2"/>
    </row>
    <row r="39" spans="1:36" ht="33.75" customHeight="1" x14ac:dyDescent="0.25">
      <c r="A39" s="171" t="s">
        <v>32</v>
      </c>
      <c r="B39" s="133">
        <v>28.3</v>
      </c>
      <c r="C39" s="134">
        <v>75.599999999999994</v>
      </c>
      <c r="D39" s="134">
        <v>47.8</v>
      </c>
      <c r="E39" s="134">
        <v>34.5</v>
      </c>
      <c r="F39" s="134">
        <v>72.099999999999994</v>
      </c>
      <c r="G39" s="156">
        <v>38.6</v>
      </c>
      <c r="H39" s="265">
        <f t="shared" ref="H39:H46" si="7">SUM(B39:G39)</f>
        <v>296.89999999999998</v>
      </c>
      <c r="I39" s="49"/>
      <c r="J39" s="49"/>
      <c r="K39" s="49"/>
      <c r="L39" s="49"/>
      <c r="M39" s="49"/>
      <c r="N39" s="144"/>
      <c r="O39" s="145"/>
      <c r="P39" s="171" t="s">
        <v>53</v>
      </c>
      <c r="Q39" s="133">
        <v>8.9</v>
      </c>
      <c r="R39" s="134">
        <v>22.5</v>
      </c>
      <c r="S39" s="156">
        <v>8.3000000000000007</v>
      </c>
      <c r="T39" s="136">
        <f t="shared" ref="T39:T45" si="8">SUM(Q39:S39)</f>
        <v>39.700000000000003</v>
      </c>
      <c r="U39" s="271"/>
      <c r="W39" s="2"/>
      <c r="X39" s="49"/>
      <c r="Y39" s="48"/>
      <c r="Z39" s="48"/>
      <c r="AA39" s="2"/>
      <c r="AB39" s="2"/>
      <c r="AC39" s="2"/>
      <c r="AD39" s="2"/>
    </row>
    <row r="40" spans="1:36" ht="33.75" customHeight="1" x14ac:dyDescent="0.25">
      <c r="A40" s="171" t="s">
        <v>24</v>
      </c>
      <c r="B40" s="18">
        <v>28.3</v>
      </c>
      <c r="C40" s="19">
        <v>75.599999999999994</v>
      </c>
      <c r="D40" s="19">
        <v>47.8</v>
      </c>
      <c r="E40" s="19">
        <v>34.5</v>
      </c>
      <c r="F40" s="19">
        <v>72.099999999999994</v>
      </c>
      <c r="G40" s="20">
        <v>38.6</v>
      </c>
      <c r="H40" s="136">
        <f t="shared" si="7"/>
        <v>296.89999999999998</v>
      </c>
      <c r="I40" s="49"/>
      <c r="J40" s="49"/>
      <c r="K40" s="49"/>
      <c r="L40" s="49"/>
      <c r="M40" s="49"/>
      <c r="N40" s="144"/>
      <c r="O40" s="145"/>
      <c r="P40" s="171" t="s">
        <v>24</v>
      </c>
      <c r="Q40" s="18">
        <v>8.9</v>
      </c>
      <c r="R40" s="19">
        <v>22.5</v>
      </c>
      <c r="S40" s="20">
        <v>8.3000000000000007</v>
      </c>
      <c r="T40" s="136">
        <f t="shared" si="8"/>
        <v>39.700000000000003</v>
      </c>
      <c r="U40" s="271"/>
      <c r="W40" s="2"/>
      <c r="X40" s="49"/>
      <c r="Y40" s="48"/>
      <c r="Z40" s="48"/>
      <c r="AA40" s="2"/>
      <c r="AB40" s="2"/>
      <c r="AC40" s="2"/>
      <c r="AD40" s="2"/>
    </row>
    <row r="41" spans="1:36" ht="33.75" customHeight="1" x14ac:dyDescent="0.25">
      <c r="A41" s="171" t="s">
        <v>20</v>
      </c>
      <c r="B41" s="18">
        <v>31</v>
      </c>
      <c r="C41" s="19">
        <v>82.9</v>
      </c>
      <c r="D41" s="19">
        <v>52.2</v>
      </c>
      <c r="E41" s="19">
        <v>37.700000000000003</v>
      </c>
      <c r="F41" s="19">
        <v>79.2</v>
      </c>
      <c r="G41" s="20">
        <v>42.1</v>
      </c>
      <c r="H41" s="136">
        <f t="shared" si="7"/>
        <v>325.10000000000002</v>
      </c>
      <c r="I41" s="49"/>
      <c r="J41" s="49"/>
      <c r="K41" s="49"/>
      <c r="L41" s="49"/>
      <c r="M41" s="49"/>
      <c r="N41" s="144"/>
      <c r="O41" s="145"/>
      <c r="P41" s="171" t="s">
        <v>20</v>
      </c>
      <c r="Q41" s="18">
        <v>9.5</v>
      </c>
      <c r="R41" s="19">
        <v>24.1</v>
      </c>
      <c r="S41" s="20">
        <v>9</v>
      </c>
      <c r="T41" s="136">
        <f t="shared" si="8"/>
        <v>42.6</v>
      </c>
      <c r="U41" s="271"/>
      <c r="W41" s="2"/>
      <c r="X41" s="49"/>
      <c r="Y41" s="48"/>
      <c r="Z41" s="48"/>
      <c r="AA41" s="2"/>
      <c r="AB41" s="2"/>
      <c r="AC41" s="2"/>
      <c r="AD41" s="2"/>
    </row>
    <row r="42" spans="1:36" ht="33.75" customHeight="1" x14ac:dyDescent="0.25">
      <c r="A42" s="171" t="s">
        <v>28</v>
      </c>
      <c r="B42" s="18">
        <v>31.1</v>
      </c>
      <c r="C42" s="19">
        <v>82.9</v>
      </c>
      <c r="D42" s="19">
        <v>52.2</v>
      </c>
      <c r="E42" s="19">
        <v>37.700000000000003</v>
      </c>
      <c r="F42" s="19">
        <v>79.2</v>
      </c>
      <c r="G42" s="20">
        <v>42.1</v>
      </c>
      <c r="H42" s="136">
        <f t="shared" si="7"/>
        <v>325.2</v>
      </c>
      <c r="I42" s="49"/>
      <c r="J42" s="49"/>
      <c r="K42" s="49"/>
      <c r="L42" s="49"/>
      <c r="M42" s="49"/>
      <c r="N42" s="144"/>
      <c r="O42" s="145"/>
      <c r="P42" s="171" t="s">
        <v>28</v>
      </c>
      <c r="Q42" s="18">
        <v>9.5</v>
      </c>
      <c r="R42" s="19">
        <v>24.1</v>
      </c>
      <c r="S42" s="20">
        <v>9</v>
      </c>
      <c r="T42" s="136">
        <f t="shared" si="8"/>
        <v>42.6</v>
      </c>
      <c r="U42" s="271"/>
      <c r="W42" s="2"/>
      <c r="X42" s="49"/>
      <c r="Y42" s="48"/>
      <c r="Z42" s="48"/>
      <c r="AA42" s="2"/>
      <c r="AB42" s="2"/>
      <c r="AC42" s="2"/>
      <c r="AD42" s="2"/>
    </row>
    <row r="43" spans="1:36" ht="33.75" customHeight="1" x14ac:dyDescent="0.25">
      <c r="A43" s="171" t="s">
        <v>21</v>
      </c>
      <c r="B43" s="18">
        <v>31.1</v>
      </c>
      <c r="C43" s="19">
        <v>83</v>
      </c>
      <c r="D43" s="19">
        <v>52.2</v>
      </c>
      <c r="E43" s="19">
        <v>37.700000000000003</v>
      </c>
      <c r="F43" s="19">
        <v>79.2</v>
      </c>
      <c r="G43" s="20">
        <v>42.1</v>
      </c>
      <c r="H43" s="136">
        <f t="shared" si="7"/>
        <v>325.3</v>
      </c>
      <c r="I43" s="49"/>
      <c r="J43" s="49"/>
      <c r="K43" s="49"/>
      <c r="L43" s="49"/>
      <c r="M43" s="49"/>
      <c r="N43" s="144"/>
      <c r="O43" s="145"/>
      <c r="P43" s="171" t="s">
        <v>21</v>
      </c>
      <c r="Q43" s="18">
        <v>9.6</v>
      </c>
      <c r="R43" s="19">
        <v>24.1</v>
      </c>
      <c r="S43" s="20">
        <v>9</v>
      </c>
      <c r="T43" s="136">
        <f t="shared" si="8"/>
        <v>42.7</v>
      </c>
      <c r="U43" s="271"/>
      <c r="W43" s="2"/>
      <c r="X43" s="49"/>
      <c r="Y43" s="48"/>
      <c r="Z43" s="48"/>
      <c r="AA43" s="2"/>
      <c r="AB43" s="2"/>
      <c r="AC43" s="2"/>
      <c r="AD43" s="2"/>
    </row>
    <row r="44" spans="1:36" ht="33.75" customHeight="1" x14ac:dyDescent="0.25">
      <c r="A44" s="171" t="s">
        <v>22</v>
      </c>
      <c r="B44" s="18">
        <v>31.1</v>
      </c>
      <c r="C44" s="19">
        <v>83</v>
      </c>
      <c r="D44" s="19">
        <v>52.2</v>
      </c>
      <c r="E44" s="19">
        <v>37.700000000000003</v>
      </c>
      <c r="F44" s="19">
        <v>79.2</v>
      </c>
      <c r="G44" s="20">
        <v>42.1</v>
      </c>
      <c r="H44" s="136">
        <f t="shared" si="7"/>
        <v>325.3</v>
      </c>
      <c r="I44" s="49"/>
      <c r="J44" s="49"/>
      <c r="K44" s="49"/>
      <c r="L44" s="49"/>
      <c r="M44" s="49"/>
      <c r="N44" s="144"/>
      <c r="O44" s="145"/>
      <c r="P44" s="171" t="s">
        <v>22</v>
      </c>
      <c r="Q44" s="18">
        <v>9.6</v>
      </c>
      <c r="R44" s="19">
        <v>24.1</v>
      </c>
      <c r="S44" s="20">
        <v>9</v>
      </c>
      <c r="T44" s="136">
        <f t="shared" si="8"/>
        <v>42.7</v>
      </c>
      <c r="U44" s="271"/>
      <c r="W44" s="2"/>
      <c r="X44" s="49"/>
      <c r="Y44" s="48"/>
      <c r="Z44" s="48"/>
      <c r="AA44" s="2"/>
      <c r="AB44" s="2"/>
      <c r="AC44" s="2"/>
      <c r="AD44" s="2"/>
    </row>
    <row r="45" spans="1:36" ht="33.75" customHeight="1" thickBot="1" x14ac:dyDescent="0.3">
      <c r="A45" s="171" t="s">
        <v>32</v>
      </c>
      <c r="B45" s="18">
        <v>31.1</v>
      </c>
      <c r="C45" s="19">
        <v>83</v>
      </c>
      <c r="D45" s="19">
        <v>52.3</v>
      </c>
      <c r="E45" s="19">
        <v>37.799999999999997</v>
      </c>
      <c r="F45" s="19">
        <v>79.2</v>
      </c>
      <c r="G45" s="20">
        <v>42.1</v>
      </c>
      <c r="H45" s="266">
        <f t="shared" si="7"/>
        <v>325.5</v>
      </c>
      <c r="I45" s="49"/>
      <c r="J45" s="49"/>
      <c r="K45" s="49"/>
      <c r="L45" s="49"/>
      <c r="M45" s="49"/>
      <c r="N45" s="144"/>
      <c r="O45" s="145"/>
      <c r="P45" s="171" t="s">
        <v>23</v>
      </c>
      <c r="Q45" s="18">
        <v>9.6</v>
      </c>
      <c r="R45" s="19">
        <v>24.1</v>
      </c>
      <c r="S45" s="20">
        <v>9</v>
      </c>
      <c r="T45" s="136">
        <f t="shared" si="8"/>
        <v>42.7</v>
      </c>
      <c r="U45" s="271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6" ht="33.75" customHeight="1" x14ac:dyDescent="0.25">
      <c r="A46" s="170" t="s">
        <v>9</v>
      </c>
      <c r="B46" s="217">
        <f>SUM(B39:B45)</f>
        <v>211.99999999999997</v>
      </c>
      <c r="C46" s="218">
        <f t="shared" ref="C46:G46" si="9">SUM(C39:C45)</f>
        <v>566</v>
      </c>
      <c r="D46" s="218">
        <f t="shared" si="9"/>
        <v>356.7</v>
      </c>
      <c r="E46" s="218">
        <f t="shared" si="9"/>
        <v>257.60000000000002</v>
      </c>
      <c r="F46" s="218">
        <f t="shared" si="9"/>
        <v>540.19999999999993</v>
      </c>
      <c r="G46" s="178">
        <f t="shared" si="9"/>
        <v>287.7</v>
      </c>
      <c r="H46" s="239">
        <f t="shared" si="7"/>
        <v>2220.1999999999998</v>
      </c>
      <c r="I46" s="49"/>
      <c r="J46" s="49"/>
      <c r="K46" s="49"/>
      <c r="L46" s="49"/>
      <c r="M46" s="49"/>
      <c r="N46" s="49"/>
      <c r="P46" s="170" t="s">
        <v>9</v>
      </c>
      <c r="Q46" s="179">
        <f>SUM(Q39:Q45)</f>
        <v>65.599999999999994</v>
      </c>
      <c r="R46" s="180">
        <f>SUM(R39:R45)</f>
        <v>165.49999999999997</v>
      </c>
      <c r="S46" s="180">
        <f>SUM(S39:S45)</f>
        <v>61.6</v>
      </c>
      <c r="T46" s="239">
        <f>SUM(T39,T40,T41,T42,T43,T44,T45)</f>
        <v>292.7</v>
      </c>
      <c r="U46" s="272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6" ht="33.75" customHeight="1" x14ac:dyDescent="0.25">
      <c r="A47" s="192" t="s">
        <v>11</v>
      </c>
      <c r="B47" s="23">
        <v>107</v>
      </c>
      <c r="C47" s="24">
        <v>110</v>
      </c>
      <c r="D47" s="24">
        <v>113</v>
      </c>
      <c r="E47" s="24">
        <v>111.5</v>
      </c>
      <c r="F47" s="24">
        <v>106</v>
      </c>
      <c r="G47" s="25">
        <v>102.5</v>
      </c>
      <c r="H47" s="137">
        <f>+((H46/H48)/7)*1000</f>
        <v>108.32357533177205</v>
      </c>
      <c r="I47" s="50"/>
      <c r="J47" s="50"/>
      <c r="K47" s="50"/>
      <c r="L47" s="50"/>
      <c r="M47" s="50"/>
      <c r="N47" s="49"/>
      <c r="P47" s="273" t="s">
        <v>11</v>
      </c>
      <c r="Q47" s="23">
        <v>111.5</v>
      </c>
      <c r="R47" s="24">
        <v>111.5</v>
      </c>
      <c r="S47" s="24">
        <v>110</v>
      </c>
      <c r="T47" s="137">
        <f>+((T46/T48)/7)*1000</f>
        <v>111.20820668693008</v>
      </c>
      <c r="U47" s="2"/>
      <c r="W47" s="50"/>
      <c r="X47" s="50"/>
    </row>
    <row r="48" spans="1:36" ht="33.75" customHeight="1" x14ac:dyDescent="0.25">
      <c r="A48" s="193" t="s">
        <v>12</v>
      </c>
      <c r="B48" s="26">
        <v>283</v>
      </c>
      <c r="C48" s="27">
        <v>735</v>
      </c>
      <c r="D48" s="27">
        <v>451</v>
      </c>
      <c r="E48" s="27">
        <v>330</v>
      </c>
      <c r="F48" s="27">
        <v>728</v>
      </c>
      <c r="G48" s="28">
        <v>401</v>
      </c>
      <c r="H48" s="138">
        <f>SUM(B48:G48)</f>
        <v>2928</v>
      </c>
      <c r="I48" s="198"/>
      <c r="J48" s="198"/>
      <c r="K48" s="198"/>
      <c r="L48" s="198"/>
      <c r="M48" s="198"/>
      <c r="N48" s="49"/>
      <c r="O48" s="51"/>
      <c r="P48" s="193" t="s">
        <v>12</v>
      </c>
      <c r="Q48" s="257">
        <v>84</v>
      </c>
      <c r="R48" s="275">
        <v>212</v>
      </c>
      <c r="S48" s="275">
        <v>80</v>
      </c>
      <c r="T48" s="254">
        <f>SUM(Q48:S48)</f>
        <v>376</v>
      </c>
      <c r="U48" s="2"/>
      <c r="W48" s="52"/>
      <c r="X48" s="52"/>
    </row>
    <row r="49" spans="1:36" ht="33.75" customHeight="1" x14ac:dyDescent="0.25">
      <c r="A49" s="194" t="s">
        <v>13</v>
      </c>
      <c r="B49" s="30">
        <f>((((B47*7)*B48)/1000)-(B39+B40))/5</f>
        <v>31.073400000000003</v>
      </c>
      <c r="C49" s="31">
        <f t="shared" ref="C49" si="10">((((C47*7)*C48)/1000)-(C39+C40))/5</f>
        <v>82.950000000000017</v>
      </c>
      <c r="D49" s="31">
        <f t="shared" ref="D49" si="11">((((D47*7)*D48)/1000)-(D39+D40))/5</f>
        <v>52.228199999999994</v>
      </c>
      <c r="E49" s="31">
        <f t="shared" ref="E49" si="12">((((E47*7)*E48)/1000)-(E39+E40))/5</f>
        <v>37.713000000000001</v>
      </c>
      <c r="F49" s="31">
        <f t="shared" ref="F49" si="13">((((F47*7)*F48)/1000)-(F39+F40))/5</f>
        <v>79.195200000000014</v>
      </c>
      <c r="G49" s="32">
        <f t="shared" ref="G49" si="14">((((G47*7)*G48)/1000)-(G39+G40))/5</f>
        <v>42.103499999999997</v>
      </c>
      <c r="H49" s="139">
        <f>((H46*1000)/H48)/7</f>
        <v>108.32357533177206</v>
      </c>
      <c r="I49" s="199"/>
      <c r="J49" s="199"/>
      <c r="K49" s="199"/>
      <c r="L49" s="199"/>
      <c r="M49" s="199"/>
      <c r="N49" s="49"/>
      <c r="P49" s="194" t="s">
        <v>13</v>
      </c>
      <c r="Q49" s="30">
        <f>((((Q47*7)*Q48)/1000)-(Q39+Q40))/5</f>
        <v>9.5524000000000004</v>
      </c>
      <c r="R49" s="30">
        <f t="shared" ref="R49" si="15">((((R47*7)*R48)/1000)-(R39+R40))/5</f>
        <v>24.093200000000003</v>
      </c>
      <c r="S49" s="30">
        <f t="shared" ref="S49" si="16">((((S47*7)*S48)/1000)-(S39+S40))/5</f>
        <v>9</v>
      </c>
      <c r="T49" s="274">
        <f>((T46*1000)/T48)/7</f>
        <v>111.2082066869301</v>
      </c>
      <c r="U49" s="43"/>
      <c r="W49" s="52"/>
      <c r="X49" s="52"/>
    </row>
    <row r="50" spans="1:36" ht="33.75" customHeight="1" x14ac:dyDescent="0.25">
      <c r="A50" s="185" t="s">
        <v>14</v>
      </c>
      <c r="B50" s="279">
        <f t="shared" ref="B50:G50" si="17">((B48*B47)*7)/1000</f>
        <v>211.96700000000001</v>
      </c>
      <c r="C50" s="280">
        <f t="shared" si="17"/>
        <v>565.95000000000005</v>
      </c>
      <c r="D50" s="280">
        <f t="shared" si="17"/>
        <v>356.74099999999999</v>
      </c>
      <c r="E50" s="280">
        <f t="shared" si="17"/>
        <v>257.565</v>
      </c>
      <c r="F50" s="280">
        <f t="shared" si="17"/>
        <v>540.17600000000004</v>
      </c>
      <c r="G50" s="282">
        <f t="shared" si="17"/>
        <v>287.71749999999997</v>
      </c>
      <c r="H50" s="112"/>
      <c r="I50" s="41"/>
      <c r="J50" s="41"/>
      <c r="K50" s="41"/>
      <c r="L50" s="41"/>
      <c r="M50" s="41"/>
      <c r="N50" s="49"/>
      <c r="P50" s="185" t="s">
        <v>14</v>
      </c>
      <c r="Q50" s="279">
        <f>((Q48*Q47)*7)/1000</f>
        <v>65.561999999999998</v>
      </c>
      <c r="R50" s="280">
        <f>((R48*R47)*7)/1000</f>
        <v>165.46600000000001</v>
      </c>
      <c r="S50" s="280">
        <f>((S48*S47)*7)/1000</f>
        <v>61.6</v>
      </c>
      <c r="T50" s="36"/>
      <c r="U50" s="41"/>
    </row>
    <row r="51" spans="1:36" ht="33.75" customHeight="1" thickBot="1" x14ac:dyDescent="0.3">
      <c r="A51" s="195" t="s">
        <v>15</v>
      </c>
      <c r="B51" s="37">
        <f t="shared" ref="B51:G51" si="18">+(B46/B48)/7*1000</f>
        <v>107.01665825340736</v>
      </c>
      <c r="C51" s="38">
        <f t="shared" si="18"/>
        <v>110.00971817298347</v>
      </c>
      <c r="D51" s="38">
        <f t="shared" si="18"/>
        <v>112.98701298701299</v>
      </c>
      <c r="E51" s="38">
        <f t="shared" si="18"/>
        <v>111.51515151515153</v>
      </c>
      <c r="F51" s="38">
        <f t="shared" si="18"/>
        <v>106.00470957613814</v>
      </c>
      <c r="G51" s="39">
        <f t="shared" si="18"/>
        <v>102.49376558603491</v>
      </c>
      <c r="H51" s="140"/>
      <c r="I51" s="41"/>
      <c r="J51" s="41"/>
      <c r="K51" s="41"/>
      <c r="L51" s="41"/>
      <c r="M51" s="41"/>
      <c r="N51" s="49"/>
      <c r="O51" s="41"/>
      <c r="P51" s="195" t="s">
        <v>15</v>
      </c>
      <c r="Q51" s="37">
        <f>+(Q46/Q48)/7*1000</f>
        <v>111.56462585034012</v>
      </c>
      <c r="R51" s="38">
        <f>+(R46/R48)/7*1000</f>
        <v>111.52291105121293</v>
      </c>
      <c r="S51" s="38">
        <f>+(S46/S48)/7*1000</f>
        <v>110</v>
      </c>
      <c r="T51" s="259"/>
      <c r="U51" s="42"/>
      <c r="W51" s="42"/>
      <c r="X51" s="42"/>
    </row>
    <row r="52" spans="1:36" ht="33.75" customHeight="1" x14ac:dyDescent="0.25">
      <c r="A52" s="41"/>
      <c r="B52" s="43">
        <f>B50-B46</f>
        <v>-3.2999999999958618E-2</v>
      </c>
      <c r="C52" s="43">
        <f t="shared" ref="C52:G52" si="19">C50-C46</f>
        <v>-4.9999999999954525E-2</v>
      </c>
      <c r="D52" s="43">
        <f t="shared" si="19"/>
        <v>4.0999999999996817E-2</v>
      </c>
      <c r="E52" s="43">
        <f t="shared" si="19"/>
        <v>-3.5000000000025011E-2</v>
      </c>
      <c r="F52" s="43">
        <f t="shared" si="19"/>
        <v>-2.3999999999887223E-2</v>
      </c>
      <c r="G52" s="43">
        <f t="shared" si="19"/>
        <v>1.7499999999984084E-2</v>
      </c>
      <c r="H52" s="41"/>
      <c r="I52" s="41"/>
      <c r="J52" s="41"/>
      <c r="K52" s="41"/>
      <c r="L52" s="41"/>
      <c r="M52" s="41"/>
      <c r="N52" s="41"/>
      <c r="O52" s="41"/>
      <c r="P52" s="42"/>
      <c r="Q52" s="43">
        <f>Q50-Q46</f>
        <v>-3.7999999999996703E-2</v>
      </c>
      <c r="R52" s="42">
        <f t="shared" ref="R52:S52" si="20">R50-R46</f>
        <v>-3.3999999999963393E-2</v>
      </c>
      <c r="S52" s="42">
        <f t="shared" si="20"/>
        <v>0</v>
      </c>
      <c r="T52" s="42"/>
      <c r="U52" s="42"/>
      <c r="V52" s="42"/>
      <c r="W52" s="42"/>
      <c r="X52" s="42"/>
      <c r="Y52" s="42"/>
      <c r="Z52" s="42"/>
      <c r="AA52" s="2"/>
      <c r="AB52" s="2"/>
      <c r="AC52" s="2"/>
      <c r="AD52" s="2"/>
      <c r="AE52" s="2"/>
    </row>
    <row r="53" spans="1:36" ht="33.75" customHeight="1" x14ac:dyDescent="0.25">
      <c r="A53" s="41"/>
      <c r="B53" s="42">
        <f t="shared" ref="B53:G53" si="21">B51-B47</f>
        <v>1.6658253407356938E-2</v>
      </c>
      <c r="C53" s="42">
        <f t="shared" si="21"/>
        <v>9.7181729834687758E-3</v>
      </c>
      <c r="D53" s="42">
        <f t="shared" si="21"/>
        <v>-1.2987012987011326E-2</v>
      </c>
      <c r="E53" s="42">
        <f t="shared" si="21"/>
        <v>1.5151515151529793E-2</v>
      </c>
      <c r="F53" s="42">
        <f t="shared" si="21"/>
        <v>4.709576138139937E-3</v>
      </c>
      <c r="G53" s="42">
        <f t="shared" si="21"/>
        <v>-6.2344139650889474E-3</v>
      </c>
      <c r="H53" s="41"/>
      <c r="I53" s="41"/>
      <c r="J53" s="41"/>
      <c r="K53" s="41"/>
      <c r="L53" s="41"/>
      <c r="M53" s="41"/>
      <c r="N53" s="41"/>
      <c r="O53" s="42"/>
      <c r="P53" s="42"/>
      <c r="Q53" s="42">
        <f>Q51-Q47</f>
        <v>6.462585034012136E-2</v>
      </c>
      <c r="R53" s="42">
        <f t="shared" ref="R53:S53" si="22">R51-R47</f>
        <v>2.2911051212929578E-2</v>
      </c>
      <c r="S53" s="42">
        <f t="shared" si="22"/>
        <v>0</v>
      </c>
      <c r="T53" s="42"/>
      <c r="U53" s="42"/>
      <c r="V53" s="42"/>
      <c r="W53" s="42"/>
      <c r="X53" s="43"/>
      <c r="Y53" s="43"/>
      <c r="Z53" s="43"/>
      <c r="AA53" s="2"/>
      <c r="AB53" s="2"/>
      <c r="AC53" s="2"/>
      <c r="AD53" s="2"/>
      <c r="AH53" s="3"/>
    </row>
    <row r="54" spans="1:36" ht="33.75" customHeight="1" x14ac:dyDescent="0.25">
      <c r="A54" s="41"/>
      <c r="B54" s="42"/>
      <c r="C54" s="42"/>
      <c r="D54" s="42"/>
      <c r="E54" s="42"/>
      <c r="F54" s="42"/>
      <c r="G54" s="42"/>
      <c r="H54" s="41"/>
      <c r="I54" s="41"/>
      <c r="J54" s="41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2"/>
      <c r="X54" s="43"/>
      <c r="Y54" s="43"/>
      <c r="Z54" s="43"/>
      <c r="AA54" s="2"/>
      <c r="AB54" s="2"/>
      <c r="AC54" s="2"/>
      <c r="AD54" s="2"/>
      <c r="AH54" s="3"/>
    </row>
    <row r="55" spans="1:36" ht="33.75" customHeight="1" thickBot="1" x14ac:dyDescent="0.3">
      <c r="A55" s="53"/>
      <c r="B55" s="284"/>
      <c r="C55" s="284"/>
      <c r="D55" s="284"/>
      <c r="E55" s="284"/>
      <c r="F55" s="284"/>
      <c r="G55" s="284"/>
      <c r="H55" s="54"/>
      <c r="I55" s="54"/>
      <c r="J55" s="54"/>
      <c r="K55" s="54"/>
      <c r="L55" s="54"/>
      <c r="M55" s="54"/>
      <c r="N55" s="54"/>
      <c r="O55" s="958"/>
      <c r="P55" s="958"/>
      <c r="Q55" s="283"/>
      <c r="R55" s="283"/>
      <c r="S55" s="283"/>
      <c r="T55" s="54"/>
      <c r="U55" s="55"/>
      <c r="Z55" s="43"/>
      <c r="AA55" s="43"/>
      <c r="AB55" s="43"/>
      <c r="AC55" s="2"/>
      <c r="AD55" s="2"/>
      <c r="AE55" s="2"/>
      <c r="AF55" s="2"/>
      <c r="AH55" s="2"/>
      <c r="AI55" s="2"/>
      <c r="AJ55" s="2"/>
    </row>
    <row r="56" spans="1:36" ht="33.75" customHeight="1" thickBot="1" x14ac:dyDescent="0.3">
      <c r="A56" s="88" t="s">
        <v>19</v>
      </c>
      <c r="B56" s="973" t="s">
        <v>30</v>
      </c>
      <c r="C56" s="974"/>
      <c r="D56" s="974"/>
      <c r="E56" s="974"/>
      <c r="F56" s="975"/>
      <c r="G56" s="85"/>
      <c r="H56" s="56"/>
      <c r="I56" s="56"/>
      <c r="J56" s="56"/>
      <c r="K56" s="56"/>
      <c r="L56" s="56"/>
      <c r="M56" s="56"/>
      <c r="N56" s="56"/>
      <c r="Z56" s="43"/>
      <c r="AA56" s="43"/>
      <c r="AB56" s="43"/>
      <c r="AC56" s="2"/>
      <c r="AD56" s="2"/>
      <c r="AE56" s="2"/>
      <c r="AF56" s="2"/>
      <c r="AH56" s="2"/>
      <c r="AI56" s="2"/>
      <c r="AJ56" s="2"/>
    </row>
    <row r="57" spans="1:36" ht="33.75" customHeight="1" thickBot="1" x14ac:dyDescent="0.3">
      <c r="A57" s="80" t="s">
        <v>34</v>
      </c>
      <c r="B57" s="188"/>
      <c r="C57" s="249"/>
      <c r="D57" s="249"/>
      <c r="E57" s="249"/>
      <c r="F57" s="250"/>
      <c r="G57" s="13" t="s">
        <v>9</v>
      </c>
      <c r="N57" s="45"/>
      <c r="O57" s="45"/>
      <c r="P57" s="45"/>
      <c r="Q57" s="45"/>
      <c r="R57" s="57"/>
      <c r="S57" s="57"/>
      <c r="T57" s="57"/>
      <c r="U57" s="57"/>
      <c r="V57" s="45"/>
      <c r="W57" s="45"/>
      <c r="X57" s="58"/>
      <c r="Y57" s="58"/>
      <c r="Z57" s="58"/>
      <c r="AA57" s="2"/>
      <c r="AB57" s="2"/>
      <c r="AC57" s="2"/>
      <c r="AD57" s="2"/>
      <c r="AF57" s="2"/>
      <c r="AG57" s="2"/>
      <c r="AH57" s="2"/>
    </row>
    <row r="58" spans="1:36" ht="33.75" customHeight="1" x14ac:dyDescent="0.25">
      <c r="A58" s="80" t="s">
        <v>10</v>
      </c>
      <c r="B58" s="186">
        <v>1</v>
      </c>
      <c r="C58" s="174">
        <v>2</v>
      </c>
      <c r="D58" s="174">
        <v>3</v>
      </c>
      <c r="E58" s="174">
        <v>4</v>
      </c>
      <c r="F58" s="175">
        <v>5</v>
      </c>
      <c r="G58" s="13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57"/>
      <c r="V58" s="45"/>
      <c r="W58" s="45"/>
      <c r="X58" s="58"/>
      <c r="Y58" s="58"/>
      <c r="Z58" s="58"/>
      <c r="AA58" s="2"/>
      <c r="AB58" s="2"/>
      <c r="AC58" s="2"/>
      <c r="AD58" s="2"/>
      <c r="AE58" s="2"/>
      <c r="AF58" s="2"/>
      <c r="AG58" s="2"/>
      <c r="AH58" s="2"/>
    </row>
    <row r="59" spans="1:36" ht="33.75" customHeight="1" x14ac:dyDescent="0.25">
      <c r="A59" s="171" t="s">
        <v>53</v>
      </c>
      <c r="B59" s="18">
        <v>11.2</v>
      </c>
      <c r="C59" s="19">
        <v>17.5</v>
      </c>
      <c r="D59" s="19">
        <v>25.2</v>
      </c>
      <c r="E59" s="19">
        <v>36.5</v>
      </c>
      <c r="F59" s="20">
        <v>42.9</v>
      </c>
      <c r="G59" s="136">
        <f t="shared" ref="G59:G66" si="23">SUM(B59:F59)</f>
        <v>133.30000000000001</v>
      </c>
      <c r="H59" s="42"/>
      <c r="I59" s="42"/>
      <c r="J59" s="42"/>
      <c r="K59" s="42"/>
      <c r="L59" s="42"/>
      <c r="M59" s="42"/>
      <c r="N59" s="2"/>
      <c r="O59" s="45"/>
      <c r="P59" s="45"/>
      <c r="Q59" s="45"/>
      <c r="R59" s="57"/>
      <c r="S59" s="57"/>
      <c r="T59" s="57"/>
      <c r="U59" s="57"/>
      <c r="V59" s="45"/>
      <c r="W59" s="45"/>
      <c r="X59" s="58"/>
      <c r="Y59" s="58"/>
      <c r="Z59" s="58"/>
      <c r="AA59" s="2"/>
      <c r="AB59" s="2"/>
      <c r="AC59" s="2"/>
      <c r="AD59" s="2"/>
      <c r="AE59" s="2"/>
      <c r="AF59" s="2"/>
      <c r="AG59" s="2"/>
      <c r="AH59" s="2"/>
    </row>
    <row r="60" spans="1:36" ht="33.75" customHeight="1" x14ac:dyDescent="0.25">
      <c r="A60" s="171" t="s">
        <v>24</v>
      </c>
      <c r="B60" s="18">
        <v>11.2</v>
      </c>
      <c r="C60" s="19">
        <v>17.5</v>
      </c>
      <c r="D60" s="19">
        <v>25.2</v>
      </c>
      <c r="E60" s="19">
        <v>36.5</v>
      </c>
      <c r="F60" s="20">
        <v>42.9</v>
      </c>
      <c r="G60" s="136">
        <f t="shared" si="23"/>
        <v>133.30000000000001</v>
      </c>
      <c r="H60" s="42"/>
      <c r="I60" s="42"/>
      <c r="J60" s="42"/>
      <c r="K60" s="42"/>
      <c r="L60" s="42"/>
      <c r="M60" s="42"/>
      <c r="N60" s="2"/>
      <c r="O60" s="45"/>
      <c r="P60" s="45"/>
      <c r="Q60" s="45"/>
      <c r="R60" s="57"/>
      <c r="S60" s="57"/>
      <c r="T60" s="57"/>
      <c r="U60" s="57"/>
      <c r="V60" s="45"/>
      <c r="W60" s="45"/>
      <c r="X60" s="58"/>
      <c r="Y60" s="58"/>
      <c r="Z60" s="58"/>
      <c r="AA60" s="2"/>
      <c r="AB60" s="2"/>
      <c r="AC60" s="2"/>
      <c r="AD60" s="2"/>
      <c r="AE60" s="2"/>
      <c r="AF60" s="2"/>
      <c r="AG60" s="2"/>
      <c r="AH60" s="2"/>
    </row>
    <row r="61" spans="1:36" ht="33.75" customHeight="1" x14ac:dyDescent="0.25">
      <c r="A61" s="171" t="s">
        <v>20</v>
      </c>
      <c r="B61" s="18">
        <v>11.2</v>
      </c>
      <c r="C61" s="19">
        <v>18.600000000000001</v>
      </c>
      <c r="D61" s="19">
        <v>27.1</v>
      </c>
      <c r="E61" s="19">
        <v>39.299999999999997</v>
      </c>
      <c r="F61" s="20">
        <v>46.1</v>
      </c>
      <c r="G61" s="136">
        <f t="shared" si="23"/>
        <v>142.30000000000001</v>
      </c>
      <c r="H61" s="42"/>
      <c r="I61" s="42"/>
      <c r="J61" s="42"/>
      <c r="K61" s="42"/>
      <c r="L61" s="42"/>
      <c r="M61" s="42"/>
      <c r="N61" s="2"/>
      <c r="O61" s="45"/>
      <c r="P61" s="45"/>
      <c r="Q61" s="45"/>
      <c r="R61" s="57"/>
      <c r="S61" s="57"/>
      <c r="T61" s="57"/>
      <c r="U61" s="57"/>
      <c r="V61" s="45"/>
      <c r="W61" s="45"/>
      <c r="X61" s="58"/>
      <c r="Y61" s="58"/>
      <c r="Z61" s="58"/>
      <c r="AA61" s="2"/>
      <c r="AB61" s="2"/>
      <c r="AC61" s="2"/>
      <c r="AD61" s="2"/>
      <c r="AE61" s="2"/>
      <c r="AF61" s="2"/>
      <c r="AG61" s="2"/>
      <c r="AH61" s="2"/>
    </row>
    <row r="62" spans="1:36" ht="33.75" customHeight="1" x14ac:dyDescent="0.25">
      <c r="A62" s="171" t="s">
        <v>28</v>
      </c>
      <c r="B62" s="18">
        <v>11.2</v>
      </c>
      <c r="C62" s="19">
        <v>18.600000000000001</v>
      </c>
      <c r="D62" s="19">
        <v>27.1</v>
      </c>
      <c r="E62" s="19">
        <v>39.299999999999997</v>
      </c>
      <c r="F62" s="20">
        <v>46.1</v>
      </c>
      <c r="G62" s="136">
        <f t="shared" si="23"/>
        <v>142.30000000000001</v>
      </c>
      <c r="H62" s="42"/>
      <c r="I62" s="42"/>
      <c r="J62" s="42"/>
      <c r="K62" s="42"/>
      <c r="L62" s="42"/>
      <c r="M62" s="42"/>
      <c r="N62" s="2"/>
      <c r="O62" s="45"/>
      <c r="P62" s="45"/>
      <c r="Q62" s="45"/>
      <c r="R62" s="57"/>
      <c r="S62" s="57"/>
      <c r="T62" s="57"/>
      <c r="U62" s="57"/>
      <c r="V62" s="45"/>
      <c r="W62" s="45"/>
      <c r="X62" s="58"/>
      <c r="Y62" s="58"/>
      <c r="Z62" s="58"/>
      <c r="AA62" s="3"/>
      <c r="AB62" s="3"/>
      <c r="AC62" s="2"/>
      <c r="AD62" s="2"/>
      <c r="AE62" s="2"/>
      <c r="AF62" s="2"/>
      <c r="AG62" s="2"/>
      <c r="AH62" s="2"/>
    </row>
    <row r="63" spans="1:36" ht="33.75" customHeight="1" x14ac:dyDescent="0.25">
      <c r="A63" s="171" t="s">
        <v>21</v>
      </c>
      <c r="B63" s="18">
        <v>11.2</v>
      </c>
      <c r="C63" s="19">
        <v>18.600000000000001</v>
      </c>
      <c r="D63" s="19">
        <v>27.1</v>
      </c>
      <c r="E63" s="19">
        <v>39.299999999999997</v>
      </c>
      <c r="F63" s="20">
        <v>46.1</v>
      </c>
      <c r="G63" s="136">
        <f t="shared" si="23"/>
        <v>142.30000000000001</v>
      </c>
      <c r="H63" s="42"/>
      <c r="I63" s="42"/>
      <c r="J63" s="42"/>
      <c r="K63" s="42"/>
      <c r="L63" s="42"/>
      <c r="M63" s="42"/>
      <c r="N63" s="2"/>
      <c r="O63" s="45"/>
      <c r="P63" s="45"/>
      <c r="Q63" s="45"/>
      <c r="R63" s="57"/>
      <c r="S63" s="57"/>
      <c r="T63" s="57"/>
      <c r="U63" s="57"/>
      <c r="V63" s="45"/>
      <c r="W63" s="45"/>
      <c r="X63" s="58"/>
      <c r="Y63" s="58"/>
      <c r="Z63" s="58"/>
      <c r="AA63" s="3"/>
      <c r="AB63" s="3"/>
      <c r="AC63" s="2"/>
      <c r="AD63" s="2"/>
      <c r="AE63" s="2"/>
      <c r="AF63" s="2"/>
      <c r="AG63" s="2"/>
      <c r="AH63" s="2"/>
    </row>
    <row r="64" spans="1:36" ht="33.75" customHeight="1" x14ac:dyDescent="0.25">
      <c r="A64" s="171" t="s">
        <v>22</v>
      </c>
      <c r="B64" s="18">
        <v>11.3</v>
      </c>
      <c r="C64" s="19">
        <v>18.7</v>
      </c>
      <c r="D64" s="19">
        <v>27.1</v>
      </c>
      <c r="E64" s="19">
        <v>39.4</v>
      </c>
      <c r="F64" s="20">
        <v>46.1</v>
      </c>
      <c r="G64" s="136">
        <f t="shared" si="23"/>
        <v>142.6</v>
      </c>
      <c r="H64" s="42"/>
      <c r="I64" s="42"/>
      <c r="J64" s="42"/>
      <c r="K64" s="42"/>
      <c r="L64" s="42"/>
      <c r="M64" s="4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3"/>
      <c r="AB64" s="3"/>
      <c r="AE64" s="2"/>
      <c r="AF64" s="2"/>
      <c r="AG64" s="2"/>
      <c r="AH64" s="2"/>
    </row>
    <row r="65" spans="1:34" ht="33.75" customHeight="1" thickBot="1" x14ac:dyDescent="0.3">
      <c r="A65" s="171" t="s">
        <v>23</v>
      </c>
      <c r="B65" s="18">
        <v>11.3</v>
      </c>
      <c r="C65" s="19">
        <v>18.7</v>
      </c>
      <c r="D65" s="19">
        <v>27.2</v>
      </c>
      <c r="E65" s="19">
        <v>39.4</v>
      </c>
      <c r="F65" s="20">
        <v>46.2</v>
      </c>
      <c r="G65" s="136">
        <f t="shared" si="23"/>
        <v>142.80000000000001</v>
      </c>
      <c r="H65" s="42"/>
      <c r="I65" s="42"/>
      <c r="J65" s="42"/>
      <c r="K65" s="42"/>
      <c r="L65" s="42"/>
      <c r="M65" s="4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3"/>
      <c r="AB65" s="3"/>
      <c r="AE65" s="2"/>
      <c r="AF65" s="2"/>
      <c r="AG65" s="2"/>
      <c r="AH65" s="2"/>
    </row>
    <row r="66" spans="1:34" ht="33.75" customHeight="1" x14ac:dyDescent="0.25">
      <c r="A66" s="170" t="s">
        <v>9</v>
      </c>
      <c r="B66" s="131">
        <f t="shared" ref="B66:F66" si="24">SUM(B59:B65)</f>
        <v>78.599999999999994</v>
      </c>
      <c r="C66" s="128">
        <f t="shared" si="24"/>
        <v>128.20000000000002</v>
      </c>
      <c r="D66" s="128">
        <f t="shared" si="24"/>
        <v>185.99999999999997</v>
      </c>
      <c r="E66" s="128">
        <f t="shared" si="24"/>
        <v>269.7</v>
      </c>
      <c r="F66" s="129">
        <f t="shared" si="24"/>
        <v>316.39999999999998</v>
      </c>
      <c r="G66" s="136">
        <f t="shared" si="23"/>
        <v>978.9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3"/>
      <c r="AB66" s="3"/>
      <c r="AC66" s="3"/>
      <c r="AD66" s="3"/>
      <c r="AE66" s="2"/>
      <c r="AF66" s="2"/>
      <c r="AG66" s="2"/>
      <c r="AH66" s="2"/>
    </row>
    <row r="67" spans="1:34" ht="33.75" customHeight="1" x14ac:dyDescent="0.25">
      <c r="A67" s="192" t="s">
        <v>11</v>
      </c>
      <c r="B67" s="23">
        <v>114.5</v>
      </c>
      <c r="C67" s="24">
        <v>114.5</v>
      </c>
      <c r="D67" s="24">
        <v>115</v>
      </c>
      <c r="E67" s="24">
        <v>115</v>
      </c>
      <c r="F67" s="25">
        <v>115</v>
      </c>
      <c r="G67" s="137">
        <f>+((G66/G68)/7)*1000</f>
        <v>114.9078530343937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3"/>
      <c r="AB67" s="3"/>
      <c r="AC67" s="3"/>
      <c r="AD67" s="3"/>
      <c r="AE67" s="2"/>
      <c r="AF67" s="2"/>
      <c r="AG67" s="2"/>
      <c r="AH67" s="2"/>
    </row>
    <row r="68" spans="1:34" ht="33.75" customHeight="1" x14ac:dyDescent="0.25">
      <c r="A68" s="193" t="s">
        <v>12</v>
      </c>
      <c r="B68" s="257">
        <v>98</v>
      </c>
      <c r="C68" s="275">
        <v>160</v>
      </c>
      <c r="D68" s="275">
        <v>231</v>
      </c>
      <c r="E68" s="275">
        <v>335</v>
      </c>
      <c r="F68" s="276">
        <v>393</v>
      </c>
      <c r="G68" s="254">
        <f>SUM(B68:F68)</f>
        <v>1217</v>
      </c>
      <c r="N68" s="59"/>
      <c r="R68" s="3"/>
      <c r="S68" s="3"/>
      <c r="T68" s="3"/>
      <c r="U68" s="3"/>
      <c r="V68" s="3"/>
      <c r="W68" s="3"/>
    </row>
    <row r="69" spans="1:34" ht="33.75" customHeight="1" x14ac:dyDescent="0.25">
      <c r="A69" s="194" t="s">
        <v>13</v>
      </c>
      <c r="B69" s="30">
        <f>((((B67*7)*B68)/1000)-(B59+B60))/5</f>
        <v>11.2294</v>
      </c>
      <c r="C69" s="31">
        <f t="shared" ref="C69" si="25">((((C67*7)*C68)/1000)-(C59+C60))/5</f>
        <v>18.648000000000003</v>
      </c>
      <c r="D69" s="31">
        <f t="shared" ref="D69" si="26">((((D67*7)*D68)/1000)-(D59+D60))/5</f>
        <v>27.111000000000001</v>
      </c>
      <c r="E69" s="31">
        <f t="shared" ref="E69" si="27">((((E67*7)*E68)/1000)-(E59+E60))/5</f>
        <v>39.335000000000001</v>
      </c>
      <c r="F69" s="32">
        <f t="shared" ref="F69" si="28">((((F67*7)*F68)/1000)-(F59+F60))/5</f>
        <v>46.113</v>
      </c>
      <c r="G69" s="139">
        <f>((G66*1000)/G68)/7</f>
        <v>114.90785303439371</v>
      </c>
      <c r="R69" s="3"/>
      <c r="S69" s="3"/>
      <c r="T69" s="3"/>
      <c r="U69" s="3"/>
      <c r="V69" s="3"/>
      <c r="W69" s="3"/>
    </row>
    <row r="70" spans="1:34" ht="33.75" customHeight="1" x14ac:dyDescent="0.25">
      <c r="A70" s="185" t="s">
        <v>14</v>
      </c>
      <c r="B70" s="279">
        <f t="shared" ref="B70:F70" si="29">((B68*B67)*7)/1000</f>
        <v>78.546999999999997</v>
      </c>
      <c r="C70" s="280">
        <f t="shared" si="29"/>
        <v>128.24</v>
      </c>
      <c r="D70" s="280">
        <f t="shared" si="29"/>
        <v>185.95500000000001</v>
      </c>
      <c r="E70" s="280">
        <f t="shared" si="29"/>
        <v>269.67500000000001</v>
      </c>
      <c r="F70" s="282">
        <f t="shared" si="29"/>
        <v>316.36500000000001</v>
      </c>
      <c r="G70" s="112"/>
      <c r="H70" s="41"/>
      <c r="I70" s="41"/>
      <c r="J70" s="41"/>
      <c r="K70" s="41"/>
      <c r="L70" s="41"/>
      <c r="M70" s="41"/>
      <c r="W70" s="3"/>
    </row>
    <row r="71" spans="1:34" ht="33.75" customHeight="1" thickBot="1" x14ac:dyDescent="0.3">
      <c r="A71" s="195" t="s">
        <v>15</v>
      </c>
      <c r="B71" s="37">
        <f t="shared" ref="B71:F71" si="30">+(B66/B68)/7*1000</f>
        <v>114.57725947521865</v>
      </c>
      <c r="C71" s="38">
        <f t="shared" si="30"/>
        <v>114.46428571428572</v>
      </c>
      <c r="D71" s="38">
        <f t="shared" si="30"/>
        <v>115.02782931354358</v>
      </c>
      <c r="E71" s="38">
        <f t="shared" si="30"/>
        <v>115.01066098081024</v>
      </c>
      <c r="F71" s="39">
        <f t="shared" si="30"/>
        <v>115.01272264631044</v>
      </c>
      <c r="G71" s="40"/>
      <c r="W71" s="3"/>
    </row>
    <row r="72" spans="1:34" ht="33.75" customHeight="1" x14ac:dyDescent="0.25">
      <c r="B72" s="43">
        <f>B70-B66</f>
        <v>-5.2999999999997272E-2</v>
      </c>
      <c r="C72" s="43">
        <f t="shared" ref="C72:F72" si="31">C70-C66</f>
        <v>3.9999999999992042E-2</v>
      </c>
      <c r="D72" s="43">
        <f t="shared" si="31"/>
        <v>-4.4999999999959073E-2</v>
      </c>
      <c r="E72" s="43">
        <f t="shared" si="31"/>
        <v>-2.4999999999977263E-2</v>
      </c>
      <c r="F72" s="43">
        <f t="shared" si="31"/>
        <v>-3.4999999999968168E-2</v>
      </c>
    </row>
    <row r="73" spans="1:34" ht="33.75" customHeight="1" x14ac:dyDescent="0.25">
      <c r="B73" s="42">
        <f t="shared" ref="B73:F73" si="32">B71-B67</f>
        <v>7.7259475218653506E-2</v>
      </c>
      <c r="C73" s="42">
        <f t="shared" si="32"/>
        <v>-3.5714285714277594E-2</v>
      </c>
      <c r="D73" s="42">
        <f t="shared" si="32"/>
        <v>2.7829313543577427E-2</v>
      </c>
      <c r="E73" s="42">
        <f t="shared" si="32"/>
        <v>1.0660980810243359E-2</v>
      </c>
      <c r="F73" s="42">
        <f t="shared" si="32"/>
        <v>1.2722646310436403E-2</v>
      </c>
      <c r="G73" s="45"/>
      <c r="H73" s="45"/>
      <c r="I73" s="45"/>
      <c r="J73" s="45"/>
      <c r="K73" s="45"/>
      <c r="L73" s="45"/>
      <c r="M73" s="45"/>
      <c r="N73" s="52"/>
    </row>
    <row r="74" spans="1:34" ht="33.75" customHeight="1" x14ac:dyDescent="0.25">
      <c r="B74" s="42"/>
      <c r="C74" s="42"/>
      <c r="D74" s="42"/>
      <c r="E74" s="42"/>
      <c r="F74" s="42"/>
    </row>
    <row r="75" spans="1:34" ht="33.75" customHeight="1" x14ac:dyDescent="0.25">
      <c r="A75" s="45"/>
      <c r="B75" s="283"/>
      <c r="C75" s="283"/>
      <c r="D75" s="283"/>
      <c r="E75" s="283"/>
      <c r="F75" s="283"/>
      <c r="G75" s="58"/>
      <c r="H75" s="45"/>
      <c r="I75" s="45"/>
      <c r="J75" s="45"/>
      <c r="K75" s="45"/>
      <c r="L75" s="45"/>
      <c r="M75" s="45"/>
      <c r="N75" s="45"/>
      <c r="O75" s="45"/>
    </row>
    <row r="76" spans="1:34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4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4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4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4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3">
    <mergeCell ref="A3:C3"/>
    <mergeCell ref="E9:G9"/>
    <mergeCell ref="X9:Y9"/>
    <mergeCell ref="P11:Q11"/>
    <mergeCell ref="B15:I15"/>
    <mergeCell ref="J15:M15"/>
    <mergeCell ref="N15:R15"/>
    <mergeCell ref="S15:X15"/>
    <mergeCell ref="B36:G36"/>
    <mergeCell ref="Q36:S36"/>
    <mergeCell ref="N37:O37"/>
    <mergeCell ref="O55:P55"/>
    <mergeCell ref="B56:F56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J240"/>
  <sheetViews>
    <sheetView workbookViewId="0"/>
  </sheetViews>
  <sheetFormatPr baseColWidth="10" defaultRowHeight="15" x14ac:dyDescent="0.25"/>
  <cols>
    <col min="1" max="1" width="52.42578125" style="14" bestFit="1" customWidth="1"/>
    <col min="2" max="15" width="25.140625" style="14" customWidth="1"/>
    <col min="16" max="16" width="35.42578125" style="14" bestFit="1" customWidth="1"/>
    <col min="17" max="23" width="25.140625" style="14" customWidth="1"/>
    <col min="24" max="24" width="25.85546875" style="14" customWidth="1"/>
    <col min="25" max="25" width="21.42578125" style="14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 t="s">
        <v>79</v>
      </c>
      <c r="P11" s="965"/>
      <c r="Q11" s="6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1"/>
      <c r="AD13" s="1"/>
      <c r="AE13" s="1"/>
    </row>
    <row r="14" spans="1:3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1"/>
      <c r="AE14" s="1"/>
      <c r="AF14" s="1"/>
    </row>
    <row r="15" spans="1:36" s="10" customFormat="1" ht="36" thickBot="1" x14ac:dyDescent="0.3">
      <c r="A15" s="69" t="s">
        <v>7</v>
      </c>
      <c r="B15" s="971" t="s">
        <v>8</v>
      </c>
      <c r="C15" s="968"/>
      <c r="D15" s="968"/>
      <c r="E15" s="968"/>
      <c r="F15" s="968"/>
      <c r="G15" s="968"/>
      <c r="H15" s="968"/>
      <c r="I15" s="968"/>
      <c r="J15" s="971" t="s">
        <v>30</v>
      </c>
      <c r="K15" s="968"/>
      <c r="L15" s="968"/>
      <c r="M15" s="969"/>
      <c r="N15" s="971" t="s">
        <v>29</v>
      </c>
      <c r="O15" s="968"/>
      <c r="P15" s="968"/>
      <c r="Q15" s="968"/>
      <c r="R15" s="969"/>
      <c r="S15" s="962" t="s">
        <v>31</v>
      </c>
      <c r="T15" s="963"/>
      <c r="U15" s="963"/>
      <c r="V15" s="963"/>
      <c r="W15" s="963"/>
      <c r="X15" s="964"/>
    </row>
    <row r="16" spans="1:36" ht="39.950000000000003" customHeight="1" thickBot="1" x14ac:dyDescent="0.3">
      <c r="A16" s="80" t="s">
        <v>34</v>
      </c>
      <c r="B16" s="186">
        <v>4</v>
      </c>
      <c r="C16" s="174">
        <v>3</v>
      </c>
      <c r="D16" s="174">
        <v>2</v>
      </c>
      <c r="E16" s="174">
        <v>1</v>
      </c>
      <c r="F16" s="174">
        <v>1</v>
      </c>
      <c r="G16" s="174">
        <v>2</v>
      </c>
      <c r="H16" s="174">
        <v>3</v>
      </c>
      <c r="I16" s="175">
        <v>4</v>
      </c>
      <c r="J16" s="186">
        <v>1</v>
      </c>
      <c r="K16" s="174">
        <v>2</v>
      </c>
      <c r="L16" s="174">
        <v>3</v>
      </c>
      <c r="M16" s="175">
        <v>4</v>
      </c>
      <c r="N16" s="202">
        <v>1</v>
      </c>
      <c r="O16" s="174">
        <v>2</v>
      </c>
      <c r="P16" s="174">
        <v>3</v>
      </c>
      <c r="Q16" s="174">
        <v>4</v>
      </c>
      <c r="R16" s="203">
        <v>5</v>
      </c>
      <c r="S16" s="186">
        <v>1</v>
      </c>
      <c r="T16" s="174">
        <v>2</v>
      </c>
      <c r="U16" s="174">
        <v>3</v>
      </c>
      <c r="V16" s="174">
        <v>4</v>
      </c>
      <c r="W16" s="175">
        <v>5</v>
      </c>
      <c r="X16" s="126" t="s">
        <v>9</v>
      </c>
      <c r="AB16" s="15"/>
      <c r="AC16" s="15"/>
    </row>
    <row r="17" spans="1:36" ht="39.950000000000003" customHeight="1" thickBot="1" x14ac:dyDescent="0.3">
      <c r="A17" s="80" t="s">
        <v>10</v>
      </c>
      <c r="B17" s="186">
        <v>1</v>
      </c>
      <c r="C17" s="174">
        <v>2</v>
      </c>
      <c r="D17" s="174">
        <v>3</v>
      </c>
      <c r="E17" s="174">
        <v>4</v>
      </c>
      <c r="F17" s="174">
        <v>5</v>
      </c>
      <c r="G17" s="174">
        <v>6</v>
      </c>
      <c r="H17" s="174">
        <v>7</v>
      </c>
      <c r="I17" s="175">
        <v>8</v>
      </c>
      <c r="J17" s="186">
        <v>1</v>
      </c>
      <c r="K17" s="174">
        <v>2</v>
      </c>
      <c r="L17" s="174">
        <v>3</v>
      </c>
      <c r="M17" s="175">
        <v>4</v>
      </c>
      <c r="N17" s="202">
        <v>1</v>
      </c>
      <c r="O17" s="174">
        <v>2</v>
      </c>
      <c r="P17" s="174">
        <v>3</v>
      </c>
      <c r="Q17" s="174">
        <v>4</v>
      </c>
      <c r="R17" s="203">
        <v>5</v>
      </c>
      <c r="S17" s="186">
        <v>1</v>
      </c>
      <c r="T17" s="174">
        <v>2</v>
      </c>
      <c r="U17" s="174">
        <v>3</v>
      </c>
      <c r="V17" s="174">
        <v>4</v>
      </c>
      <c r="W17" s="175">
        <v>5</v>
      </c>
      <c r="X17" s="208"/>
      <c r="AB17" s="2"/>
      <c r="AC17" s="15"/>
    </row>
    <row r="18" spans="1:36" ht="39.950000000000003" customHeight="1" x14ac:dyDescent="0.25">
      <c r="A18" s="171" t="s">
        <v>53</v>
      </c>
      <c r="B18" s="133">
        <v>39.4</v>
      </c>
      <c r="C18" s="134">
        <v>82.7</v>
      </c>
      <c r="D18" s="134">
        <v>65.7</v>
      </c>
      <c r="E18" s="134">
        <v>26.4</v>
      </c>
      <c r="F18" s="134">
        <v>39.9</v>
      </c>
      <c r="G18" s="134">
        <v>60.6</v>
      </c>
      <c r="H18" s="134">
        <v>53.6</v>
      </c>
      <c r="I18" s="156">
        <v>46.1</v>
      </c>
      <c r="J18" s="133">
        <v>15.4</v>
      </c>
      <c r="K18" s="134">
        <v>31.1</v>
      </c>
      <c r="L18" s="134">
        <v>48.2</v>
      </c>
      <c r="M18" s="156">
        <v>43.3</v>
      </c>
      <c r="N18" s="133">
        <v>37.9</v>
      </c>
      <c r="O18" s="134">
        <v>39.6</v>
      </c>
      <c r="P18" s="134">
        <v>73.099999999999994</v>
      </c>
      <c r="Q18" s="134">
        <v>69.2</v>
      </c>
      <c r="R18" s="156">
        <v>36.700000000000003</v>
      </c>
      <c r="S18" s="133">
        <v>32.700000000000003</v>
      </c>
      <c r="T18" s="134">
        <v>51.3</v>
      </c>
      <c r="U18" s="134">
        <v>67.8</v>
      </c>
      <c r="V18" s="134">
        <v>61.5</v>
      </c>
      <c r="W18" s="156">
        <v>40.299999999999997</v>
      </c>
      <c r="X18" s="98">
        <f>SUM(B18:W18)</f>
        <v>1062.5000000000002</v>
      </c>
      <c r="AB18" s="2"/>
      <c r="AC18" s="15"/>
    </row>
    <row r="19" spans="1:36" ht="39.950000000000003" customHeight="1" x14ac:dyDescent="0.25">
      <c r="A19" s="171" t="s">
        <v>24</v>
      </c>
      <c r="B19" s="18">
        <v>39.4</v>
      </c>
      <c r="C19" s="19">
        <v>82.7</v>
      </c>
      <c r="D19" s="19">
        <v>65.7</v>
      </c>
      <c r="E19" s="19">
        <v>26.4</v>
      </c>
      <c r="F19" s="19">
        <v>39.9</v>
      </c>
      <c r="G19" s="19">
        <v>60.6</v>
      </c>
      <c r="H19" s="19">
        <v>53.6</v>
      </c>
      <c r="I19" s="20">
        <v>46.1</v>
      </c>
      <c r="J19" s="18">
        <v>15.4</v>
      </c>
      <c r="K19" s="19">
        <v>31.1</v>
      </c>
      <c r="L19" s="19">
        <v>48.2</v>
      </c>
      <c r="M19" s="20">
        <v>43.3</v>
      </c>
      <c r="N19" s="18">
        <v>37.9</v>
      </c>
      <c r="O19" s="19">
        <v>39.6</v>
      </c>
      <c r="P19" s="19">
        <v>73.099999999999994</v>
      </c>
      <c r="Q19" s="19">
        <v>69.2</v>
      </c>
      <c r="R19" s="20">
        <v>36.700000000000003</v>
      </c>
      <c r="S19" s="18">
        <v>32.700000000000003</v>
      </c>
      <c r="T19" s="19">
        <v>51.3</v>
      </c>
      <c r="U19" s="19">
        <v>67.8</v>
      </c>
      <c r="V19" s="19">
        <v>61.5</v>
      </c>
      <c r="W19" s="20">
        <v>40.299999999999997</v>
      </c>
      <c r="X19" s="98">
        <f t="shared" ref="X19:X24" si="0">SUM(B19:W19)</f>
        <v>1062.5000000000002</v>
      </c>
      <c r="AB19" s="2"/>
      <c r="AC19" s="15"/>
    </row>
    <row r="20" spans="1:36" ht="39.75" customHeight="1" x14ac:dyDescent="0.25">
      <c r="A20" s="171" t="s">
        <v>20</v>
      </c>
      <c r="B20" s="18">
        <v>40.799999999999997</v>
      </c>
      <c r="C20" s="19">
        <v>85.8</v>
      </c>
      <c r="D20" s="19">
        <v>68.3</v>
      </c>
      <c r="E20" s="19">
        <v>27.4</v>
      </c>
      <c r="F20" s="19">
        <v>41.5</v>
      </c>
      <c r="G20" s="19">
        <v>63</v>
      </c>
      <c r="H20" s="19">
        <v>55.7</v>
      </c>
      <c r="I20" s="20">
        <v>48</v>
      </c>
      <c r="J20" s="18">
        <v>15.9</v>
      </c>
      <c r="K20" s="19">
        <v>32.299999999999997</v>
      </c>
      <c r="L20" s="19">
        <v>49.8</v>
      </c>
      <c r="M20" s="20">
        <v>44.9</v>
      </c>
      <c r="N20" s="18">
        <v>39.5</v>
      </c>
      <c r="O20" s="19">
        <v>40.799999999999997</v>
      </c>
      <c r="P20" s="19">
        <v>75.8</v>
      </c>
      <c r="Q20" s="19">
        <v>72.2</v>
      </c>
      <c r="R20" s="20">
        <v>37.799999999999997</v>
      </c>
      <c r="S20" s="18">
        <v>33.799999999999997</v>
      </c>
      <c r="T20" s="19">
        <v>53</v>
      </c>
      <c r="U20" s="19">
        <v>70.599999999999994</v>
      </c>
      <c r="V20" s="19">
        <v>63.9</v>
      </c>
      <c r="W20" s="20">
        <v>41.9</v>
      </c>
      <c r="X20" s="98">
        <f t="shared" si="0"/>
        <v>1102.6999999999998</v>
      </c>
      <c r="AB20" s="2"/>
      <c r="AC20" s="15"/>
    </row>
    <row r="21" spans="1:36" ht="39.950000000000003" customHeight="1" x14ac:dyDescent="0.25">
      <c r="A21" s="171" t="s">
        <v>28</v>
      </c>
      <c r="B21" s="18">
        <v>40.799999999999997</v>
      </c>
      <c r="C21" s="19">
        <v>85.9</v>
      </c>
      <c r="D21" s="19">
        <v>68.3</v>
      </c>
      <c r="E21" s="19">
        <v>27.4</v>
      </c>
      <c r="F21" s="19">
        <v>41.5</v>
      </c>
      <c r="G21" s="19">
        <v>63</v>
      </c>
      <c r="H21" s="19">
        <v>55.7</v>
      </c>
      <c r="I21" s="20">
        <v>48.1</v>
      </c>
      <c r="J21" s="18">
        <v>15.9</v>
      </c>
      <c r="K21" s="19">
        <v>32.299999999999997</v>
      </c>
      <c r="L21" s="19">
        <v>49.9</v>
      </c>
      <c r="M21" s="20">
        <v>44.9</v>
      </c>
      <c r="N21" s="18">
        <v>39.5</v>
      </c>
      <c r="O21" s="19">
        <v>40.799999999999997</v>
      </c>
      <c r="P21" s="19">
        <v>75.8</v>
      </c>
      <c r="Q21" s="19">
        <v>72.2</v>
      </c>
      <c r="R21" s="20">
        <v>37.9</v>
      </c>
      <c r="S21" s="18">
        <v>33.799999999999997</v>
      </c>
      <c r="T21" s="19">
        <v>53</v>
      </c>
      <c r="U21" s="19">
        <v>70.599999999999994</v>
      </c>
      <c r="V21" s="19">
        <v>63.9</v>
      </c>
      <c r="W21" s="20">
        <v>41.9</v>
      </c>
      <c r="X21" s="98">
        <f t="shared" si="0"/>
        <v>1103.0999999999999</v>
      </c>
      <c r="AB21" s="2"/>
      <c r="AC21" s="15"/>
    </row>
    <row r="22" spans="1:36" ht="39.950000000000003" customHeight="1" x14ac:dyDescent="0.25">
      <c r="A22" s="171" t="s">
        <v>21</v>
      </c>
      <c r="B22" s="18">
        <v>40.799999999999997</v>
      </c>
      <c r="C22" s="19">
        <v>85.9</v>
      </c>
      <c r="D22" s="19">
        <v>68.3</v>
      </c>
      <c r="E22" s="19">
        <v>27.4</v>
      </c>
      <c r="F22" s="19">
        <v>41.5</v>
      </c>
      <c r="G22" s="19">
        <v>63</v>
      </c>
      <c r="H22" s="19">
        <v>55.7</v>
      </c>
      <c r="I22" s="20">
        <v>48.1</v>
      </c>
      <c r="J22" s="18">
        <v>15.9</v>
      </c>
      <c r="K22" s="19">
        <v>32.299999999999997</v>
      </c>
      <c r="L22" s="19">
        <v>49.9</v>
      </c>
      <c r="M22" s="20">
        <v>45</v>
      </c>
      <c r="N22" s="18">
        <v>39.6</v>
      </c>
      <c r="O22" s="19">
        <v>40.799999999999997</v>
      </c>
      <c r="P22" s="19">
        <v>75.8</v>
      </c>
      <c r="Q22" s="19">
        <v>72.3</v>
      </c>
      <c r="R22" s="20">
        <v>37.9</v>
      </c>
      <c r="S22" s="18">
        <v>33.9</v>
      </c>
      <c r="T22" s="19">
        <v>53.1</v>
      </c>
      <c r="U22" s="19">
        <v>70.599999999999994</v>
      </c>
      <c r="V22" s="19">
        <v>64</v>
      </c>
      <c r="W22" s="20">
        <v>41.9</v>
      </c>
      <c r="X22" s="98">
        <f t="shared" si="0"/>
        <v>1103.6999999999998</v>
      </c>
      <c r="AB22" s="2"/>
      <c r="AC22" s="15"/>
    </row>
    <row r="23" spans="1:36" ht="39.950000000000003" customHeight="1" x14ac:dyDescent="0.25">
      <c r="A23" s="171" t="s">
        <v>22</v>
      </c>
      <c r="B23" s="18">
        <v>40.799999999999997</v>
      </c>
      <c r="C23" s="19">
        <v>85.9</v>
      </c>
      <c r="D23" s="19">
        <v>68.3</v>
      </c>
      <c r="E23" s="19">
        <v>27.5</v>
      </c>
      <c r="F23" s="19">
        <v>41.5</v>
      </c>
      <c r="G23" s="19">
        <v>63</v>
      </c>
      <c r="H23" s="19">
        <v>55.7</v>
      </c>
      <c r="I23" s="20">
        <v>48.1</v>
      </c>
      <c r="J23" s="18">
        <v>15.9</v>
      </c>
      <c r="K23" s="19">
        <v>32.299999999999997</v>
      </c>
      <c r="L23" s="19">
        <v>49.9</v>
      </c>
      <c r="M23" s="20">
        <v>45</v>
      </c>
      <c r="N23" s="18">
        <v>39.6</v>
      </c>
      <c r="O23" s="19">
        <v>40.799999999999997</v>
      </c>
      <c r="P23" s="19">
        <v>75.8</v>
      </c>
      <c r="Q23" s="19">
        <v>72.3</v>
      </c>
      <c r="R23" s="20">
        <v>37.9</v>
      </c>
      <c r="S23" s="18">
        <v>33.9</v>
      </c>
      <c r="T23" s="19">
        <v>53.1</v>
      </c>
      <c r="U23" s="19">
        <v>70.599999999999994</v>
      </c>
      <c r="V23" s="19">
        <v>64</v>
      </c>
      <c r="W23" s="20">
        <v>42</v>
      </c>
      <c r="X23" s="98">
        <f t="shared" si="0"/>
        <v>1103.8999999999999</v>
      </c>
      <c r="AB23" s="2"/>
      <c r="AC23" s="15"/>
    </row>
    <row r="24" spans="1:36" ht="39.950000000000003" customHeight="1" thickBot="1" x14ac:dyDescent="0.3">
      <c r="A24" s="285" t="s">
        <v>23</v>
      </c>
      <c r="B24" s="18">
        <v>40.799999999999997</v>
      </c>
      <c r="C24" s="19">
        <v>85.9</v>
      </c>
      <c r="D24" s="19">
        <v>68.3</v>
      </c>
      <c r="E24" s="19">
        <v>27.5</v>
      </c>
      <c r="F24" s="19">
        <v>41.5</v>
      </c>
      <c r="G24" s="19">
        <v>63</v>
      </c>
      <c r="H24" s="19">
        <v>55.7</v>
      </c>
      <c r="I24" s="20">
        <v>48.1</v>
      </c>
      <c r="J24" s="18">
        <v>15.9</v>
      </c>
      <c r="K24" s="19">
        <v>32.299999999999997</v>
      </c>
      <c r="L24" s="19">
        <v>49.9</v>
      </c>
      <c r="M24" s="20">
        <v>45</v>
      </c>
      <c r="N24" s="18">
        <v>39.6</v>
      </c>
      <c r="O24" s="19">
        <v>40.9</v>
      </c>
      <c r="P24" s="19">
        <v>75.8</v>
      </c>
      <c r="Q24" s="19">
        <v>72.3</v>
      </c>
      <c r="R24" s="20">
        <v>37.9</v>
      </c>
      <c r="S24" s="18">
        <v>33.9</v>
      </c>
      <c r="T24" s="19">
        <v>53.1</v>
      </c>
      <c r="U24" s="19">
        <v>70.7</v>
      </c>
      <c r="V24" s="19">
        <v>64</v>
      </c>
      <c r="W24" s="20">
        <v>42</v>
      </c>
      <c r="X24" s="98">
        <f t="shared" si="0"/>
        <v>1104.0999999999999</v>
      </c>
      <c r="AB24" s="2"/>
    </row>
    <row r="25" spans="1:36" ht="41.45" customHeight="1" x14ac:dyDescent="0.25">
      <c r="A25" s="268" t="s">
        <v>9</v>
      </c>
      <c r="B25" s="131">
        <f>SUM(B18:B24)</f>
        <v>282.8</v>
      </c>
      <c r="C25" s="128">
        <f t="shared" ref="C25:W25" si="1">SUM(C18:C24)</f>
        <v>594.79999999999995</v>
      </c>
      <c r="D25" s="128">
        <f t="shared" si="1"/>
        <v>472.90000000000003</v>
      </c>
      <c r="E25" s="128">
        <f t="shared" si="1"/>
        <v>190</v>
      </c>
      <c r="F25" s="128">
        <f t="shared" si="1"/>
        <v>287.3</v>
      </c>
      <c r="G25" s="128">
        <f t="shared" si="1"/>
        <v>436.2</v>
      </c>
      <c r="H25" s="128">
        <f t="shared" si="1"/>
        <v>385.7</v>
      </c>
      <c r="I25" s="205">
        <f t="shared" si="1"/>
        <v>332.6</v>
      </c>
      <c r="J25" s="131">
        <f t="shared" si="1"/>
        <v>110.30000000000001</v>
      </c>
      <c r="K25" s="128">
        <f t="shared" si="1"/>
        <v>223.7</v>
      </c>
      <c r="L25" s="128">
        <f t="shared" si="1"/>
        <v>345.79999999999995</v>
      </c>
      <c r="M25" s="205">
        <f t="shared" si="1"/>
        <v>311.39999999999998</v>
      </c>
      <c r="N25" s="131">
        <f t="shared" si="1"/>
        <v>273.60000000000002</v>
      </c>
      <c r="O25" s="128">
        <f t="shared" si="1"/>
        <v>283.3</v>
      </c>
      <c r="P25" s="128">
        <f t="shared" si="1"/>
        <v>525.20000000000005</v>
      </c>
      <c r="Q25" s="128">
        <f t="shared" si="1"/>
        <v>499.70000000000005</v>
      </c>
      <c r="R25" s="205">
        <f t="shared" si="1"/>
        <v>262.8</v>
      </c>
      <c r="S25" s="131">
        <f t="shared" si="1"/>
        <v>234.70000000000002</v>
      </c>
      <c r="T25" s="128">
        <f t="shared" si="1"/>
        <v>367.90000000000003</v>
      </c>
      <c r="U25" s="128">
        <f t="shared" si="1"/>
        <v>488.7</v>
      </c>
      <c r="V25" s="128">
        <f t="shared" si="1"/>
        <v>442.8</v>
      </c>
      <c r="W25" s="129">
        <f t="shared" si="1"/>
        <v>290.3</v>
      </c>
      <c r="X25" s="98">
        <f>SUM(X18,X19,X20,X21,X22,X23,X24)</f>
        <v>7642.5</v>
      </c>
    </row>
    <row r="26" spans="1:36" s="2" customFormat="1" ht="36.75" customHeight="1" x14ac:dyDescent="0.25">
      <c r="A26" s="192" t="s">
        <v>11</v>
      </c>
      <c r="B26" s="23">
        <v>109.5</v>
      </c>
      <c r="C26" s="24">
        <v>110.5</v>
      </c>
      <c r="D26" s="24">
        <v>114.5</v>
      </c>
      <c r="E26" s="24">
        <v>116</v>
      </c>
      <c r="F26" s="24">
        <v>114</v>
      </c>
      <c r="G26" s="24">
        <v>113.5</v>
      </c>
      <c r="H26" s="24">
        <v>112</v>
      </c>
      <c r="I26" s="228">
        <v>110</v>
      </c>
      <c r="J26" s="23">
        <v>115</v>
      </c>
      <c r="K26" s="24">
        <v>112.5</v>
      </c>
      <c r="L26" s="24">
        <v>111</v>
      </c>
      <c r="M26" s="228">
        <v>108.5</v>
      </c>
      <c r="N26" s="23">
        <v>116</v>
      </c>
      <c r="O26" s="24">
        <v>114</v>
      </c>
      <c r="P26" s="24">
        <v>110.5</v>
      </c>
      <c r="Q26" s="24">
        <v>110.5</v>
      </c>
      <c r="R26" s="228">
        <v>108.5</v>
      </c>
      <c r="S26" s="23">
        <v>116</v>
      </c>
      <c r="T26" s="24">
        <v>114.5</v>
      </c>
      <c r="U26" s="24">
        <v>111</v>
      </c>
      <c r="V26" s="24">
        <v>110</v>
      </c>
      <c r="W26" s="25">
        <v>110</v>
      </c>
      <c r="X26" s="99">
        <f>(((X25*1000)/7)/X27)</f>
        <v>111.82891675568108</v>
      </c>
    </row>
    <row r="27" spans="1:36" s="2" customFormat="1" ht="33" customHeight="1" x14ac:dyDescent="0.25">
      <c r="A27" s="193" t="s">
        <v>12</v>
      </c>
      <c r="B27" s="26">
        <v>369</v>
      </c>
      <c r="C27" s="27">
        <v>769</v>
      </c>
      <c r="D27" s="27">
        <v>590</v>
      </c>
      <c r="E27" s="27">
        <v>234</v>
      </c>
      <c r="F27" s="27">
        <v>360</v>
      </c>
      <c r="G27" s="27">
        <v>549</v>
      </c>
      <c r="H27" s="27">
        <v>492</v>
      </c>
      <c r="I27" s="183">
        <v>432</v>
      </c>
      <c r="J27" s="26">
        <v>137</v>
      </c>
      <c r="K27" s="27">
        <v>284</v>
      </c>
      <c r="L27" s="27">
        <v>445</v>
      </c>
      <c r="M27" s="183">
        <v>410</v>
      </c>
      <c r="N27" s="26">
        <v>337</v>
      </c>
      <c r="O27" s="27">
        <v>355</v>
      </c>
      <c r="P27" s="27">
        <v>679</v>
      </c>
      <c r="Q27" s="27">
        <v>646</v>
      </c>
      <c r="R27" s="183">
        <v>346</v>
      </c>
      <c r="S27" s="26">
        <v>289</v>
      </c>
      <c r="T27" s="27">
        <v>459</v>
      </c>
      <c r="U27" s="27">
        <v>629</v>
      </c>
      <c r="V27" s="27">
        <v>575</v>
      </c>
      <c r="W27" s="28">
        <v>377</v>
      </c>
      <c r="X27" s="29">
        <f>SUM(B27,C27,D27,E27,F27,G27,H27,I27,J27,K27,L27,M27,N27,O27,P27,Q27,R27,S27,T27,U27,V27,W27)</f>
        <v>9763</v>
      </c>
    </row>
    <row r="28" spans="1:36" s="2" customFormat="1" ht="33" customHeight="1" x14ac:dyDescent="0.25">
      <c r="A28" s="194" t="s">
        <v>13</v>
      </c>
      <c r="B28" s="30">
        <f>((((B26*7)*B27)/1000)-(B18+B19))/5</f>
        <v>40.807699999999997</v>
      </c>
      <c r="C28" s="30">
        <f t="shared" ref="C28:W28" si="2">((((C26*7)*C27)/1000)-(C18+C19))/5</f>
        <v>85.88430000000001</v>
      </c>
      <c r="D28" s="30">
        <f t="shared" si="2"/>
        <v>68.296999999999997</v>
      </c>
      <c r="E28" s="30">
        <f t="shared" si="2"/>
        <v>27.441600000000005</v>
      </c>
      <c r="F28" s="30">
        <f t="shared" si="2"/>
        <v>41.495999999999995</v>
      </c>
      <c r="G28" s="30">
        <f t="shared" si="2"/>
        <v>62.996099999999998</v>
      </c>
      <c r="H28" s="30">
        <f t="shared" si="2"/>
        <v>55.705600000000004</v>
      </c>
      <c r="I28" s="30">
        <f t="shared" si="2"/>
        <v>48.088000000000001</v>
      </c>
      <c r="J28" s="30">
        <f t="shared" si="2"/>
        <v>15.897</v>
      </c>
      <c r="K28" s="30">
        <f t="shared" si="2"/>
        <v>32.29</v>
      </c>
      <c r="L28" s="30">
        <f t="shared" si="2"/>
        <v>49.872999999999998</v>
      </c>
      <c r="M28" s="30">
        <f t="shared" si="2"/>
        <v>44.958999999999996</v>
      </c>
      <c r="N28" s="30">
        <f t="shared" si="2"/>
        <v>39.568799999999996</v>
      </c>
      <c r="O28" s="30">
        <f t="shared" si="2"/>
        <v>40.818000000000005</v>
      </c>
      <c r="P28" s="30">
        <f t="shared" si="2"/>
        <v>75.801299999999998</v>
      </c>
      <c r="Q28" s="30">
        <f t="shared" si="2"/>
        <v>72.256199999999993</v>
      </c>
      <c r="R28" s="30">
        <f t="shared" si="2"/>
        <v>37.877399999999994</v>
      </c>
      <c r="S28" s="30">
        <f t="shared" si="2"/>
        <v>33.8536</v>
      </c>
      <c r="T28" s="30">
        <f t="shared" si="2"/>
        <v>53.057699999999997</v>
      </c>
      <c r="U28" s="30">
        <f t="shared" si="2"/>
        <v>70.62660000000001</v>
      </c>
      <c r="V28" s="30">
        <f t="shared" si="2"/>
        <v>63.95</v>
      </c>
      <c r="W28" s="286">
        <f t="shared" si="2"/>
        <v>41.938000000000002</v>
      </c>
      <c r="X28" s="33"/>
    </row>
    <row r="29" spans="1:36" ht="33.75" customHeight="1" x14ac:dyDescent="0.25">
      <c r="A29" s="185" t="s">
        <v>14</v>
      </c>
      <c r="B29" s="279">
        <f t="shared" ref="B29:W29" si="3">((B27*B26)*7)/1000</f>
        <v>282.83850000000001</v>
      </c>
      <c r="C29" s="280">
        <f t="shared" si="3"/>
        <v>594.82150000000001</v>
      </c>
      <c r="D29" s="280">
        <f t="shared" si="3"/>
        <v>472.88499999999999</v>
      </c>
      <c r="E29" s="280">
        <f t="shared" si="3"/>
        <v>190.00800000000001</v>
      </c>
      <c r="F29" s="280">
        <f t="shared" si="3"/>
        <v>287.27999999999997</v>
      </c>
      <c r="G29" s="280">
        <f t="shared" si="3"/>
        <v>436.18049999999999</v>
      </c>
      <c r="H29" s="280">
        <f t="shared" si="3"/>
        <v>385.72800000000001</v>
      </c>
      <c r="I29" s="281">
        <f t="shared" si="3"/>
        <v>332.64</v>
      </c>
      <c r="J29" s="279">
        <f t="shared" si="3"/>
        <v>110.285</v>
      </c>
      <c r="K29" s="280">
        <f t="shared" si="3"/>
        <v>223.65</v>
      </c>
      <c r="L29" s="280">
        <f t="shared" si="3"/>
        <v>345.76499999999999</v>
      </c>
      <c r="M29" s="281">
        <f t="shared" si="3"/>
        <v>311.39499999999998</v>
      </c>
      <c r="N29" s="279">
        <f t="shared" si="3"/>
        <v>273.64400000000001</v>
      </c>
      <c r="O29" s="280">
        <f t="shared" si="3"/>
        <v>283.29000000000002</v>
      </c>
      <c r="P29" s="280">
        <f t="shared" si="3"/>
        <v>525.20650000000001</v>
      </c>
      <c r="Q29" s="280">
        <f t="shared" si="3"/>
        <v>499.68099999999998</v>
      </c>
      <c r="R29" s="281">
        <f t="shared" si="3"/>
        <v>262.78699999999998</v>
      </c>
      <c r="S29" s="279">
        <f t="shared" si="3"/>
        <v>234.66800000000001</v>
      </c>
      <c r="T29" s="280">
        <f t="shared" si="3"/>
        <v>367.88850000000002</v>
      </c>
      <c r="U29" s="280">
        <f t="shared" si="3"/>
        <v>488.733</v>
      </c>
      <c r="V29" s="280">
        <f t="shared" si="3"/>
        <v>442.75</v>
      </c>
      <c r="W29" s="282">
        <f t="shared" si="3"/>
        <v>290.29000000000002</v>
      </c>
      <c r="X29" s="36"/>
    </row>
    <row r="30" spans="1:36" ht="33.75" customHeight="1" thickBot="1" x14ac:dyDescent="0.3">
      <c r="A30" s="195" t="s">
        <v>15</v>
      </c>
      <c r="B30" s="37">
        <f>+(B25/B27)/7*1000</f>
        <v>109.48509485094851</v>
      </c>
      <c r="C30" s="38">
        <f t="shared" ref="C30:W30" si="4">+(C25/C27)/7*1000</f>
        <v>110.49600594464053</v>
      </c>
      <c r="D30" s="38">
        <f t="shared" si="4"/>
        <v>114.50363196125909</v>
      </c>
      <c r="E30" s="38">
        <f t="shared" si="4"/>
        <v>115.995115995116</v>
      </c>
      <c r="F30" s="38">
        <f t="shared" si="4"/>
        <v>114.00793650793652</v>
      </c>
      <c r="G30" s="38">
        <f t="shared" si="4"/>
        <v>113.50507416081186</v>
      </c>
      <c r="H30" s="38">
        <f t="shared" si="4"/>
        <v>111.99186991869918</v>
      </c>
      <c r="I30" s="207">
        <f t="shared" si="4"/>
        <v>109.98677248677249</v>
      </c>
      <c r="J30" s="37">
        <f t="shared" si="4"/>
        <v>115.01564129301357</v>
      </c>
      <c r="K30" s="38">
        <f t="shared" si="4"/>
        <v>112.5251509054326</v>
      </c>
      <c r="L30" s="38">
        <f t="shared" si="4"/>
        <v>111.01123595505616</v>
      </c>
      <c r="M30" s="207">
        <f t="shared" si="4"/>
        <v>108.50174216027874</v>
      </c>
      <c r="N30" s="37">
        <f t="shared" si="4"/>
        <v>115.98134802882579</v>
      </c>
      <c r="O30" s="38">
        <f t="shared" si="4"/>
        <v>114.00402414486922</v>
      </c>
      <c r="P30" s="38">
        <f t="shared" si="4"/>
        <v>110.49863244266778</v>
      </c>
      <c r="Q30" s="38">
        <f t="shared" si="4"/>
        <v>110.50420168067228</v>
      </c>
      <c r="R30" s="207">
        <f t="shared" si="4"/>
        <v>108.50536746490504</v>
      </c>
      <c r="S30" s="37">
        <f t="shared" si="4"/>
        <v>116.01581809194265</v>
      </c>
      <c r="T30" s="38">
        <f t="shared" si="4"/>
        <v>114.50357920946156</v>
      </c>
      <c r="U30" s="38">
        <f t="shared" si="4"/>
        <v>110.99250511015215</v>
      </c>
      <c r="V30" s="38">
        <f t="shared" si="4"/>
        <v>110.01242236024845</v>
      </c>
      <c r="W30" s="39">
        <f t="shared" si="4"/>
        <v>110.00378931413414</v>
      </c>
      <c r="X30" s="40"/>
    </row>
    <row r="31" spans="1:36" ht="33.75" customHeight="1" x14ac:dyDescent="0.25">
      <c r="A31" s="41"/>
      <c r="B31" s="42">
        <f>B29-B25</f>
        <v>3.8499999999999091E-2</v>
      </c>
      <c r="C31" s="42">
        <f t="shared" ref="C31:W32" si="5">C29-C25</f>
        <v>2.1500000000060027E-2</v>
      </c>
      <c r="D31" s="42">
        <f t="shared" si="5"/>
        <v>-1.5000000000043201E-2</v>
      </c>
      <c r="E31" s="42">
        <f t="shared" si="5"/>
        <v>8.0000000000097771E-3</v>
      </c>
      <c r="F31" s="42">
        <f t="shared" si="5"/>
        <v>-2.0000000000038654E-2</v>
      </c>
      <c r="G31" s="42">
        <f t="shared" si="5"/>
        <v>-1.9499999999993634E-2</v>
      </c>
      <c r="H31" s="42">
        <f t="shared" si="5"/>
        <v>2.8000000000020009E-2</v>
      </c>
      <c r="I31" s="42">
        <f t="shared" si="5"/>
        <v>3.999999999996362E-2</v>
      </c>
      <c r="J31" s="42">
        <f t="shared" si="5"/>
        <v>-1.5000000000014779E-2</v>
      </c>
      <c r="K31" s="42">
        <f t="shared" si="5"/>
        <v>-4.9999999999982947E-2</v>
      </c>
      <c r="L31" s="42">
        <f t="shared" si="5"/>
        <v>-3.4999999999968168E-2</v>
      </c>
      <c r="M31" s="42">
        <f t="shared" si="5"/>
        <v>-4.9999999999954525E-3</v>
      </c>
      <c r="N31" s="42">
        <f t="shared" si="5"/>
        <v>4.399999999998272E-2</v>
      </c>
      <c r="O31" s="42">
        <f t="shared" si="5"/>
        <v>-9.9999999999909051E-3</v>
      </c>
      <c r="P31" s="42">
        <f t="shared" si="5"/>
        <v>6.4999999999599822E-3</v>
      </c>
      <c r="Q31" s="42">
        <f t="shared" si="5"/>
        <v>-1.90000000000623E-2</v>
      </c>
      <c r="R31" s="42">
        <f t="shared" si="5"/>
        <v>-1.3000000000033651E-2</v>
      </c>
      <c r="S31" s="42">
        <f t="shared" si="5"/>
        <v>-3.2000000000010687E-2</v>
      </c>
      <c r="T31" s="42">
        <f t="shared" si="5"/>
        <v>-1.1500000000012278E-2</v>
      </c>
      <c r="U31" s="42">
        <f t="shared" si="5"/>
        <v>3.3000000000015461E-2</v>
      </c>
      <c r="V31" s="42">
        <f t="shared" si="5"/>
        <v>-5.0000000000011369E-2</v>
      </c>
      <c r="W31" s="42">
        <f t="shared" si="5"/>
        <v>-9.9999999999909051E-3</v>
      </c>
      <c r="X31" s="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-1.4905149051486433E-2</v>
      </c>
      <c r="C32" s="42">
        <f t="shared" si="5"/>
        <v>-3.9940553594703943E-3</v>
      </c>
      <c r="D32" s="42">
        <f t="shared" si="5"/>
        <v>3.6319612590887118E-3</v>
      </c>
      <c r="E32" s="42">
        <f t="shared" si="5"/>
        <v>-4.8840048840048667E-3</v>
      </c>
      <c r="F32" s="42">
        <f t="shared" si="5"/>
        <v>7.9365079365203428E-3</v>
      </c>
      <c r="G32" s="42">
        <f t="shared" si="5"/>
        <v>5.0741608118585191E-3</v>
      </c>
      <c r="H32" s="42">
        <f t="shared" si="5"/>
        <v>-8.1300813008198247E-3</v>
      </c>
      <c r="I32" s="42">
        <f t="shared" si="5"/>
        <v>-1.3227513227505483E-2</v>
      </c>
      <c r="J32" s="42">
        <f t="shared" si="5"/>
        <v>1.5641293013572977E-2</v>
      </c>
      <c r="K32" s="42">
        <f t="shared" si="5"/>
        <v>2.515090543259646E-2</v>
      </c>
      <c r="L32" s="42">
        <f t="shared" si="5"/>
        <v>1.1235955056164926E-2</v>
      </c>
      <c r="M32" s="42">
        <f t="shared" si="5"/>
        <v>1.7421602787379697E-3</v>
      </c>
      <c r="N32" s="42">
        <f t="shared" si="5"/>
        <v>-1.8651971174207915E-2</v>
      </c>
      <c r="O32" s="42">
        <f t="shared" si="5"/>
        <v>4.024144869219981E-3</v>
      </c>
      <c r="P32" s="42">
        <f t="shared" si="5"/>
        <v>-1.3675573322160517E-3</v>
      </c>
      <c r="Q32" s="42">
        <f t="shared" si="5"/>
        <v>4.2016806722813271E-3</v>
      </c>
      <c r="R32" s="42">
        <f t="shared" si="5"/>
        <v>5.3674649050350354E-3</v>
      </c>
      <c r="S32" s="42">
        <f t="shared" si="5"/>
        <v>1.5818091942648493E-2</v>
      </c>
      <c r="T32" s="42">
        <f t="shared" si="5"/>
        <v>3.5792094615629821E-3</v>
      </c>
      <c r="U32" s="42">
        <f t="shared" si="5"/>
        <v>-7.4948898478481851E-3</v>
      </c>
      <c r="V32" s="42">
        <f t="shared" si="5"/>
        <v>1.2422360248450559E-2</v>
      </c>
      <c r="W32" s="42">
        <f t="shared" si="5"/>
        <v>3.7893141341385217E-3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6" ht="33.75" customHeight="1" x14ac:dyDescent="0.25">
      <c r="A33" s="41"/>
      <c r="B33" s="288"/>
      <c r="C33" s="288"/>
      <c r="D33" s="288"/>
      <c r="E33" s="288"/>
      <c r="F33" s="288"/>
      <c r="G33" s="288"/>
      <c r="H33" s="288"/>
      <c r="I33" s="288"/>
      <c r="J33" s="288"/>
      <c r="K33" s="288"/>
      <c r="L33" s="288"/>
      <c r="M33" s="288"/>
      <c r="N33" s="288"/>
      <c r="O33" s="288"/>
      <c r="P33" s="288"/>
      <c r="Q33" s="288"/>
      <c r="R33" s="288"/>
      <c r="S33" s="288"/>
      <c r="T33" s="288"/>
      <c r="U33" s="288"/>
      <c r="V33" s="288"/>
      <c r="W33" s="288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1"/>
    </row>
    <row r="34" spans="1:3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1"/>
    </row>
    <row r="35" spans="1:36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3"/>
    </row>
    <row r="36" spans="1:36" ht="33.75" customHeight="1" thickBot="1" x14ac:dyDescent="0.3">
      <c r="A36" s="69" t="s">
        <v>16</v>
      </c>
      <c r="B36" s="973" t="s">
        <v>17</v>
      </c>
      <c r="C36" s="974"/>
      <c r="D36" s="974"/>
      <c r="E36" s="974"/>
      <c r="F36" s="974"/>
      <c r="G36" s="975"/>
      <c r="H36" s="237"/>
      <c r="O36" s="44"/>
      <c r="P36" s="88" t="s">
        <v>18</v>
      </c>
      <c r="Q36" s="973" t="s">
        <v>17</v>
      </c>
      <c r="R36" s="974"/>
      <c r="S36" s="975"/>
      <c r="T36" s="229"/>
      <c r="U36" s="269"/>
      <c r="W36" s="45"/>
      <c r="X36" s="45"/>
      <c r="Y36" s="46"/>
      <c r="Z36" s="3"/>
      <c r="AA36" s="45"/>
      <c r="AB36" s="45"/>
      <c r="AC36" s="45"/>
      <c r="AD36" s="3"/>
    </row>
    <row r="37" spans="1:36" ht="33.75" customHeight="1" thickBot="1" x14ac:dyDescent="0.3">
      <c r="A37" s="170" t="s">
        <v>34</v>
      </c>
      <c r="B37" s="141"/>
      <c r="C37" s="118"/>
      <c r="D37" s="118"/>
      <c r="E37" s="118"/>
      <c r="F37" s="118"/>
      <c r="G37" s="119"/>
      <c r="H37" s="236" t="s">
        <v>9</v>
      </c>
      <c r="I37" s="47"/>
      <c r="J37" s="47"/>
      <c r="K37" s="47"/>
      <c r="L37" s="47"/>
      <c r="M37" s="47"/>
      <c r="N37" s="970"/>
      <c r="O37" s="976"/>
      <c r="P37" s="97" t="s">
        <v>33</v>
      </c>
      <c r="Q37" s="186"/>
      <c r="R37" s="173"/>
      <c r="S37" s="173"/>
      <c r="T37" s="261" t="s">
        <v>9</v>
      </c>
      <c r="U37" s="2"/>
      <c r="W37" s="47"/>
      <c r="X37" s="47"/>
      <c r="Y37" s="3"/>
      <c r="Z37" s="46"/>
      <c r="AA37" s="3"/>
      <c r="AB37" s="45"/>
      <c r="AC37" s="45"/>
      <c r="AD37" s="45"/>
    </row>
    <row r="38" spans="1:36" ht="33.75" customHeight="1" thickBot="1" x14ac:dyDescent="0.3">
      <c r="A38" s="170" t="s">
        <v>10</v>
      </c>
      <c r="B38" s="221">
        <v>1</v>
      </c>
      <c r="C38" s="222">
        <v>2</v>
      </c>
      <c r="D38" s="222">
        <v>3</v>
      </c>
      <c r="E38" s="222">
        <v>4</v>
      </c>
      <c r="F38" s="222">
        <v>5</v>
      </c>
      <c r="G38" s="223">
        <v>6</v>
      </c>
      <c r="H38" s="238"/>
      <c r="I38" s="47"/>
      <c r="J38" s="47"/>
      <c r="K38" s="47"/>
      <c r="L38" s="47"/>
      <c r="M38" s="47"/>
      <c r="N38" s="144"/>
      <c r="O38" s="145"/>
      <c r="P38" s="80" t="s">
        <v>10</v>
      </c>
      <c r="Q38" s="186">
        <v>1</v>
      </c>
      <c r="R38" s="174">
        <v>2</v>
      </c>
      <c r="S38" s="175">
        <v>3</v>
      </c>
      <c r="T38" s="278"/>
      <c r="U38" s="270"/>
      <c r="W38" s="47"/>
      <c r="X38" s="47"/>
      <c r="Y38" s="48"/>
      <c r="Z38" s="48"/>
      <c r="AA38" s="2"/>
      <c r="AB38" s="2"/>
      <c r="AC38" s="2"/>
      <c r="AD38" s="2"/>
    </row>
    <row r="39" spans="1:36" ht="33.75" customHeight="1" x14ac:dyDescent="0.25">
      <c r="A39" s="171" t="s">
        <v>32</v>
      </c>
      <c r="B39" s="133">
        <v>31.1</v>
      </c>
      <c r="C39" s="134">
        <v>83</v>
      </c>
      <c r="D39" s="134">
        <v>52.3</v>
      </c>
      <c r="E39" s="134">
        <v>37.799999999999997</v>
      </c>
      <c r="F39" s="134">
        <v>79.2</v>
      </c>
      <c r="G39" s="156">
        <v>42.1</v>
      </c>
      <c r="H39" s="265">
        <f t="shared" ref="H39:H46" si="6">SUM(B39:G39)</f>
        <v>325.5</v>
      </c>
      <c r="I39" s="49"/>
      <c r="J39" s="49"/>
      <c r="K39" s="49"/>
      <c r="L39" s="49"/>
      <c r="M39" s="49"/>
      <c r="N39" s="144"/>
      <c r="O39" s="145"/>
      <c r="P39" s="171" t="s">
        <v>53</v>
      </c>
      <c r="Q39" s="133">
        <v>9.6</v>
      </c>
      <c r="R39" s="134">
        <v>24.1</v>
      </c>
      <c r="S39" s="156">
        <v>9</v>
      </c>
      <c r="T39" s="136">
        <f t="shared" ref="T39:T45" si="7">SUM(Q39:S39)</f>
        <v>42.7</v>
      </c>
      <c r="U39" s="271"/>
      <c r="W39" s="2"/>
      <c r="X39" s="49"/>
      <c r="Y39" s="48"/>
      <c r="Z39" s="48"/>
      <c r="AA39" s="2"/>
      <c r="AB39" s="2"/>
      <c r="AC39" s="2"/>
      <c r="AD39" s="2"/>
    </row>
    <row r="40" spans="1:36" ht="33.75" customHeight="1" x14ac:dyDescent="0.25">
      <c r="A40" s="171" t="s">
        <v>24</v>
      </c>
      <c r="B40" s="18">
        <v>31.1</v>
      </c>
      <c r="C40" s="19">
        <v>83</v>
      </c>
      <c r="D40" s="19">
        <v>52.3</v>
      </c>
      <c r="E40" s="19">
        <v>37.799999999999997</v>
      </c>
      <c r="F40" s="19">
        <v>79.2</v>
      </c>
      <c r="G40" s="20">
        <v>42.1</v>
      </c>
      <c r="H40" s="136">
        <f t="shared" si="6"/>
        <v>325.5</v>
      </c>
      <c r="I40" s="49"/>
      <c r="J40" s="49"/>
      <c r="K40" s="49"/>
      <c r="L40" s="49"/>
      <c r="M40" s="49"/>
      <c r="N40" s="144"/>
      <c r="O40" s="145"/>
      <c r="P40" s="171" t="s">
        <v>24</v>
      </c>
      <c r="Q40" s="18">
        <v>9.6</v>
      </c>
      <c r="R40" s="19">
        <v>24.1</v>
      </c>
      <c r="S40" s="20">
        <v>9</v>
      </c>
      <c r="T40" s="136">
        <f t="shared" si="7"/>
        <v>42.7</v>
      </c>
      <c r="U40" s="271"/>
      <c r="W40" s="2"/>
      <c r="X40" s="49"/>
      <c r="Y40" s="48"/>
      <c r="Z40" s="48"/>
      <c r="AA40" s="2"/>
      <c r="AB40" s="2"/>
      <c r="AC40" s="2"/>
      <c r="AD40" s="2"/>
    </row>
    <row r="41" spans="1:36" ht="33.75" customHeight="1" x14ac:dyDescent="0.25">
      <c r="A41" s="171" t="s">
        <v>20</v>
      </c>
      <c r="B41" s="18">
        <v>31.4</v>
      </c>
      <c r="C41" s="19">
        <v>84.6</v>
      </c>
      <c r="D41" s="19">
        <v>52.9</v>
      </c>
      <c r="E41" s="19">
        <v>38.1</v>
      </c>
      <c r="F41" s="19">
        <v>80.7</v>
      </c>
      <c r="G41" s="20">
        <v>43.5</v>
      </c>
      <c r="H41" s="136">
        <f t="shared" si="6"/>
        <v>331.2</v>
      </c>
      <c r="I41" s="49"/>
      <c r="J41" s="49"/>
      <c r="K41" s="49"/>
      <c r="L41" s="49"/>
      <c r="M41" s="49"/>
      <c r="N41" s="144"/>
      <c r="O41" s="145"/>
      <c r="P41" s="171" t="s">
        <v>20</v>
      </c>
      <c r="Q41" s="18">
        <v>10.1</v>
      </c>
      <c r="R41" s="19">
        <v>25.8</v>
      </c>
      <c r="S41" s="20">
        <v>9.6</v>
      </c>
      <c r="T41" s="136">
        <f t="shared" si="7"/>
        <v>45.5</v>
      </c>
      <c r="U41" s="271"/>
      <c r="W41" s="2"/>
      <c r="X41" s="49"/>
      <c r="Y41" s="48"/>
      <c r="Z41" s="48"/>
      <c r="AA41" s="2"/>
      <c r="AB41" s="2"/>
      <c r="AC41" s="2"/>
      <c r="AD41" s="2"/>
    </row>
    <row r="42" spans="1:36" ht="33.75" customHeight="1" x14ac:dyDescent="0.25">
      <c r="A42" s="171" t="s">
        <v>28</v>
      </c>
      <c r="B42" s="18">
        <v>31.4</v>
      </c>
      <c r="C42" s="19">
        <v>84.6</v>
      </c>
      <c r="D42" s="19">
        <v>52.9</v>
      </c>
      <c r="E42" s="19">
        <v>38.1</v>
      </c>
      <c r="F42" s="19">
        <v>80.8</v>
      </c>
      <c r="G42" s="20">
        <v>43.5</v>
      </c>
      <c r="H42" s="136">
        <f t="shared" si="6"/>
        <v>331.3</v>
      </c>
      <c r="I42" s="49"/>
      <c r="J42" s="49"/>
      <c r="K42" s="49"/>
      <c r="L42" s="49"/>
      <c r="M42" s="49"/>
      <c r="N42" s="144"/>
      <c r="O42" s="145"/>
      <c r="P42" s="171" t="s">
        <v>28</v>
      </c>
      <c r="Q42" s="18">
        <v>10.1</v>
      </c>
      <c r="R42" s="19">
        <v>25.8</v>
      </c>
      <c r="S42" s="20">
        <v>9.6</v>
      </c>
      <c r="T42" s="136">
        <f t="shared" si="7"/>
        <v>45.5</v>
      </c>
      <c r="U42" s="271"/>
      <c r="W42" s="2"/>
      <c r="X42" s="49"/>
      <c r="Y42" s="48"/>
      <c r="Z42" s="48"/>
      <c r="AA42" s="2"/>
      <c r="AB42" s="2"/>
      <c r="AC42" s="2"/>
      <c r="AD42" s="2"/>
    </row>
    <row r="43" spans="1:36" ht="33.75" customHeight="1" x14ac:dyDescent="0.25">
      <c r="A43" s="171" t="s">
        <v>21</v>
      </c>
      <c r="B43" s="18">
        <v>31.4</v>
      </c>
      <c r="C43" s="19">
        <v>84.6</v>
      </c>
      <c r="D43" s="19">
        <v>52.9</v>
      </c>
      <c r="E43" s="19">
        <v>38.1</v>
      </c>
      <c r="F43" s="19">
        <v>80.8</v>
      </c>
      <c r="G43" s="20">
        <v>43.5</v>
      </c>
      <c r="H43" s="136">
        <f t="shared" si="6"/>
        <v>331.3</v>
      </c>
      <c r="I43" s="49"/>
      <c r="J43" s="49"/>
      <c r="K43" s="49"/>
      <c r="L43" s="49"/>
      <c r="M43" s="49"/>
      <c r="N43" s="144"/>
      <c r="O43" s="145"/>
      <c r="P43" s="171" t="s">
        <v>21</v>
      </c>
      <c r="Q43" s="18">
        <v>10.1</v>
      </c>
      <c r="R43" s="19">
        <v>25.8</v>
      </c>
      <c r="S43" s="20">
        <v>9.6</v>
      </c>
      <c r="T43" s="136">
        <f t="shared" si="7"/>
        <v>45.5</v>
      </c>
      <c r="U43" s="271"/>
      <c r="W43" s="2"/>
      <c r="X43" s="49"/>
      <c r="Y43" s="48"/>
      <c r="Z43" s="48"/>
      <c r="AA43" s="2"/>
      <c r="AB43" s="2"/>
      <c r="AC43" s="2"/>
      <c r="AD43" s="2"/>
    </row>
    <row r="44" spans="1:36" ht="33.75" customHeight="1" x14ac:dyDescent="0.25">
      <c r="A44" s="171" t="s">
        <v>22</v>
      </c>
      <c r="B44" s="18">
        <v>31.4</v>
      </c>
      <c r="C44" s="19">
        <v>84.6</v>
      </c>
      <c r="D44" s="19">
        <v>53</v>
      </c>
      <c r="E44" s="19">
        <v>38.200000000000003</v>
      </c>
      <c r="F44" s="19">
        <v>80.8</v>
      </c>
      <c r="G44" s="20">
        <v>43.5</v>
      </c>
      <c r="H44" s="136">
        <f t="shared" si="6"/>
        <v>331.5</v>
      </c>
      <c r="I44" s="49"/>
      <c r="J44" s="49"/>
      <c r="K44" s="49"/>
      <c r="L44" s="49"/>
      <c r="M44" s="49"/>
      <c r="N44" s="144"/>
      <c r="O44" s="145"/>
      <c r="P44" s="171" t="s">
        <v>22</v>
      </c>
      <c r="Q44" s="18">
        <v>10.1</v>
      </c>
      <c r="R44" s="19">
        <v>25.8</v>
      </c>
      <c r="S44" s="20">
        <v>9.6</v>
      </c>
      <c r="T44" s="136">
        <f t="shared" si="7"/>
        <v>45.5</v>
      </c>
      <c r="U44" s="271"/>
      <c r="W44" s="2"/>
      <c r="X44" s="49"/>
      <c r="Y44" s="48"/>
      <c r="Z44" s="48"/>
      <c r="AA44" s="2"/>
      <c r="AB44" s="2"/>
      <c r="AC44" s="2"/>
      <c r="AD44" s="2"/>
    </row>
    <row r="45" spans="1:36" ht="33.75" customHeight="1" thickBot="1" x14ac:dyDescent="0.3">
      <c r="A45" s="285" t="s">
        <v>32</v>
      </c>
      <c r="B45" s="130">
        <v>31.5</v>
      </c>
      <c r="C45" s="124">
        <v>84.7</v>
      </c>
      <c r="D45" s="124">
        <v>53</v>
      </c>
      <c r="E45" s="124">
        <v>38.200000000000003</v>
      </c>
      <c r="F45" s="124">
        <v>80.8</v>
      </c>
      <c r="G45" s="132">
        <v>43.6</v>
      </c>
      <c r="H45" s="289">
        <f t="shared" si="6"/>
        <v>331.8</v>
      </c>
      <c r="I45" s="49"/>
      <c r="J45" s="49"/>
      <c r="K45" s="49"/>
      <c r="L45" s="49"/>
      <c r="M45" s="49"/>
      <c r="N45" s="144"/>
      <c r="O45" s="145"/>
      <c r="P45" s="285" t="s">
        <v>23</v>
      </c>
      <c r="Q45" s="130">
        <v>10.1</v>
      </c>
      <c r="R45" s="124">
        <v>25.9</v>
      </c>
      <c r="S45" s="132">
        <v>9.6999999999999993</v>
      </c>
      <c r="T45" s="289">
        <f t="shared" si="7"/>
        <v>45.7</v>
      </c>
      <c r="U45" s="271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6" ht="33.75" customHeight="1" x14ac:dyDescent="0.25">
      <c r="A46" s="290" t="s">
        <v>9</v>
      </c>
      <c r="B46" s="131">
        <f>SUM(B39:B45)</f>
        <v>219.3</v>
      </c>
      <c r="C46" s="128">
        <f t="shared" ref="C46:G46" si="8">SUM(C39:C45)</f>
        <v>589.1</v>
      </c>
      <c r="D46" s="128">
        <f t="shared" si="8"/>
        <v>369.3</v>
      </c>
      <c r="E46" s="128">
        <f t="shared" si="8"/>
        <v>266.29999999999995</v>
      </c>
      <c r="F46" s="128">
        <f t="shared" si="8"/>
        <v>562.30000000000007</v>
      </c>
      <c r="G46" s="129">
        <f t="shared" si="8"/>
        <v>301.8</v>
      </c>
      <c r="H46" s="265">
        <f t="shared" si="6"/>
        <v>2308.1000000000004</v>
      </c>
      <c r="I46" s="49"/>
      <c r="J46" s="49"/>
      <c r="K46" s="49"/>
      <c r="L46" s="49"/>
      <c r="M46" s="49"/>
      <c r="N46" s="49"/>
      <c r="P46" s="290" t="s">
        <v>9</v>
      </c>
      <c r="Q46" s="133">
        <f>SUM(Q39:Q45)</f>
        <v>69.7</v>
      </c>
      <c r="R46" s="134">
        <f>SUM(R39:R45)</f>
        <v>177.3</v>
      </c>
      <c r="S46" s="134">
        <f>SUM(S39:S45)</f>
        <v>66.100000000000009</v>
      </c>
      <c r="T46" s="265">
        <f>SUM(T39,T40,T41,T42,T43,T44,T45)</f>
        <v>313.09999999999997</v>
      </c>
      <c r="U46" s="272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6" ht="33.75" customHeight="1" x14ac:dyDescent="0.25">
      <c r="A47" s="192" t="s">
        <v>11</v>
      </c>
      <c r="B47" s="23">
        <v>111.5</v>
      </c>
      <c r="C47" s="24">
        <v>114.5</v>
      </c>
      <c r="D47" s="24">
        <v>117.5</v>
      </c>
      <c r="E47" s="24">
        <v>116</v>
      </c>
      <c r="F47" s="24">
        <v>110.5</v>
      </c>
      <c r="G47" s="25">
        <v>107.5</v>
      </c>
      <c r="H47" s="137">
        <f>+((H46/H48)/7)*1000</f>
        <v>112.8820853915</v>
      </c>
      <c r="I47" s="50"/>
      <c r="J47" s="50"/>
      <c r="K47" s="50"/>
      <c r="L47" s="50"/>
      <c r="M47" s="50"/>
      <c r="N47" s="49"/>
      <c r="P47" s="273" t="s">
        <v>11</v>
      </c>
      <c r="Q47" s="23">
        <v>118.5</v>
      </c>
      <c r="R47" s="24">
        <v>119.5</v>
      </c>
      <c r="S47" s="24">
        <v>118</v>
      </c>
      <c r="T47" s="137">
        <f>+((T46/T48)/7)*1000</f>
        <v>118.95896656534953</v>
      </c>
      <c r="U47" s="2"/>
      <c r="W47" s="50"/>
      <c r="X47" s="50"/>
    </row>
    <row r="48" spans="1:36" ht="33.75" customHeight="1" x14ac:dyDescent="0.25">
      <c r="A48" s="193" t="s">
        <v>12</v>
      </c>
      <c r="B48" s="26">
        <v>281</v>
      </c>
      <c r="C48" s="27">
        <v>735</v>
      </c>
      <c r="D48" s="27">
        <v>449</v>
      </c>
      <c r="E48" s="27">
        <v>328</v>
      </c>
      <c r="F48" s="27">
        <v>727</v>
      </c>
      <c r="G48" s="28">
        <v>401</v>
      </c>
      <c r="H48" s="138">
        <f>SUM(B48:G48)</f>
        <v>2921</v>
      </c>
      <c r="I48" s="198"/>
      <c r="J48" s="198"/>
      <c r="K48" s="198"/>
      <c r="L48" s="198"/>
      <c r="M48" s="198"/>
      <c r="N48" s="49"/>
      <c r="O48" s="51"/>
      <c r="P48" s="193" t="s">
        <v>12</v>
      </c>
      <c r="Q48" s="257">
        <v>84</v>
      </c>
      <c r="R48" s="275">
        <v>212</v>
      </c>
      <c r="S48" s="275">
        <v>80</v>
      </c>
      <c r="T48" s="254">
        <f>SUM(Q48:S48)</f>
        <v>376</v>
      </c>
      <c r="U48" s="2"/>
      <c r="W48" s="52"/>
      <c r="X48" s="52"/>
    </row>
    <row r="49" spans="1:36" ht="33.75" customHeight="1" x14ac:dyDescent="0.25">
      <c r="A49" s="194" t="s">
        <v>13</v>
      </c>
      <c r="B49" s="30">
        <f>((((B47*7)*B48)/1000)-(B39+B40))/5</f>
        <v>31.424099999999999</v>
      </c>
      <c r="C49" s="31">
        <f t="shared" ref="C49:G49" si="9">((((C47*7)*C48)/1000)-(C39+C40))/5</f>
        <v>84.620499999999993</v>
      </c>
      <c r="D49" s="31">
        <f t="shared" si="9"/>
        <v>52.9405</v>
      </c>
      <c r="E49" s="31">
        <f t="shared" si="9"/>
        <v>38.147200000000005</v>
      </c>
      <c r="F49" s="31">
        <f t="shared" si="9"/>
        <v>80.786900000000017</v>
      </c>
      <c r="G49" s="32">
        <f t="shared" si="9"/>
        <v>43.5105</v>
      </c>
      <c r="H49" s="139">
        <f>((H46*1000)/H48)/7</f>
        <v>112.8820853915</v>
      </c>
      <c r="I49" s="199"/>
      <c r="J49" s="199"/>
      <c r="K49" s="199"/>
      <c r="L49" s="199"/>
      <c r="M49" s="199"/>
      <c r="N49" s="49"/>
      <c r="P49" s="194" t="s">
        <v>13</v>
      </c>
      <c r="Q49" s="30">
        <f>((((Q47*7)*Q48)/1000)-(Q39+Q40))/5</f>
        <v>10.095599999999999</v>
      </c>
      <c r="R49" s="30">
        <f t="shared" ref="R49:S49" si="10">((((R47*7)*R48)/1000)-(R39+R40))/5</f>
        <v>25.827599999999997</v>
      </c>
      <c r="S49" s="30">
        <f t="shared" si="10"/>
        <v>9.6159999999999997</v>
      </c>
      <c r="T49" s="274">
        <f>((T46*1000)/T48)/7</f>
        <v>118.95896656534953</v>
      </c>
      <c r="U49" s="43"/>
      <c r="W49" s="52"/>
      <c r="X49" s="52"/>
    </row>
    <row r="50" spans="1:36" ht="33.75" customHeight="1" x14ac:dyDescent="0.25">
      <c r="A50" s="185" t="s">
        <v>14</v>
      </c>
      <c r="B50" s="279">
        <f t="shared" ref="B50:G50" si="11">((B48*B47)*7)/1000</f>
        <v>219.32050000000001</v>
      </c>
      <c r="C50" s="280">
        <f t="shared" si="11"/>
        <v>589.10249999999996</v>
      </c>
      <c r="D50" s="280">
        <f t="shared" si="11"/>
        <v>369.30250000000001</v>
      </c>
      <c r="E50" s="280">
        <f t="shared" si="11"/>
        <v>266.33600000000001</v>
      </c>
      <c r="F50" s="280">
        <f t="shared" si="11"/>
        <v>562.33450000000005</v>
      </c>
      <c r="G50" s="282">
        <f t="shared" si="11"/>
        <v>301.7525</v>
      </c>
      <c r="H50" s="112"/>
      <c r="I50" s="41"/>
      <c r="J50" s="41"/>
      <c r="K50" s="41"/>
      <c r="L50" s="41"/>
      <c r="M50" s="41"/>
      <c r="N50" s="49"/>
      <c r="P50" s="185" t="s">
        <v>14</v>
      </c>
      <c r="Q50" s="279">
        <f>((Q48*Q47)*7)/1000</f>
        <v>69.677999999999997</v>
      </c>
      <c r="R50" s="280">
        <f>((R48*R47)*7)/1000</f>
        <v>177.33799999999999</v>
      </c>
      <c r="S50" s="280">
        <f>((S48*S47)*7)/1000</f>
        <v>66.08</v>
      </c>
      <c r="T50" s="36"/>
      <c r="U50" s="41"/>
    </row>
    <row r="51" spans="1:36" ht="33.75" customHeight="1" thickBot="1" x14ac:dyDescent="0.3">
      <c r="A51" s="195" t="s">
        <v>15</v>
      </c>
      <c r="B51" s="37">
        <f t="shared" ref="B51:G51" si="12">+(B46/B48)/7*1000</f>
        <v>111.48957803762075</v>
      </c>
      <c r="C51" s="38">
        <f t="shared" si="12"/>
        <v>114.49951409135083</v>
      </c>
      <c r="D51" s="38">
        <f t="shared" si="12"/>
        <v>117.49920458160992</v>
      </c>
      <c r="E51" s="38">
        <f t="shared" si="12"/>
        <v>115.98432055749127</v>
      </c>
      <c r="F51" s="38">
        <f t="shared" si="12"/>
        <v>110.49322067203774</v>
      </c>
      <c r="G51" s="39">
        <f t="shared" si="12"/>
        <v>107.51692198076238</v>
      </c>
      <c r="H51" s="140"/>
      <c r="I51" s="41"/>
      <c r="J51" s="41"/>
      <c r="K51" s="41"/>
      <c r="L51" s="41"/>
      <c r="M51" s="41"/>
      <c r="N51" s="49"/>
      <c r="O51" s="41"/>
      <c r="P51" s="195" t="s">
        <v>15</v>
      </c>
      <c r="Q51" s="37">
        <f>+(Q46/Q48)/7*1000</f>
        <v>118.5374149659864</v>
      </c>
      <c r="R51" s="38">
        <f>+(R46/R48)/7*1000</f>
        <v>119.47439353099732</v>
      </c>
      <c r="S51" s="38">
        <f>+(S46/S48)/7*1000</f>
        <v>118.03571428571432</v>
      </c>
      <c r="T51" s="259"/>
      <c r="U51" s="42"/>
      <c r="W51" s="42"/>
      <c r="X51" s="42"/>
    </row>
    <row r="52" spans="1:36" ht="33.75" customHeight="1" x14ac:dyDescent="0.25">
      <c r="A52" s="41"/>
      <c r="B52" s="43">
        <f>B50-B46</f>
        <v>2.0499999999998408E-2</v>
      </c>
      <c r="C52" s="43">
        <f t="shared" ref="C52:G52" si="13">C50-C46</f>
        <v>2.4999999999408828E-3</v>
      </c>
      <c r="D52" s="43">
        <f t="shared" si="13"/>
        <v>2.4999999999977263E-3</v>
      </c>
      <c r="E52" s="43">
        <f t="shared" si="13"/>
        <v>3.6000000000058208E-2</v>
      </c>
      <c r="F52" s="43">
        <f t="shared" si="13"/>
        <v>3.4499999999979991E-2</v>
      </c>
      <c r="G52" s="43">
        <f t="shared" si="13"/>
        <v>-4.7500000000013642E-2</v>
      </c>
      <c r="H52" s="41"/>
      <c r="I52" s="41"/>
      <c r="J52" s="41"/>
      <c r="K52" s="41"/>
      <c r="L52" s="41"/>
      <c r="M52" s="41"/>
      <c r="N52" s="41"/>
      <c r="O52" s="41"/>
      <c r="P52" s="42"/>
      <c r="Q52" s="43">
        <f>Q50-Q46</f>
        <v>-2.2000000000005571E-2</v>
      </c>
      <c r="R52" s="42">
        <f t="shared" ref="R52:S53" si="14">R50-R46</f>
        <v>3.7999999999982492E-2</v>
      </c>
      <c r="S52" s="42">
        <f t="shared" si="14"/>
        <v>-2.0000000000010232E-2</v>
      </c>
      <c r="T52" s="42"/>
      <c r="U52" s="42"/>
      <c r="V52" s="42"/>
      <c r="W52" s="42"/>
      <c r="X52" s="42"/>
      <c r="Y52" s="42"/>
      <c r="Z52" s="42"/>
      <c r="AA52" s="2"/>
      <c r="AB52" s="2"/>
      <c r="AC52" s="2"/>
      <c r="AD52" s="2"/>
      <c r="AE52" s="2"/>
    </row>
    <row r="53" spans="1:36" ht="33.75" customHeight="1" x14ac:dyDescent="0.25">
      <c r="A53" s="41"/>
      <c r="B53" s="42">
        <f t="shared" ref="B53:G53" si="15">B51-B47</f>
        <v>-1.0421962379254524E-2</v>
      </c>
      <c r="C53" s="42">
        <f t="shared" si="15"/>
        <v>-4.8590864916775445E-4</v>
      </c>
      <c r="D53" s="42">
        <f t="shared" si="15"/>
        <v>-7.9541839008356874E-4</v>
      </c>
      <c r="E53" s="42">
        <f t="shared" si="15"/>
        <v>-1.5679442508726993E-2</v>
      </c>
      <c r="F53" s="42">
        <f t="shared" si="15"/>
        <v>-6.7793279622634373E-3</v>
      </c>
      <c r="G53" s="42">
        <f t="shared" si="15"/>
        <v>1.6921980762376165E-2</v>
      </c>
      <c r="H53" s="41"/>
      <c r="I53" s="41"/>
      <c r="J53" s="41"/>
      <c r="K53" s="41"/>
      <c r="L53" s="41"/>
      <c r="M53" s="41"/>
      <c r="N53" s="41"/>
      <c r="O53" s="42"/>
      <c r="P53" s="42"/>
      <c r="Q53" s="42">
        <f>Q51-Q47</f>
        <v>3.7414965986400261E-2</v>
      </c>
      <c r="R53" s="42">
        <f t="shared" si="14"/>
        <v>-2.560646900268182E-2</v>
      </c>
      <c r="S53" s="42">
        <f t="shared" si="14"/>
        <v>3.5714285714320226E-2</v>
      </c>
      <c r="T53" s="42"/>
      <c r="U53" s="42"/>
      <c r="V53" s="42"/>
      <c r="W53" s="42"/>
      <c r="X53" s="43"/>
      <c r="Y53" s="43"/>
      <c r="Z53" s="43"/>
      <c r="AA53" s="2"/>
      <c r="AB53" s="2"/>
      <c r="AC53" s="2"/>
      <c r="AD53" s="2"/>
      <c r="AH53" s="3"/>
    </row>
    <row r="54" spans="1:36" ht="33.75" customHeight="1" x14ac:dyDescent="0.25">
      <c r="A54" s="41"/>
      <c r="B54" s="287"/>
      <c r="C54" s="287"/>
      <c r="D54" s="287"/>
      <c r="E54" s="287"/>
      <c r="F54" s="287"/>
      <c r="G54" s="287"/>
      <c r="H54" s="41"/>
      <c r="I54" s="41"/>
      <c r="J54" s="41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2"/>
      <c r="X54" s="43"/>
      <c r="Y54" s="43"/>
      <c r="Z54" s="43"/>
      <c r="AA54" s="2"/>
      <c r="AB54" s="2"/>
      <c r="AC54" s="2"/>
      <c r="AD54" s="2"/>
      <c r="AH54" s="3"/>
    </row>
    <row r="55" spans="1:36" ht="33.75" customHeight="1" thickBot="1" x14ac:dyDescent="0.3">
      <c r="A55" s="41"/>
      <c r="B55" s="287"/>
      <c r="C55" s="287"/>
      <c r="D55" s="287"/>
      <c r="E55" s="287"/>
      <c r="F55" s="287"/>
      <c r="G55" s="287"/>
      <c r="H55" s="41"/>
      <c r="I55" s="41"/>
      <c r="J55" s="41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2"/>
      <c r="X55" s="43"/>
      <c r="Y55" s="43"/>
      <c r="Z55" s="43"/>
      <c r="AA55" s="2"/>
      <c r="AB55" s="2"/>
      <c r="AC55" s="2"/>
      <c r="AD55" s="2"/>
      <c r="AH55" s="3"/>
    </row>
    <row r="56" spans="1:36" ht="33.75" customHeight="1" thickBot="1" x14ac:dyDescent="0.3">
      <c r="A56" s="88" t="s">
        <v>19</v>
      </c>
      <c r="B56" s="973" t="s">
        <v>30</v>
      </c>
      <c r="C56" s="974"/>
      <c r="D56" s="974"/>
      <c r="E56" s="974"/>
      <c r="F56" s="975"/>
      <c r="G56" s="85"/>
      <c r="H56" s="56"/>
      <c r="I56" s="56"/>
      <c r="J56" s="56"/>
      <c r="K56" s="56"/>
      <c r="L56" s="56"/>
      <c r="M56" s="56"/>
      <c r="N56" s="56"/>
      <c r="Z56" s="43"/>
      <c r="AA56" s="43"/>
      <c r="AB56" s="43"/>
      <c r="AC56" s="2"/>
      <c r="AD56" s="2"/>
      <c r="AE56" s="2"/>
      <c r="AF56" s="2"/>
      <c r="AH56" s="2"/>
      <c r="AI56" s="2"/>
      <c r="AJ56" s="2"/>
    </row>
    <row r="57" spans="1:36" ht="33.75" customHeight="1" thickBot="1" x14ac:dyDescent="0.3">
      <c r="A57" s="80" t="s">
        <v>34</v>
      </c>
      <c r="B57" s="188"/>
      <c r="C57" s="249"/>
      <c r="D57" s="249"/>
      <c r="E57" s="249"/>
      <c r="F57" s="250"/>
      <c r="G57" s="13" t="s">
        <v>9</v>
      </c>
      <c r="N57" s="45"/>
      <c r="O57" s="45"/>
      <c r="P57" s="45"/>
      <c r="Q57" s="45"/>
      <c r="R57" s="57"/>
      <c r="S57" s="57"/>
      <c r="T57" s="57"/>
      <c r="U57" s="57"/>
      <c r="V57" s="45"/>
      <c r="W57" s="45"/>
      <c r="X57" s="58"/>
      <c r="Y57" s="58"/>
      <c r="Z57" s="58"/>
      <c r="AA57" s="2"/>
      <c r="AB57" s="2"/>
      <c r="AC57" s="2"/>
      <c r="AD57" s="2"/>
      <c r="AF57" s="2"/>
      <c r="AG57" s="2"/>
      <c r="AH57" s="2"/>
    </row>
    <row r="58" spans="1:36" ht="33.75" customHeight="1" x14ac:dyDescent="0.25">
      <c r="A58" s="80" t="s">
        <v>10</v>
      </c>
      <c r="B58" s="186">
        <v>1</v>
      </c>
      <c r="C58" s="174">
        <v>2</v>
      </c>
      <c r="D58" s="174">
        <v>3</v>
      </c>
      <c r="E58" s="174">
        <v>4</v>
      </c>
      <c r="F58" s="175">
        <v>5</v>
      </c>
      <c r="G58" s="13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57"/>
      <c r="V58" s="45"/>
      <c r="W58" s="45"/>
      <c r="X58" s="58"/>
      <c r="Y58" s="58"/>
      <c r="Z58" s="58"/>
      <c r="AA58" s="2"/>
      <c r="AB58" s="2"/>
      <c r="AC58" s="2"/>
      <c r="AD58" s="2"/>
      <c r="AE58" s="2"/>
      <c r="AF58" s="2"/>
      <c r="AG58" s="2"/>
      <c r="AH58" s="2"/>
    </row>
    <row r="59" spans="1:36" ht="33.75" customHeight="1" x14ac:dyDescent="0.25">
      <c r="A59" s="171" t="s">
        <v>53</v>
      </c>
      <c r="B59" s="18">
        <v>11.3</v>
      </c>
      <c r="C59" s="19">
        <v>18.7</v>
      </c>
      <c r="D59" s="19">
        <v>27.2</v>
      </c>
      <c r="E59" s="19">
        <v>39.4</v>
      </c>
      <c r="F59" s="20">
        <v>46.2</v>
      </c>
      <c r="G59" s="136">
        <f t="shared" ref="G59:G66" si="16">SUM(B59:F59)</f>
        <v>142.80000000000001</v>
      </c>
      <c r="H59" s="42"/>
      <c r="I59" s="42"/>
      <c r="J59" s="42"/>
      <c r="K59" s="42"/>
      <c r="L59" s="42"/>
      <c r="M59" s="42"/>
      <c r="N59" s="2"/>
      <c r="O59" s="45"/>
      <c r="P59" s="45"/>
      <c r="Q59" s="45"/>
      <c r="R59" s="57"/>
      <c r="S59" s="57"/>
      <c r="T59" s="57"/>
      <c r="U59" s="57"/>
      <c r="V59" s="45"/>
      <c r="W59" s="45"/>
      <c r="X59" s="58"/>
      <c r="Y59" s="58"/>
      <c r="Z59" s="58"/>
      <c r="AA59" s="2"/>
      <c r="AB59" s="2"/>
      <c r="AC59" s="2"/>
      <c r="AD59" s="2"/>
      <c r="AE59" s="2"/>
      <c r="AF59" s="2"/>
      <c r="AG59" s="2"/>
      <c r="AH59" s="2"/>
    </row>
    <row r="60" spans="1:36" ht="33.75" customHeight="1" x14ac:dyDescent="0.25">
      <c r="A60" s="171" t="s">
        <v>24</v>
      </c>
      <c r="B60" s="18">
        <v>11.3</v>
      </c>
      <c r="C60" s="19">
        <v>18.7</v>
      </c>
      <c r="D60" s="19">
        <v>27.2</v>
      </c>
      <c r="E60" s="19">
        <v>39.4</v>
      </c>
      <c r="F60" s="20">
        <v>46.2</v>
      </c>
      <c r="G60" s="136">
        <f t="shared" si="16"/>
        <v>142.80000000000001</v>
      </c>
      <c r="H60" s="42"/>
      <c r="I60" s="42"/>
      <c r="J60" s="42"/>
      <c r="K60" s="42"/>
      <c r="L60" s="42"/>
      <c r="M60" s="42"/>
      <c r="N60" s="2"/>
      <c r="O60" s="45"/>
      <c r="P60" s="45"/>
      <c r="Q60" s="45"/>
      <c r="R60" s="57"/>
      <c r="S60" s="57"/>
      <c r="T60" s="57"/>
      <c r="U60" s="57"/>
      <c r="V60" s="45"/>
      <c r="W60" s="45"/>
      <c r="X60" s="58"/>
      <c r="Y60" s="58"/>
      <c r="Z60" s="58"/>
      <c r="AA60" s="2"/>
      <c r="AB60" s="2"/>
      <c r="AC60" s="2"/>
      <c r="AD60" s="2"/>
      <c r="AE60" s="2"/>
      <c r="AF60" s="2"/>
      <c r="AG60" s="2"/>
      <c r="AH60" s="2"/>
    </row>
    <row r="61" spans="1:36" ht="33.75" customHeight="1" x14ac:dyDescent="0.25">
      <c r="A61" s="171" t="s">
        <v>20</v>
      </c>
      <c r="B61" s="18">
        <v>12.1</v>
      </c>
      <c r="C61" s="19">
        <v>19.7</v>
      </c>
      <c r="D61" s="19">
        <v>28.5</v>
      </c>
      <c r="E61" s="19">
        <v>41.4</v>
      </c>
      <c r="F61" s="20">
        <v>48.6</v>
      </c>
      <c r="G61" s="136">
        <f t="shared" si="16"/>
        <v>150.29999999999998</v>
      </c>
      <c r="H61" s="42"/>
      <c r="I61" s="42"/>
      <c r="J61" s="42"/>
      <c r="K61" s="42"/>
      <c r="L61" s="42"/>
      <c r="M61" s="42"/>
      <c r="N61" s="2"/>
      <c r="O61" s="45"/>
      <c r="P61" s="45"/>
      <c r="Q61" s="45"/>
      <c r="R61" s="57"/>
      <c r="S61" s="57"/>
      <c r="T61" s="57"/>
      <c r="U61" s="57"/>
      <c r="V61" s="45"/>
      <c r="W61" s="45"/>
      <c r="X61" s="58"/>
      <c r="Y61" s="58"/>
      <c r="Z61" s="58"/>
      <c r="AA61" s="2"/>
      <c r="AB61" s="2"/>
      <c r="AC61" s="2"/>
      <c r="AD61" s="2"/>
      <c r="AE61" s="2"/>
      <c r="AF61" s="2"/>
      <c r="AG61" s="2"/>
      <c r="AH61" s="2"/>
    </row>
    <row r="62" spans="1:36" ht="33.75" customHeight="1" x14ac:dyDescent="0.25">
      <c r="A62" s="171" t="s">
        <v>28</v>
      </c>
      <c r="B62" s="18">
        <v>12.1</v>
      </c>
      <c r="C62" s="19">
        <v>19.7</v>
      </c>
      <c r="D62" s="19">
        <v>28.6</v>
      </c>
      <c r="E62" s="19">
        <v>41.4</v>
      </c>
      <c r="F62" s="20">
        <v>48.6</v>
      </c>
      <c r="G62" s="136">
        <f t="shared" si="16"/>
        <v>150.4</v>
      </c>
      <c r="H62" s="42"/>
      <c r="I62" s="42"/>
      <c r="J62" s="42"/>
      <c r="K62" s="42"/>
      <c r="L62" s="42"/>
      <c r="M62" s="42"/>
      <c r="N62" s="2"/>
      <c r="O62" s="45"/>
      <c r="P62" s="45"/>
      <c r="Q62" s="45"/>
      <c r="R62" s="57"/>
      <c r="S62" s="57"/>
      <c r="T62" s="57"/>
      <c r="U62" s="57"/>
      <c r="V62" s="45"/>
      <c r="W62" s="45"/>
      <c r="X62" s="58"/>
      <c r="Y62" s="58"/>
      <c r="Z62" s="58"/>
      <c r="AA62" s="3"/>
      <c r="AB62" s="3"/>
      <c r="AC62" s="2"/>
      <c r="AD62" s="2"/>
      <c r="AE62" s="2"/>
      <c r="AF62" s="2"/>
      <c r="AG62" s="2"/>
      <c r="AH62" s="2"/>
    </row>
    <row r="63" spans="1:36" ht="33.75" customHeight="1" x14ac:dyDescent="0.25">
      <c r="A63" s="171" t="s">
        <v>21</v>
      </c>
      <c r="B63" s="18">
        <v>12.1</v>
      </c>
      <c r="C63" s="19">
        <v>19.7</v>
      </c>
      <c r="D63" s="19">
        <v>28.6</v>
      </c>
      <c r="E63" s="19">
        <v>41.5</v>
      </c>
      <c r="F63" s="20">
        <v>48.6</v>
      </c>
      <c r="G63" s="136">
        <f t="shared" si="16"/>
        <v>150.5</v>
      </c>
      <c r="H63" s="42"/>
      <c r="I63" s="42"/>
      <c r="J63" s="42"/>
      <c r="K63" s="42"/>
      <c r="L63" s="42"/>
      <c r="M63" s="42"/>
      <c r="N63" s="2"/>
      <c r="O63" s="45"/>
      <c r="P63" s="45"/>
      <c r="Q63" s="45"/>
      <c r="R63" s="57"/>
      <c r="S63" s="57"/>
      <c r="T63" s="57"/>
      <c r="U63" s="57"/>
      <c r="V63" s="45"/>
      <c r="W63" s="45"/>
      <c r="X63" s="58"/>
      <c r="Y63" s="58"/>
      <c r="Z63" s="58"/>
      <c r="AA63" s="3"/>
      <c r="AB63" s="3"/>
      <c r="AC63" s="2"/>
      <c r="AD63" s="2"/>
      <c r="AE63" s="2"/>
      <c r="AF63" s="2"/>
      <c r="AG63" s="2"/>
      <c r="AH63" s="2"/>
    </row>
    <row r="64" spans="1:36" ht="33.75" customHeight="1" x14ac:dyDescent="0.25">
      <c r="A64" s="171" t="s">
        <v>22</v>
      </c>
      <c r="B64" s="18">
        <v>12.2</v>
      </c>
      <c r="C64" s="19">
        <v>19.8</v>
      </c>
      <c r="D64" s="19">
        <v>28.6</v>
      </c>
      <c r="E64" s="19">
        <v>41.5</v>
      </c>
      <c r="F64" s="20">
        <v>48.7</v>
      </c>
      <c r="G64" s="136">
        <f t="shared" si="16"/>
        <v>150.80000000000001</v>
      </c>
      <c r="H64" s="42"/>
      <c r="I64" s="42"/>
      <c r="J64" s="42"/>
      <c r="K64" s="42"/>
      <c r="L64" s="42"/>
      <c r="M64" s="4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3"/>
      <c r="AB64" s="3"/>
      <c r="AE64" s="2"/>
      <c r="AF64" s="2"/>
      <c r="AG64" s="2"/>
      <c r="AH64" s="2"/>
    </row>
    <row r="65" spans="1:34" ht="33.75" customHeight="1" thickBot="1" x14ac:dyDescent="0.3">
      <c r="A65" s="171" t="s">
        <v>23</v>
      </c>
      <c r="B65" s="18">
        <v>12.2</v>
      </c>
      <c r="C65" s="19">
        <v>19.8</v>
      </c>
      <c r="D65" s="19">
        <v>28.6</v>
      </c>
      <c r="E65" s="19">
        <v>41.5</v>
      </c>
      <c r="F65" s="20">
        <v>48.7</v>
      </c>
      <c r="G65" s="136">
        <f t="shared" si="16"/>
        <v>150.80000000000001</v>
      </c>
      <c r="H65" s="42"/>
      <c r="I65" s="42"/>
      <c r="J65" s="42"/>
      <c r="K65" s="42"/>
      <c r="L65" s="42"/>
      <c r="M65" s="4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3"/>
      <c r="AB65" s="3"/>
      <c r="AE65" s="2"/>
      <c r="AF65" s="2"/>
      <c r="AG65" s="2"/>
      <c r="AH65" s="2"/>
    </row>
    <row r="66" spans="1:34" ht="33.75" customHeight="1" x14ac:dyDescent="0.25">
      <c r="A66" s="170" t="s">
        <v>9</v>
      </c>
      <c r="B66" s="131">
        <f t="shared" ref="B66:F66" si="17">SUM(B59:B65)</f>
        <v>83.300000000000011</v>
      </c>
      <c r="C66" s="128">
        <f t="shared" si="17"/>
        <v>136.1</v>
      </c>
      <c r="D66" s="128">
        <f t="shared" si="17"/>
        <v>197.29999999999998</v>
      </c>
      <c r="E66" s="128">
        <f t="shared" si="17"/>
        <v>286.10000000000002</v>
      </c>
      <c r="F66" s="129">
        <f t="shared" si="17"/>
        <v>335.59999999999997</v>
      </c>
      <c r="G66" s="136">
        <f t="shared" si="16"/>
        <v>1038.3999999999999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3"/>
      <c r="AB66" s="3"/>
      <c r="AC66" s="3"/>
      <c r="AD66" s="3"/>
      <c r="AE66" s="2"/>
      <c r="AF66" s="2"/>
      <c r="AG66" s="2"/>
      <c r="AH66" s="2"/>
    </row>
    <row r="67" spans="1:34" ht="33.75" customHeight="1" x14ac:dyDescent="0.25">
      <c r="A67" s="192" t="s">
        <v>11</v>
      </c>
      <c r="B67" s="23">
        <v>121.5</v>
      </c>
      <c r="C67" s="24">
        <v>121.5</v>
      </c>
      <c r="D67" s="24">
        <v>122</v>
      </c>
      <c r="E67" s="24">
        <v>122</v>
      </c>
      <c r="F67" s="25">
        <v>122</v>
      </c>
      <c r="G67" s="137">
        <f>+((G66/G68)/7)*1000</f>
        <v>121.89224087334192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3"/>
      <c r="AB67" s="3"/>
      <c r="AC67" s="3"/>
      <c r="AD67" s="3"/>
      <c r="AE67" s="2"/>
      <c r="AF67" s="2"/>
      <c r="AG67" s="2"/>
      <c r="AH67" s="2"/>
    </row>
    <row r="68" spans="1:34" ht="33.75" customHeight="1" x14ac:dyDescent="0.25">
      <c r="A68" s="193" t="s">
        <v>12</v>
      </c>
      <c r="B68" s="257">
        <v>98</v>
      </c>
      <c r="C68" s="275">
        <v>160</v>
      </c>
      <c r="D68" s="275">
        <v>231</v>
      </c>
      <c r="E68" s="275">
        <v>335</v>
      </c>
      <c r="F68" s="276">
        <v>393</v>
      </c>
      <c r="G68" s="254">
        <f>SUM(B68:F68)</f>
        <v>1217</v>
      </c>
      <c r="N68" s="59"/>
      <c r="R68" s="3"/>
      <c r="S68" s="3"/>
      <c r="T68" s="3"/>
      <c r="U68" s="3"/>
      <c r="V68" s="3"/>
      <c r="W68" s="3"/>
    </row>
    <row r="69" spans="1:34" ht="33.75" customHeight="1" x14ac:dyDescent="0.25">
      <c r="A69" s="194" t="s">
        <v>13</v>
      </c>
      <c r="B69" s="30">
        <f>((((B67*7)*B68)/1000)-(B59+B60))/5</f>
        <v>12.149800000000001</v>
      </c>
      <c r="C69" s="31">
        <f t="shared" ref="C69:F69" si="18">((((C67*7)*C68)/1000)-(C59+C60))/5</f>
        <v>19.736000000000001</v>
      </c>
      <c r="D69" s="31">
        <f t="shared" si="18"/>
        <v>28.5748</v>
      </c>
      <c r="E69" s="31">
        <f t="shared" si="18"/>
        <v>41.457999999999991</v>
      </c>
      <c r="F69" s="32">
        <f t="shared" si="18"/>
        <v>48.644400000000005</v>
      </c>
      <c r="G69" s="139">
        <f>((G66*1000)/G68)/7</f>
        <v>121.89224087334193</v>
      </c>
      <c r="R69" s="3"/>
      <c r="S69" s="3"/>
      <c r="T69" s="3"/>
      <c r="U69" s="3"/>
      <c r="V69" s="3"/>
      <c r="W69" s="3"/>
    </row>
    <row r="70" spans="1:34" ht="33.75" customHeight="1" x14ac:dyDescent="0.25">
      <c r="A70" s="185" t="s">
        <v>14</v>
      </c>
      <c r="B70" s="279">
        <f t="shared" ref="B70:F70" si="19">((B68*B67)*7)/1000</f>
        <v>83.349000000000004</v>
      </c>
      <c r="C70" s="280">
        <f t="shared" si="19"/>
        <v>136.08000000000001</v>
      </c>
      <c r="D70" s="280">
        <f t="shared" si="19"/>
        <v>197.274</v>
      </c>
      <c r="E70" s="280">
        <f t="shared" si="19"/>
        <v>286.08999999999997</v>
      </c>
      <c r="F70" s="282">
        <f t="shared" si="19"/>
        <v>335.62200000000001</v>
      </c>
      <c r="G70" s="112"/>
      <c r="H70" s="41"/>
      <c r="I70" s="41"/>
      <c r="J70" s="41"/>
      <c r="K70" s="41"/>
      <c r="L70" s="41"/>
      <c r="M70" s="41"/>
      <c r="W70" s="3"/>
    </row>
    <row r="71" spans="1:34" ht="33.75" customHeight="1" thickBot="1" x14ac:dyDescent="0.3">
      <c r="A71" s="195" t="s">
        <v>15</v>
      </c>
      <c r="B71" s="37">
        <f t="shared" ref="B71:F71" si="20">+(B66/B68)/7*1000</f>
        <v>121.42857142857144</v>
      </c>
      <c r="C71" s="38">
        <f t="shared" si="20"/>
        <v>121.51785714285714</v>
      </c>
      <c r="D71" s="38">
        <f t="shared" si="20"/>
        <v>122.01607915893629</v>
      </c>
      <c r="E71" s="38">
        <f t="shared" si="20"/>
        <v>122.0042643923241</v>
      </c>
      <c r="F71" s="39">
        <f t="shared" si="20"/>
        <v>121.99200290803343</v>
      </c>
      <c r="G71" s="40"/>
      <c r="W71" s="3"/>
    </row>
    <row r="72" spans="1:34" ht="33.75" customHeight="1" x14ac:dyDescent="0.25">
      <c r="B72" s="43">
        <f>B70-B66</f>
        <v>4.8999999999992383E-2</v>
      </c>
      <c r="C72" s="43">
        <f t="shared" ref="C72:F72" si="21">C70-C66</f>
        <v>-1.999999999998181E-2</v>
      </c>
      <c r="D72" s="43">
        <f t="shared" si="21"/>
        <v>-2.5999999999982037E-2</v>
      </c>
      <c r="E72" s="43">
        <f t="shared" si="21"/>
        <v>-1.0000000000047748E-2</v>
      </c>
      <c r="F72" s="43">
        <f t="shared" si="21"/>
        <v>2.2000000000048203E-2</v>
      </c>
    </row>
    <row r="73" spans="1:34" ht="33.75" customHeight="1" x14ac:dyDescent="0.25">
      <c r="B73" s="42">
        <f t="shared" ref="B73:F73" si="22">B71-B67</f>
        <v>-7.1428571428555188E-2</v>
      </c>
      <c r="C73" s="42">
        <f t="shared" si="22"/>
        <v>1.7857142857138797E-2</v>
      </c>
      <c r="D73" s="42">
        <f t="shared" si="22"/>
        <v>1.607915893629297E-2</v>
      </c>
      <c r="E73" s="42">
        <f t="shared" si="22"/>
        <v>4.2643923241030279E-3</v>
      </c>
      <c r="F73" s="42">
        <f t="shared" si="22"/>
        <v>-7.9970919665726115E-3</v>
      </c>
      <c r="G73" s="45"/>
      <c r="H73" s="45"/>
      <c r="I73" s="45"/>
      <c r="J73" s="45"/>
      <c r="K73" s="45"/>
      <c r="L73" s="45"/>
      <c r="M73" s="45"/>
      <c r="N73" s="52"/>
    </row>
    <row r="74" spans="1:34" ht="33.75" customHeight="1" x14ac:dyDescent="0.25">
      <c r="B74" s="287"/>
      <c r="C74" s="287"/>
      <c r="D74" s="287"/>
      <c r="E74" s="287"/>
      <c r="F74" s="287"/>
    </row>
    <row r="75" spans="1:34" ht="33.75" customHeight="1" x14ac:dyDescent="0.25">
      <c r="A75" s="45"/>
      <c r="B75" s="283"/>
      <c r="C75" s="283"/>
      <c r="D75" s="283"/>
      <c r="E75" s="283"/>
      <c r="F75" s="283"/>
      <c r="G75" s="58"/>
      <c r="H75" s="45"/>
      <c r="I75" s="45"/>
      <c r="J75" s="45"/>
      <c r="K75" s="45"/>
      <c r="L75" s="45"/>
      <c r="M75" s="45"/>
      <c r="N75" s="45"/>
      <c r="O75" s="45"/>
    </row>
    <row r="76" spans="1:34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4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4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4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4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2">
    <mergeCell ref="B36:G36"/>
    <mergeCell ref="Q36:S36"/>
    <mergeCell ref="N37:O37"/>
    <mergeCell ref="B56:F56"/>
    <mergeCell ref="A3:C3"/>
    <mergeCell ref="E9:G9"/>
    <mergeCell ref="W9:X9"/>
    <mergeCell ref="O11:P11"/>
    <mergeCell ref="B15:I15"/>
    <mergeCell ref="J15:M15"/>
    <mergeCell ref="N15:R15"/>
    <mergeCell ref="S15:X1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J240"/>
  <sheetViews>
    <sheetView workbookViewId="0"/>
  </sheetViews>
  <sheetFormatPr baseColWidth="10" defaultRowHeight="15" x14ac:dyDescent="0.25"/>
  <cols>
    <col min="1" max="1" width="52.42578125" style="14" bestFit="1" customWidth="1"/>
    <col min="2" max="15" width="25.140625" style="14" customWidth="1"/>
    <col min="16" max="16" width="35.42578125" style="14" bestFit="1" customWidth="1"/>
    <col min="17" max="23" width="25.140625" style="14" customWidth="1"/>
    <col min="24" max="24" width="25.85546875" style="14" customWidth="1"/>
    <col min="25" max="25" width="21.42578125" style="14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 t="s">
        <v>79</v>
      </c>
      <c r="P11" s="965"/>
      <c r="Q11" s="6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1"/>
      <c r="AD13" s="1"/>
      <c r="AE13" s="1"/>
    </row>
    <row r="14" spans="1:3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1"/>
      <c r="AE14" s="1"/>
      <c r="AF14" s="1"/>
    </row>
    <row r="15" spans="1:36" s="10" customFormat="1" ht="36" thickBot="1" x14ac:dyDescent="0.3">
      <c r="A15" s="69" t="s">
        <v>7</v>
      </c>
      <c r="B15" s="971" t="s">
        <v>8</v>
      </c>
      <c r="C15" s="968"/>
      <c r="D15" s="968"/>
      <c r="E15" s="968"/>
      <c r="F15" s="968"/>
      <c r="G15" s="968"/>
      <c r="H15" s="968"/>
      <c r="I15" s="968"/>
      <c r="J15" s="971" t="s">
        <v>30</v>
      </c>
      <c r="K15" s="968"/>
      <c r="L15" s="968"/>
      <c r="M15" s="969"/>
      <c r="N15" s="971" t="s">
        <v>29</v>
      </c>
      <c r="O15" s="968"/>
      <c r="P15" s="968"/>
      <c r="Q15" s="968"/>
      <c r="R15" s="969"/>
      <c r="S15" s="962" t="s">
        <v>31</v>
      </c>
      <c r="T15" s="963"/>
      <c r="U15" s="963"/>
      <c r="V15" s="963"/>
      <c r="W15" s="963"/>
      <c r="X15" s="964"/>
    </row>
    <row r="16" spans="1:36" ht="39.950000000000003" customHeight="1" thickBot="1" x14ac:dyDescent="0.3">
      <c r="A16" s="80" t="s">
        <v>34</v>
      </c>
      <c r="B16" s="186">
        <v>4</v>
      </c>
      <c r="C16" s="174">
        <v>3</v>
      </c>
      <c r="D16" s="174">
        <v>2</v>
      </c>
      <c r="E16" s="174">
        <v>1</v>
      </c>
      <c r="F16" s="174">
        <v>1</v>
      </c>
      <c r="G16" s="174">
        <v>2</v>
      </c>
      <c r="H16" s="174">
        <v>3</v>
      </c>
      <c r="I16" s="175">
        <v>4</v>
      </c>
      <c r="J16" s="186">
        <v>1</v>
      </c>
      <c r="K16" s="174">
        <v>2</v>
      </c>
      <c r="L16" s="174">
        <v>3</v>
      </c>
      <c r="M16" s="175">
        <v>4</v>
      </c>
      <c r="N16" s="202">
        <v>1</v>
      </c>
      <c r="O16" s="174">
        <v>2</v>
      </c>
      <c r="P16" s="174">
        <v>3</v>
      </c>
      <c r="Q16" s="174">
        <v>4</v>
      </c>
      <c r="R16" s="203">
        <v>5</v>
      </c>
      <c r="S16" s="186">
        <v>1</v>
      </c>
      <c r="T16" s="174">
        <v>2</v>
      </c>
      <c r="U16" s="174">
        <v>3</v>
      </c>
      <c r="V16" s="174">
        <v>4</v>
      </c>
      <c r="W16" s="175">
        <v>5</v>
      </c>
      <c r="X16" s="126" t="s">
        <v>9</v>
      </c>
      <c r="AB16" s="15"/>
      <c r="AC16" s="15"/>
    </row>
    <row r="17" spans="1:36" ht="39.950000000000003" customHeight="1" thickBot="1" x14ac:dyDescent="0.3">
      <c r="A17" s="80" t="s">
        <v>10</v>
      </c>
      <c r="B17" s="186">
        <v>1</v>
      </c>
      <c r="C17" s="174">
        <v>2</v>
      </c>
      <c r="D17" s="174">
        <v>3</v>
      </c>
      <c r="E17" s="174">
        <v>4</v>
      </c>
      <c r="F17" s="174">
        <v>5</v>
      </c>
      <c r="G17" s="174">
        <v>6</v>
      </c>
      <c r="H17" s="174">
        <v>7</v>
      </c>
      <c r="I17" s="175">
        <v>8</v>
      </c>
      <c r="J17" s="186">
        <v>1</v>
      </c>
      <c r="K17" s="174">
        <v>2</v>
      </c>
      <c r="L17" s="174">
        <v>3</v>
      </c>
      <c r="M17" s="175">
        <v>4</v>
      </c>
      <c r="N17" s="202">
        <v>1</v>
      </c>
      <c r="O17" s="174">
        <v>2</v>
      </c>
      <c r="P17" s="174">
        <v>3</v>
      </c>
      <c r="Q17" s="174">
        <v>4</v>
      </c>
      <c r="R17" s="203">
        <v>5</v>
      </c>
      <c r="S17" s="186">
        <v>1</v>
      </c>
      <c r="T17" s="174">
        <v>2</v>
      </c>
      <c r="U17" s="174">
        <v>3</v>
      </c>
      <c r="V17" s="174">
        <v>4</v>
      </c>
      <c r="W17" s="175">
        <v>5</v>
      </c>
      <c r="X17" s="208"/>
      <c r="AB17" s="2"/>
      <c r="AC17" s="15"/>
    </row>
    <row r="18" spans="1:36" ht="39.950000000000003" customHeight="1" x14ac:dyDescent="0.25">
      <c r="A18" s="171" t="s">
        <v>53</v>
      </c>
      <c r="B18" s="133">
        <v>39.4</v>
      </c>
      <c r="C18" s="134">
        <v>82.7</v>
      </c>
      <c r="D18" s="134">
        <v>65.7</v>
      </c>
      <c r="E18" s="134">
        <v>26.4</v>
      </c>
      <c r="F18" s="134">
        <v>39.9</v>
      </c>
      <c r="G18" s="134">
        <v>60.6</v>
      </c>
      <c r="H18" s="134">
        <v>53.6</v>
      </c>
      <c r="I18" s="156">
        <v>46.1</v>
      </c>
      <c r="J18" s="133">
        <v>15.4</v>
      </c>
      <c r="K18" s="134">
        <v>31.1</v>
      </c>
      <c r="L18" s="134">
        <v>48.2</v>
      </c>
      <c r="M18" s="156">
        <v>43.3</v>
      </c>
      <c r="N18" s="133">
        <v>37.9</v>
      </c>
      <c r="O18" s="134">
        <v>39.6</v>
      </c>
      <c r="P18" s="134">
        <v>73.099999999999994</v>
      </c>
      <c r="Q18" s="134">
        <v>69.2</v>
      </c>
      <c r="R18" s="156">
        <v>36.700000000000003</v>
      </c>
      <c r="S18" s="133">
        <v>32.700000000000003</v>
      </c>
      <c r="T18" s="134">
        <v>51.3</v>
      </c>
      <c r="U18" s="134">
        <v>67.8</v>
      </c>
      <c r="V18" s="134">
        <v>61.5</v>
      </c>
      <c r="W18" s="156">
        <v>40.299999999999997</v>
      </c>
      <c r="X18" s="98">
        <f>SUM(B18:W18)</f>
        <v>1062.5000000000002</v>
      </c>
      <c r="AB18" s="2"/>
      <c r="AC18" s="15"/>
    </row>
    <row r="19" spans="1:36" ht="39.950000000000003" customHeight="1" x14ac:dyDescent="0.25">
      <c r="A19" s="171" t="s">
        <v>24</v>
      </c>
      <c r="B19" s="18">
        <v>39.4</v>
      </c>
      <c r="C19" s="19">
        <v>82.7</v>
      </c>
      <c r="D19" s="19">
        <v>65.7</v>
      </c>
      <c r="E19" s="19">
        <v>26.4</v>
      </c>
      <c r="F19" s="19">
        <v>39.9</v>
      </c>
      <c r="G19" s="19">
        <v>60.6</v>
      </c>
      <c r="H19" s="19">
        <v>53.6</v>
      </c>
      <c r="I19" s="20">
        <v>46.1</v>
      </c>
      <c r="J19" s="18">
        <v>15.4</v>
      </c>
      <c r="K19" s="19">
        <v>31.1</v>
      </c>
      <c r="L19" s="19">
        <v>48.2</v>
      </c>
      <c r="M19" s="20">
        <v>43.3</v>
      </c>
      <c r="N19" s="18">
        <v>37.9</v>
      </c>
      <c r="O19" s="19">
        <v>39.6</v>
      </c>
      <c r="P19" s="19">
        <v>73.099999999999994</v>
      </c>
      <c r="Q19" s="19">
        <v>69.2</v>
      </c>
      <c r="R19" s="20">
        <v>36.700000000000003</v>
      </c>
      <c r="S19" s="18">
        <v>32.700000000000003</v>
      </c>
      <c r="T19" s="19">
        <v>51.3</v>
      </c>
      <c r="U19" s="19">
        <v>67.8</v>
      </c>
      <c r="V19" s="19">
        <v>61.5</v>
      </c>
      <c r="W19" s="20">
        <v>40.299999999999997</v>
      </c>
      <c r="X19" s="98">
        <f t="shared" ref="X19:X24" si="0">SUM(B19:W19)</f>
        <v>1062.5000000000002</v>
      </c>
      <c r="AB19" s="2"/>
      <c r="AC19" s="15"/>
    </row>
    <row r="20" spans="1:36" ht="39.75" customHeight="1" x14ac:dyDescent="0.25">
      <c r="A20" s="171" t="s">
        <v>20</v>
      </c>
      <c r="B20" s="18">
        <v>40.799999999999997</v>
      </c>
      <c r="C20" s="19">
        <v>85.8</v>
      </c>
      <c r="D20" s="19">
        <v>68.3</v>
      </c>
      <c r="E20" s="19">
        <v>27.4</v>
      </c>
      <c r="F20" s="19">
        <v>41.5</v>
      </c>
      <c r="G20" s="19">
        <v>63</v>
      </c>
      <c r="H20" s="19">
        <v>55.7</v>
      </c>
      <c r="I20" s="20">
        <v>48</v>
      </c>
      <c r="J20" s="18">
        <v>15.9</v>
      </c>
      <c r="K20" s="19">
        <v>32.299999999999997</v>
      </c>
      <c r="L20" s="19">
        <v>49.8</v>
      </c>
      <c r="M20" s="20">
        <v>44.9</v>
      </c>
      <c r="N20" s="18">
        <v>39.5</v>
      </c>
      <c r="O20" s="19">
        <v>40.799999999999997</v>
      </c>
      <c r="P20" s="19">
        <v>75.8</v>
      </c>
      <c r="Q20" s="19">
        <v>72.2</v>
      </c>
      <c r="R20" s="20">
        <v>37.799999999999997</v>
      </c>
      <c r="S20" s="18">
        <v>33.799999999999997</v>
      </c>
      <c r="T20" s="19">
        <v>53</v>
      </c>
      <c r="U20" s="19">
        <v>70.599999999999994</v>
      </c>
      <c r="V20" s="19">
        <v>63.9</v>
      </c>
      <c r="W20" s="20">
        <v>41.9</v>
      </c>
      <c r="X20" s="98">
        <f t="shared" si="0"/>
        <v>1102.6999999999998</v>
      </c>
      <c r="AB20" s="2"/>
      <c r="AC20" s="15"/>
    </row>
    <row r="21" spans="1:36" ht="39.950000000000003" customHeight="1" x14ac:dyDescent="0.25">
      <c r="A21" s="171" t="s">
        <v>28</v>
      </c>
      <c r="B21" s="18">
        <v>40.799999999999997</v>
      </c>
      <c r="C21" s="19">
        <v>85.9</v>
      </c>
      <c r="D21" s="19">
        <v>68.3</v>
      </c>
      <c r="E21" s="19">
        <v>27.4</v>
      </c>
      <c r="F21" s="19">
        <v>41.5</v>
      </c>
      <c r="G21" s="19">
        <v>63</v>
      </c>
      <c r="H21" s="19">
        <v>55.7</v>
      </c>
      <c r="I21" s="20">
        <v>48.1</v>
      </c>
      <c r="J21" s="18">
        <v>15.9</v>
      </c>
      <c r="K21" s="19">
        <v>32.299999999999997</v>
      </c>
      <c r="L21" s="19">
        <v>49.9</v>
      </c>
      <c r="M21" s="20">
        <v>44.9</v>
      </c>
      <c r="N21" s="18">
        <v>39.5</v>
      </c>
      <c r="O21" s="19">
        <v>40.799999999999997</v>
      </c>
      <c r="P21" s="19">
        <v>75.8</v>
      </c>
      <c r="Q21" s="19">
        <v>72.2</v>
      </c>
      <c r="R21" s="20">
        <v>37.9</v>
      </c>
      <c r="S21" s="18">
        <v>33.799999999999997</v>
      </c>
      <c r="T21" s="19">
        <v>53</v>
      </c>
      <c r="U21" s="19">
        <v>70.599999999999994</v>
      </c>
      <c r="V21" s="19">
        <v>63.9</v>
      </c>
      <c r="W21" s="20">
        <v>41.9</v>
      </c>
      <c r="X21" s="98">
        <f t="shared" si="0"/>
        <v>1103.0999999999999</v>
      </c>
      <c r="AB21" s="2"/>
      <c r="AC21" s="15"/>
    </row>
    <row r="22" spans="1:36" ht="39.950000000000003" customHeight="1" x14ac:dyDescent="0.25">
      <c r="A22" s="171" t="s">
        <v>21</v>
      </c>
      <c r="B22" s="18">
        <v>40.799999999999997</v>
      </c>
      <c r="C22" s="19">
        <v>85.9</v>
      </c>
      <c r="D22" s="19">
        <v>68.3</v>
      </c>
      <c r="E22" s="19">
        <v>27.4</v>
      </c>
      <c r="F22" s="19">
        <v>41.5</v>
      </c>
      <c r="G22" s="19">
        <v>63</v>
      </c>
      <c r="H22" s="19">
        <v>55.7</v>
      </c>
      <c r="I22" s="20">
        <v>48.1</v>
      </c>
      <c r="J22" s="18">
        <v>15.9</v>
      </c>
      <c r="K22" s="19">
        <v>32.299999999999997</v>
      </c>
      <c r="L22" s="19">
        <v>49.9</v>
      </c>
      <c r="M22" s="20">
        <v>45</v>
      </c>
      <c r="N22" s="18">
        <v>39.6</v>
      </c>
      <c r="O22" s="19">
        <v>40.799999999999997</v>
      </c>
      <c r="P22" s="19">
        <v>75.8</v>
      </c>
      <c r="Q22" s="19">
        <v>72.3</v>
      </c>
      <c r="R22" s="20">
        <v>37.9</v>
      </c>
      <c r="S22" s="18">
        <v>33.9</v>
      </c>
      <c r="T22" s="19">
        <v>53.1</v>
      </c>
      <c r="U22" s="19">
        <v>70.599999999999994</v>
      </c>
      <c r="V22" s="19">
        <v>64</v>
      </c>
      <c r="W22" s="20">
        <v>41.9</v>
      </c>
      <c r="X22" s="98">
        <f t="shared" si="0"/>
        <v>1103.6999999999998</v>
      </c>
      <c r="AB22" s="2"/>
      <c r="AC22" s="15"/>
    </row>
    <row r="23" spans="1:36" ht="39.950000000000003" customHeight="1" x14ac:dyDescent="0.25">
      <c r="A23" s="171" t="s">
        <v>22</v>
      </c>
      <c r="B23" s="18">
        <v>40.799999999999997</v>
      </c>
      <c r="C23" s="19">
        <v>85.9</v>
      </c>
      <c r="D23" s="19">
        <v>68.3</v>
      </c>
      <c r="E23" s="19">
        <v>27.5</v>
      </c>
      <c r="F23" s="19">
        <v>41.5</v>
      </c>
      <c r="G23" s="19">
        <v>63</v>
      </c>
      <c r="H23" s="19">
        <v>55.7</v>
      </c>
      <c r="I23" s="20">
        <v>48.1</v>
      </c>
      <c r="J23" s="18">
        <v>15.9</v>
      </c>
      <c r="K23" s="19">
        <v>32.299999999999997</v>
      </c>
      <c r="L23" s="19">
        <v>49.9</v>
      </c>
      <c r="M23" s="20">
        <v>45</v>
      </c>
      <c r="N23" s="18">
        <v>39.6</v>
      </c>
      <c r="O23" s="19">
        <v>40.799999999999997</v>
      </c>
      <c r="P23" s="19">
        <v>75.8</v>
      </c>
      <c r="Q23" s="19">
        <v>72.3</v>
      </c>
      <c r="R23" s="20">
        <v>37.9</v>
      </c>
      <c r="S23" s="18">
        <v>33.9</v>
      </c>
      <c r="T23" s="19">
        <v>53.1</v>
      </c>
      <c r="U23" s="19">
        <v>70.599999999999994</v>
      </c>
      <c r="V23" s="19">
        <v>64</v>
      </c>
      <c r="W23" s="20">
        <v>42</v>
      </c>
      <c r="X23" s="98">
        <f t="shared" si="0"/>
        <v>1103.8999999999999</v>
      </c>
      <c r="AB23" s="2"/>
      <c r="AC23" s="15"/>
    </row>
    <row r="24" spans="1:36" ht="39.950000000000003" customHeight="1" thickBot="1" x14ac:dyDescent="0.3">
      <c r="A24" s="285" t="s">
        <v>23</v>
      </c>
      <c r="B24" s="18">
        <v>40.799999999999997</v>
      </c>
      <c r="C24" s="19">
        <v>85.9</v>
      </c>
      <c r="D24" s="19">
        <v>68.3</v>
      </c>
      <c r="E24" s="19">
        <v>27.5</v>
      </c>
      <c r="F24" s="19">
        <v>41.5</v>
      </c>
      <c r="G24" s="19">
        <v>63</v>
      </c>
      <c r="H24" s="19">
        <v>55.7</v>
      </c>
      <c r="I24" s="20">
        <v>48.1</v>
      </c>
      <c r="J24" s="18">
        <v>15.9</v>
      </c>
      <c r="K24" s="19">
        <v>32.299999999999997</v>
      </c>
      <c r="L24" s="19">
        <v>49.9</v>
      </c>
      <c r="M24" s="20">
        <v>45</v>
      </c>
      <c r="N24" s="18">
        <v>39.6</v>
      </c>
      <c r="O24" s="19">
        <v>40.9</v>
      </c>
      <c r="P24" s="19">
        <v>75.8</v>
      </c>
      <c r="Q24" s="19">
        <v>72.3</v>
      </c>
      <c r="R24" s="20">
        <v>37.9</v>
      </c>
      <c r="S24" s="18">
        <v>33.9</v>
      </c>
      <c r="T24" s="19">
        <v>53.1</v>
      </c>
      <c r="U24" s="19">
        <v>70.7</v>
      </c>
      <c r="V24" s="19">
        <v>64</v>
      </c>
      <c r="W24" s="20">
        <v>42</v>
      </c>
      <c r="X24" s="98">
        <f t="shared" si="0"/>
        <v>1104.0999999999999</v>
      </c>
      <c r="AB24" s="2"/>
    </row>
    <row r="25" spans="1:36" ht="41.45" customHeight="1" x14ac:dyDescent="0.25">
      <c r="A25" s="268" t="s">
        <v>9</v>
      </c>
      <c r="B25" s="131">
        <f>SUM(B18:B24)</f>
        <v>282.8</v>
      </c>
      <c r="C25" s="128">
        <f t="shared" ref="C25:W25" si="1">SUM(C18:C24)</f>
        <v>594.79999999999995</v>
      </c>
      <c r="D25" s="128">
        <f t="shared" si="1"/>
        <v>472.90000000000003</v>
      </c>
      <c r="E25" s="128">
        <f t="shared" si="1"/>
        <v>190</v>
      </c>
      <c r="F25" s="128">
        <f t="shared" si="1"/>
        <v>287.3</v>
      </c>
      <c r="G25" s="128">
        <f t="shared" si="1"/>
        <v>436.2</v>
      </c>
      <c r="H25" s="128">
        <f t="shared" si="1"/>
        <v>385.7</v>
      </c>
      <c r="I25" s="205">
        <f t="shared" si="1"/>
        <v>332.6</v>
      </c>
      <c r="J25" s="131">
        <f t="shared" si="1"/>
        <v>110.30000000000001</v>
      </c>
      <c r="K25" s="128">
        <f t="shared" si="1"/>
        <v>223.7</v>
      </c>
      <c r="L25" s="128">
        <f t="shared" si="1"/>
        <v>345.79999999999995</v>
      </c>
      <c r="M25" s="205">
        <f t="shared" si="1"/>
        <v>311.39999999999998</v>
      </c>
      <c r="N25" s="131">
        <f t="shared" si="1"/>
        <v>273.60000000000002</v>
      </c>
      <c r="O25" s="128">
        <f t="shared" si="1"/>
        <v>283.3</v>
      </c>
      <c r="P25" s="128">
        <f t="shared" si="1"/>
        <v>525.20000000000005</v>
      </c>
      <c r="Q25" s="128">
        <f t="shared" si="1"/>
        <v>499.70000000000005</v>
      </c>
      <c r="R25" s="205">
        <f t="shared" si="1"/>
        <v>262.8</v>
      </c>
      <c r="S25" s="131">
        <f t="shared" si="1"/>
        <v>234.70000000000002</v>
      </c>
      <c r="T25" s="128">
        <f t="shared" si="1"/>
        <v>367.90000000000003</v>
      </c>
      <c r="U25" s="128">
        <f t="shared" si="1"/>
        <v>488.7</v>
      </c>
      <c r="V25" s="128">
        <f t="shared" si="1"/>
        <v>442.8</v>
      </c>
      <c r="W25" s="129">
        <f t="shared" si="1"/>
        <v>290.3</v>
      </c>
      <c r="X25" s="98">
        <f>SUM(X18,X19,X20,X21,X22,X23,X24)</f>
        <v>7642.5</v>
      </c>
    </row>
    <row r="26" spans="1:36" s="2" customFormat="1" ht="36.75" customHeight="1" x14ac:dyDescent="0.25">
      <c r="A26" s="192" t="s">
        <v>11</v>
      </c>
      <c r="B26" s="23">
        <v>109.5</v>
      </c>
      <c r="C26" s="24">
        <v>110.5</v>
      </c>
      <c r="D26" s="24">
        <v>114.5</v>
      </c>
      <c r="E26" s="24">
        <v>116</v>
      </c>
      <c r="F26" s="24">
        <v>114</v>
      </c>
      <c r="G26" s="24">
        <v>113.5</v>
      </c>
      <c r="H26" s="24">
        <v>112</v>
      </c>
      <c r="I26" s="228">
        <v>110</v>
      </c>
      <c r="J26" s="23">
        <v>115</v>
      </c>
      <c r="K26" s="24">
        <v>112.5</v>
      </c>
      <c r="L26" s="24">
        <v>111</v>
      </c>
      <c r="M26" s="228">
        <v>108.5</v>
      </c>
      <c r="N26" s="23">
        <v>116</v>
      </c>
      <c r="O26" s="24">
        <v>114</v>
      </c>
      <c r="P26" s="24">
        <v>110.5</v>
      </c>
      <c r="Q26" s="24">
        <v>110.5</v>
      </c>
      <c r="R26" s="228">
        <v>108.5</v>
      </c>
      <c r="S26" s="23">
        <v>116</v>
      </c>
      <c r="T26" s="24">
        <v>114.5</v>
      </c>
      <c r="U26" s="24">
        <v>111</v>
      </c>
      <c r="V26" s="24">
        <v>110</v>
      </c>
      <c r="W26" s="25">
        <v>110</v>
      </c>
      <c r="X26" s="99">
        <f>(((X25*1000)/7)/X27)</f>
        <v>111.82891675568108</v>
      </c>
    </row>
    <row r="27" spans="1:36" s="2" customFormat="1" ht="33" customHeight="1" x14ac:dyDescent="0.25">
      <c r="A27" s="193" t="s">
        <v>12</v>
      </c>
      <c r="B27" s="26">
        <v>369</v>
      </c>
      <c r="C27" s="27">
        <v>769</v>
      </c>
      <c r="D27" s="27">
        <v>590</v>
      </c>
      <c r="E27" s="27">
        <v>234</v>
      </c>
      <c r="F27" s="27">
        <v>360</v>
      </c>
      <c r="G27" s="27">
        <v>549</v>
      </c>
      <c r="H27" s="27">
        <v>492</v>
      </c>
      <c r="I27" s="183">
        <v>432</v>
      </c>
      <c r="J27" s="26">
        <v>137</v>
      </c>
      <c r="K27" s="27">
        <v>284</v>
      </c>
      <c r="L27" s="27">
        <v>445</v>
      </c>
      <c r="M27" s="183">
        <v>410</v>
      </c>
      <c r="N27" s="26">
        <v>337</v>
      </c>
      <c r="O27" s="27">
        <v>355</v>
      </c>
      <c r="P27" s="27">
        <v>679</v>
      </c>
      <c r="Q27" s="27">
        <v>646</v>
      </c>
      <c r="R27" s="183">
        <v>346</v>
      </c>
      <c r="S27" s="26">
        <v>289</v>
      </c>
      <c r="T27" s="27">
        <v>459</v>
      </c>
      <c r="U27" s="27">
        <v>629</v>
      </c>
      <c r="V27" s="27">
        <v>575</v>
      </c>
      <c r="W27" s="28">
        <v>377</v>
      </c>
      <c r="X27" s="29">
        <f>SUM(B27,C27,D27,E27,F27,G27,H27,I27,J27,K27,L27,M27,N27,O27,P27,Q27,R27,S27,T27,U27,V27,W27)</f>
        <v>9763</v>
      </c>
    </row>
    <row r="28" spans="1:36" s="2" customFormat="1" ht="33" customHeight="1" x14ac:dyDescent="0.25">
      <c r="A28" s="194" t="s">
        <v>13</v>
      </c>
      <c r="B28" s="30">
        <f>((((B26*7)*B27)/1000)-(B18+B19))/5</f>
        <v>40.807699999999997</v>
      </c>
      <c r="C28" s="30">
        <f t="shared" ref="C28:W28" si="2">((((C26*7)*C27)/1000)-(C18+C19))/5</f>
        <v>85.88430000000001</v>
      </c>
      <c r="D28" s="30">
        <f t="shared" si="2"/>
        <v>68.296999999999997</v>
      </c>
      <c r="E28" s="30">
        <f t="shared" si="2"/>
        <v>27.441600000000005</v>
      </c>
      <c r="F28" s="30">
        <f t="shared" si="2"/>
        <v>41.495999999999995</v>
      </c>
      <c r="G28" s="30">
        <f t="shared" si="2"/>
        <v>62.996099999999998</v>
      </c>
      <c r="H28" s="30">
        <f t="shared" si="2"/>
        <v>55.705600000000004</v>
      </c>
      <c r="I28" s="30">
        <f t="shared" si="2"/>
        <v>48.088000000000001</v>
      </c>
      <c r="J28" s="30">
        <f t="shared" si="2"/>
        <v>15.897</v>
      </c>
      <c r="K28" s="30">
        <f t="shared" si="2"/>
        <v>32.29</v>
      </c>
      <c r="L28" s="30">
        <f t="shared" si="2"/>
        <v>49.872999999999998</v>
      </c>
      <c r="M28" s="30">
        <f t="shared" si="2"/>
        <v>44.958999999999996</v>
      </c>
      <c r="N28" s="30">
        <f t="shared" si="2"/>
        <v>39.568799999999996</v>
      </c>
      <c r="O28" s="30">
        <f t="shared" si="2"/>
        <v>40.818000000000005</v>
      </c>
      <c r="P28" s="30">
        <f t="shared" si="2"/>
        <v>75.801299999999998</v>
      </c>
      <c r="Q28" s="30">
        <f t="shared" si="2"/>
        <v>72.256199999999993</v>
      </c>
      <c r="R28" s="30">
        <f t="shared" si="2"/>
        <v>37.877399999999994</v>
      </c>
      <c r="S28" s="30">
        <f t="shared" si="2"/>
        <v>33.8536</v>
      </c>
      <c r="T28" s="30">
        <f t="shared" si="2"/>
        <v>53.057699999999997</v>
      </c>
      <c r="U28" s="30">
        <f t="shared" si="2"/>
        <v>70.62660000000001</v>
      </c>
      <c r="V28" s="30">
        <f t="shared" si="2"/>
        <v>63.95</v>
      </c>
      <c r="W28" s="286">
        <f t="shared" si="2"/>
        <v>41.938000000000002</v>
      </c>
      <c r="X28" s="33"/>
    </row>
    <row r="29" spans="1:36" ht="33.75" customHeight="1" x14ac:dyDescent="0.25">
      <c r="A29" s="185" t="s">
        <v>14</v>
      </c>
      <c r="B29" s="279">
        <f t="shared" ref="B29:W29" si="3">((B27*B26)*7)/1000</f>
        <v>282.83850000000001</v>
      </c>
      <c r="C29" s="280">
        <f t="shared" si="3"/>
        <v>594.82150000000001</v>
      </c>
      <c r="D29" s="280">
        <f t="shared" si="3"/>
        <v>472.88499999999999</v>
      </c>
      <c r="E29" s="280">
        <f t="shared" si="3"/>
        <v>190.00800000000001</v>
      </c>
      <c r="F29" s="280">
        <f t="shared" si="3"/>
        <v>287.27999999999997</v>
      </c>
      <c r="G29" s="280">
        <f t="shared" si="3"/>
        <v>436.18049999999999</v>
      </c>
      <c r="H29" s="280">
        <f t="shared" si="3"/>
        <v>385.72800000000001</v>
      </c>
      <c r="I29" s="281">
        <f t="shared" si="3"/>
        <v>332.64</v>
      </c>
      <c r="J29" s="279">
        <f t="shared" si="3"/>
        <v>110.285</v>
      </c>
      <c r="K29" s="280">
        <f t="shared" si="3"/>
        <v>223.65</v>
      </c>
      <c r="L29" s="280">
        <f t="shared" si="3"/>
        <v>345.76499999999999</v>
      </c>
      <c r="M29" s="281">
        <f t="shared" si="3"/>
        <v>311.39499999999998</v>
      </c>
      <c r="N29" s="279">
        <f t="shared" si="3"/>
        <v>273.64400000000001</v>
      </c>
      <c r="O29" s="280">
        <f t="shared" si="3"/>
        <v>283.29000000000002</v>
      </c>
      <c r="P29" s="280">
        <f t="shared" si="3"/>
        <v>525.20650000000001</v>
      </c>
      <c r="Q29" s="280">
        <f t="shared" si="3"/>
        <v>499.68099999999998</v>
      </c>
      <c r="R29" s="281">
        <f t="shared" si="3"/>
        <v>262.78699999999998</v>
      </c>
      <c r="S29" s="279">
        <f t="shared" si="3"/>
        <v>234.66800000000001</v>
      </c>
      <c r="T29" s="280">
        <f t="shared" si="3"/>
        <v>367.88850000000002</v>
      </c>
      <c r="U29" s="280">
        <f t="shared" si="3"/>
        <v>488.733</v>
      </c>
      <c r="V29" s="280">
        <f t="shared" si="3"/>
        <v>442.75</v>
      </c>
      <c r="W29" s="282">
        <f t="shared" si="3"/>
        <v>290.29000000000002</v>
      </c>
      <c r="X29" s="36"/>
    </row>
    <row r="30" spans="1:36" ht="33.75" customHeight="1" thickBot="1" x14ac:dyDescent="0.3">
      <c r="A30" s="195" t="s">
        <v>15</v>
      </c>
      <c r="B30" s="37">
        <f>+(B25/B27)/7*1000</f>
        <v>109.48509485094851</v>
      </c>
      <c r="C30" s="38">
        <f t="shared" ref="C30:W30" si="4">+(C25/C27)/7*1000</f>
        <v>110.49600594464053</v>
      </c>
      <c r="D30" s="38">
        <f t="shared" si="4"/>
        <v>114.50363196125909</v>
      </c>
      <c r="E30" s="38">
        <f t="shared" si="4"/>
        <v>115.995115995116</v>
      </c>
      <c r="F30" s="38">
        <f t="shared" si="4"/>
        <v>114.00793650793652</v>
      </c>
      <c r="G30" s="38">
        <f t="shared" si="4"/>
        <v>113.50507416081186</v>
      </c>
      <c r="H30" s="38">
        <f t="shared" si="4"/>
        <v>111.99186991869918</v>
      </c>
      <c r="I30" s="207">
        <f t="shared" si="4"/>
        <v>109.98677248677249</v>
      </c>
      <c r="J30" s="37">
        <f t="shared" si="4"/>
        <v>115.01564129301357</v>
      </c>
      <c r="K30" s="38">
        <f t="shared" si="4"/>
        <v>112.5251509054326</v>
      </c>
      <c r="L30" s="38">
        <f t="shared" si="4"/>
        <v>111.01123595505616</v>
      </c>
      <c r="M30" s="207">
        <f t="shared" si="4"/>
        <v>108.50174216027874</v>
      </c>
      <c r="N30" s="37">
        <f t="shared" si="4"/>
        <v>115.98134802882579</v>
      </c>
      <c r="O30" s="38">
        <f t="shared" si="4"/>
        <v>114.00402414486922</v>
      </c>
      <c r="P30" s="38">
        <f t="shared" si="4"/>
        <v>110.49863244266778</v>
      </c>
      <c r="Q30" s="38">
        <f t="shared" si="4"/>
        <v>110.50420168067228</v>
      </c>
      <c r="R30" s="207">
        <f t="shared" si="4"/>
        <v>108.50536746490504</v>
      </c>
      <c r="S30" s="37">
        <f t="shared" si="4"/>
        <v>116.01581809194265</v>
      </c>
      <c r="T30" s="38">
        <f t="shared" si="4"/>
        <v>114.50357920946156</v>
      </c>
      <c r="U30" s="38">
        <f t="shared" si="4"/>
        <v>110.99250511015215</v>
      </c>
      <c r="V30" s="38">
        <f t="shared" si="4"/>
        <v>110.01242236024845</v>
      </c>
      <c r="W30" s="39">
        <f t="shared" si="4"/>
        <v>110.00378931413414</v>
      </c>
      <c r="X30" s="40"/>
    </row>
    <row r="31" spans="1:36" ht="33.75" customHeight="1" x14ac:dyDescent="0.25">
      <c r="A31" s="41"/>
      <c r="B31" s="42">
        <f>B29-B25</f>
        <v>3.8499999999999091E-2</v>
      </c>
      <c r="C31" s="42">
        <f t="shared" ref="C31:W32" si="5">C29-C25</f>
        <v>2.1500000000060027E-2</v>
      </c>
      <c r="D31" s="42">
        <f t="shared" si="5"/>
        <v>-1.5000000000043201E-2</v>
      </c>
      <c r="E31" s="42">
        <f t="shared" si="5"/>
        <v>8.0000000000097771E-3</v>
      </c>
      <c r="F31" s="42">
        <f t="shared" si="5"/>
        <v>-2.0000000000038654E-2</v>
      </c>
      <c r="G31" s="42">
        <f t="shared" si="5"/>
        <v>-1.9499999999993634E-2</v>
      </c>
      <c r="H31" s="42">
        <f t="shared" si="5"/>
        <v>2.8000000000020009E-2</v>
      </c>
      <c r="I31" s="42">
        <f t="shared" si="5"/>
        <v>3.999999999996362E-2</v>
      </c>
      <c r="J31" s="42">
        <f t="shared" si="5"/>
        <v>-1.5000000000014779E-2</v>
      </c>
      <c r="K31" s="42">
        <f t="shared" si="5"/>
        <v>-4.9999999999982947E-2</v>
      </c>
      <c r="L31" s="42">
        <f t="shared" si="5"/>
        <v>-3.4999999999968168E-2</v>
      </c>
      <c r="M31" s="42">
        <f t="shared" si="5"/>
        <v>-4.9999999999954525E-3</v>
      </c>
      <c r="N31" s="42">
        <f t="shared" si="5"/>
        <v>4.399999999998272E-2</v>
      </c>
      <c r="O31" s="42">
        <f t="shared" si="5"/>
        <v>-9.9999999999909051E-3</v>
      </c>
      <c r="P31" s="42">
        <f t="shared" si="5"/>
        <v>6.4999999999599822E-3</v>
      </c>
      <c r="Q31" s="42">
        <f t="shared" si="5"/>
        <v>-1.90000000000623E-2</v>
      </c>
      <c r="R31" s="42">
        <f t="shared" si="5"/>
        <v>-1.3000000000033651E-2</v>
      </c>
      <c r="S31" s="42">
        <f t="shared" si="5"/>
        <v>-3.2000000000010687E-2</v>
      </c>
      <c r="T31" s="42">
        <f t="shared" si="5"/>
        <v>-1.1500000000012278E-2</v>
      </c>
      <c r="U31" s="42">
        <f t="shared" si="5"/>
        <v>3.3000000000015461E-2</v>
      </c>
      <c r="V31" s="42">
        <f t="shared" si="5"/>
        <v>-5.0000000000011369E-2</v>
      </c>
      <c r="W31" s="42">
        <f t="shared" si="5"/>
        <v>-9.9999999999909051E-3</v>
      </c>
      <c r="X31" s="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-1.4905149051486433E-2</v>
      </c>
      <c r="C32" s="42">
        <f t="shared" si="5"/>
        <v>-3.9940553594703943E-3</v>
      </c>
      <c r="D32" s="42">
        <f t="shared" si="5"/>
        <v>3.6319612590887118E-3</v>
      </c>
      <c r="E32" s="42">
        <f t="shared" si="5"/>
        <v>-4.8840048840048667E-3</v>
      </c>
      <c r="F32" s="42">
        <f t="shared" si="5"/>
        <v>7.9365079365203428E-3</v>
      </c>
      <c r="G32" s="42">
        <f t="shared" si="5"/>
        <v>5.0741608118585191E-3</v>
      </c>
      <c r="H32" s="42">
        <f t="shared" si="5"/>
        <v>-8.1300813008198247E-3</v>
      </c>
      <c r="I32" s="42">
        <f t="shared" si="5"/>
        <v>-1.3227513227505483E-2</v>
      </c>
      <c r="J32" s="42">
        <f t="shared" si="5"/>
        <v>1.5641293013572977E-2</v>
      </c>
      <c r="K32" s="42">
        <f t="shared" si="5"/>
        <v>2.515090543259646E-2</v>
      </c>
      <c r="L32" s="42">
        <f t="shared" si="5"/>
        <v>1.1235955056164926E-2</v>
      </c>
      <c r="M32" s="42">
        <f t="shared" si="5"/>
        <v>1.7421602787379697E-3</v>
      </c>
      <c r="N32" s="42">
        <f t="shared" si="5"/>
        <v>-1.8651971174207915E-2</v>
      </c>
      <c r="O32" s="42">
        <f t="shared" si="5"/>
        <v>4.024144869219981E-3</v>
      </c>
      <c r="P32" s="42">
        <f t="shared" si="5"/>
        <v>-1.3675573322160517E-3</v>
      </c>
      <c r="Q32" s="42">
        <f t="shared" si="5"/>
        <v>4.2016806722813271E-3</v>
      </c>
      <c r="R32" s="42">
        <f t="shared" si="5"/>
        <v>5.3674649050350354E-3</v>
      </c>
      <c r="S32" s="42">
        <f t="shared" si="5"/>
        <v>1.5818091942648493E-2</v>
      </c>
      <c r="T32" s="42">
        <f t="shared" si="5"/>
        <v>3.5792094615629821E-3</v>
      </c>
      <c r="U32" s="42">
        <f t="shared" si="5"/>
        <v>-7.4948898478481851E-3</v>
      </c>
      <c r="V32" s="42">
        <f t="shared" si="5"/>
        <v>1.2422360248450559E-2</v>
      </c>
      <c r="W32" s="42">
        <f t="shared" si="5"/>
        <v>3.7893141341385217E-3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6" ht="33.75" customHeight="1" x14ac:dyDescent="0.25">
      <c r="A33" s="41"/>
      <c r="B33" s="288"/>
      <c r="C33" s="288"/>
      <c r="D33" s="288"/>
      <c r="E33" s="288"/>
      <c r="F33" s="288"/>
      <c r="G33" s="288"/>
      <c r="H33" s="288"/>
      <c r="I33" s="288"/>
      <c r="J33" s="288"/>
      <c r="K33" s="288"/>
      <c r="L33" s="288"/>
      <c r="M33" s="288"/>
      <c r="N33" s="288"/>
      <c r="O33" s="288"/>
      <c r="P33" s="288"/>
      <c r="Q33" s="288"/>
      <c r="R33" s="288"/>
      <c r="S33" s="288"/>
      <c r="T33" s="288"/>
      <c r="U33" s="288"/>
      <c r="V33" s="288"/>
      <c r="W33" s="288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1"/>
    </row>
    <row r="34" spans="1:3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1"/>
    </row>
    <row r="35" spans="1:36" s="2" customFormat="1" ht="33.75" customHeight="1" thickBot="1" x14ac:dyDescent="0.3">
      <c r="B35" s="43"/>
      <c r="C35" s="315">
        <v>33</v>
      </c>
      <c r="D35" s="315">
        <v>23</v>
      </c>
      <c r="E35" s="315">
        <v>16</v>
      </c>
      <c r="F35" s="315">
        <v>21</v>
      </c>
      <c r="G35" s="315">
        <v>8</v>
      </c>
      <c r="H35" s="316"/>
      <c r="I35" s="316"/>
      <c r="J35" s="316"/>
      <c r="K35" s="317" t="s">
        <v>85</v>
      </c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3"/>
    </row>
    <row r="36" spans="1:36" ht="33.75" customHeight="1" thickBot="1" x14ac:dyDescent="0.3">
      <c r="A36" s="69" t="s">
        <v>16</v>
      </c>
      <c r="B36" s="980" t="s">
        <v>17</v>
      </c>
      <c r="C36" s="972"/>
      <c r="D36" s="972"/>
      <c r="E36" s="972"/>
      <c r="F36" s="972"/>
      <c r="G36" s="972"/>
      <c r="H36" s="972"/>
      <c r="I36" s="248"/>
      <c r="J36" s="977" t="s">
        <v>9</v>
      </c>
      <c r="Q36" s="44"/>
      <c r="R36" s="88" t="s">
        <v>18</v>
      </c>
      <c r="S36" s="973" t="s">
        <v>17</v>
      </c>
      <c r="T36" s="974"/>
      <c r="U36" s="975"/>
      <c r="V36" s="229"/>
      <c r="W36" s="269"/>
      <c r="Y36" s="45"/>
      <c r="Z36" s="45"/>
      <c r="AA36" s="46"/>
      <c r="AB36" s="3"/>
      <c r="AC36" s="45"/>
      <c r="AD36" s="45"/>
      <c r="AE36" s="45"/>
      <c r="AF36" s="3"/>
    </row>
    <row r="37" spans="1:36" ht="33.75" customHeight="1" thickBot="1" x14ac:dyDescent="0.3">
      <c r="A37" s="170" t="s">
        <v>34</v>
      </c>
      <c r="B37" s="141"/>
      <c r="C37" s="118"/>
      <c r="D37" s="118"/>
      <c r="E37" s="118"/>
      <c r="F37" s="118"/>
      <c r="G37" s="118"/>
      <c r="H37" s="118"/>
      <c r="I37" s="119"/>
      <c r="J37" s="978"/>
      <c r="K37" s="47"/>
      <c r="L37" s="47"/>
      <c r="M37" s="47"/>
      <c r="N37" s="47"/>
      <c r="O37" s="47"/>
      <c r="P37" s="970"/>
      <c r="Q37" s="976"/>
      <c r="R37" s="97" t="s">
        <v>33</v>
      </c>
      <c r="S37" s="186"/>
      <c r="T37" s="173"/>
      <c r="U37" s="173"/>
      <c r="V37" s="261" t="s">
        <v>9</v>
      </c>
      <c r="W37" s="2"/>
      <c r="Y37" s="47"/>
      <c r="Z37" s="47"/>
      <c r="AA37" s="3"/>
      <c r="AB37" s="46"/>
      <c r="AC37" s="3"/>
      <c r="AD37" s="45"/>
      <c r="AE37" s="45"/>
      <c r="AF37" s="45"/>
    </row>
    <row r="38" spans="1:36" ht="33.75" customHeight="1" thickBot="1" x14ac:dyDescent="0.3">
      <c r="A38" s="17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6">
        <v>6</v>
      </c>
      <c r="H38" s="16" t="s">
        <v>82</v>
      </c>
      <c r="I38" s="17" t="s">
        <v>83</v>
      </c>
      <c r="J38" s="979"/>
      <c r="K38" s="47"/>
      <c r="L38" s="47"/>
      <c r="M38" s="47"/>
      <c r="N38" s="47"/>
      <c r="O38" s="47"/>
      <c r="P38" s="144"/>
      <c r="Q38" s="145"/>
      <c r="R38" s="80" t="s">
        <v>10</v>
      </c>
      <c r="S38" s="186">
        <v>1</v>
      </c>
      <c r="T38" s="174">
        <v>2</v>
      </c>
      <c r="U38" s="175">
        <v>3</v>
      </c>
      <c r="V38" s="278"/>
      <c r="W38" s="270"/>
      <c r="Y38" s="47"/>
      <c r="Z38" s="47"/>
      <c r="AA38" s="48"/>
      <c r="AB38" s="48"/>
      <c r="AC38" s="2"/>
      <c r="AD38" s="2"/>
      <c r="AE38" s="2"/>
      <c r="AF38" s="2"/>
    </row>
    <row r="39" spans="1:36" ht="33.75" customHeight="1" x14ac:dyDescent="0.25">
      <c r="A39" s="171" t="s">
        <v>32</v>
      </c>
      <c r="B39" s="18">
        <v>31.1</v>
      </c>
      <c r="C39" s="19">
        <v>83</v>
      </c>
      <c r="D39" s="19">
        <v>52.3</v>
      </c>
      <c r="E39" s="19">
        <v>37.799999999999997</v>
      </c>
      <c r="F39" s="19">
        <v>79.2</v>
      </c>
      <c r="G39" s="19">
        <v>42.1</v>
      </c>
      <c r="H39" s="19"/>
      <c r="I39" s="20"/>
      <c r="J39" s="265">
        <f>SUM(B39:G39)</f>
        <v>325.5</v>
      </c>
      <c r="K39" s="49"/>
      <c r="L39" s="49"/>
      <c r="M39" s="49"/>
      <c r="N39" s="49"/>
      <c r="O39" s="49"/>
      <c r="P39" s="144"/>
      <c r="Q39" s="145"/>
      <c r="R39" s="171" t="s">
        <v>53</v>
      </c>
      <c r="S39" s="133">
        <v>9.6</v>
      </c>
      <c r="T39" s="134">
        <v>24.1</v>
      </c>
      <c r="U39" s="156">
        <v>9</v>
      </c>
      <c r="V39" s="136">
        <f t="shared" ref="V39:V45" si="6">SUM(S39:U39)</f>
        <v>42.7</v>
      </c>
      <c r="W39" s="271"/>
      <c r="Y39" s="2"/>
      <c r="Z39" s="49"/>
      <c r="AA39" s="48"/>
      <c r="AB39" s="48"/>
      <c r="AC39" s="2"/>
      <c r="AD39" s="2"/>
      <c r="AE39" s="2"/>
      <c r="AF39" s="2"/>
    </row>
    <row r="40" spans="1:36" ht="33.75" customHeight="1" x14ac:dyDescent="0.25">
      <c r="A40" s="171" t="s">
        <v>24</v>
      </c>
      <c r="B40" s="18">
        <v>31.1</v>
      </c>
      <c r="C40" s="19">
        <v>83</v>
      </c>
      <c r="D40" s="19">
        <v>52.3</v>
      </c>
      <c r="E40" s="19">
        <v>37.799999999999997</v>
      </c>
      <c r="F40" s="19">
        <v>79.2</v>
      </c>
      <c r="G40" s="19">
        <v>42.1</v>
      </c>
      <c r="H40" s="19"/>
      <c r="I40" s="20"/>
      <c r="J40" s="136">
        <f>SUM(B40:G40)</f>
        <v>325.5</v>
      </c>
      <c r="K40" s="49"/>
      <c r="L40" s="49"/>
      <c r="M40" s="49"/>
      <c r="N40" s="49"/>
      <c r="O40" s="49"/>
      <c r="P40" s="144"/>
      <c r="Q40" s="145"/>
      <c r="R40" s="171" t="s">
        <v>24</v>
      </c>
      <c r="S40" s="18">
        <v>9.6</v>
      </c>
      <c r="T40" s="19">
        <v>24.1</v>
      </c>
      <c r="U40" s="20">
        <v>9</v>
      </c>
      <c r="V40" s="136">
        <f t="shared" si="6"/>
        <v>42.7</v>
      </c>
      <c r="W40" s="271"/>
      <c r="Y40" s="2"/>
      <c r="Z40" s="49"/>
      <c r="AA40" s="48"/>
      <c r="AB40" s="48"/>
      <c r="AC40" s="2"/>
      <c r="AD40" s="2"/>
      <c r="AE40" s="2"/>
      <c r="AF40" s="2"/>
    </row>
    <row r="41" spans="1:36" ht="33.75" customHeight="1" x14ac:dyDescent="0.25">
      <c r="A41" s="171" t="s">
        <v>20</v>
      </c>
      <c r="B41" s="18">
        <v>31.3</v>
      </c>
      <c r="C41" s="19">
        <v>80.8</v>
      </c>
      <c r="D41" s="19">
        <v>50.2</v>
      </c>
      <c r="E41" s="19">
        <v>36.1</v>
      </c>
      <c r="F41" s="19">
        <v>78.3</v>
      </c>
      <c r="G41" s="19">
        <v>42.6</v>
      </c>
      <c r="H41" s="19">
        <v>5.7</v>
      </c>
      <c r="I41" s="20">
        <v>6.2</v>
      </c>
      <c r="J41" s="136">
        <f>SUM(B41:I41)</f>
        <v>331.2</v>
      </c>
      <c r="K41" s="49"/>
      <c r="L41" s="49"/>
      <c r="M41" s="49"/>
      <c r="N41" s="49"/>
      <c r="O41" s="49"/>
      <c r="P41" s="144"/>
      <c r="Q41" s="145"/>
      <c r="R41" s="171" t="s">
        <v>20</v>
      </c>
      <c r="S41" s="18">
        <v>10.1</v>
      </c>
      <c r="T41" s="19">
        <v>25.8</v>
      </c>
      <c r="U41" s="20">
        <v>9.6</v>
      </c>
      <c r="V41" s="136">
        <f t="shared" si="6"/>
        <v>45.5</v>
      </c>
      <c r="W41" s="271"/>
      <c r="Y41" s="2"/>
      <c r="Z41" s="49"/>
      <c r="AA41" s="48"/>
      <c r="AB41" s="48"/>
      <c r="AC41" s="2"/>
      <c r="AD41" s="2"/>
      <c r="AE41" s="2"/>
      <c r="AF41" s="2"/>
    </row>
    <row r="42" spans="1:36" ht="33.75" customHeight="1" x14ac:dyDescent="0.25">
      <c r="A42" s="171" t="s">
        <v>28</v>
      </c>
      <c r="B42" s="18">
        <v>31.3</v>
      </c>
      <c r="C42" s="19">
        <v>80.8</v>
      </c>
      <c r="D42" s="19">
        <v>50.2</v>
      </c>
      <c r="E42" s="19">
        <v>36.1</v>
      </c>
      <c r="F42" s="19">
        <v>78.400000000000006</v>
      </c>
      <c r="G42" s="19">
        <v>42.6</v>
      </c>
      <c r="H42" s="19">
        <v>5.7</v>
      </c>
      <c r="I42" s="20">
        <v>6.2</v>
      </c>
      <c r="J42" s="136">
        <f t="shared" ref="J42:J45" si="7">SUM(B42:I42)</f>
        <v>331.3</v>
      </c>
      <c r="K42" s="49"/>
      <c r="L42" s="49"/>
      <c r="M42" s="49"/>
      <c r="N42" s="49"/>
      <c r="O42" s="49"/>
      <c r="P42" s="144"/>
      <c r="Q42" s="145"/>
      <c r="R42" s="171" t="s">
        <v>28</v>
      </c>
      <c r="S42" s="18">
        <v>10.1</v>
      </c>
      <c r="T42" s="19">
        <v>25.8</v>
      </c>
      <c r="U42" s="20">
        <v>9.6</v>
      </c>
      <c r="V42" s="136">
        <f t="shared" si="6"/>
        <v>45.5</v>
      </c>
      <c r="W42" s="271"/>
      <c r="Y42" s="2"/>
      <c r="Z42" s="49"/>
      <c r="AA42" s="48"/>
      <c r="AB42" s="48"/>
      <c r="AC42" s="2"/>
      <c r="AD42" s="2"/>
      <c r="AE42" s="2"/>
      <c r="AF42" s="2"/>
    </row>
    <row r="43" spans="1:36" ht="33.75" customHeight="1" x14ac:dyDescent="0.25">
      <c r="A43" s="171" t="s">
        <v>21</v>
      </c>
      <c r="B43" s="18">
        <v>31.3</v>
      </c>
      <c r="C43" s="19">
        <v>80.8</v>
      </c>
      <c r="D43" s="19">
        <v>50.2</v>
      </c>
      <c r="E43" s="19">
        <v>36.1</v>
      </c>
      <c r="F43" s="19">
        <v>78.400000000000006</v>
      </c>
      <c r="G43" s="19">
        <v>42.6</v>
      </c>
      <c r="H43" s="19">
        <v>5.7</v>
      </c>
      <c r="I43" s="20">
        <v>6.2</v>
      </c>
      <c r="J43" s="136">
        <f t="shared" si="7"/>
        <v>331.3</v>
      </c>
      <c r="K43" s="49"/>
      <c r="L43" s="49"/>
      <c r="M43" s="49"/>
      <c r="N43" s="49"/>
      <c r="O43" s="49"/>
      <c r="P43" s="144"/>
      <c r="Q43" s="145"/>
      <c r="R43" s="171" t="s">
        <v>21</v>
      </c>
      <c r="S43" s="18">
        <v>10.1</v>
      </c>
      <c r="T43" s="19">
        <v>25.8</v>
      </c>
      <c r="U43" s="20">
        <v>9.6</v>
      </c>
      <c r="V43" s="136">
        <f t="shared" si="6"/>
        <v>45.5</v>
      </c>
      <c r="W43" s="271"/>
      <c r="Y43" s="2"/>
      <c r="Z43" s="49"/>
      <c r="AA43" s="48"/>
      <c r="AB43" s="48"/>
      <c r="AC43" s="2"/>
      <c r="AD43" s="2"/>
      <c r="AE43" s="2"/>
      <c r="AF43" s="2"/>
    </row>
    <row r="44" spans="1:36" ht="33.75" customHeight="1" x14ac:dyDescent="0.25">
      <c r="A44" s="171" t="s">
        <v>22</v>
      </c>
      <c r="B44" s="18">
        <v>31.3</v>
      </c>
      <c r="C44" s="19">
        <v>80.8</v>
      </c>
      <c r="D44" s="19">
        <v>50.3</v>
      </c>
      <c r="E44" s="19">
        <v>36.200000000000003</v>
      </c>
      <c r="F44" s="19">
        <v>78.400000000000006</v>
      </c>
      <c r="G44" s="19">
        <v>42.6</v>
      </c>
      <c r="H44" s="19">
        <v>5.7</v>
      </c>
      <c r="I44" s="20">
        <v>6.2</v>
      </c>
      <c r="J44" s="136">
        <f t="shared" si="7"/>
        <v>331.5</v>
      </c>
      <c r="K44" s="49"/>
      <c r="L44" s="49"/>
      <c r="M44" s="49"/>
      <c r="N44" s="49"/>
      <c r="O44" s="49"/>
      <c r="P44" s="144"/>
      <c r="Q44" s="145"/>
      <c r="R44" s="171" t="s">
        <v>22</v>
      </c>
      <c r="S44" s="18">
        <v>10.1</v>
      </c>
      <c r="T44" s="19">
        <v>25.8</v>
      </c>
      <c r="U44" s="20">
        <v>9.6</v>
      </c>
      <c r="V44" s="136">
        <f t="shared" si="6"/>
        <v>45.5</v>
      </c>
      <c r="W44" s="271"/>
      <c r="Y44" s="2"/>
      <c r="Z44" s="49"/>
      <c r="AA44" s="48"/>
      <c r="AB44" s="48"/>
      <c r="AC44" s="2"/>
      <c r="AD44" s="2"/>
      <c r="AE44" s="2"/>
      <c r="AF44" s="2"/>
    </row>
    <row r="45" spans="1:36" ht="33.75" customHeight="1" thickBot="1" x14ac:dyDescent="0.3">
      <c r="A45" s="285" t="s">
        <v>32</v>
      </c>
      <c r="B45" s="153">
        <v>31.4</v>
      </c>
      <c r="C45" s="154">
        <v>80.900000000000006</v>
      </c>
      <c r="D45" s="154">
        <v>50.3</v>
      </c>
      <c r="E45" s="154">
        <v>36.200000000000003</v>
      </c>
      <c r="F45" s="154">
        <v>78.400000000000006</v>
      </c>
      <c r="G45" s="154">
        <v>42.7</v>
      </c>
      <c r="H45" s="154">
        <v>5.7</v>
      </c>
      <c r="I45" s="182">
        <v>6.2</v>
      </c>
      <c r="J45" s="136">
        <f t="shared" si="7"/>
        <v>331.8</v>
      </c>
      <c r="K45" s="49"/>
      <c r="L45" s="49"/>
      <c r="M45" s="49"/>
      <c r="N45" s="49"/>
      <c r="O45" s="49"/>
      <c r="P45" s="144"/>
      <c r="Q45" s="145"/>
      <c r="R45" s="285" t="s">
        <v>23</v>
      </c>
      <c r="S45" s="130">
        <v>10.1</v>
      </c>
      <c r="T45" s="124">
        <v>25.9</v>
      </c>
      <c r="U45" s="132">
        <v>9.6999999999999993</v>
      </c>
      <c r="V45" s="289">
        <f t="shared" si="6"/>
        <v>45.7</v>
      </c>
      <c r="W45" s="271"/>
      <c r="Y45" s="2"/>
      <c r="Z45" s="49"/>
      <c r="AA45" s="48"/>
      <c r="AB45" s="48"/>
      <c r="AC45" s="48"/>
      <c r="AD45" s="48"/>
      <c r="AE45" s="2"/>
      <c r="AF45" s="2"/>
      <c r="AG45" s="2"/>
      <c r="AH45" s="2"/>
    </row>
    <row r="46" spans="1:36" ht="33.75" customHeight="1" x14ac:dyDescent="0.25">
      <c r="A46" s="290" t="s">
        <v>9</v>
      </c>
      <c r="B46" s="217">
        <f>SUM(B39:B45)</f>
        <v>218.8</v>
      </c>
      <c r="C46" s="218">
        <f t="shared" ref="C46:H46" si="8">SUM(C39:C45)</f>
        <v>570.1</v>
      </c>
      <c r="D46" s="218">
        <f t="shared" si="8"/>
        <v>355.8</v>
      </c>
      <c r="E46" s="218">
        <f t="shared" si="8"/>
        <v>256.29999999999995</v>
      </c>
      <c r="F46" s="218">
        <f t="shared" si="8"/>
        <v>550.29999999999995</v>
      </c>
      <c r="G46" s="218">
        <f t="shared" si="8"/>
        <v>297.3</v>
      </c>
      <c r="H46" s="218">
        <f t="shared" si="8"/>
        <v>28.5</v>
      </c>
      <c r="I46" s="218">
        <f t="shared" ref="I46" si="9">SUM(I39:I45)</f>
        <v>31</v>
      </c>
      <c r="J46" s="265">
        <f>SUM(B46:G46)</f>
        <v>2248.6</v>
      </c>
      <c r="K46" s="49"/>
      <c r="L46" s="49"/>
      <c r="M46" s="49"/>
      <c r="N46" s="49"/>
      <c r="O46" s="49"/>
      <c r="P46" s="49"/>
      <c r="R46" s="290" t="s">
        <v>9</v>
      </c>
      <c r="S46" s="133">
        <f>SUM(S39:S45)</f>
        <v>69.7</v>
      </c>
      <c r="T46" s="134">
        <f>SUM(T39:T45)</f>
        <v>177.3</v>
      </c>
      <c r="U46" s="134">
        <f>SUM(U39:U45)</f>
        <v>66.100000000000009</v>
      </c>
      <c r="V46" s="265">
        <f>SUM(V39,V40,V41,V42,V43,V44,V45)</f>
        <v>313.09999999999997</v>
      </c>
      <c r="W46" s="272"/>
      <c r="Y46" s="49"/>
      <c r="Z46" s="49"/>
      <c r="AA46" s="2"/>
      <c r="AB46" s="2"/>
      <c r="AC46" s="2"/>
      <c r="AD46" s="2"/>
      <c r="AE46" s="2"/>
      <c r="AF46" s="2"/>
      <c r="AG46" s="2"/>
      <c r="AH46" s="2"/>
    </row>
    <row r="47" spans="1:36" ht="33.75" customHeight="1" x14ac:dyDescent="0.25">
      <c r="A47" s="192" t="s">
        <v>11</v>
      </c>
      <c r="B47" s="23">
        <v>111.5</v>
      </c>
      <c r="C47" s="24">
        <v>114.5</v>
      </c>
      <c r="D47" s="24">
        <v>117.5</v>
      </c>
      <c r="E47" s="24">
        <v>116</v>
      </c>
      <c r="F47" s="24">
        <v>110.5</v>
      </c>
      <c r="G47" s="24">
        <v>107.5</v>
      </c>
      <c r="H47" s="24">
        <v>111.5</v>
      </c>
      <c r="I47" s="24">
        <v>111.5</v>
      </c>
      <c r="J47" s="137">
        <f>+((J46/J48)/7)*1000</f>
        <v>112.12166542009473</v>
      </c>
      <c r="K47" s="50"/>
      <c r="L47" s="50"/>
      <c r="M47" s="50"/>
      <c r="N47" s="50"/>
      <c r="O47" s="50"/>
      <c r="P47" s="49"/>
      <c r="R47" s="273" t="s">
        <v>11</v>
      </c>
      <c r="S47" s="23">
        <v>118.5</v>
      </c>
      <c r="T47" s="24">
        <v>119.5</v>
      </c>
      <c r="U47" s="24">
        <v>118</v>
      </c>
      <c r="V47" s="137">
        <f>+((V46/V48)/7)*1000</f>
        <v>118.95896656534953</v>
      </c>
      <c r="W47" s="2"/>
      <c r="Y47" s="50"/>
      <c r="Z47" s="50"/>
    </row>
    <row r="48" spans="1:36" ht="33.75" customHeight="1" x14ac:dyDescent="0.25">
      <c r="A48" s="193" t="s">
        <v>12</v>
      </c>
      <c r="B48" s="26">
        <v>280</v>
      </c>
      <c r="C48" s="27">
        <v>702</v>
      </c>
      <c r="D48" s="27">
        <v>426</v>
      </c>
      <c r="E48" s="27">
        <v>311</v>
      </c>
      <c r="F48" s="27">
        <v>705</v>
      </c>
      <c r="G48" s="27">
        <v>393</v>
      </c>
      <c r="H48" s="27">
        <v>48</v>
      </c>
      <c r="I48" s="27">
        <v>53</v>
      </c>
      <c r="J48" s="138">
        <f>SUM(B48:H48)</f>
        <v>2865</v>
      </c>
      <c r="K48" s="198"/>
      <c r="L48" s="198"/>
      <c r="M48" s="198"/>
      <c r="N48" s="198"/>
      <c r="O48" s="198"/>
      <c r="P48" s="49"/>
      <c r="Q48" s="51"/>
      <c r="R48" s="193" t="s">
        <v>12</v>
      </c>
      <c r="S48" s="257">
        <v>84</v>
      </c>
      <c r="T48" s="275">
        <v>212</v>
      </c>
      <c r="U48" s="275">
        <v>80</v>
      </c>
      <c r="V48" s="254">
        <f>SUM(S48:U48)</f>
        <v>376</v>
      </c>
      <c r="W48" s="2"/>
      <c r="Y48" s="52"/>
      <c r="Z48" s="52"/>
    </row>
    <row r="49" spans="1:36" ht="33.75" customHeight="1" x14ac:dyDescent="0.25">
      <c r="A49" s="194" t="s">
        <v>13</v>
      </c>
      <c r="B49" s="30">
        <f>((((B47*7)*B48)/1000)-(B39+B40))/5</f>
        <v>31.267999999999994</v>
      </c>
      <c r="C49" s="31">
        <f t="shared" ref="C49:G49" si="10">((((C47*7)*C48)/1000)-(C39+C40))/5</f>
        <v>79.330600000000004</v>
      </c>
      <c r="D49" s="31">
        <f t="shared" si="10"/>
        <v>49.156999999999996</v>
      </c>
      <c r="E49" s="31">
        <f t="shared" si="10"/>
        <v>35.386400000000002</v>
      </c>
      <c r="F49" s="31">
        <f t="shared" si="10"/>
        <v>77.383499999999998</v>
      </c>
      <c r="G49" s="31">
        <f t="shared" si="10"/>
        <v>42.306500000000007</v>
      </c>
      <c r="H49" s="31">
        <f t="shared" ref="H49:I49" si="11">((((H47*7)*H48)/1000)-(H39+H40))/5</f>
        <v>7.4927999999999999</v>
      </c>
      <c r="I49" s="31">
        <f t="shared" si="11"/>
        <v>8.2733000000000008</v>
      </c>
      <c r="J49" s="139">
        <f>((J46*1000)/J48)/7</f>
        <v>112.12166542009473</v>
      </c>
      <c r="K49" s="199"/>
      <c r="L49" s="199"/>
      <c r="M49" s="199"/>
      <c r="N49" s="199"/>
      <c r="O49" s="199"/>
      <c r="P49" s="49"/>
      <c r="R49" s="194" t="s">
        <v>13</v>
      </c>
      <c r="S49" s="30">
        <f>((((S47*7)*S48)/1000)-(S39+S40))/5</f>
        <v>10.095599999999999</v>
      </c>
      <c r="T49" s="30">
        <f t="shared" ref="T49:U49" si="12">((((T47*7)*T48)/1000)-(T39+T40))/5</f>
        <v>25.827599999999997</v>
      </c>
      <c r="U49" s="30">
        <f t="shared" si="12"/>
        <v>9.6159999999999997</v>
      </c>
      <c r="V49" s="274">
        <f>((V46*1000)/V48)/7</f>
        <v>118.95896656534953</v>
      </c>
      <c r="W49" s="43"/>
      <c r="Y49" s="52"/>
      <c r="Z49" s="52"/>
    </row>
    <row r="50" spans="1:36" ht="33.75" customHeight="1" x14ac:dyDescent="0.25">
      <c r="A50" s="185" t="s">
        <v>14</v>
      </c>
      <c r="B50" s="279">
        <f t="shared" ref="B50:G50" si="13">((B48*B47)*7)/1000</f>
        <v>218.54</v>
      </c>
      <c r="C50" s="280">
        <f t="shared" si="13"/>
        <v>562.65300000000002</v>
      </c>
      <c r="D50" s="280">
        <f t="shared" si="13"/>
        <v>350.38499999999999</v>
      </c>
      <c r="E50" s="280">
        <f t="shared" si="13"/>
        <v>252.53200000000001</v>
      </c>
      <c r="F50" s="280">
        <f t="shared" si="13"/>
        <v>545.3175</v>
      </c>
      <c r="G50" s="280">
        <f t="shared" si="13"/>
        <v>295.73250000000002</v>
      </c>
      <c r="H50" s="280">
        <f t="shared" ref="H50:I50" si="14">((H48*H47)*7)/1000</f>
        <v>37.463999999999999</v>
      </c>
      <c r="I50" s="280">
        <f t="shared" si="14"/>
        <v>41.366500000000002</v>
      </c>
      <c r="J50" s="112"/>
      <c r="K50" s="41"/>
      <c r="L50" s="41"/>
      <c r="M50" s="41"/>
      <c r="N50" s="41"/>
      <c r="O50" s="41"/>
      <c r="P50" s="49"/>
      <c r="R50" s="185" t="s">
        <v>14</v>
      </c>
      <c r="S50" s="279">
        <f>((S48*S47)*7)/1000</f>
        <v>69.677999999999997</v>
      </c>
      <c r="T50" s="280">
        <f>((T48*T47)*7)/1000</f>
        <v>177.33799999999999</v>
      </c>
      <c r="U50" s="280">
        <f>((U48*U47)*7)/1000</f>
        <v>66.08</v>
      </c>
      <c r="V50" s="36"/>
      <c r="W50" s="41"/>
    </row>
    <row r="51" spans="1:36" ht="33.75" customHeight="1" thickBot="1" x14ac:dyDescent="0.3">
      <c r="A51" s="195" t="s">
        <v>15</v>
      </c>
      <c r="B51" s="37">
        <f t="shared" ref="B51:G51" si="15">+(B46/B48)/7*1000</f>
        <v>111.6326530612245</v>
      </c>
      <c r="C51" s="38">
        <f t="shared" si="15"/>
        <v>116.01546601546602</v>
      </c>
      <c r="D51" s="38">
        <f t="shared" si="15"/>
        <v>119.3158953722334</v>
      </c>
      <c r="E51" s="38">
        <f t="shared" si="15"/>
        <v>117.73082223242992</v>
      </c>
      <c r="F51" s="38">
        <f t="shared" si="15"/>
        <v>111.5096251266464</v>
      </c>
      <c r="G51" s="38">
        <f t="shared" si="15"/>
        <v>108.06979280261723</v>
      </c>
      <c r="H51" s="38">
        <f t="shared" ref="H51:I51" si="16">+(H46/H48)/7*1000</f>
        <v>84.821428571428569</v>
      </c>
      <c r="I51" s="38">
        <f t="shared" si="16"/>
        <v>83.55795148247978</v>
      </c>
      <c r="J51" s="140"/>
      <c r="K51" s="41"/>
      <c r="L51" s="41"/>
      <c r="M51" s="41"/>
      <c r="N51" s="41"/>
      <c r="O51" s="41"/>
      <c r="P51" s="49"/>
      <c r="Q51" s="41"/>
      <c r="R51" s="195" t="s">
        <v>15</v>
      </c>
      <c r="S51" s="37">
        <f>+(S46/S48)/7*1000</f>
        <v>118.5374149659864</v>
      </c>
      <c r="T51" s="38">
        <f>+(T46/T48)/7*1000</f>
        <v>119.47439353099732</v>
      </c>
      <c r="U51" s="38">
        <f>+(U46/U48)/7*1000</f>
        <v>118.03571428571432</v>
      </c>
      <c r="V51" s="259"/>
      <c r="W51" s="42"/>
      <c r="Y51" s="42"/>
      <c r="Z51" s="42"/>
    </row>
    <row r="52" spans="1:36" ht="33.75" customHeight="1" x14ac:dyDescent="0.25">
      <c r="A52" s="41"/>
      <c r="B52" s="43">
        <f>B50-B46</f>
        <v>-0.26000000000001933</v>
      </c>
      <c r="C52" s="43">
        <f t="shared" ref="C52:G52" si="17">C50-C46</f>
        <v>-7.4470000000000027</v>
      </c>
      <c r="D52" s="43">
        <f t="shared" si="17"/>
        <v>-5.4150000000000205</v>
      </c>
      <c r="E52" s="43">
        <f t="shared" si="17"/>
        <v>-3.7679999999999438</v>
      </c>
      <c r="F52" s="43">
        <f t="shared" si="17"/>
        <v>-4.9824999999999591</v>
      </c>
      <c r="G52" s="43">
        <f t="shared" si="17"/>
        <v>-1.5674999999999955</v>
      </c>
      <c r="H52" s="43">
        <f t="shared" ref="H52:I52" si="18">H50-H46</f>
        <v>8.9639999999999986</v>
      </c>
      <c r="I52" s="43">
        <f t="shared" si="18"/>
        <v>10.366500000000002</v>
      </c>
      <c r="J52" s="41"/>
      <c r="K52" s="41"/>
      <c r="L52" s="41"/>
      <c r="M52" s="41"/>
      <c r="N52" s="41"/>
      <c r="O52" s="41"/>
      <c r="P52" s="42"/>
      <c r="Q52" s="43">
        <f t="shared" ref="Q52:S53" si="19">S50-S46</f>
        <v>-2.2000000000005571E-2</v>
      </c>
      <c r="R52" s="42">
        <f t="shared" si="19"/>
        <v>3.7999999999982492E-2</v>
      </c>
      <c r="S52" s="42">
        <f t="shared" si="19"/>
        <v>-2.0000000000010232E-2</v>
      </c>
      <c r="T52" s="42"/>
      <c r="U52" s="42"/>
      <c r="V52" s="42"/>
      <c r="W52" s="42"/>
      <c r="X52" s="42"/>
      <c r="Y52" s="42"/>
      <c r="Z52" s="42"/>
      <c r="AA52" s="2"/>
      <c r="AB52" s="2"/>
      <c r="AC52" s="2"/>
      <c r="AD52" s="2"/>
      <c r="AE52" s="2"/>
    </row>
    <row r="53" spans="1:36" ht="33.75" customHeight="1" x14ac:dyDescent="0.25">
      <c r="A53" s="41"/>
      <c r="B53" s="42">
        <f t="shared" ref="B53:G53" si="20">B51-B47</f>
        <v>0.13265306122450227</v>
      </c>
      <c r="C53" s="42">
        <f t="shared" si="20"/>
        <v>1.5154660154660178</v>
      </c>
      <c r="D53" s="42">
        <f t="shared" si="20"/>
        <v>1.815895372233399</v>
      </c>
      <c r="E53" s="42">
        <f t="shared" si="20"/>
        <v>1.7308222324299152</v>
      </c>
      <c r="F53" s="42">
        <f t="shared" si="20"/>
        <v>1.009625126646398</v>
      </c>
      <c r="G53" s="42">
        <f t="shared" si="20"/>
        <v>0.5697928026172292</v>
      </c>
      <c r="H53" s="42">
        <f t="shared" ref="H53:I53" si="21">H51-H47</f>
        <v>-26.678571428571431</v>
      </c>
      <c r="I53" s="42">
        <f t="shared" si="21"/>
        <v>-27.94204851752022</v>
      </c>
      <c r="J53" s="41"/>
      <c r="K53" s="41"/>
      <c r="L53" s="41"/>
      <c r="M53" s="41"/>
      <c r="N53" s="41"/>
      <c r="O53" s="42"/>
      <c r="P53" s="42"/>
      <c r="Q53" s="42">
        <f t="shared" si="19"/>
        <v>3.7414965986400261E-2</v>
      </c>
      <c r="R53" s="42">
        <f t="shared" si="19"/>
        <v>-2.560646900268182E-2</v>
      </c>
      <c r="S53" s="42">
        <f t="shared" si="19"/>
        <v>3.5714285714320226E-2</v>
      </c>
      <c r="T53" s="42"/>
      <c r="U53" s="42"/>
      <c r="V53" s="42"/>
      <c r="W53" s="42"/>
      <c r="X53" s="43"/>
      <c r="Y53" s="43"/>
      <c r="Z53" s="43"/>
      <c r="AA53" s="2"/>
      <c r="AB53" s="2"/>
      <c r="AC53" s="2"/>
      <c r="AD53" s="2"/>
      <c r="AH53" s="3"/>
    </row>
    <row r="54" spans="1:36" ht="33.75" customHeight="1" x14ac:dyDescent="0.25">
      <c r="A54" s="41"/>
      <c r="B54" s="42"/>
      <c r="C54" s="42"/>
      <c r="D54" s="42"/>
      <c r="E54" s="42"/>
      <c r="F54" s="42"/>
      <c r="G54" s="42"/>
      <c r="H54" s="41"/>
      <c r="I54" s="41"/>
      <c r="J54" s="41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2"/>
      <c r="X54" s="43"/>
      <c r="Y54" s="43"/>
      <c r="Z54" s="43"/>
      <c r="AA54" s="2"/>
      <c r="AB54" s="2"/>
      <c r="AC54" s="2"/>
      <c r="AD54" s="2"/>
      <c r="AH54" s="3"/>
    </row>
    <row r="55" spans="1:36" ht="33.75" customHeight="1" thickBot="1" x14ac:dyDescent="0.3">
      <c r="A55" s="41"/>
      <c r="B55" s="42"/>
      <c r="C55" s="42"/>
      <c r="D55" s="42"/>
      <c r="E55" s="42"/>
      <c r="F55" s="42"/>
      <c r="G55" s="42"/>
      <c r="H55" s="41"/>
      <c r="I55" s="41"/>
      <c r="J55" s="41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2"/>
      <c r="X55" s="43"/>
      <c r="Y55" s="43"/>
      <c r="Z55" s="43"/>
      <c r="AA55" s="2"/>
      <c r="AB55" s="2"/>
      <c r="AC55" s="2"/>
      <c r="AD55" s="2"/>
      <c r="AH55" s="3"/>
    </row>
    <row r="56" spans="1:36" ht="33.75" customHeight="1" thickBot="1" x14ac:dyDescent="0.3">
      <c r="A56" s="88" t="s">
        <v>19</v>
      </c>
      <c r="B56" s="973" t="s">
        <v>30</v>
      </c>
      <c r="C56" s="974"/>
      <c r="D56" s="974"/>
      <c r="E56" s="974"/>
      <c r="F56" s="975"/>
      <c r="G56" s="85"/>
      <c r="H56" s="56"/>
      <c r="I56" s="56"/>
      <c r="J56" s="56"/>
      <c r="K56" s="56"/>
      <c r="L56" s="56"/>
      <c r="M56" s="56"/>
      <c r="N56" s="56"/>
      <c r="Z56" s="43"/>
      <c r="AA56" s="43"/>
      <c r="AB56" s="43"/>
      <c r="AC56" s="2"/>
      <c r="AD56" s="2"/>
      <c r="AE56" s="2"/>
      <c r="AF56" s="2"/>
      <c r="AH56" s="2"/>
      <c r="AI56" s="2"/>
      <c r="AJ56" s="2"/>
    </row>
    <row r="57" spans="1:36" ht="33.75" customHeight="1" thickBot="1" x14ac:dyDescent="0.3">
      <c r="A57" s="80" t="s">
        <v>34</v>
      </c>
      <c r="B57" s="188"/>
      <c r="C57" s="249"/>
      <c r="D57" s="249"/>
      <c r="E57" s="249"/>
      <c r="F57" s="250"/>
      <c r="G57" s="13" t="s">
        <v>9</v>
      </c>
      <c r="N57" s="45"/>
      <c r="O57" s="45"/>
      <c r="P57" s="45"/>
      <c r="Q57" s="45"/>
      <c r="R57" s="57"/>
      <c r="S57" s="57"/>
      <c r="T57" s="57"/>
      <c r="U57" s="57"/>
      <c r="V57" s="45"/>
      <c r="W57" s="45"/>
      <c r="X57" s="58"/>
      <c r="Y57" s="58"/>
      <c r="Z57" s="58"/>
      <c r="AA57" s="2"/>
      <c r="AB57" s="2"/>
      <c r="AC57" s="2"/>
      <c r="AD57" s="2"/>
      <c r="AF57" s="2"/>
      <c r="AG57" s="2"/>
      <c r="AH57" s="2"/>
    </row>
    <row r="58" spans="1:36" ht="33.75" customHeight="1" x14ac:dyDescent="0.25">
      <c r="A58" s="80" t="s">
        <v>10</v>
      </c>
      <c r="B58" s="186">
        <v>1</v>
      </c>
      <c r="C58" s="174">
        <v>2</v>
      </c>
      <c r="D58" s="174">
        <v>3</v>
      </c>
      <c r="E58" s="174">
        <v>4</v>
      </c>
      <c r="F58" s="175">
        <v>5</v>
      </c>
      <c r="G58" s="13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57"/>
      <c r="V58" s="45"/>
      <c r="W58" s="45"/>
      <c r="X58" s="58"/>
      <c r="Y58" s="58"/>
      <c r="Z58" s="58"/>
      <c r="AA58" s="2"/>
      <c r="AB58" s="2"/>
      <c r="AC58" s="2"/>
      <c r="AD58" s="2"/>
      <c r="AE58" s="2"/>
      <c r="AF58" s="2"/>
      <c r="AG58" s="2"/>
      <c r="AH58" s="2"/>
    </row>
    <row r="59" spans="1:36" ht="33.75" customHeight="1" x14ac:dyDescent="0.25">
      <c r="A59" s="171" t="s">
        <v>53</v>
      </c>
      <c r="B59" s="18">
        <v>11.3</v>
      </c>
      <c r="C59" s="19">
        <v>18.7</v>
      </c>
      <c r="D59" s="19">
        <v>27.2</v>
      </c>
      <c r="E59" s="19">
        <v>39.4</v>
      </c>
      <c r="F59" s="20">
        <v>46.2</v>
      </c>
      <c r="G59" s="136">
        <f t="shared" ref="G59:G66" si="22">SUM(B59:F59)</f>
        <v>142.80000000000001</v>
      </c>
      <c r="H59" s="42"/>
      <c r="I59" s="42"/>
      <c r="J59" s="42"/>
      <c r="K59" s="42"/>
      <c r="L59" s="42"/>
      <c r="M59" s="42"/>
      <c r="N59" s="2"/>
      <c r="O59" s="45"/>
      <c r="P59" s="45"/>
      <c r="Q59" s="45"/>
      <c r="R59" s="57"/>
      <c r="S59" s="57"/>
      <c r="T59" s="57"/>
      <c r="U59" s="57"/>
      <c r="V59" s="45"/>
      <c r="W59" s="45"/>
      <c r="X59" s="58"/>
      <c r="Y59" s="58"/>
      <c r="Z59" s="58"/>
      <c r="AA59" s="2"/>
      <c r="AB59" s="2"/>
      <c r="AC59" s="2"/>
      <c r="AD59" s="2"/>
      <c r="AE59" s="2"/>
      <c r="AF59" s="2"/>
      <c r="AG59" s="2"/>
      <c r="AH59" s="2"/>
    </row>
    <row r="60" spans="1:36" ht="33.75" customHeight="1" x14ac:dyDescent="0.25">
      <c r="A60" s="171" t="s">
        <v>24</v>
      </c>
      <c r="B60" s="18">
        <v>11.3</v>
      </c>
      <c r="C60" s="19">
        <v>18.7</v>
      </c>
      <c r="D60" s="19">
        <v>27.2</v>
      </c>
      <c r="E60" s="19">
        <v>39.4</v>
      </c>
      <c r="F60" s="20">
        <v>46.2</v>
      </c>
      <c r="G60" s="136">
        <f t="shared" si="22"/>
        <v>142.80000000000001</v>
      </c>
      <c r="H60" s="42"/>
      <c r="I60" s="42"/>
      <c r="J60" s="42"/>
      <c r="K60" s="42"/>
      <c r="L60" s="42"/>
      <c r="M60" s="42"/>
      <c r="N60" s="2"/>
      <c r="O60" s="45"/>
      <c r="P60" s="45"/>
      <c r="Q60" s="45"/>
      <c r="R60" s="57"/>
      <c r="S60" s="57"/>
      <c r="T60" s="57"/>
      <c r="U60" s="57"/>
      <c r="V60" s="45"/>
      <c r="W60" s="45"/>
      <c r="X60" s="58"/>
      <c r="Y60" s="58"/>
      <c r="Z60" s="58"/>
      <c r="AA60" s="2"/>
      <c r="AB60" s="2"/>
      <c r="AC60" s="2"/>
      <c r="AD60" s="2"/>
      <c r="AE60" s="2"/>
      <c r="AF60" s="2"/>
      <c r="AG60" s="2"/>
      <c r="AH60" s="2"/>
    </row>
    <row r="61" spans="1:36" ht="33.75" customHeight="1" x14ac:dyDescent="0.25">
      <c r="A61" s="171" t="s">
        <v>20</v>
      </c>
      <c r="B61" s="18">
        <v>12.1</v>
      </c>
      <c r="C61" s="19">
        <v>19.7</v>
      </c>
      <c r="D61" s="19">
        <v>28.5</v>
      </c>
      <c r="E61" s="19">
        <v>41.4</v>
      </c>
      <c r="F61" s="20">
        <v>48.6</v>
      </c>
      <c r="G61" s="136">
        <f t="shared" si="22"/>
        <v>150.29999999999998</v>
      </c>
      <c r="H61" s="42"/>
      <c r="I61" s="42"/>
      <c r="J61" s="42"/>
      <c r="K61" s="42"/>
      <c r="L61" s="42"/>
      <c r="M61" s="42"/>
      <c r="N61" s="2"/>
      <c r="O61" s="45"/>
      <c r="P61" s="45"/>
      <c r="Q61" s="45"/>
      <c r="R61" s="57"/>
      <c r="S61" s="57"/>
      <c r="T61" s="57"/>
      <c r="U61" s="57"/>
      <c r="V61" s="45"/>
      <c r="W61" s="45"/>
      <c r="X61" s="58"/>
      <c r="Y61" s="58"/>
      <c r="Z61" s="58"/>
      <c r="AA61" s="2"/>
      <c r="AB61" s="2"/>
      <c r="AC61" s="2"/>
      <c r="AD61" s="2"/>
      <c r="AE61" s="2"/>
      <c r="AF61" s="2"/>
      <c r="AG61" s="2"/>
      <c r="AH61" s="2"/>
    </row>
    <row r="62" spans="1:36" ht="33.75" customHeight="1" x14ac:dyDescent="0.25">
      <c r="A62" s="171" t="s">
        <v>28</v>
      </c>
      <c r="B62" s="18">
        <v>12.1</v>
      </c>
      <c r="C62" s="19">
        <v>19.7</v>
      </c>
      <c r="D62" s="19">
        <v>28.6</v>
      </c>
      <c r="E62" s="19">
        <v>41.4</v>
      </c>
      <c r="F62" s="20">
        <v>48.6</v>
      </c>
      <c r="G62" s="136">
        <f t="shared" si="22"/>
        <v>150.4</v>
      </c>
      <c r="H62" s="42"/>
      <c r="I62" s="42"/>
      <c r="J62" s="42"/>
      <c r="K62" s="42"/>
      <c r="L62" s="42"/>
      <c r="M62" s="42"/>
      <c r="N62" s="2"/>
      <c r="O62" s="45"/>
      <c r="P62" s="45"/>
      <c r="Q62" s="45"/>
      <c r="R62" s="57"/>
      <c r="S62" s="57"/>
      <c r="T62" s="57"/>
      <c r="U62" s="57"/>
      <c r="V62" s="45"/>
      <c r="W62" s="45"/>
      <c r="X62" s="58"/>
      <c r="Y62" s="58"/>
      <c r="Z62" s="58"/>
      <c r="AA62" s="3"/>
      <c r="AB62" s="3"/>
      <c r="AC62" s="2"/>
      <c r="AD62" s="2"/>
      <c r="AE62" s="2"/>
      <c r="AF62" s="2"/>
      <c r="AG62" s="2"/>
      <c r="AH62" s="2"/>
    </row>
    <row r="63" spans="1:36" ht="33.75" customHeight="1" x14ac:dyDescent="0.25">
      <c r="A63" s="171" t="s">
        <v>21</v>
      </c>
      <c r="B63" s="18">
        <v>12.1</v>
      </c>
      <c r="C63" s="19">
        <v>19.7</v>
      </c>
      <c r="D63" s="19">
        <v>28.6</v>
      </c>
      <c r="E63" s="19">
        <v>41.5</v>
      </c>
      <c r="F63" s="20">
        <v>48.6</v>
      </c>
      <c r="G63" s="136">
        <f t="shared" si="22"/>
        <v>150.5</v>
      </c>
      <c r="H63" s="42"/>
      <c r="I63" s="42"/>
      <c r="J63" s="42"/>
      <c r="K63" s="42"/>
      <c r="L63" s="42"/>
      <c r="M63" s="42"/>
      <c r="N63" s="2"/>
      <c r="O63" s="45"/>
      <c r="P63" s="45"/>
      <c r="Q63" s="45"/>
      <c r="R63" s="57"/>
      <c r="S63" s="57"/>
      <c r="T63" s="57"/>
      <c r="U63" s="57"/>
      <c r="V63" s="45"/>
      <c r="W63" s="45"/>
      <c r="X63" s="58"/>
      <c r="Y63" s="58"/>
      <c r="Z63" s="58"/>
      <c r="AA63" s="3"/>
      <c r="AB63" s="3"/>
      <c r="AC63" s="2"/>
      <c r="AD63" s="2"/>
      <c r="AE63" s="2"/>
      <c r="AF63" s="2"/>
      <c r="AG63" s="2"/>
      <c r="AH63" s="2"/>
    </row>
    <row r="64" spans="1:36" ht="33.75" customHeight="1" x14ac:dyDescent="0.25">
      <c r="A64" s="171" t="s">
        <v>22</v>
      </c>
      <c r="B64" s="18">
        <v>12.2</v>
      </c>
      <c r="C64" s="19">
        <v>19.8</v>
      </c>
      <c r="D64" s="19">
        <v>28.6</v>
      </c>
      <c r="E64" s="19">
        <v>41.5</v>
      </c>
      <c r="F64" s="20">
        <v>48.7</v>
      </c>
      <c r="G64" s="136">
        <f t="shared" si="22"/>
        <v>150.80000000000001</v>
      </c>
      <c r="H64" s="42"/>
      <c r="I64" s="42"/>
      <c r="J64" s="42"/>
      <c r="K64" s="42"/>
      <c r="L64" s="42"/>
      <c r="M64" s="4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3"/>
      <c r="AB64" s="3"/>
      <c r="AE64" s="2"/>
      <c r="AF64" s="2"/>
      <c r="AG64" s="2"/>
      <c r="AH64" s="2"/>
    </row>
    <row r="65" spans="1:34" ht="33.75" customHeight="1" thickBot="1" x14ac:dyDescent="0.3">
      <c r="A65" s="171" t="s">
        <v>23</v>
      </c>
      <c r="B65" s="18">
        <v>12.2</v>
      </c>
      <c r="C65" s="19">
        <v>19.8</v>
      </c>
      <c r="D65" s="19">
        <v>28.6</v>
      </c>
      <c r="E65" s="19">
        <v>41.5</v>
      </c>
      <c r="F65" s="20">
        <v>48.7</v>
      </c>
      <c r="G65" s="136">
        <f t="shared" si="22"/>
        <v>150.80000000000001</v>
      </c>
      <c r="H65" s="42"/>
      <c r="I65" s="42"/>
      <c r="J65" s="42"/>
      <c r="K65" s="42"/>
      <c r="L65" s="42"/>
      <c r="M65" s="4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3"/>
      <c r="AB65" s="3"/>
      <c r="AE65" s="2"/>
      <c r="AF65" s="2"/>
      <c r="AG65" s="2"/>
      <c r="AH65" s="2"/>
    </row>
    <row r="66" spans="1:34" ht="33.75" customHeight="1" x14ac:dyDescent="0.25">
      <c r="A66" s="170" t="s">
        <v>9</v>
      </c>
      <c r="B66" s="131">
        <f t="shared" ref="B66:F66" si="23">SUM(B59:B65)</f>
        <v>83.300000000000011</v>
      </c>
      <c r="C66" s="128">
        <f t="shared" si="23"/>
        <v>136.1</v>
      </c>
      <c r="D66" s="128">
        <f t="shared" si="23"/>
        <v>197.29999999999998</v>
      </c>
      <c r="E66" s="128">
        <f t="shared" si="23"/>
        <v>286.10000000000002</v>
      </c>
      <c r="F66" s="129">
        <f t="shared" si="23"/>
        <v>335.59999999999997</v>
      </c>
      <c r="G66" s="136">
        <f t="shared" si="22"/>
        <v>1038.3999999999999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3"/>
      <c r="AB66" s="3"/>
      <c r="AC66" s="3"/>
      <c r="AD66" s="3"/>
      <c r="AE66" s="2"/>
      <c r="AF66" s="2"/>
      <c r="AG66" s="2"/>
      <c r="AH66" s="2"/>
    </row>
    <row r="67" spans="1:34" ht="33.75" customHeight="1" x14ac:dyDescent="0.25">
      <c r="A67" s="192" t="s">
        <v>11</v>
      </c>
      <c r="B67" s="23">
        <v>121.5</v>
      </c>
      <c r="C67" s="24">
        <v>121.5</v>
      </c>
      <c r="D67" s="24">
        <v>122</v>
      </c>
      <c r="E67" s="24">
        <v>122</v>
      </c>
      <c r="F67" s="25">
        <v>122</v>
      </c>
      <c r="G67" s="137">
        <f>+((G66/G68)/7)*1000</f>
        <v>121.89224087334192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3"/>
      <c r="AB67" s="3"/>
      <c r="AC67" s="3"/>
      <c r="AD67" s="3"/>
      <c r="AE67" s="2"/>
      <c r="AF67" s="2"/>
      <c r="AG67" s="2"/>
      <c r="AH67" s="2"/>
    </row>
    <row r="68" spans="1:34" ht="33.75" customHeight="1" x14ac:dyDescent="0.25">
      <c r="A68" s="193" t="s">
        <v>12</v>
      </c>
      <c r="B68" s="257">
        <v>98</v>
      </c>
      <c r="C68" s="275">
        <v>160</v>
      </c>
      <c r="D68" s="275">
        <v>231</v>
      </c>
      <c r="E68" s="275">
        <v>335</v>
      </c>
      <c r="F68" s="276">
        <v>393</v>
      </c>
      <c r="G68" s="254">
        <f>SUM(B68:F68)</f>
        <v>1217</v>
      </c>
      <c r="N68" s="59"/>
      <c r="R68" s="3"/>
      <c r="S68" s="3"/>
      <c r="T68" s="3"/>
      <c r="U68" s="3"/>
      <c r="V68" s="3"/>
      <c r="W68" s="3"/>
    </row>
    <row r="69" spans="1:34" ht="33.75" customHeight="1" x14ac:dyDescent="0.25">
      <c r="A69" s="194" t="s">
        <v>13</v>
      </c>
      <c r="B69" s="30">
        <f>((((B67*7)*B68)/1000)-(B59+B60))/5</f>
        <v>12.149800000000001</v>
      </c>
      <c r="C69" s="31">
        <f t="shared" ref="C69:F69" si="24">((((C67*7)*C68)/1000)-(C59+C60))/5</f>
        <v>19.736000000000001</v>
      </c>
      <c r="D69" s="31">
        <f t="shared" si="24"/>
        <v>28.5748</v>
      </c>
      <c r="E69" s="31">
        <f t="shared" si="24"/>
        <v>41.457999999999991</v>
      </c>
      <c r="F69" s="32">
        <f t="shared" si="24"/>
        <v>48.644400000000005</v>
      </c>
      <c r="G69" s="139">
        <f>((G66*1000)/G68)/7</f>
        <v>121.89224087334193</v>
      </c>
      <c r="R69" s="3"/>
      <c r="S69" s="3"/>
      <c r="T69" s="3"/>
      <c r="U69" s="3"/>
      <c r="V69" s="3"/>
      <c r="W69" s="3"/>
    </row>
    <row r="70" spans="1:34" ht="33.75" customHeight="1" x14ac:dyDescent="0.25">
      <c r="A70" s="185" t="s">
        <v>14</v>
      </c>
      <c r="B70" s="279">
        <f t="shared" ref="B70:F70" si="25">((B68*B67)*7)/1000</f>
        <v>83.349000000000004</v>
      </c>
      <c r="C70" s="280">
        <f t="shared" si="25"/>
        <v>136.08000000000001</v>
      </c>
      <c r="D70" s="280">
        <f t="shared" si="25"/>
        <v>197.274</v>
      </c>
      <c r="E70" s="280">
        <f t="shared" si="25"/>
        <v>286.08999999999997</v>
      </c>
      <c r="F70" s="282">
        <f t="shared" si="25"/>
        <v>335.62200000000001</v>
      </c>
      <c r="G70" s="112"/>
      <c r="H70" s="41"/>
      <c r="I70" s="41"/>
      <c r="J70" s="41"/>
      <c r="K70" s="41"/>
      <c r="L70" s="41"/>
      <c r="M70" s="41"/>
      <c r="W70" s="3"/>
    </row>
    <row r="71" spans="1:34" ht="33.75" customHeight="1" thickBot="1" x14ac:dyDescent="0.3">
      <c r="A71" s="195" t="s">
        <v>15</v>
      </c>
      <c r="B71" s="37">
        <f t="shared" ref="B71:F71" si="26">+(B66/B68)/7*1000</f>
        <v>121.42857142857144</v>
      </c>
      <c r="C71" s="38">
        <f t="shared" si="26"/>
        <v>121.51785714285714</v>
      </c>
      <c r="D71" s="38">
        <f t="shared" si="26"/>
        <v>122.01607915893629</v>
      </c>
      <c r="E71" s="38">
        <f t="shared" si="26"/>
        <v>122.0042643923241</v>
      </c>
      <c r="F71" s="39">
        <f t="shared" si="26"/>
        <v>121.99200290803343</v>
      </c>
      <c r="G71" s="40"/>
      <c r="W71" s="3"/>
    </row>
    <row r="72" spans="1:34" ht="33.75" customHeight="1" x14ac:dyDescent="0.25">
      <c r="B72" s="43">
        <f>B70-B66</f>
        <v>4.8999999999992383E-2</v>
      </c>
      <c r="C72" s="43">
        <f t="shared" ref="C72:F72" si="27">C70-C66</f>
        <v>-1.999999999998181E-2</v>
      </c>
      <c r="D72" s="43">
        <f t="shared" si="27"/>
        <v>-2.5999999999982037E-2</v>
      </c>
      <c r="E72" s="43">
        <f t="shared" si="27"/>
        <v>-1.0000000000047748E-2</v>
      </c>
      <c r="F72" s="43">
        <f t="shared" si="27"/>
        <v>2.2000000000048203E-2</v>
      </c>
    </row>
    <row r="73" spans="1:34" ht="33.75" customHeight="1" x14ac:dyDescent="0.25">
      <c r="B73" s="42">
        <f t="shared" ref="B73:F73" si="28">B71-B67</f>
        <v>-7.1428571428555188E-2</v>
      </c>
      <c r="C73" s="42">
        <f t="shared" si="28"/>
        <v>1.7857142857138797E-2</v>
      </c>
      <c r="D73" s="42">
        <f t="shared" si="28"/>
        <v>1.607915893629297E-2</v>
      </c>
      <c r="E73" s="42">
        <f t="shared" si="28"/>
        <v>4.2643923241030279E-3</v>
      </c>
      <c r="F73" s="42">
        <f t="shared" si="28"/>
        <v>-7.9970919665726115E-3</v>
      </c>
      <c r="G73" s="45"/>
      <c r="H73" s="45"/>
      <c r="I73" s="45"/>
      <c r="J73" s="45"/>
      <c r="K73" s="45"/>
      <c r="L73" s="45"/>
      <c r="M73" s="45"/>
      <c r="N73" s="52"/>
    </row>
    <row r="74" spans="1:34" ht="33.75" customHeight="1" x14ac:dyDescent="0.25">
      <c r="B74" s="287"/>
      <c r="C74" s="287"/>
      <c r="D74" s="287"/>
      <c r="E74" s="287"/>
      <c r="F74" s="287"/>
    </row>
    <row r="75" spans="1:34" ht="33.75" customHeight="1" x14ac:dyDescent="0.25">
      <c r="A75" s="45"/>
      <c r="B75" s="283"/>
      <c r="C75" s="283"/>
      <c r="D75" s="283"/>
      <c r="E75" s="283"/>
      <c r="F75" s="283"/>
      <c r="G75" s="58"/>
      <c r="H75" s="45"/>
      <c r="I75" s="45"/>
      <c r="J75" s="45"/>
      <c r="K75" s="45"/>
      <c r="L75" s="45"/>
      <c r="M75" s="45"/>
      <c r="N75" s="45"/>
      <c r="O75" s="45"/>
    </row>
    <row r="76" spans="1:34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4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4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4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4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3">
    <mergeCell ref="S36:U36"/>
    <mergeCell ref="P37:Q37"/>
    <mergeCell ref="B56:F56"/>
    <mergeCell ref="J36:J38"/>
    <mergeCell ref="B36:H36"/>
    <mergeCell ref="A3:C3"/>
    <mergeCell ref="E9:G9"/>
    <mergeCell ref="W9:X9"/>
    <mergeCell ref="O11:P11"/>
    <mergeCell ref="B15:I15"/>
    <mergeCell ref="J15:M15"/>
    <mergeCell ref="N15:R15"/>
    <mergeCell ref="S15:X15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J240"/>
  <sheetViews>
    <sheetView workbookViewId="0"/>
  </sheetViews>
  <sheetFormatPr baseColWidth="10" defaultRowHeight="15" x14ac:dyDescent="0.25"/>
  <cols>
    <col min="1" max="1" width="52.42578125" style="14" bestFit="1" customWidth="1"/>
    <col min="2" max="15" width="25.140625" style="14" customWidth="1"/>
    <col min="16" max="17" width="35.42578125" style="14" bestFit="1" customWidth="1"/>
    <col min="18" max="18" width="25.140625" style="14" customWidth="1"/>
    <col min="19" max="19" width="35.42578125" style="14" bestFit="1" customWidth="1"/>
    <col min="20" max="23" width="25.140625" style="14" customWidth="1"/>
    <col min="24" max="24" width="25.85546875" style="14" customWidth="1"/>
    <col min="25" max="25" width="21.42578125" style="14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 t="s">
        <v>80</v>
      </c>
      <c r="P11" s="965"/>
      <c r="Q11" s="6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1"/>
      <c r="AD13" s="1"/>
      <c r="AE13" s="1"/>
    </row>
    <row r="14" spans="1:3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8"/>
      <c r="M14" s="8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1"/>
      <c r="AE14" s="1"/>
      <c r="AF14" s="1"/>
    </row>
    <row r="15" spans="1:36" s="10" customFormat="1" ht="36" thickBot="1" x14ac:dyDescent="0.3">
      <c r="A15" s="69" t="s">
        <v>7</v>
      </c>
      <c r="B15" s="971" t="s">
        <v>8</v>
      </c>
      <c r="C15" s="968"/>
      <c r="D15" s="968"/>
      <c r="E15" s="968"/>
      <c r="F15" s="968"/>
      <c r="G15" s="968"/>
      <c r="H15" s="968"/>
      <c r="I15" s="968"/>
      <c r="J15" s="971" t="s">
        <v>30</v>
      </c>
      <c r="K15" s="968"/>
      <c r="L15" s="968"/>
      <c r="M15" s="969"/>
      <c r="N15" s="971" t="s">
        <v>29</v>
      </c>
      <c r="O15" s="968"/>
      <c r="P15" s="968"/>
      <c r="Q15" s="968"/>
      <c r="R15" s="969"/>
      <c r="S15" s="962" t="s">
        <v>31</v>
      </c>
      <c r="T15" s="963"/>
      <c r="U15" s="963"/>
      <c r="V15" s="963"/>
      <c r="W15" s="963"/>
      <c r="X15" s="964"/>
    </row>
    <row r="16" spans="1:36" ht="39.950000000000003" customHeight="1" thickBot="1" x14ac:dyDescent="0.3">
      <c r="A16" s="80" t="s">
        <v>34</v>
      </c>
      <c r="B16" s="186">
        <v>4</v>
      </c>
      <c r="C16" s="174">
        <v>3</v>
      </c>
      <c r="D16" s="174">
        <v>2</v>
      </c>
      <c r="E16" s="174">
        <v>1</v>
      </c>
      <c r="F16" s="174">
        <v>1</v>
      </c>
      <c r="G16" s="174">
        <v>2</v>
      </c>
      <c r="H16" s="174">
        <v>3</v>
      </c>
      <c r="I16" s="175">
        <v>4</v>
      </c>
      <c r="J16" s="186">
        <v>1</v>
      </c>
      <c r="K16" s="174">
        <v>2</v>
      </c>
      <c r="L16" s="174">
        <v>3</v>
      </c>
      <c r="M16" s="175">
        <v>4</v>
      </c>
      <c r="N16" s="202">
        <v>1</v>
      </c>
      <c r="O16" s="174">
        <v>2</v>
      </c>
      <c r="P16" s="174">
        <v>3</v>
      </c>
      <c r="Q16" s="174">
        <v>4</v>
      </c>
      <c r="R16" s="203">
        <v>5</v>
      </c>
      <c r="S16" s="186">
        <v>1</v>
      </c>
      <c r="T16" s="174">
        <v>2</v>
      </c>
      <c r="U16" s="174">
        <v>3</v>
      </c>
      <c r="V16" s="174">
        <v>4</v>
      </c>
      <c r="W16" s="175">
        <v>5</v>
      </c>
      <c r="X16" s="126" t="s">
        <v>9</v>
      </c>
      <c r="AB16" s="15"/>
      <c r="AC16" s="15"/>
    </row>
    <row r="17" spans="1:36" ht="39.950000000000003" customHeight="1" x14ac:dyDescent="0.25">
      <c r="A17" s="80" t="s">
        <v>10</v>
      </c>
      <c r="B17" s="186">
        <v>1</v>
      </c>
      <c r="C17" s="174">
        <v>2</v>
      </c>
      <c r="D17" s="174">
        <v>3</v>
      </c>
      <c r="E17" s="174">
        <v>4</v>
      </c>
      <c r="F17" s="174">
        <v>5</v>
      </c>
      <c r="G17" s="174">
        <v>6</v>
      </c>
      <c r="H17" s="174">
        <v>7</v>
      </c>
      <c r="I17" s="175">
        <v>8</v>
      </c>
      <c r="J17" s="186">
        <v>1</v>
      </c>
      <c r="K17" s="174">
        <v>2</v>
      </c>
      <c r="L17" s="174">
        <v>3</v>
      </c>
      <c r="M17" s="175">
        <v>4</v>
      </c>
      <c r="N17" s="202">
        <v>1</v>
      </c>
      <c r="O17" s="174">
        <v>2</v>
      </c>
      <c r="P17" s="174">
        <v>3</v>
      </c>
      <c r="Q17" s="174">
        <v>4</v>
      </c>
      <c r="R17" s="203">
        <v>5</v>
      </c>
      <c r="S17" s="186">
        <v>1</v>
      </c>
      <c r="T17" s="174">
        <v>2</v>
      </c>
      <c r="U17" s="174">
        <v>3</v>
      </c>
      <c r="V17" s="174">
        <v>4</v>
      </c>
      <c r="W17" s="175">
        <v>5</v>
      </c>
      <c r="X17" s="208"/>
      <c r="AB17" s="2"/>
      <c r="AC17" s="15"/>
    </row>
    <row r="18" spans="1:36" ht="39.950000000000003" customHeight="1" x14ac:dyDescent="0.25">
      <c r="A18" s="171" t="s">
        <v>53</v>
      </c>
      <c r="B18" s="18">
        <v>40.799999999999997</v>
      </c>
      <c r="C18" s="19">
        <v>85.9</v>
      </c>
      <c r="D18" s="19">
        <v>68.3</v>
      </c>
      <c r="E18" s="19">
        <v>27.5</v>
      </c>
      <c r="F18" s="19">
        <v>41.5</v>
      </c>
      <c r="G18" s="19">
        <v>63</v>
      </c>
      <c r="H18" s="19">
        <v>55.7</v>
      </c>
      <c r="I18" s="20">
        <v>48.1</v>
      </c>
      <c r="J18" s="18">
        <v>15.9</v>
      </c>
      <c r="K18" s="19">
        <v>32.299999999999997</v>
      </c>
      <c r="L18" s="19">
        <v>49.9</v>
      </c>
      <c r="M18" s="20">
        <v>45</v>
      </c>
      <c r="N18" s="18">
        <v>39.6</v>
      </c>
      <c r="O18" s="19">
        <v>40.9</v>
      </c>
      <c r="P18" s="19">
        <v>75.8</v>
      </c>
      <c r="Q18" s="19">
        <v>72.3</v>
      </c>
      <c r="R18" s="20">
        <v>37.9</v>
      </c>
      <c r="S18" s="18">
        <v>33.9</v>
      </c>
      <c r="T18" s="19">
        <v>53.1</v>
      </c>
      <c r="U18" s="19">
        <v>70.7</v>
      </c>
      <c r="V18" s="19">
        <v>64</v>
      </c>
      <c r="W18" s="20">
        <v>42</v>
      </c>
      <c r="X18" s="98">
        <f>SUM(B18:W18)</f>
        <v>1104.0999999999999</v>
      </c>
      <c r="Y18" s="301"/>
      <c r="Z18" s="302"/>
      <c r="AB18" s="2"/>
      <c r="AC18" s="15"/>
    </row>
    <row r="19" spans="1:36" ht="39.950000000000003" customHeight="1" x14ac:dyDescent="0.25">
      <c r="A19" s="171" t="s">
        <v>24</v>
      </c>
      <c r="B19" s="18">
        <v>40.799999999999997</v>
      </c>
      <c r="C19" s="19">
        <v>85.9</v>
      </c>
      <c r="D19" s="19">
        <v>68.3</v>
      </c>
      <c r="E19" s="19">
        <v>27.5</v>
      </c>
      <c r="F19" s="19">
        <v>41.5</v>
      </c>
      <c r="G19" s="19">
        <v>63</v>
      </c>
      <c r="H19" s="19">
        <v>55.7</v>
      </c>
      <c r="I19" s="20">
        <v>48.1</v>
      </c>
      <c r="J19" s="18">
        <v>15.9</v>
      </c>
      <c r="K19" s="19">
        <v>32.299999999999997</v>
      </c>
      <c r="L19" s="19">
        <v>49.9</v>
      </c>
      <c r="M19" s="20">
        <v>45</v>
      </c>
      <c r="N19" s="18">
        <v>39.6</v>
      </c>
      <c r="O19" s="19">
        <v>40.9</v>
      </c>
      <c r="P19" s="19">
        <v>75.8</v>
      </c>
      <c r="Q19" s="19">
        <v>72.3</v>
      </c>
      <c r="R19" s="20">
        <v>37.9</v>
      </c>
      <c r="S19" s="18">
        <v>33.9</v>
      </c>
      <c r="T19" s="19">
        <v>53.1</v>
      </c>
      <c r="U19" s="19">
        <v>70.7</v>
      </c>
      <c r="V19" s="19">
        <v>64</v>
      </c>
      <c r="W19" s="20">
        <v>42</v>
      </c>
      <c r="X19" s="98">
        <f t="shared" ref="X19:X24" si="0">SUM(B19:W19)</f>
        <v>1104.0999999999999</v>
      </c>
      <c r="Y19" s="301"/>
      <c r="Z19" s="302"/>
      <c r="AB19" s="2"/>
      <c r="AC19" s="15"/>
    </row>
    <row r="20" spans="1:36" ht="39.75" customHeight="1" x14ac:dyDescent="0.25">
      <c r="A20" s="171" t="s">
        <v>20</v>
      </c>
      <c r="B20" s="18">
        <v>43</v>
      </c>
      <c r="C20" s="19">
        <v>90.5</v>
      </c>
      <c r="D20" s="19">
        <v>71.8</v>
      </c>
      <c r="E20" s="19">
        <v>28.4</v>
      </c>
      <c r="F20" s="19">
        <v>43.3</v>
      </c>
      <c r="G20" s="19">
        <v>66.2</v>
      </c>
      <c r="H20" s="19">
        <v>58.6</v>
      </c>
      <c r="I20" s="20">
        <v>50.3</v>
      </c>
      <c r="J20" s="18">
        <v>16.7</v>
      </c>
      <c r="K20" s="19">
        <v>34</v>
      </c>
      <c r="L20" s="19">
        <v>52.6</v>
      </c>
      <c r="M20" s="20">
        <v>47.4</v>
      </c>
      <c r="N20" s="18">
        <v>41.1</v>
      </c>
      <c r="O20" s="19">
        <v>43</v>
      </c>
      <c r="P20" s="19">
        <v>79.400000000000006</v>
      </c>
      <c r="Q20" s="19">
        <v>76</v>
      </c>
      <c r="R20" s="20">
        <v>39.799999999999997</v>
      </c>
      <c r="S20" s="18">
        <v>35.4</v>
      </c>
      <c r="T20" s="19">
        <v>55.5</v>
      </c>
      <c r="U20" s="19">
        <v>74.3</v>
      </c>
      <c r="V20" s="19">
        <v>66.900000000000006</v>
      </c>
      <c r="W20" s="20">
        <v>44.1</v>
      </c>
      <c r="X20" s="98">
        <f t="shared" si="0"/>
        <v>1158.3</v>
      </c>
      <c r="Y20" s="301"/>
      <c r="Z20" s="302"/>
      <c r="AB20" s="2"/>
      <c r="AC20" s="15"/>
    </row>
    <row r="21" spans="1:36" ht="39.950000000000003" customHeight="1" x14ac:dyDescent="0.25">
      <c r="A21" s="171" t="s">
        <v>28</v>
      </c>
      <c r="B21" s="18">
        <v>43.1</v>
      </c>
      <c r="C21" s="19">
        <v>90.5</v>
      </c>
      <c r="D21" s="19">
        <v>71.8</v>
      </c>
      <c r="E21" s="19">
        <v>28.4</v>
      </c>
      <c r="F21" s="19">
        <v>43.4</v>
      </c>
      <c r="G21" s="19">
        <v>66.2</v>
      </c>
      <c r="H21" s="19">
        <v>58.6</v>
      </c>
      <c r="I21" s="20">
        <v>50.3</v>
      </c>
      <c r="J21" s="18">
        <v>16.7</v>
      </c>
      <c r="K21" s="19">
        <v>34</v>
      </c>
      <c r="L21" s="19">
        <v>52.6</v>
      </c>
      <c r="M21" s="20">
        <v>47.4</v>
      </c>
      <c r="N21" s="18">
        <v>41.1</v>
      </c>
      <c r="O21" s="19">
        <v>43</v>
      </c>
      <c r="P21" s="19">
        <v>79.5</v>
      </c>
      <c r="Q21" s="19">
        <v>76</v>
      </c>
      <c r="R21" s="20">
        <v>39.799999999999997</v>
      </c>
      <c r="S21" s="18">
        <v>35.4</v>
      </c>
      <c r="T21" s="19">
        <v>55.5</v>
      </c>
      <c r="U21" s="19">
        <v>74.3</v>
      </c>
      <c r="V21" s="19">
        <v>67</v>
      </c>
      <c r="W21" s="20">
        <v>44.1</v>
      </c>
      <c r="X21" s="98">
        <f t="shared" si="0"/>
        <v>1158.6999999999998</v>
      </c>
      <c r="Y21" s="301"/>
      <c r="Z21" s="302"/>
      <c r="AB21" s="2"/>
      <c r="AC21" s="15"/>
    </row>
    <row r="22" spans="1:36" ht="39.950000000000003" customHeight="1" x14ac:dyDescent="0.25">
      <c r="A22" s="171" t="s">
        <v>21</v>
      </c>
      <c r="B22" s="18">
        <v>43.1</v>
      </c>
      <c r="C22" s="19">
        <v>90.5</v>
      </c>
      <c r="D22" s="19">
        <v>71.8</v>
      </c>
      <c r="E22" s="19">
        <v>28.5</v>
      </c>
      <c r="F22" s="19">
        <v>43.4</v>
      </c>
      <c r="G22" s="19">
        <v>66.3</v>
      </c>
      <c r="H22" s="19">
        <v>58.7</v>
      </c>
      <c r="I22" s="20">
        <v>50.3</v>
      </c>
      <c r="J22" s="18">
        <v>16.8</v>
      </c>
      <c r="K22" s="19">
        <v>34</v>
      </c>
      <c r="L22" s="19">
        <v>52.6</v>
      </c>
      <c r="M22" s="20">
        <v>47.4</v>
      </c>
      <c r="N22" s="18">
        <v>41.1</v>
      </c>
      <c r="O22" s="19">
        <v>43</v>
      </c>
      <c r="P22" s="19">
        <v>79.5</v>
      </c>
      <c r="Q22" s="19">
        <v>76</v>
      </c>
      <c r="R22" s="20">
        <v>39.799999999999997</v>
      </c>
      <c r="S22" s="18">
        <v>35.4</v>
      </c>
      <c r="T22" s="19">
        <v>55.6</v>
      </c>
      <c r="U22" s="19">
        <v>74.3</v>
      </c>
      <c r="V22" s="19">
        <v>67</v>
      </c>
      <c r="W22" s="20">
        <v>44.2</v>
      </c>
      <c r="X22" s="98">
        <f t="shared" si="0"/>
        <v>1159.3</v>
      </c>
      <c r="Y22" s="301"/>
      <c r="Z22" s="302"/>
      <c r="AB22" s="2"/>
      <c r="AC22" s="15"/>
    </row>
    <row r="23" spans="1:36" ht="39.950000000000003" customHeight="1" x14ac:dyDescent="0.25">
      <c r="A23" s="171" t="s">
        <v>22</v>
      </c>
      <c r="B23" s="18">
        <v>43.1</v>
      </c>
      <c r="C23" s="19">
        <v>90.5</v>
      </c>
      <c r="D23" s="19">
        <v>71.8</v>
      </c>
      <c r="E23" s="19">
        <v>28.5</v>
      </c>
      <c r="F23" s="19">
        <v>43.4</v>
      </c>
      <c r="G23" s="19">
        <v>66.3</v>
      </c>
      <c r="H23" s="19">
        <v>58.7</v>
      </c>
      <c r="I23" s="20">
        <v>50.3</v>
      </c>
      <c r="J23" s="18">
        <v>16.8</v>
      </c>
      <c r="K23" s="19">
        <v>34</v>
      </c>
      <c r="L23" s="19">
        <v>52.6</v>
      </c>
      <c r="M23" s="20">
        <v>47.5</v>
      </c>
      <c r="N23" s="18">
        <v>41.2</v>
      </c>
      <c r="O23" s="19">
        <v>43.1</v>
      </c>
      <c r="P23" s="19">
        <v>79.5</v>
      </c>
      <c r="Q23" s="19">
        <v>76</v>
      </c>
      <c r="R23" s="20">
        <v>39.799999999999997</v>
      </c>
      <c r="S23" s="18">
        <v>35.4</v>
      </c>
      <c r="T23" s="19">
        <v>55.6</v>
      </c>
      <c r="U23" s="19">
        <v>74.3</v>
      </c>
      <c r="V23" s="19">
        <v>67</v>
      </c>
      <c r="W23" s="20">
        <v>44.2</v>
      </c>
      <c r="X23" s="98">
        <f t="shared" si="0"/>
        <v>1159.6000000000001</v>
      </c>
      <c r="Y23" s="301"/>
      <c r="Z23" s="302"/>
      <c r="AB23" s="2"/>
      <c r="AC23" s="15"/>
    </row>
    <row r="24" spans="1:36" ht="39.950000000000003" customHeight="1" thickBot="1" x14ac:dyDescent="0.3">
      <c r="A24" s="285" t="s">
        <v>23</v>
      </c>
      <c r="B24" s="18">
        <v>43.1</v>
      </c>
      <c r="C24" s="19">
        <v>90.6</v>
      </c>
      <c r="D24" s="19">
        <v>71.8</v>
      </c>
      <c r="E24" s="19">
        <v>28.5</v>
      </c>
      <c r="F24" s="19">
        <v>43.4</v>
      </c>
      <c r="G24" s="19">
        <v>66.3</v>
      </c>
      <c r="H24" s="19">
        <v>58.7</v>
      </c>
      <c r="I24" s="20">
        <v>50.4</v>
      </c>
      <c r="J24" s="18">
        <v>16.8</v>
      </c>
      <c r="K24" s="19">
        <v>34</v>
      </c>
      <c r="L24" s="19">
        <v>52.7</v>
      </c>
      <c r="M24" s="20">
        <v>47.5</v>
      </c>
      <c r="N24" s="18">
        <v>41.2</v>
      </c>
      <c r="O24" s="19">
        <v>43.1</v>
      </c>
      <c r="P24" s="19">
        <v>79.5</v>
      </c>
      <c r="Q24" s="19">
        <v>76</v>
      </c>
      <c r="R24" s="20">
        <v>39.9</v>
      </c>
      <c r="S24" s="18">
        <v>35.4</v>
      </c>
      <c r="T24" s="19">
        <v>55.6</v>
      </c>
      <c r="U24" s="19">
        <v>74.3</v>
      </c>
      <c r="V24" s="19">
        <v>67</v>
      </c>
      <c r="W24" s="20">
        <v>44.2</v>
      </c>
      <c r="X24" s="98">
        <f t="shared" si="0"/>
        <v>1160</v>
      </c>
      <c r="Y24" s="301"/>
      <c r="Z24" s="302"/>
      <c r="AB24" s="2"/>
    </row>
    <row r="25" spans="1:36" ht="41.45" customHeight="1" x14ac:dyDescent="0.25">
      <c r="A25" s="268" t="s">
        <v>9</v>
      </c>
      <c r="B25" s="131">
        <f>SUM(B18:B24)</f>
        <v>297</v>
      </c>
      <c r="C25" s="128">
        <f t="shared" ref="C25:W25" si="1">SUM(C18:C24)</f>
        <v>624.4</v>
      </c>
      <c r="D25" s="128">
        <f t="shared" si="1"/>
        <v>495.6</v>
      </c>
      <c r="E25" s="128">
        <f t="shared" si="1"/>
        <v>197.3</v>
      </c>
      <c r="F25" s="128">
        <f t="shared" si="1"/>
        <v>299.89999999999998</v>
      </c>
      <c r="G25" s="128">
        <f t="shared" si="1"/>
        <v>457.3</v>
      </c>
      <c r="H25" s="128">
        <f t="shared" si="1"/>
        <v>404.7</v>
      </c>
      <c r="I25" s="205">
        <f t="shared" si="1"/>
        <v>347.8</v>
      </c>
      <c r="J25" s="131">
        <f t="shared" si="1"/>
        <v>115.6</v>
      </c>
      <c r="K25" s="128">
        <f t="shared" si="1"/>
        <v>234.6</v>
      </c>
      <c r="L25" s="128">
        <f t="shared" si="1"/>
        <v>362.90000000000003</v>
      </c>
      <c r="M25" s="205">
        <f t="shared" si="1"/>
        <v>327.20000000000005</v>
      </c>
      <c r="N25" s="131">
        <f t="shared" si="1"/>
        <v>284.89999999999998</v>
      </c>
      <c r="O25" s="128">
        <f t="shared" si="1"/>
        <v>297</v>
      </c>
      <c r="P25" s="128">
        <f t="shared" si="1"/>
        <v>549</v>
      </c>
      <c r="Q25" s="128">
        <f t="shared" si="1"/>
        <v>524.6</v>
      </c>
      <c r="R25" s="205">
        <f t="shared" si="1"/>
        <v>274.89999999999998</v>
      </c>
      <c r="S25" s="131">
        <f t="shared" si="1"/>
        <v>244.8</v>
      </c>
      <c r="T25" s="128">
        <f t="shared" si="1"/>
        <v>384.00000000000006</v>
      </c>
      <c r="U25" s="128">
        <f t="shared" si="1"/>
        <v>512.9</v>
      </c>
      <c r="V25" s="128">
        <f t="shared" si="1"/>
        <v>462.9</v>
      </c>
      <c r="W25" s="129">
        <f t="shared" si="1"/>
        <v>304.79999999999995</v>
      </c>
      <c r="X25" s="98">
        <f>SUM(X18,X19,X20,X21,X22,X23,X24)</f>
        <v>8004.1</v>
      </c>
    </row>
    <row r="26" spans="1:36" s="2" customFormat="1" ht="36.75" customHeight="1" x14ac:dyDescent="0.25">
      <c r="A26" s="192" t="s">
        <v>11</v>
      </c>
      <c r="B26" s="23">
        <v>115</v>
      </c>
      <c r="C26" s="24">
        <v>116</v>
      </c>
      <c r="D26" s="24">
        <v>120</v>
      </c>
      <c r="E26" s="24">
        <v>121.5</v>
      </c>
      <c r="F26" s="24">
        <v>119</v>
      </c>
      <c r="G26" s="24">
        <v>119</v>
      </c>
      <c r="H26" s="24">
        <v>117.5</v>
      </c>
      <c r="I26" s="228">
        <v>115</v>
      </c>
      <c r="J26" s="23">
        <v>120.5</v>
      </c>
      <c r="K26" s="24">
        <v>118</v>
      </c>
      <c r="L26" s="24">
        <v>116.5</v>
      </c>
      <c r="M26" s="228">
        <v>114</v>
      </c>
      <c r="N26" s="23">
        <v>121.5</v>
      </c>
      <c r="O26" s="24">
        <v>119.5</v>
      </c>
      <c r="P26" s="24">
        <v>115.5</v>
      </c>
      <c r="Q26" s="24">
        <v>116</v>
      </c>
      <c r="R26" s="228">
        <v>113.5</v>
      </c>
      <c r="S26" s="23">
        <v>121</v>
      </c>
      <c r="T26" s="24">
        <v>119.5</v>
      </c>
      <c r="U26" s="24">
        <v>116.5</v>
      </c>
      <c r="V26" s="24">
        <v>115</v>
      </c>
      <c r="W26" s="25">
        <v>115.5</v>
      </c>
      <c r="X26" s="99">
        <f>(((X25*1000)/7)/X27)</f>
        <v>117.16803536662128</v>
      </c>
    </row>
    <row r="27" spans="1:36" s="2" customFormat="1" ht="33" customHeight="1" x14ac:dyDescent="0.25">
      <c r="A27" s="193" t="s">
        <v>12</v>
      </c>
      <c r="B27" s="26">
        <v>369</v>
      </c>
      <c r="C27" s="27">
        <v>769</v>
      </c>
      <c r="D27" s="27">
        <v>590</v>
      </c>
      <c r="E27" s="27">
        <v>232</v>
      </c>
      <c r="F27" s="27">
        <v>360</v>
      </c>
      <c r="G27" s="27">
        <v>549</v>
      </c>
      <c r="H27" s="27">
        <v>492</v>
      </c>
      <c r="I27" s="183">
        <v>432</v>
      </c>
      <c r="J27" s="26">
        <v>137</v>
      </c>
      <c r="K27" s="27">
        <v>284</v>
      </c>
      <c r="L27" s="27">
        <v>445</v>
      </c>
      <c r="M27" s="183">
        <v>410</v>
      </c>
      <c r="N27" s="26">
        <v>335</v>
      </c>
      <c r="O27" s="27">
        <v>355</v>
      </c>
      <c r="P27" s="27">
        <v>679</v>
      </c>
      <c r="Q27" s="27">
        <v>646</v>
      </c>
      <c r="R27" s="183">
        <v>346</v>
      </c>
      <c r="S27" s="26">
        <v>289</v>
      </c>
      <c r="T27" s="27">
        <v>459</v>
      </c>
      <c r="U27" s="27">
        <v>629</v>
      </c>
      <c r="V27" s="27">
        <v>575</v>
      </c>
      <c r="W27" s="28">
        <v>377</v>
      </c>
      <c r="X27" s="29">
        <f>SUM(B27,C27,D27,E27,F27,G27,H27,I27,J27,K27,L27,M27,N27,O27,P27,Q27,R27,S27,T27,U27,V27,W27)</f>
        <v>9759</v>
      </c>
    </row>
    <row r="28" spans="1:36" s="2" customFormat="1" ht="33" customHeight="1" x14ac:dyDescent="0.25">
      <c r="A28" s="194" t="s">
        <v>13</v>
      </c>
      <c r="B28" s="30">
        <f>((((B26*7)*B27)/1000)-(B18+B19))/5</f>
        <v>43.089000000000006</v>
      </c>
      <c r="C28" s="30">
        <f t="shared" ref="C28:W28" si="2">((((C26*7)*C27)/1000)-(C18+C19))/5</f>
        <v>90.525599999999997</v>
      </c>
      <c r="D28" s="30">
        <f t="shared" si="2"/>
        <v>71.8</v>
      </c>
      <c r="E28" s="30">
        <f t="shared" si="2"/>
        <v>28.463200000000001</v>
      </c>
      <c r="F28" s="30">
        <f t="shared" si="2"/>
        <v>43.375999999999998</v>
      </c>
      <c r="G28" s="30">
        <f t="shared" si="2"/>
        <v>66.263400000000004</v>
      </c>
      <c r="H28" s="30">
        <f t="shared" si="2"/>
        <v>58.653999999999996</v>
      </c>
      <c r="I28" s="30">
        <f t="shared" si="2"/>
        <v>50.311999999999998</v>
      </c>
      <c r="J28" s="30">
        <f t="shared" si="2"/>
        <v>16.751899999999999</v>
      </c>
      <c r="K28" s="30">
        <f t="shared" si="2"/>
        <v>33.9968</v>
      </c>
      <c r="L28" s="30">
        <f t="shared" si="2"/>
        <v>52.619499999999995</v>
      </c>
      <c r="M28" s="30">
        <f t="shared" si="2"/>
        <v>47.436</v>
      </c>
      <c r="N28" s="30">
        <f t="shared" si="2"/>
        <v>41.143500000000003</v>
      </c>
      <c r="O28" s="30">
        <f t="shared" si="2"/>
        <v>43.031499999999994</v>
      </c>
      <c r="P28" s="30">
        <f t="shared" si="2"/>
        <v>79.474299999999999</v>
      </c>
      <c r="Q28" s="30">
        <f t="shared" si="2"/>
        <v>75.990399999999994</v>
      </c>
      <c r="R28" s="30">
        <f t="shared" si="2"/>
        <v>39.819399999999995</v>
      </c>
      <c r="S28" s="30">
        <f t="shared" si="2"/>
        <v>35.396599999999999</v>
      </c>
      <c r="T28" s="30">
        <f t="shared" si="2"/>
        <v>55.550700000000006</v>
      </c>
      <c r="U28" s="30">
        <f t="shared" si="2"/>
        <v>74.309899999999999</v>
      </c>
      <c r="V28" s="30">
        <f t="shared" si="2"/>
        <v>66.974999999999994</v>
      </c>
      <c r="W28" s="286">
        <f t="shared" si="2"/>
        <v>44.160900000000005</v>
      </c>
      <c r="X28" s="33"/>
    </row>
    <row r="29" spans="1:36" ht="33.75" customHeight="1" x14ac:dyDescent="0.25">
      <c r="A29" s="185" t="s">
        <v>14</v>
      </c>
      <c r="B29" s="279">
        <f t="shared" ref="B29:W29" si="3">((B27*B26)*7)/1000</f>
        <v>297.04500000000002</v>
      </c>
      <c r="C29" s="280">
        <f t="shared" si="3"/>
        <v>624.428</v>
      </c>
      <c r="D29" s="280">
        <f t="shared" si="3"/>
        <v>495.6</v>
      </c>
      <c r="E29" s="280">
        <f t="shared" si="3"/>
        <v>197.316</v>
      </c>
      <c r="F29" s="280">
        <f t="shared" si="3"/>
        <v>299.88</v>
      </c>
      <c r="G29" s="280">
        <f t="shared" si="3"/>
        <v>457.31700000000001</v>
      </c>
      <c r="H29" s="280">
        <f t="shared" si="3"/>
        <v>404.67</v>
      </c>
      <c r="I29" s="281">
        <f t="shared" si="3"/>
        <v>347.76</v>
      </c>
      <c r="J29" s="279">
        <f t="shared" si="3"/>
        <v>115.5595</v>
      </c>
      <c r="K29" s="280">
        <f t="shared" si="3"/>
        <v>234.584</v>
      </c>
      <c r="L29" s="280">
        <f t="shared" si="3"/>
        <v>362.89749999999998</v>
      </c>
      <c r="M29" s="281">
        <f t="shared" si="3"/>
        <v>327.18</v>
      </c>
      <c r="N29" s="279">
        <f t="shared" si="3"/>
        <v>284.91750000000002</v>
      </c>
      <c r="O29" s="280">
        <f t="shared" si="3"/>
        <v>296.95749999999998</v>
      </c>
      <c r="P29" s="280">
        <f t="shared" si="3"/>
        <v>548.97149999999999</v>
      </c>
      <c r="Q29" s="280">
        <f t="shared" si="3"/>
        <v>524.55200000000002</v>
      </c>
      <c r="R29" s="281">
        <f t="shared" si="3"/>
        <v>274.89699999999999</v>
      </c>
      <c r="S29" s="279">
        <f t="shared" si="3"/>
        <v>244.78299999999999</v>
      </c>
      <c r="T29" s="280">
        <f t="shared" si="3"/>
        <v>383.95350000000002</v>
      </c>
      <c r="U29" s="280">
        <f t="shared" si="3"/>
        <v>512.94949999999994</v>
      </c>
      <c r="V29" s="280">
        <f t="shared" si="3"/>
        <v>462.875</v>
      </c>
      <c r="W29" s="282">
        <f t="shared" si="3"/>
        <v>304.80450000000002</v>
      </c>
      <c r="X29" s="36"/>
    </row>
    <row r="30" spans="1:36" ht="33.75" customHeight="1" thickBot="1" x14ac:dyDescent="0.3">
      <c r="A30" s="195" t="s">
        <v>15</v>
      </c>
      <c r="B30" s="37">
        <f>+(B25/B27)/7*1000</f>
        <v>114.98257839721256</v>
      </c>
      <c r="C30" s="38">
        <f t="shared" ref="C30:W30" si="4">+(C25/C27)/7*1000</f>
        <v>115.99479843953185</v>
      </c>
      <c r="D30" s="38">
        <f t="shared" si="4"/>
        <v>120.00000000000001</v>
      </c>
      <c r="E30" s="38">
        <f t="shared" si="4"/>
        <v>121.49014778325125</v>
      </c>
      <c r="F30" s="38">
        <f t="shared" si="4"/>
        <v>119.00793650793649</v>
      </c>
      <c r="G30" s="38">
        <f t="shared" si="4"/>
        <v>118.99557637262556</v>
      </c>
      <c r="H30" s="38">
        <f t="shared" si="4"/>
        <v>117.50871080139372</v>
      </c>
      <c r="I30" s="207">
        <f t="shared" si="4"/>
        <v>115.01322751322751</v>
      </c>
      <c r="J30" s="37">
        <f t="shared" si="4"/>
        <v>120.5422314911366</v>
      </c>
      <c r="K30" s="38">
        <f t="shared" si="4"/>
        <v>118.00804828973843</v>
      </c>
      <c r="L30" s="38">
        <f t="shared" si="4"/>
        <v>116.5008025682183</v>
      </c>
      <c r="M30" s="207">
        <f t="shared" si="4"/>
        <v>114.00696864111501</v>
      </c>
      <c r="N30" s="37">
        <f t="shared" si="4"/>
        <v>121.49253731343282</v>
      </c>
      <c r="O30" s="38">
        <f t="shared" si="4"/>
        <v>119.51710261569416</v>
      </c>
      <c r="P30" s="38">
        <f t="shared" si="4"/>
        <v>115.50599621291815</v>
      </c>
      <c r="Q30" s="38">
        <f t="shared" si="4"/>
        <v>116.01061477222467</v>
      </c>
      <c r="R30" s="207">
        <f t="shared" si="4"/>
        <v>113.50123864574731</v>
      </c>
      <c r="S30" s="37">
        <f t="shared" si="4"/>
        <v>121.00840336134453</v>
      </c>
      <c r="T30" s="38">
        <f t="shared" si="4"/>
        <v>119.51447245564894</v>
      </c>
      <c r="U30" s="38">
        <f t="shared" si="4"/>
        <v>116.48875766522825</v>
      </c>
      <c r="V30" s="38">
        <f t="shared" si="4"/>
        <v>115.00621118012421</v>
      </c>
      <c r="W30" s="39">
        <f t="shared" si="4"/>
        <v>115.49829480863961</v>
      </c>
      <c r="X30" s="40"/>
    </row>
    <row r="31" spans="1:36" ht="33.75" customHeight="1" x14ac:dyDescent="0.25">
      <c r="A31" s="41"/>
      <c r="B31" s="42">
        <f>B29-B25</f>
        <v>4.5000000000015916E-2</v>
      </c>
      <c r="C31" s="42">
        <f t="shared" ref="C31:W32" si="5">C29-C25</f>
        <v>2.8000000000020009E-2</v>
      </c>
      <c r="D31" s="42">
        <f t="shared" si="5"/>
        <v>0</v>
      </c>
      <c r="E31" s="42">
        <f t="shared" si="5"/>
        <v>1.5999999999991132E-2</v>
      </c>
      <c r="F31" s="42">
        <f t="shared" si="5"/>
        <v>-1.999999999998181E-2</v>
      </c>
      <c r="G31" s="42">
        <f t="shared" si="5"/>
        <v>1.6999999999995907E-2</v>
      </c>
      <c r="H31" s="42">
        <f t="shared" si="5"/>
        <v>-2.9999999999972715E-2</v>
      </c>
      <c r="I31" s="42">
        <f t="shared" si="5"/>
        <v>-4.0000000000020464E-2</v>
      </c>
      <c r="J31" s="42">
        <f t="shared" si="5"/>
        <v>-4.0499999999994429E-2</v>
      </c>
      <c r="K31" s="42">
        <f t="shared" si="5"/>
        <v>-1.5999999999991132E-2</v>
      </c>
      <c r="L31" s="42">
        <f t="shared" si="5"/>
        <v>-2.5000000000545697E-3</v>
      </c>
      <c r="M31" s="42">
        <f t="shared" si="5"/>
        <v>-2.0000000000038654E-2</v>
      </c>
      <c r="N31" s="42">
        <f t="shared" si="5"/>
        <v>1.7500000000040927E-2</v>
      </c>
      <c r="O31" s="42">
        <f t="shared" si="5"/>
        <v>-4.250000000001819E-2</v>
      </c>
      <c r="P31" s="42">
        <f t="shared" si="5"/>
        <v>-2.8500000000008185E-2</v>
      </c>
      <c r="Q31" s="42">
        <f t="shared" si="5"/>
        <v>-4.8000000000001819E-2</v>
      </c>
      <c r="R31" s="42">
        <f t="shared" si="5"/>
        <v>-2.9999999999859028E-3</v>
      </c>
      <c r="S31" s="42">
        <f t="shared" si="5"/>
        <v>-1.7000000000024329E-2</v>
      </c>
      <c r="T31" s="42">
        <f t="shared" si="5"/>
        <v>-4.6500000000037289E-2</v>
      </c>
      <c r="U31" s="42">
        <f t="shared" si="5"/>
        <v>4.9499999999966349E-2</v>
      </c>
      <c r="V31" s="42">
        <f t="shared" si="5"/>
        <v>-2.4999999999977263E-2</v>
      </c>
      <c r="W31" s="42">
        <f t="shared" si="5"/>
        <v>4.5000000000641194E-3</v>
      </c>
      <c r="X31" s="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-1.7421602787436541E-2</v>
      </c>
      <c r="C32" s="42">
        <f t="shared" si="5"/>
        <v>-5.201560468151456E-3</v>
      </c>
      <c r="D32" s="42">
        <f t="shared" si="5"/>
        <v>0</v>
      </c>
      <c r="E32" s="42">
        <f t="shared" si="5"/>
        <v>-9.8522167487544721E-3</v>
      </c>
      <c r="F32" s="42">
        <f t="shared" si="5"/>
        <v>7.9365079364919211E-3</v>
      </c>
      <c r="G32" s="42">
        <f t="shared" si="5"/>
        <v>-4.4236273744360233E-3</v>
      </c>
      <c r="H32" s="42">
        <f t="shared" si="5"/>
        <v>8.7108013937182704E-3</v>
      </c>
      <c r="I32" s="42">
        <f t="shared" si="5"/>
        <v>1.3227513227505483E-2</v>
      </c>
      <c r="J32" s="42">
        <f t="shared" si="5"/>
        <v>4.2231491136604404E-2</v>
      </c>
      <c r="K32" s="42">
        <f t="shared" si="5"/>
        <v>8.0482897384257512E-3</v>
      </c>
      <c r="L32" s="42">
        <f t="shared" si="5"/>
        <v>8.0256821830460012E-4</v>
      </c>
      <c r="M32" s="42">
        <f t="shared" si="5"/>
        <v>6.9686411150087224E-3</v>
      </c>
      <c r="N32" s="42">
        <f t="shared" si="5"/>
        <v>-7.4626865671802989E-3</v>
      </c>
      <c r="O32" s="42">
        <f t="shared" si="5"/>
        <v>1.7102615694156498E-2</v>
      </c>
      <c r="P32" s="42">
        <f t="shared" si="5"/>
        <v>5.9962129181485579E-3</v>
      </c>
      <c r="Q32" s="42">
        <f t="shared" si="5"/>
        <v>1.0614772224670332E-2</v>
      </c>
      <c r="R32" s="42">
        <f t="shared" si="5"/>
        <v>1.2386457473070323E-3</v>
      </c>
      <c r="S32" s="42">
        <f t="shared" si="5"/>
        <v>8.4033613445342326E-3</v>
      </c>
      <c r="T32" s="42">
        <f t="shared" si="5"/>
        <v>1.4472455648942173E-2</v>
      </c>
      <c r="U32" s="42">
        <f t="shared" si="5"/>
        <v>-1.1242334771750961E-2</v>
      </c>
      <c r="V32" s="42">
        <f t="shared" si="5"/>
        <v>6.2111801242110687E-3</v>
      </c>
      <c r="W32" s="42">
        <f t="shared" si="5"/>
        <v>-1.7051913603864932E-3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6" ht="33.75" customHeight="1" x14ac:dyDescent="0.25">
      <c r="A33" s="41"/>
      <c r="B33" s="288"/>
      <c r="C33" s="288"/>
      <c r="D33" s="288"/>
      <c r="E33" s="288"/>
      <c r="F33" s="288"/>
      <c r="G33" s="288"/>
      <c r="H33" s="288"/>
      <c r="I33" s="288"/>
      <c r="J33" s="288"/>
      <c r="K33" s="288"/>
      <c r="L33" s="288"/>
      <c r="M33" s="288"/>
      <c r="N33" s="288"/>
      <c r="O33" s="288"/>
      <c r="P33" s="288"/>
      <c r="Q33" s="288"/>
      <c r="R33" s="288"/>
      <c r="S33" s="288"/>
      <c r="T33" s="288"/>
      <c r="U33" s="288"/>
      <c r="V33" s="288"/>
      <c r="W33" s="288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1"/>
    </row>
    <row r="34" spans="1:3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1"/>
    </row>
    <row r="35" spans="1:36" s="2" customFormat="1" ht="33.75" customHeight="1" thickBot="1" x14ac:dyDescent="0.3">
      <c r="B35" s="43"/>
      <c r="C35" s="315">
        <v>33</v>
      </c>
      <c r="D35" s="315">
        <v>23</v>
      </c>
      <c r="E35" s="315">
        <v>16</v>
      </c>
      <c r="F35" s="315">
        <v>21</v>
      </c>
      <c r="G35" s="315">
        <v>8</v>
      </c>
      <c r="H35" s="318" t="s">
        <v>86</v>
      </c>
      <c r="I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3"/>
    </row>
    <row r="36" spans="1:36" ht="33.75" customHeight="1" thickBot="1" x14ac:dyDescent="0.3">
      <c r="A36" s="69" t="s">
        <v>16</v>
      </c>
      <c r="B36" s="980" t="s">
        <v>17</v>
      </c>
      <c r="C36" s="972"/>
      <c r="D36" s="972"/>
      <c r="E36" s="972"/>
      <c r="F36" s="972"/>
      <c r="G36" s="972"/>
      <c r="H36" s="972"/>
      <c r="I36" s="972"/>
      <c r="J36" s="981" t="s">
        <v>9</v>
      </c>
      <c r="K36" s="47"/>
      <c r="R36" s="44"/>
      <c r="S36" s="88" t="s">
        <v>18</v>
      </c>
      <c r="T36" s="973" t="s">
        <v>17</v>
      </c>
      <c r="U36" s="974"/>
      <c r="V36" s="975"/>
      <c r="W36" s="229"/>
      <c r="X36" s="269"/>
      <c r="Z36" s="45"/>
      <c r="AA36" s="45"/>
      <c r="AB36" s="46"/>
      <c r="AC36" s="3"/>
      <c r="AD36" s="45"/>
      <c r="AE36" s="45"/>
      <c r="AF36" s="45"/>
      <c r="AG36" s="3"/>
    </row>
    <row r="37" spans="1:36" ht="33.75" customHeight="1" thickBot="1" x14ac:dyDescent="0.3">
      <c r="A37" s="170" t="s">
        <v>34</v>
      </c>
      <c r="B37" s="141"/>
      <c r="C37" s="118"/>
      <c r="D37" s="118"/>
      <c r="E37" s="118"/>
      <c r="F37" s="118"/>
      <c r="G37" s="118"/>
      <c r="H37" s="118"/>
      <c r="I37" s="119"/>
      <c r="J37" s="978"/>
      <c r="K37" s="47"/>
      <c r="L37" s="47"/>
      <c r="M37" s="47"/>
      <c r="N37" s="47"/>
      <c r="O37" s="47"/>
      <c r="P37" s="47"/>
      <c r="Q37" s="970"/>
      <c r="R37" s="976"/>
      <c r="S37" s="97" t="s">
        <v>33</v>
      </c>
      <c r="T37" s="186"/>
      <c r="U37" s="173"/>
      <c r="V37" s="173"/>
      <c r="W37" s="261" t="s">
        <v>9</v>
      </c>
      <c r="X37" s="2"/>
      <c r="Z37" s="47"/>
      <c r="AA37" s="47"/>
      <c r="AB37" s="3"/>
      <c r="AC37" s="46"/>
      <c r="AD37" s="3"/>
      <c r="AE37" s="45"/>
      <c r="AF37" s="45"/>
      <c r="AG37" s="45"/>
    </row>
    <row r="38" spans="1:36" ht="33.75" customHeight="1" thickBot="1" x14ac:dyDescent="0.3">
      <c r="A38" s="17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6">
        <v>6</v>
      </c>
      <c r="H38" s="16" t="s">
        <v>82</v>
      </c>
      <c r="I38" s="17" t="s">
        <v>83</v>
      </c>
      <c r="J38" s="979"/>
      <c r="K38" s="47"/>
      <c r="L38" s="47"/>
      <c r="M38" s="47"/>
      <c r="N38" s="47"/>
      <c r="O38" s="47"/>
      <c r="P38" s="47"/>
      <c r="Q38" s="144"/>
      <c r="R38" s="145"/>
      <c r="S38" s="80" t="s">
        <v>10</v>
      </c>
      <c r="T38" s="186">
        <v>1</v>
      </c>
      <c r="U38" s="174">
        <v>2</v>
      </c>
      <c r="V38" s="175">
        <v>3</v>
      </c>
      <c r="W38" s="278"/>
      <c r="X38" s="270"/>
      <c r="Z38" s="47"/>
      <c r="AA38" s="47"/>
      <c r="AB38" s="48"/>
      <c r="AC38" s="48"/>
      <c r="AD38" s="2"/>
      <c r="AE38" s="2"/>
      <c r="AF38" s="2"/>
      <c r="AG38" s="2"/>
    </row>
    <row r="39" spans="1:36" ht="33.75" customHeight="1" x14ac:dyDescent="0.25">
      <c r="A39" s="171" t="s">
        <v>32</v>
      </c>
      <c r="B39" s="312">
        <v>31.4</v>
      </c>
      <c r="C39" s="313">
        <v>80.900000000000006</v>
      </c>
      <c r="D39" s="313">
        <v>50.3</v>
      </c>
      <c r="E39" s="313">
        <v>36.200000000000003</v>
      </c>
      <c r="F39" s="313">
        <v>78.400000000000006</v>
      </c>
      <c r="G39" s="313">
        <v>42.7</v>
      </c>
      <c r="H39" s="313">
        <v>5.7</v>
      </c>
      <c r="I39" s="314">
        <v>6.2</v>
      </c>
      <c r="J39" s="265">
        <f t="shared" ref="J39:J45" si="6">SUM(B39:I39)</f>
        <v>331.8</v>
      </c>
      <c r="K39" s="982" t="s">
        <v>84</v>
      </c>
      <c r="L39" s="983"/>
      <c r="M39" s="983"/>
      <c r="N39" s="983"/>
      <c r="O39" s="983"/>
      <c r="P39" s="983"/>
      <c r="Q39" s="983"/>
      <c r="R39" s="145"/>
      <c r="S39" s="171" t="s">
        <v>53</v>
      </c>
      <c r="T39" s="130">
        <v>10.1</v>
      </c>
      <c r="U39" s="124">
        <v>25.9</v>
      </c>
      <c r="V39" s="132">
        <v>9.6999999999999993</v>
      </c>
      <c r="W39" s="136">
        <f t="shared" ref="W39:W45" si="7">SUM(T39:V39)</f>
        <v>45.7</v>
      </c>
      <c r="X39" s="271"/>
      <c r="Y39" s="302"/>
      <c r="Z39" s="2"/>
      <c r="AA39" s="49"/>
      <c r="AB39" s="48"/>
      <c r="AC39" s="48"/>
      <c r="AD39" s="2"/>
      <c r="AE39" s="2"/>
      <c r="AF39" s="2"/>
      <c r="AG39" s="2"/>
    </row>
    <row r="40" spans="1:36" ht="33.75" customHeight="1" x14ac:dyDescent="0.25">
      <c r="A40" s="171" t="s">
        <v>24</v>
      </c>
      <c r="B40" s="312">
        <v>31.4</v>
      </c>
      <c r="C40" s="313">
        <v>80.900000000000006</v>
      </c>
      <c r="D40" s="313">
        <v>50.3</v>
      </c>
      <c r="E40" s="313">
        <v>36.200000000000003</v>
      </c>
      <c r="F40" s="313">
        <v>78.400000000000006</v>
      </c>
      <c r="G40" s="313">
        <v>42.7</v>
      </c>
      <c r="H40" s="313">
        <v>5.7</v>
      </c>
      <c r="I40" s="314">
        <v>6.2</v>
      </c>
      <c r="J40" s="291">
        <f t="shared" si="6"/>
        <v>331.8</v>
      </c>
      <c r="K40" s="982"/>
      <c r="L40" s="983"/>
      <c r="M40" s="983"/>
      <c r="N40" s="983"/>
      <c r="O40" s="983"/>
      <c r="P40" s="983"/>
      <c r="Q40" s="983"/>
      <c r="R40" s="145"/>
      <c r="S40" s="171" t="s">
        <v>24</v>
      </c>
      <c r="T40" s="130">
        <v>10.1</v>
      </c>
      <c r="U40" s="124">
        <v>25.9</v>
      </c>
      <c r="V40" s="132">
        <v>9.6999999999999993</v>
      </c>
      <c r="W40" s="136">
        <f t="shared" si="7"/>
        <v>45.7</v>
      </c>
      <c r="X40" s="271"/>
      <c r="Y40" s="302"/>
      <c r="Z40" s="2"/>
      <c r="AA40" s="49"/>
      <c r="AB40" s="48"/>
      <c r="AC40" s="48"/>
      <c r="AD40" s="2"/>
      <c r="AE40" s="2"/>
      <c r="AF40" s="2"/>
      <c r="AG40" s="2"/>
    </row>
    <row r="41" spans="1:36" ht="33.75" customHeight="1" x14ac:dyDescent="0.25">
      <c r="A41" s="171" t="s">
        <v>20</v>
      </c>
      <c r="B41" s="18">
        <v>32.799999999999997</v>
      </c>
      <c r="C41" s="19">
        <v>83</v>
      </c>
      <c r="D41" s="19">
        <v>51.5</v>
      </c>
      <c r="E41" s="19">
        <v>37</v>
      </c>
      <c r="F41" s="19">
        <v>81.599999999999994</v>
      </c>
      <c r="G41" s="19">
        <v>44.1</v>
      </c>
      <c r="H41" s="19">
        <v>5.5</v>
      </c>
      <c r="I41" s="20">
        <v>6.1</v>
      </c>
      <c r="J41" s="291">
        <f t="shared" si="6"/>
        <v>341.6</v>
      </c>
      <c r="K41" s="292" t="s">
        <v>81</v>
      </c>
      <c r="L41" s="49"/>
      <c r="M41" s="49"/>
      <c r="N41" s="49"/>
      <c r="O41" s="49"/>
      <c r="P41" s="144"/>
      <c r="Q41" s="145"/>
      <c r="R41" s="145"/>
      <c r="S41" s="171" t="s">
        <v>20</v>
      </c>
      <c r="T41" s="18">
        <v>10.5</v>
      </c>
      <c r="U41" s="19">
        <v>27.1</v>
      </c>
      <c r="V41" s="20">
        <v>10.1</v>
      </c>
      <c r="W41" s="136">
        <f t="shared" si="7"/>
        <v>47.7</v>
      </c>
      <c r="X41" s="271"/>
      <c r="Y41" s="302"/>
      <c r="Z41" s="2"/>
      <c r="AA41" s="49"/>
      <c r="AB41" s="48"/>
      <c r="AC41" s="48"/>
      <c r="AD41" s="2"/>
      <c r="AE41" s="2"/>
      <c r="AF41" s="2"/>
      <c r="AG41" s="2"/>
    </row>
    <row r="42" spans="1:36" ht="33.75" customHeight="1" x14ac:dyDescent="0.25">
      <c r="A42" s="171" t="s">
        <v>28</v>
      </c>
      <c r="B42" s="18">
        <v>32.9</v>
      </c>
      <c r="C42" s="19">
        <v>83.1</v>
      </c>
      <c r="D42" s="19">
        <v>51.5</v>
      </c>
      <c r="E42" s="19">
        <v>37</v>
      </c>
      <c r="F42" s="19">
        <v>81.7</v>
      </c>
      <c r="G42" s="19">
        <v>44.2</v>
      </c>
      <c r="H42" s="19">
        <v>5.5</v>
      </c>
      <c r="I42" s="20">
        <v>6.1</v>
      </c>
      <c r="J42" s="136">
        <f t="shared" si="6"/>
        <v>342</v>
      </c>
      <c r="K42" s="49"/>
      <c r="L42" s="49"/>
      <c r="M42" s="49"/>
      <c r="N42" s="49"/>
      <c r="O42" s="49"/>
      <c r="P42" s="144"/>
      <c r="Q42" s="145"/>
      <c r="R42" s="145"/>
      <c r="S42" s="171" t="s">
        <v>28</v>
      </c>
      <c r="T42" s="18">
        <v>10.5</v>
      </c>
      <c r="U42" s="19">
        <v>27.2</v>
      </c>
      <c r="V42" s="20">
        <v>10.1</v>
      </c>
      <c r="W42" s="136">
        <f t="shared" si="7"/>
        <v>47.800000000000004</v>
      </c>
      <c r="X42" s="271"/>
      <c r="Y42" s="302"/>
      <c r="Z42" s="2"/>
      <c r="AA42" s="49"/>
      <c r="AB42" s="48"/>
      <c r="AC42" s="48"/>
      <c r="AD42" s="2"/>
      <c r="AE42" s="2"/>
      <c r="AF42" s="2"/>
      <c r="AG42" s="2"/>
    </row>
    <row r="43" spans="1:36" ht="33.75" customHeight="1" x14ac:dyDescent="0.25">
      <c r="A43" s="171" t="s">
        <v>21</v>
      </c>
      <c r="B43" s="18">
        <v>32.9</v>
      </c>
      <c r="C43" s="19">
        <v>83.1</v>
      </c>
      <c r="D43" s="19">
        <v>51.6</v>
      </c>
      <c r="E43" s="19">
        <v>37</v>
      </c>
      <c r="F43" s="19">
        <v>81.7</v>
      </c>
      <c r="G43" s="19">
        <v>44.2</v>
      </c>
      <c r="H43" s="19">
        <v>5.5</v>
      </c>
      <c r="I43" s="20">
        <v>6.1</v>
      </c>
      <c r="J43" s="136">
        <f t="shared" si="6"/>
        <v>342.1</v>
      </c>
      <c r="K43" s="49"/>
      <c r="L43" s="49"/>
      <c r="M43" s="49"/>
      <c r="N43" s="49"/>
      <c r="O43" s="49"/>
      <c r="P43" s="144"/>
      <c r="Q43" s="145"/>
      <c r="R43" s="145"/>
      <c r="S43" s="171" t="s">
        <v>21</v>
      </c>
      <c r="T43" s="18">
        <v>10.5</v>
      </c>
      <c r="U43" s="19">
        <v>27.2</v>
      </c>
      <c r="V43" s="20">
        <v>10.1</v>
      </c>
      <c r="W43" s="136">
        <f t="shared" si="7"/>
        <v>47.800000000000004</v>
      </c>
      <c r="X43" s="271"/>
      <c r="Y43" s="302"/>
      <c r="Z43" s="2"/>
      <c r="AA43" s="49"/>
      <c r="AB43" s="48"/>
      <c r="AC43" s="48"/>
      <c r="AD43" s="2"/>
      <c r="AE43" s="2"/>
      <c r="AF43" s="2"/>
      <c r="AG43" s="2"/>
    </row>
    <row r="44" spans="1:36" ht="33.75" customHeight="1" x14ac:dyDescent="0.25">
      <c r="A44" s="171" t="s">
        <v>22</v>
      </c>
      <c r="B44" s="18">
        <v>32.9</v>
      </c>
      <c r="C44" s="19">
        <v>83.1</v>
      </c>
      <c r="D44" s="19">
        <v>51.6</v>
      </c>
      <c r="E44" s="19">
        <v>37</v>
      </c>
      <c r="F44" s="19">
        <v>81.7</v>
      </c>
      <c r="G44" s="19">
        <v>44.2</v>
      </c>
      <c r="H44" s="19">
        <v>5.6</v>
      </c>
      <c r="I44" s="20">
        <v>6.1</v>
      </c>
      <c r="J44" s="136">
        <f t="shared" si="6"/>
        <v>342.20000000000005</v>
      </c>
      <c r="K44" s="49"/>
      <c r="L44" s="49"/>
      <c r="M44" s="49"/>
      <c r="N44" s="49"/>
      <c r="O44" s="49"/>
      <c r="P44" s="144"/>
      <c r="Q44" s="145"/>
      <c r="R44" s="145"/>
      <c r="S44" s="171" t="s">
        <v>22</v>
      </c>
      <c r="T44" s="18">
        <v>10.6</v>
      </c>
      <c r="U44" s="19">
        <v>27.2</v>
      </c>
      <c r="V44" s="20">
        <v>10.1</v>
      </c>
      <c r="W44" s="136">
        <f t="shared" si="7"/>
        <v>47.9</v>
      </c>
      <c r="X44" s="271"/>
      <c r="Y44" s="302"/>
      <c r="Z44" s="2"/>
      <c r="AA44" s="49"/>
      <c r="AB44" s="48"/>
      <c r="AC44" s="48"/>
      <c r="AD44" s="2"/>
      <c r="AE44" s="2"/>
      <c r="AF44" s="2"/>
      <c r="AG44" s="2"/>
    </row>
    <row r="45" spans="1:36" ht="33.75" customHeight="1" thickBot="1" x14ac:dyDescent="0.3">
      <c r="A45" s="285" t="s">
        <v>32</v>
      </c>
      <c r="B45" s="130">
        <v>32.9</v>
      </c>
      <c r="C45" s="124">
        <v>83.1</v>
      </c>
      <c r="D45" s="124">
        <v>51.6</v>
      </c>
      <c r="E45" s="124">
        <v>37.1</v>
      </c>
      <c r="F45" s="124">
        <v>81.7</v>
      </c>
      <c r="G45" s="124">
        <v>44.2</v>
      </c>
      <c r="H45" s="124">
        <v>5.6</v>
      </c>
      <c r="I45" s="132">
        <v>6.1</v>
      </c>
      <c r="J45" s="289">
        <f t="shared" si="6"/>
        <v>342.3</v>
      </c>
      <c r="K45" s="49"/>
      <c r="L45" s="49"/>
      <c r="M45" s="49"/>
      <c r="N45" s="49"/>
      <c r="O45" s="49"/>
      <c r="P45" s="144"/>
      <c r="Q45" s="145"/>
      <c r="R45" s="145"/>
      <c r="S45" s="285" t="s">
        <v>23</v>
      </c>
      <c r="T45" s="18">
        <v>10.6</v>
      </c>
      <c r="U45" s="19">
        <v>27.2</v>
      </c>
      <c r="V45" s="20">
        <v>10.199999999999999</v>
      </c>
      <c r="W45" s="289">
        <f t="shared" si="7"/>
        <v>48</v>
      </c>
      <c r="X45" s="271"/>
      <c r="Y45" s="302"/>
      <c r="Z45" s="2"/>
      <c r="AA45" s="49"/>
      <c r="AB45" s="48"/>
      <c r="AC45" s="48"/>
      <c r="AD45" s="48"/>
      <c r="AE45" s="48"/>
      <c r="AF45" s="2"/>
      <c r="AG45" s="2"/>
      <c r="AH45" s="2"/>
      <c r="AI45" s="2"/>
    </row>
    <row r="46" spans="1:36" ht="33.75" customHeight="1" x14ac:dyDescent="0.25">
      <c r="A46" s="290" t="s">
        <v>9</v>
      </c>
      <c r="B46" s="131">
        <f>SUM(B39:B45)</f>
        <v>227.20000000000002</v>
      </c>
      <c r="C46" s="128">
        <f t="shared" ref="C46:I46" si="8">SUM(C39:C45)</f>
        <v>577.20000000000005</v>
      </c>
      <c r="D46" s="128">
        <f t="shared" si="8"/>
        <v>358.40000000000003</v>
      </c>
      <c r="E46" s="128">
        <f t="shared" si="8"/>
        <v>257.5</v>
      </c>
      <c r="F46" s="128">
        <f t="shared" si="8"/>
        <v>565.20000000000005</v>
      </c>
      <c r="G46" s="128">
        <f t="shared" si="8"/>
        <v>306.29999999999995</v>
      </c>
      <c r="H46" s="128">
        <f t="shared" si="8"/>
        <v>39.1</v>
      </c>
      <c r="I46" s="129">
        <f t="shared" si="8"/>
        <v>42.900000000000006</v>
      </c>
      <c r="J46" s="265">
        <f>SUM(B46:I46)</f>
        <v>2373.8000000000002</v>
      </c>
      <c r="K46" s="49"/>
      <c r="L46" s="49"/>
      <c r="M46" s="49"/>
      <c r="N46" s="49"/>
      <c r="O46" s="49"/>
      <c r="P46" s="49"/>
      <c r="Q46" s="49"/>
      <c r="S46" s="290" t="s">
        <v>9</v>
      </c>
      <c r="T46" s="133">
        <f>SUM(T39:T45)</f>
        <v>72.900000000000006</v>
      </c>
      <c r="U46" s="134">
        <f>SUM(U39:U45)</f>
        <v>187.7</v>
      </c>
      <c r="V46" s="134">
        <f>SUM(V39:V45)</f>
        <v>70</v>
      </c>
      <c r="W46" s="265">
        <f>SUM(W39,W40,W41,W42,W43,W44,W45)</f>
        <v>330.6</v>
      </c>
      <c r="X46" s="272"/>
      <c r="Z46" s="49"/>
      <c r="AA46" s="49"/>
      <c r="AB46" s="2"/>
      <c r="AC46" s="2"/>
      <c r="AD46" s="2"/>
      <c r="AE46" s="2"/>
      <c r="AF46" s="2"/>
      <c r="AG46" s="2"/>
      <c r="AH46" s="2"/>
      <c r="AI46" s="2"/>
    </row>
    <row r="47" spans="1:36" ht="33.75" customHeight="1" x14ac:dyDescent="0.25">
      <c r="A47" s="192" t="s">
        <v>11</v>
      </c>
      <c r="B47" s="321">
        <v>116</v>
      </c>
      <c r="C47" s="24">
        <v>119</v>
      </c>
      <c r="D47" s="24">
        <v>122</v>
      </c>
      <c r="E47" s="24">
        <v>120.5</v>
      </c>
      <c r="F47" s="24">
        <v>115.5</v>
      </c>
      <c r="G47" s="24">
        <v>112</v>
      </c>
      <c r="H47" s="319">
        <v>116</v>
      </c>
      <c r="I47" s="320">
        <v>116</v>
      </c>
      <c r="J47" s="137">
        <f>+((J46/J48)/7)*1000</f>
        <v>116.2544688770263</v>
      </c>
      <c r="K47" s="322" t="s">
        <v>87</v>
      </c>
      <c r="L47" s="50"/>
      <c r="M47" s="50"/>
      <c r="N47" s="50"/>
      <c r="O47" s="50"/>
      <c r="P47" s="50"/>
      <c r="Q47" s="49"/>
      <c r="S47" s="273" t="s">
        <v>11</v>
      </c>
      <c r="T47" s="23">
        <v>125.5</v>
      </c>
      <c r="U47" s="24">
        <v>126.5</v>
      </c>
      <c r="V47" s="24">
        <v>125</v>
      </c>
      <c r="W47" s="137">
        <f>+((W46/W48)/7)*1000</f>
        <v>125.94285714285716</v>
      </c>
      <c r="X47" s="2"/>
      <c r="Z47" s="50"/>
      <c r="AA47" s="50"/>
    </row>
    <row r="48" spans="1:36" ht="33.75" customHeight="1" x14ac:dyDescent="0.25">
      <c r="A48" s="193" t="s">
        <v>12</v>
      </c>
      <c r="B48" s="26">
        <v>280</v>
      </c>
      <c r="C48" s="27">
        <v>702</v>
      </c>
      <c r="D48" s="27">
        <v>426</v>
      </c>
      <c r="E48" s="27">
        <v>310</v>
      </c>
      <c r="F48" s="27">
        <v>705</v>
      </c>
      <c r="G48" s="27">
        <v>393</v>
      </c>
      <c r="H48" s="27">
        <v>48</v>
      </c>
      <c r="I48" s="28">
        <v>53</v>
      </c>
      <c r="J48" s="138">
        <f>SUM(B48:I48)</f>
        <v>2917</v>
      </c>
      <c r="K48" s="198"/>
      <c r="L48" s="198"/>
      <c r="M48" s="198"/>
      <c r="N48" s="198"/>
      <c r="O48" s="198"/>
      <c r="P48" s="198"/>
      <c r="Q48" s="49"/>
      <c r="R48" s="51"/>
      <c r="S48" s="193" t="s">
        <v>12</v>
      </c>
      <c r="T48" s="257">
        <v>83</v>
      </c>
      <c r="U48" s="275">
        <v>212</v>
      </c>
      <c r="V48" s="275">
        <v>80</v>
      </c>
      <c r="W48" s="254">
        <f>SUM(T48:V48)</f>
        <v>375</v>
      </c>
      <c r="X48" s="2"/>
      <c r="Z48" s="52"/>
      <c r="AA48" s="52"/>
    </row>
    <row r="49" spans="1:36" ht="33.75" customHeight="1" x14ac:dyDescent="0.25">
      <c r="A49" s="194" t="s">
        <v>13</v>
      </c>
      <c r="B49" s="30">
        <f>((((B47*7)*B48)/1000)-(B39+B40))/5</f>
        <v>32.911999999999999</v>
      </c>
      <c r="C49" s="31">
        <f t="shared" ref="C49:H49" si="9">((((C47*7)*C48)/1000)-(C39+C40))/5</f>
        <v>84.593199999999996</v>
      </c>
      <c r="D49" s="31">
        <f t="shared" si="9"/>
        <v>52.640799999999992</v>
      </c>
      <c r="E49" s="31">
        <f t="shared" si="9"/>
        <v>37.817</v>
      </c>
      <c r="F49" s="31">
        <f t="shared" si="9"/>
        <v>82.638499999999993</v>
      </c>
      <c r="G49" s="31">
        <f t="shared" si="9"/>
        <v>44.542400000000001</v>
      </c>
      <c r="H49" s="31">
        <f t="shared" si="9"/>
        <v>5.5152000000000001</v>
      </c>
      <c r="I49" s="32">
        <f t="shared" ref="I49" si="10">((((I47*7)*I48)/1000)-(I39+I40))/5</f>
        <v>6.1272000000000002</v>
      </c>
      <c r="J49" s="139">
        <f>((J46*1000)/J48)/7</f>
        <v>116.2544688770263</v>
      </c>
      <c r="K49" s="199"/>
      <c r="L49" s="199"/>
      <c r="M49" s="199"/>
      <c r="N49" s="199"/>
      <c r="O49" s="199"/>
      <c r="P49" s="199"/>
      <c r="Q49" s="49"/>
      <c r="S49" s="194" t="s">
        <v>13</v>
      </c>
      <c r="T49" s="30">
        <f>((((T47*7)*T48)/1000)-(T39+T40))/5</f>
        <v>10.543099999999999</v>
      </c>
      <c r="U49" s="30">
        <f>((((U47*7)*U48)/1000)-(U39+U40))/5</f>
        <v>27.185199999999998</v>
      </c>
      <c r="V49" s="30">
        <f>((((V47*7)*V48)/1000)-(V39+V40))/5</f>
        <v>10.120000000000001</v>
      </c>
      <c r="W49" s="274">
        <f>((W46*1000)/W48)/7</f>
        <v>125.94285714285715</v>
      </c>
      <c r="X49" s="43"/>
      <c r="Z49" s="52"/>
      <c r="AA49" s="52"/>
    </row>
    <row r="50" spans="1:36" ht="33.75" customHeight="1" x14ac:dyDescent="0.25">
      <c r="A50" s="185" t="s">
        <v>14</v>
      </c>
      <c r="B50" s="279">
        <f t="shared" ref="B50:H50" si="11">((B48*B47)*7)/1000</f>
        <v>227.36</v>
      </c>
      <c r="C50" s="280">
        <f t="shared" si="11"/>
        <v>584.76599999999996</v>
      </c>
      <c r="D50" s="280">
        <f t="shared" si="11"/>
        <v>363.80399999999997</v>
      </c>
      <c r="E50" s="280">
        <f t="shared" si="11"/>
        <v>261.48500000000001</v>
      </c>
      <c r="F50" s="280">
        <f t="shared" si="11"/>
        <v>569.99249999999995</v>
      </c>
      <c r="G50" s="280">
        <f t="shared" si="11"/>
        <v>308.11200000000002</v>
      </c>
      <c r="H50" s="280">
        <f t="shared" si="11"/>
        <v>38.975999999999999</v>
      </c>
      <c r="I50" s="282">
        <f t="shared" ref="I50" si="12">((I48*I47)*7)/1000</f>
        <v>43.036000000000001</v>
      </c>
      <c r="J50" s="112"/>
      <c r="K50" s="41"/>
      <c r="L50" s="41"/>
      <c r="M50" s="41"/>
      <c r="N50" s="41"/>
      <c r="O50" s="41"/>
      <c r="P50" s="41"/>
      <c r="Q50" s="49"/>
      <c r="S50" s="185" t="s">
        <v>14</v>
      </c>
      <c r="T50" s="279">
        <f>((T48*T47)*7)/1000</f>
        <v>72.915499999999994</v>
      </c>
      <c r="U50" s="280">
        <f>((U48*U47)*7)/1000</f>
        <v>187.726</v>
      </c>
      <c r="V50" s="280">
        <f>((V48*V47)*7)/1000</f>
        <v>70</v>
      </c>
      <c r="W50" s="36"/>
      <c r="X50" s="41"/>
    </row>
    <row r="51" spans="1:36" ht="33.75" customHeight="1" thickBot="1" x14ac:dyDescent="0.3">
      <c r="A51" s="195" t="s">
        <v>15</v>
      </c>
      <c r="B51" s="37">
        <f t="shared" ref="B51:H51" si="13">+(B46/B48)/7*1000</f>
        <v>115.91836734693879</v>
      </c>
      <c r="C51" s="38">
        <f t="shared" si="13"/>
        <v>117.46031746031747</v>
      </c>
      <c r="D51" s="38">
        <f t="shared" si="13"/>
        <v>120.18779342723006</v>
      </c>
      <c r="E51" s="38">
        <f t="shared" si="13"/>
        <v>118.66359447004608</v>
      </c>
      <c r="F51" s="38">
        <f t="shared" si="13"/>
        <v>114.52887537993921</v>
      </c>
      <c r="G51" s="38">
        <f t="shared" si="13"/>
        <v>111.34133042529989</v>
      </c>
      <c r="H51" s="38">
        <f t="shared" si="13"/>
        <v>116.36904761904762</v>
      </c>
      <c r="I51" s="39">
        <f t="shared" ref="I51" si="14">+(I46/I48)/7*1000</f>
        <v>115.63342318059301</v>
      </c>
      <c r="J51" s="140"/>
      <c r="K51" s="41"/>
      <c r="L51" s="41"/>
      <c r="M51" s="41"/>
      <c r="N51" s="41"/>
      <c r="O51" s="41"/>
      <c r="P51" s="41"/>
      <c r="Q51" s="49"/>
      <c r="R51" s="41"/>
      <c r="S51" s="195" t="s">
        <v>15</v>
      </c>
      <c r="T51" s="37">
        <f>+(T46/T48)/7*1000</f>
        <v>125.47332185886404</v>
      </c>
      <c r="U51" s="38">
        <f>+(U46/U48)/7*1000</f>
        <v>126.48247978436657</v>
      </c>
      <c r="V51" s="38">
        <f>+(V46/V48)/7*1000</f>
        <v>125</v>
      </c>
      <c r="W51" s="259"/>
      <c r="X51" s="42"/>
      <c r="Z51" s="42"/>
      <c r="AA51" s="42"/>
    </row>
    <row r="52" spans="1:36" ht="33.75" customHeight="1" x14ac:dyDescent="0.25">
      <c r="A52" s="41"/>
      <c r="B52" s="43">
        <f>B50-B46</f>
        <v>0.15999999999999659</v>
      </c>
      <c r="C52" s="43">
        <f t="shared" ref="C52:G52" si="15">C50-C46</f>
        <v>7.5659999999999172</v>
      </c>
      <c r="D52" s="43">
        <f t="shared" si="15"/>
        <v>5.4039999999999395</v>
      </c>
      <c r="E52" s="43">
        <f t="shared" si="15"/>
        <v>3.9850000000000136</v>
      </c>
      <c r="F52" s="43">
        <f t="shared" si="15"/>
        <v>4.7924999999999045</v>
      </c>
      <c r="G52" s="43">
        <f t="shared" si="15"/>
        <v>1.8120000000000687</v>
      </c>
      <c r="H52" s="43">
        <f t="shared" ref="H52:I52" si="16">H50-H46</f>
        <v>-0.12400000000000233</v>
      </c>
      <c r="I52" s="43">
        <f t="shared" si="16"/>
        <v>0.13599999999999568</v>
      </c>
      <c r="J52" s="41"/>
      <c r="K52" s="41"/>
      <c r="L52" s="41"/>
      <c r="M52" s="41"/>
      <c r="N52" s="41"/>
      <c r="O52" s="41"/>
      <c r="P52" s="42"/>
      <c r="T52" s="43">
        <f t="shared" ref="T52:V53" si="17">T50-T46</f>
        <v>1.5499999999988745E-2</v>
      </c>
      <c r="U52" s="42">
        <f t="shared" si="17"/>
        <v>2.6000000000010459E-2</v>
      </c>
      <c r="V52" s="42">
        <f t="shared" si="17"/>
        <v>0</v>
      </c>
      <c r="W52" s="42"/>
      <c r="X52" s="42"/>
      <c r="Y52" s="42"/>
      <c r="Z52" s="42"/>
      <c r="AA52" s="2"/>
      <c r="AB52" s="2"/>
      <c r="AC52" s="2"/>
      <c r="AD52" s="2"/>
      <c r="AE52" s="2"/>
    </row>
    <row r="53" spans="1:36" ht="33.75" customHeight="1" x14ac:dyDescent="0.25">
      <c r="A53" s="41"/>
      <c r="B53" s="42">
        <f t="shared" ref="B53:G53" si="18">B51-B47</f>
        <v>-8.1632653061205929E-2</v>
      </c>
      <c r="C53" s="42">
        <f t="shared" si="18"/>
        <v>-1.5396825396825307</v>
      </c>
      <c r="D53" s="42">
        <f t="shared" si="18"/>
        <v>-1.8122065727699379</v>
      </c>
      <c r="E53" s="42">
        <f t="shared" si="18"/>
        <v>-1.8364055299539217</v>
      </c>
      <c r="F53" s="42">
        <f t="shared" si="18"/>
        <v>-0.9711246200607917</v>
      </c>
      <c r="G53" s="42">
        <f t="shared" si="18"/>
        <v>-0.658669574700113</v>
      </c>
      <c r="H53" s="42">
        <f t="shared" ref="H53:I53" si="19">H51-H47</f>
        <v>0.3690476190476204</v>
      </c>
      <c r="I53" s="42">
        <f t="shared" si="19"/>
        <v>-0.36657681940698694</v>
      </c>
      <c r="J53" s="41"/>
      <c r="K53" s="41"/>
      <c r="L53" s="41"/>
      <c r="M53" s="41"/>
      <c r="N53" s="41"/>
      <c r="O53" s="42"/>
      <c r="P53" s="42"/>
      <c r="T53" s="42">
        <f t="shared" si="17"/>
        <v>-2.6678141135960232E-2</v>
      </c>
      <c r="U53" s="42">
        <f t="shared" si="17"/>
        <v>-1.7520215633425096E-2</v>
      </c>
      <c r="V53" s="42">
        <f t="shared" si="17"/>
        <v>0</v>
      </c>
      <c r="W53" s="42"/>
      <c r="X53" s="43"/>
      <c r="Y53" s="43"/>
      <c r="Z53" s="43"/>
      <c r="AA53" s="2"/>
      <c r="AB53" s="2"/>
      <c r="AC53" s="2"/>
      <c r="AD53" s="2"/>
      <c r="AH53" s="3"/>
    </row>
    <row r="54" spans="1:36" ht="33.75" customHeight="1" x14ac:dyDescent="0.25">
      <c r="A54" s="41"/>
      <c r="B54" s="287"/>
      <c r="C54" s="287"/>
      <c r="D54" s="287"/>
      <c r="E54" s="287"/>
      <c r="F54" s="287"/>
      <c r="G54" s="287"/>
      <c r="H54" s="41"/>
      <c r="I54" s="41"/>
      <c r="J54" s="41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2"/>
      <c r="X54" s="43"/>
      <c r="Y54" s="43"/>
      <c r="Z54" s="43"/>
      <c r="AA54" s="2"/>
      <c r="AB54" s="2"/>
      <c r="AC54" s="2"/>
      <c r="AD54" s="2"/>
      <c r="AH54" s="3"/>
    </row>
    <row r="55" spans="1:36" ht="33.75" customHeight="1" thickBot="1" x14ac:dyDescent="0.3">
      <c r="A55" s="53"/>
      <c r="B55" s="284"/>
      <c r="C55" s="284"/>
      <c r="D55" s="284"/>
      <c r="E55" s="284"/>
      <c r="F55" s="284"/>
      <c r="G55" s="284"/>
      <c r="H55" s="54"/>
      <c r="I55" s="54"/>
      <c r="J55" s="54"/>
      <c r="K55" s="54"/>
      <c r="L55" s="54"/>
      <c r="M55" s="54"/>
      <c r="N55" s="54"/>
      <c r="O55" s="958"/>
      <c r="P55" s="958"/>
      <c r="Q55" s="283"/>
      <c r="R55" s="283"/>
      <c r="S55" s="283"/>
      <c r="T55" s="54"/>
      <c r="U55" s="55"/>
      <c r="Z55" s="43"/>
      <c r="AA55" s="43"/>
      <c r="AB55" s="43"/>
      <c r="AC55" s="2"/>
      <c r="AD55" s="2"/>
      <c r="AE55" s="2"/>
      <c r="AF55" s="2"/>
      <c r="AH55" s="2"/>
      <c r="AI55" s="2"/>
      <c r="AJ55" s="2"/>
    </row>
    <row r="56" spans="1:36" ht="33.75" customHeight="1" thickBot="1" x14ac:dyDescent="0.3">
      <c r="A56" s="88" t="s">
        <v>19</v>
      </c>
      <c r="B56" s="973" t="s">
        <v>30</v>
      </c>
      <c r="C56" s="974"/>
      <c r="D56" s="974"/>
      <c r="E56" s="974"/>
      <c r="F56" s="975"/>
      <c r="G56" s="85"/>
      <c r="H56" s="56"/>
      <c r="I56" s="56"/>
      <c r="J56" s="56"/>
      <c r="K56" s="56"/>
      <c r="L56" s="56"/>
      <c r="M56" s="56"/>
      <c r="N56" s="56"/>
      <c r="Z56" s="43"/>
      <c r="AA56" s="43"/>
      <c r="AB56" s="43"/>
      <c r="AC56" s="2"/>
      <c r="AD56" s="2"/>
      <c r="AE56" s="2"/>
      <c r="AF56" s="2"/>
      <c r="AH56" s="2"/>
      <c r="AI56" s="2"/>
      <c r="AJ56" s="2"/>
    </row>
    <row r="57" spans="1:36" ht="33.75" customHeight="1" thickBot="1" x14ac:dyDescent="0.3">
      <c r="A57" s="80" t="s">
        <v>34</v>
      </c>
      <c r="B57" s="188"/>
      <c r="C57" s="249"/>
      <c r="D57" s="249"/>
      <c r="E57" s="249"/>
      <c r="F57" s="250"/>
      <c r="G57" s="13" t="s">
        <v>9</v>
      </c>
      <c r="N57" s="45"/>
      <c r="O57" s="45"/>
      <c r="P57" s="45"/>
      <c r="Q57" s="45"/>
      <c r="R57" s="57"/>
      <c r="S57" s="57"/>
      <c r="T57" s="57"/>
      <c r="U57" s="57"/>
      <c r="V57" s="45"/>
      <c r="W57" s="45"/>
      <c r="X57" s="58"/>
      <c r="Y57" s="58"/>
      <c r="Z57" s="58"/>
      <c r="AA57" s="2"/>
      <c r="AB57" s="2"/>
      <c r="AC57" s="2"/>
      <c r="AD57" s="2"/>
      <c r="AF57" s="2"/>
      <c r="AG57" s="2"/>
      <c r="AH57" s="2"/>
    </row>
    <row r="58" spans="1:36" ht="33.75" customHeight="1" x14ac:dyDescent="0.25">
      <c r="A58" s="80" t="s">
        <v>10</v>
      </c>
      <c r="B58" s="186">
        <v>1</v>
      </c>
      <c r="C58" s="174">
        <v>2</v>
      </c>
      <c r="D58" s="174">
        <v>3</v>
      </c>
      <c r="E58" s="174">
        <v>4</v>
      </c>
      <c r="F58" s="175">
        <v>5</v>
      </c>
      <c r="G58" s="13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57"/>
      <c r="V58" s="45"/>
      <c r="W58" s="45"/>
      <c r="X58" s="58"/>
      <c r="Y58" s="58"/>
      <c r="Z58" s="58"/>
      <c r="AA58" s="2"/>
      <c r="AB58" s="2"/>
      <c r="AC58" s="2"/>
      <c r="AD58" s="2"/>
      <c r="AE58" s="2"/>
      <c r="AF58" s="2"/>
      <c r="AG58" s="2"/>
      <c r="AH58" s="2"/>
    </row>
    <row r="59" spans="1:36" ht="33.75" customHeight="1" x14ac:dyDescent="0.25">
      <c r="A59" s="171" t="s">
        <v>53</v>
      </c>
      <c r="B59" s="18">
        <v>12.2</v>
      </c>
      <c r="C59" s="19">
        <v>19.8</v>
      </c>
      <c r="D59" s="19">
        <v>28.6</v>
      </c>
      <c r="E59" s="19">
        <v>41.5</v>
      </c>
      <c r="F59" s="20">
        <v>48.7</v>
      </c>
      <c r="G59" s="136">
        <f t="shared" ref="G59:G66" si="20">SUM(B59:F59)</f>
        <v>150.80000000000001</v>
      </c>
      <c r="H59" s="42"/>
      <c r="I59" s="302"/>
      <c r="J59" s="42"/>
      <c r="K59" s="42"/>
      <c r="L59" s="42"/>
      <c r="M59" s="42"/>
      <c r="N59" s="2"/>
      <c r="O59" s="45"/>
      <c r="P59" s="45"/>
      <c r="Q59" s="45"/>
      <c r="R59" s="57"/>
      <c r="S59" s="57"/>
      <c r="T59" s="57"/>
      <c r="U59" s="57"/>
      <c r="V59" s="45"/>
      <c r="W59" s="45"/>
      <c r="X59" s="58"/>
      <c r="Y59" s="58"/>
      <c r="Z59" s="58"/>
      <c r="AA59" s="2"/>
      <c r="AB59" s="2"/>
      <c r="AC59" s="2"/>
      <c r="AD59" s="2"/>
      <c r="AE59" s="2"/>
      <c r="AF59" s="2"/>
      <c r="AG59" s="2"/>
      <c r="AH59" s="2"/>
    </row>
    <row r="60" spans="1:36" ht="33.75" customHeight="1" x14ac:dyDescent="0.25">
      <c r="A60" s="171" t="s">
        <v>24</v>
      </c>
      <c r="B60" s="18">
        <v>12.2</v>
      </c>
      <c r="C60" s="19">
        <v>19.8</v>
      </c>
      <c r="D60" s="19">
        <v>28.6</v>
      </c>
      <c r="E60" s="19">
        <v>41.5</v>
      </c>
      <c r="F60" s="20">
        <v>48.7</v>
      </c>
      <c r="G60" s="136">
        <f t="shared" si="20"/>
        <v>150.80000000000001</v>
      </c>
      <c r="H60" s="42"/>
      <c r="I60" s="302"/>
      <c r="J60" s="42"/>
      <c r="K60" s="42"/>
      <c r="L60" s="42"/>
      <c r="M60" s="42"/>
      <c r="N60" s="2"/>
      <c r="O60" s="45"/>
      <c r="P60" s="45"/>
      <c r="Q60" s="45"/>
      <c r="R60" s="57"/>
      <c r="S60" s="57"/>
      <c r="T60" s="57"/>
      <c r="U60" s="57"/>
      <c r="V60" s="45"/>
      <c r="W60" s="45"/>
      <c r="X60" s="58"/>
      <c r="Y60" s="58"/>
      <c r="Z60" s="58"/>
      <c r="AA60" s="2"/>
      <c r="AB60" s="2"/>
      <c r="AC60" s="2"/>
      <c r="AD60" s="2"/>
      <c r="AE60" s="2"/>
      <c r="AF60" s="2"/>
      <c r="AG60" s="2"/>
      <c r="AH60" s="2"/>
    </row>
    <row r="61" spans="1:36" ht="33.75" customHeight="1" x14ac:dyDescent="0.25">
      <c r="A61" s="171" t="s">
        <v>20</v>
      </c>
      <c r="B61" s="18">
        <v>12.2</v>
      </c>
      <c r="C61" s="19">
        <v>20.8</v>
      </c>
      <c r="D61" s="19">
        <v>30.2</v>
      </c>
      <c r="E61" s="19">
        <v>43.9</v>
      </c>
      <c r="F61" s="20">
        <v>51.5</v>
      </c>
      <c r="G61" s="136">
        <f t="shared" si="20"/>
        <v>158.6</v>
      </c>
      <c r="H61" s="42"/>
      <c r="I61" s="302"/>
      <c r="J61" s="42"/>
      <c r="K61" s="42"/>
      <c r="L61" s="42"/>
      <c r="M61" s="42"/>
      <c r="N61" s="2"/>
      <c r="O61" s="45"/>
      <c r="P61" s="45"/>
      <c r="Q61" s="45"/>
      <c r="R61" s="57"/>
      <c r="S61" s="57"/>
      <c r="T61" s="57"/>
      <c r="U61" s="57"/>
      <c r="V61" s="45"/>
      <c r="W61" s="45"/>
      <c r="X61" s="58"/>
      <c r="Y61" s="58"/>
      <c r="Z61" s="58"/>
      <c r="AA61" s="2"/>
      <c r="AB61" s="2"/>
      <c r="AC61" s="2"/>
      <c r="AD61" s="2"/>
      <c r="AE61" s="2"/>
      <c r="AF61" s="2"/>
      <c r="AG61" s="2"/>
      <c r="AH61" s="2"/>
    </row>
    <row r="62" spans="1:36" ht="33.75" customHeight="1" x14ac:dyDescent="0.25">
      <c r="A62" s="171" t="s">
        <v>28</v>
      </c>
      <c r="B62" s="18">
        <v>12.2</v>
      </c>
      <c r="C62" s="19">
        <v>20.8</v>
      </c>
      <c r="D62" s="19">
        <v>30.3</v>
      </c>
      <c r="E62" s="19">
        <v>43.9</v>
      </c>
      <c r="F62" s="20">
        <v>51.5</v>
      </c>
      <c r="G62" s="136">
        <f t="shared" si="20"/>
        <v>158.69999999999999</v>
      </c>
      <c r="H62" s="42"/>
      <c r="I62" s="302"/>
      <c r="J62" s="42"/>
      <c r="K62" s="42"/>
      <c r="L62" s="42"/>
      <c r="M62" s="42"/>
      <c r="N62" s="2"/>
      <c r="O62" s="45"/>
      <c r="P62" s="45"/>
      <c r="Q62" s="45"/>
      <c r="R62" s="57"/>
      <c r="S62" s="57"/>
      <c r="T62" s="57"/>
      <c r="U62" s="57"/>
      <c r="V62" s="45"/>
      <c r="W62" s="45"/>
      <c r="X62" s="58"/>
      <c r="Y62" s="58"/>
      <c r="Z62" s="58"/>
      <c r="AA62" s="3"/>
      <c r="AB62" s="3"/>
      <c r="AC62" s="2"/>
      <c r="AD62" s="2"/>
      <c r="AE62" s="2"/>
      <c r="AF62" s="2"/>
      <c r="AG62" s="2"/>
      <c r="AH62" s="2"/>
    </row>
    <row r="63" spans="1:36" ht="33.75" customHeight="1" x14ac:dyDescent="0.25">
      <c r="A63" s="171" t="s">
        <v>21</v>
      </c>
      <c r="B63" s="18">
        <v>12.2</v>
      </c>
      <c r="C63" s="19">
        <v>20.9</v>
      </c>
      <c r="D63" s="19">
        <v>30.3</v>
      </c>
      <c r="E63" s="19">
        <v>43.9</v>
      </c>
      <c r="F63" s="20">
        <v>51.5</v>
      </c>
      <c r="G63" s="136">
        <f t="shared" si="20"/>
        <v>158.79999999999998</v>
      </c>
      <c r="H63" s="42"/>
      <c r="I63" s="302"/>
      <c r="J63" s="42"/>
      <c r="K63" s="42"/>
      <c r="L63" s="42"/>
      <c r="M63" s="42"/>
      <c r="N63" s="2"/>
      <c r="O63" s="45"/>
      <c r="P63" s="45"/>
      <c r="Q63" s="45"/>
      <c r="R63" s="57"/>
      <c r="S63" s="57"/>
      <c r="T63" s="57"/>
      <c r="U63" s="57"/>
      <c r="V63" s="45"/>
      <c r="W63" s="45"/>
      <c r="X63" s="58"/>
      <c r="Y63" s="58"/>
      <c r="Z63" s="58"/>
      <c r="AA63" s="3"/>
      <c r="AB63" s="3"/>
      <c r="AC63" s="2"/>
      <c r="AD63" s="2"/>
      <c r="AE63" s="2"/>
      <c r="AF63" s="2"/>
      <c r="AG63" s="2"/>
      <c r="AH63" s="2"/>
    </row>
    <row r="64" spans="1:36" ht="33.75" customHeight="1" x14ac:dyDescent="0.25">
      <c r="A64" s="171" t="s">
        <v>22</v>
      </c>
      <c r="B64" s="18">
        <v>12.3</v>
      </c>
      <c r="C64" s="19">
        <v>20.9</v>
      </c>
      <c r="D64" s="19">
        <v>30.3</v>
      </c>
      <c r="E64" s="19">
        <v>43.9</v>
      </c>
      <c r="F64" s="20">
        <v>51.5</v>
      </c>
      <c r="G64" s="136">
        <f t="shared" si="20"/>
        <v>158.9</v>
      </c>
      <c r="H64" s="42"/>
      <c r="I64" s="302"/>
      <c r="J64" s="42"/>
      <c r="K64" s="42"/>
      <c r="L64" s="42"/>
      <c r="M64" s="4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3"/>
      <c r="AB64" s="3"/>
      <c r="AE64" s="2"/>
      <c r="AF64" s="2"/>
      <c r="AG64" s="2"/>
      <c r="AH64" s="2"/>
    </row>
    <row r="65" spans="1:34" ht="33.75" customHeight="1" thickBot="1" x14ac:dyDescent="0.3">
      <c r="A65" s="171" t="s">
        <v>23</v>
      </c>
      <c r="B65" s="130">
        <v>12.2</v>
      </c>
      <c r="C65" s="124">
        <v>20.9</v>
      </c>
      <c r="D65" s="124">
        <v>30.3</v>
      </c>
      <c r="E65" s="124">
        <v>43.9</v>
      </c>
      <c r="F65" s="132">
        <v>51.5</v>
      </c>
      <c r="G65" s="289">
        <f t="shared" si="20"/>
        <v>158.79999999999998</v>
      </c>
      <c r="H65" s="42"/>
      <c r="I65" s="302"/>
      <c r="J65" s="42"/>
      <c r="K65" s="42"/>
      <c r="L65" s="42"/>
      <c r="M65" s="4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3"/>
      <c r="AB65" s="3"/>
      <c r="AE65" s="2"/>
      <c r="AF65" s="2"/>
      <c r="AG65" s="2"/>
      <c r="AH65" s="2"/>
    </row>
    <row r="66" spans="1:34" ht="33.75" customHeight="1" thickBot="1" x14ac:dyDescent="0.3">
      <c r="A66" s="170" t="s">
        <v>9</v>
      </c>
      <c r="B66" s="297">
        <f t="shared" ref="B66:F66" si="21">SUM(B59:B65)</f>
        <v>85.5</v>
      </c>
      <c r="C66" s="298">
        <f t="shared" si="21"/>
        <v>143.9</v>
      </c>
      <c r="D66" s="298">
        <f t="shared" si="21"/>
        <v>208.60000000000002</v>
      </c>
      <c r="E66" s="298">
        <f t="shared" si="21"/>
        <v>302.5</v>
      </c>
      <c r="F66" s="299">
        <f t="shared" si="21"/>
        <v>354.9</v>
      </c>
      <c r="G66" s="300">
        <f t="shared" si="20"/>
        <v>1095.4000000000001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3"/>
      <c r="AB66" s="3"/>
      <c r="AC66" s="3"/>
      <c r="AD66" s="3"/>
      <c r="AE66" s="2"/>
      <c r="AF66" s="2"/>
      <c r="AG66" s="2"/>
      <c r="AH66" s="2"/>
    </row>
    <row r="67" spans="1:34" ht="33.75" customHeight="1" x14ac:dyDescent="0.25">
      <c r="A67" s="192" t="s">
        <v>11</v>
      </c>
      <c r="B67" s="293">
        <v>128.5</v>
      </c>
      <c r="C67" s="294">
        <v>128.5</v>
      </c>
      <c r="D67" s="294">
        <v>129</v>
      </c>
      <c r="E67" s="294">
        <v>129</v>
      </c>
      <c r="F67" s="295">
        <v>129</v>
      </c>
      <c r="G67" s="296">
        <f>+((G66/G68)/7)*1000</f>
        <v>128.90091786302659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3"/>
      <c r="AB67" s="3"/>
      <c r="AC67" s="3"/>
      <c r="AD67" s="3"/>
      <c r="AE67" s="2"/>
      <c r="AF67" s="2"/>
      <c r="AG67" s="2"/>
      <c r="AH67" s="2"/>
    </row>
    <row r="68" spans="1:34" ht="33.75" customHeight="1" x14ac:dyDescent="0.25">
      <c r="A68" s="193" t="s">
        <v>12</v>
      </c>
      <c r="B68" s="257">
        <v>95</v>
      </c>
      <c r="C68" s="275">
        <v>160</v>
      </c>
      <c r="D68" s="275">
        <v>231</v>
      </c>
      <c r="E68" s="275">
        <v>335</v>
      </c>
      <c r="F68" s="276">
        <v>393</v>
      </c>
      <c r="G68" s="254">
        <f>SUM(B68:F68)</f>
        <v>1214</v>
      </c>
      <c r="N68" s="59"/>
      <c r="R68" s="3"/>
      <c r="S68" s="3"/>
      <c r="T68" s="3"/>
      <c r="U68" s="3"/>
      <c r="V68" s="3"/>
      <c r="W68" s="3"/>
    </row>
    <row r="69" spans="1:34" ht="33.75" customHeight="1" x14ac:dyDescent="0.25">
      <c r="A69" s="194" t="s">
        <v>13</v>
      </c>
      <c r="B69" s="30">
        <f>((((B67*7)*B68)/1000)-(B59+B60))/5</f>
        <v>12.2105</v>
      </c>
      <c r="C69" s="31">
        <f t="shared" ref="C69:F69" si="22">((((C67*7)*C68)/1000)-(C59+C60))/5</f>
        <v>20.863999999999997</v>
      </c>
      <c r="D69" s="31">
        <f t="shared" si="22"/>
        <v>30.278599999999994</v>
      </c>
      <c r="E69" s="31">
        <f t="shared" si="22"/>
        <v>43.900999999999996</v>
      </c>
      <c r="F69" s="32">
        <f t="shared" si="22"/>
        <v>51.49580000000001</v>
      </c>
      <c r="G69" s="139">
        <f>((G66*1000)/G68)/7</f>
        <v>128.90091786302659</v>
      </c>
      <c r="R69" s="3"/>
      <c r="S69" s="3"/>
      <c r="T69" s="3"/>
      <c r="U69" s="3"/>
      <c r="V69" s="3"/>
      <c r="W69" s="3"/>
    </row>
    <row r="70" spans="1:34" ht="33.75" customHeight="1" x14ac:dyDescent="0.25">
      <c r="A70" s="185" t="s">
        <v>14</v>
      </c>
      <c r="B70" s="279">
        <f t="shared" ref="B70:F70" si="23">((B68*B67)*7)/1000</f>
        <v>85.452500000000001</v>
      </c>
      <c r="C70" s="280">
        <f t="shared" si="23"/>
        <v>143.91999999999999</v>
      </c>
      <c r="D70" s="280">
        <f t="shared" si="23"/>
        <v>208.59299999999999</v>
      </c>
      <c r="E70" s="280">
        <f t="shared" si="23"/>
        <v>302.505</v>
      </c>
      <c r="F70" s="282">
        <f t="shared" si="23"/>
        <v>354.87900000000002</v>
      </c>
      <c r="G70" s="112"/>
      <c r="H70" s="41"/>
      <c r="I70" s="41"/>
      <c r="J70" s="41"/>
      <c r="K70" s="41"/>
      <c r="L70" s="41"/>
      <c r="M70" s="41"/>
      <c r="W70" s="3"/>
    </row>
    <row r="71" spans="1:34" ht="33.75" customHeight="1" thickBot="1" x14ac:dyDescent="0.3">
      <c r="A71" s="195" t="s">
        <v>15</v>
      </c>
      <c r="B71" s="37">
        <f t="shared" ref="B71:F71" si="24">+(B66/B68)/7*1000</f>
        <v>128.57142857142858</v>
      </c>
      <c r="C71" s="38">
        <f t="shared" si="24"/>
        <v>128.48214285714286</v>
      </c>
      <c r="D71" s="38">
        <f t="shared" si="24"/>
        <v>129.00432900432904</v>
      </c>
      <c r="E71" s="38">
        <f t="shared" si="24"/>
        <v>128.99786780383795</v>
      </c>
      <c r="F71" s="39">
        <f t="shared" si="24"/>
        <v>129.00763358778624</v>
      </c>
      <c r="G71" s="40"/>
      <c r="W71" s="3"/>
    </row>
    <row r="72" spans="1:34" ht="33.75" customHeight="1" x14ac:dyDescent="0.25">
      <c r="B72" s="43">
        <f>B70-B66</f>
        <v>-4.7499999999999432E-2</v>
      </c>
      <c r="C72" s="43">
        <f t="shared" ref="C72:F72" si="25">C70-C66</f>
        <v>1.999999999998181E-2</v>
      </c>
      <c r="D72" s="43">
        <f t="shared" si="25"/>
        <v>-7.0000000000334239E-3</v>
      </c>
      <c r="E72" s="43">
        <f t="shared" si="25"/>
        <v>4.9999999999954525E-3</v>
      </c>
      <c r="F72" s="43">
        <f t="shared" si="25"/>
        <v>-2.0999999999958163E-2</v>
      </c>
    </row>
    <row r="73" spans="1:34" ht="33.75" customHeight="1" x14ac:dyDescent="0.25">
      <c r="B73" s="42">
        <f t="shared" ref="B73:F73" si="26">B71-B67</f>
        <v>7.1428571428583609E-2</v>
      </c>
      <c r="C73" s="42">
        <f t="shared" si="26"/>
        <v>-1.7857142857138797E-2</v>
      </c>
      <c r="D73" s="42">
        <f t="shared" si="26"/>
        <v>4.329004329036934E-3</v>
      </c>
      <c r="E73" s="42">
        <f t="shared" si="26"/>
        <v>-2.132196162051514E-3</v>
      </c>
      <c r="F73" s="42">
        <f t="shared" si="26"/>
        <v>7.6335877862447887E-3</v>
      </c>
      <c r="G73" s="45"/>
      <c r="H73" s="45"/>
      <c r="I73" s="45"/>
      <c r="J73" s="45"/>
      <c r="K73" s="45"/>
      <c r="L73" s="45"/>
      <c r="M73" s="45"/>
      <c r="N73" s="52"/>
    </row>
    <row r="74" spans="1:34" ht="33.75" customHeight="1" x14ac:dyDescent="0.25">
      <c r="B74" s="287"/>
      <c r="C74" s="287"/>
      <c r="D74" s="287"/>
      <c r="E74" s="287"/>
      <c r="F74" s="287"/>
    </row>
    <row r="75" spans="1:34" ht="33.75" customHeight="1" x14ac:dyDescent="0.25">
      <c r="A75" s="45"/>
      <c r="B75" s="283"/>
      <c r="C75" s="283"/>
      <c r="D75" s="283"/>
      <c r="E75" s="283"/>
      <c r="F75" s="283"/>
      <c r="G75" s="58"/>
      <c r="H75" s="45"/>
      <c r="I75" s="45"/>
      <c r="J75" s="45"/>
      <c r="K75" s="45"/>
      <c r="L75" s="45"/>
      <c r="M75" s="45"/>
      <c r="N75" s="45"/>
      <c r="O75" s="45"/>
    </row>
    <row r="76" spans="1:34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4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4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4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4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5">
    <mergeCell ref="T36:V36"/>
    <mergeCell ref="Q37:R37"/>
    <mergeCell ref="O55:P55"/>
    <mergeCell ref="B56:F56"/>
    <mergeCell ref="J36:J38"/>
    <mergeCell ref="B36:I36"/>
    <mergeCell ref="K39:Q40"/>
    <mergeCell ref="A3:C3"/>
    <mergeCell ref="E9:G9"/>
    <mergeCell ref="W9:X9"/>
    <mergeCell ref="O11:P11"/>
    <mergeCell ref="B15:I15"/>
    <mergeCell ref="J15:M15"/>
    <mergeCell ref="N15:R15"/>
    <mergeCell ref="S15:X15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K241"/>
  <sheetViews>
    <sheetView workbookViewId="0"/>
  </sheetViews>
  <sheetFormatPr baseColWidth="10" defaultRowHeight="15" x14ac:dyDescent="0.25"/>
  <cols>
    <col min="1" max="1" width="52.42578125" style="14" bestFit="1" customWidth="1"/>
    <col min="2" max="15" width="25.140625" style="14" customWidth="1"/>
    <col min="16" max="17" width="35.42578125" style="14" bestFit="1" customWidth="1"/>
    <col min="18" max="18" width="25.140625" style="14" customWidth="1"/>
    <col min="19" max="19" width="35.42578125" style="14" bestFit="1" customWidth="1"/>
    <col min="20" max="23" width="25.140625" style="14" customWidth="1"/>
    <col min="24" max="24" width="25.85546875" style="14" customWidth="1"/>
    <col min="25" max="25" width="24.85546875" style="14" bestFit="1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 t="s">
        <v>80</v>
      </c>
      <c r="P11" s="965"/>
      <c r="Q11" s="6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A14" s="341"/>
      <c r="B14" s="341"/>
      <c r="C14" s="341"/>
      <c r="D14" s="341"/>
      <c r="E14" s="342">
        <v>4</v>
      </c>
      <c r="F14" s="341"/>
      <c r="G14" s="341"/>
      <c r="H14" s="341"/>
      <c r="I14" s="342">
        <v>1</v>
      </c>
      <c r="J14" s="342">
        <v>8</v>
      </c>
      <c r="K14" s="341"/>
      <c r="L14" s="341"/>
      <c r="M14" s="341"/>
      <c r="N14" s="341"/>
      <c r="O14" s="342">
        <v>3</v>
      </c>
      <c r="P14" s="342">
        <v>2</v>
      </c>
      <c r="Q14" s="340"/>
      <c r="R14" s="340"/>
      <c r="S14" s="343">
        <v>1</v>
      </c>
      <c r="T14" s="343">
        <v>3</v>
      </c>
      <c r="U14" s="340"/>
      <c r="V14" s="343">
        <v>1</v>
      </c>
      <c r="W14" s="343">
        <v>2</v>
      </c>
      <c r="X14" s="343">
        <v>2</v>
      </c>
      <c r="Y14" s="344" t="s">
        <v>90</v>
      </c>
      <c r="Z14" s="340"/>
      <c r="AA14" s="340"/>
      <c r="AB14" s="340"/>
      <c r="AC14" s="341"/>
      <c r="AD14" s="341"/>
      <c r="AE14" s="341"/>
    </row>
    <row r="15" spans="1:36" s="264" customFormat="1" ht="34.5" thickBot="1" x14ac:dyDescent="0.3">
      <c r="A15" s="333"/>
      <c r="B15" s="338">
        <v>3</v>
      </c>
      <c r="C15" s="333"/>
      <c r="D15" s="336">
        <v>4</v>
      </c>
      <c r="E15" s="336">
        <v>13</v>
      </c>
      <c r="F15" s="334"/>
      <c r="G15" s="336">
        <v>15</v>
      </c>
      <c r="H15" s="336">
        <v>3</v>
      </c>
      <c r="I15" s="336">
        <v>59</v>
      </c>
      <c r="J15" s="336">
        <v>2</v>
      </c>
      <c r="K15" s="336">
        <v>10</v>
      </c>
      <c r="L15" s="336">
        <v>8</v>
      </c>
      <c r="M15" s="336">
        <v>32</v>
      </c>
      <c r="N15" s="334"/>
      <c r="O15" s="336">
        <v>3</v>
      </c>
      <c r="P15" s="337">
        <v>2</v>
      </c>
      <c r="Q15" s="337">
        <v>4</v>
      </c>
      <c r="R15" s="337">
        <v>1</v>
      </c>
      <c r="S15" s="337">
        <v>33</v>
      </c>
      <c r="T15" s="337">
        <v>4</v>
      </c>
      <c r="U15" s="337">
        <v>2</v>
      </c>
      <c r="V15" s="337">
        <v>3</v>
      </c>
      <c r="W15" s="337">
        <v>3</v>
      </c>
      <c r="X15" s="337">
        <v>40</v>
      </c>
      <c r="Y15" s="339" t="s">
        <v>89</v>
      </c>
      <c r="AA15" s="335"/>
      <c r="AB15" s="335"/>
      <c r="AC15" s="335"/>
      <c r="AD15" s="334"/>
      <c r="AE15" s="334"/>
      <c r="AF15" s="334"/>
    </row>
    <row r="16" spans="1:36" s="10" customFormat="1" ht="36" thickBot="1" x14ac:dyDescent="0.3">
      <c r="A16" s="69" t="s">
        <v>7</v>
      </c>
      <c r="B16" s="971" t="s">
        <v>8</v>
      </c>
      <c r="C16" s="968"/>
      <c r="D16" s="968"/>
      <c r="E16" s="968"/>
      <c r="F16" s="968"/>
      <c r="G16" s="968"/>
      <c r="H16" s="968"/>
      <c r="I16" s="968"/>
      <c r="J16" s="962" t="s">
        <v>30</v>
      </c>
      <c r="K16" s="963"/>
      <c r="L16" s="963"/>
      <c r="M16" s="963"/>
      <c r="N16" s="964"/>
      <c r="O16" s="971" t="s">
        <v>29</v>
      </c>
      <c r="P16" s="968"/>
      <c r="Q16" s="968"/>
      <c r="R16" s="968"/>
      <c r="S16" s="969"/>
      <c r="T16" s="962" t="s">
        <v>31</v>
      </c>
      <c r="U16" s="963"/>
      <c r="V16" s="963"/>
      <c r="W16" s="963"/>
      <c r="X16" s="963"/>
      <c r="Y16" s="964"/>
    </row>
    <row r="17" spans="1:36" ht="39.950000000000003" customHeight="1" thickBot="1" x14ac:dyDescent="0.3">
      <c r="A17" s="80" t="s">
        <v>34</v>
      </c>
      <c r="B17" s="186">
        <v>4</v>
      </c>
      <c r="C17" s="174">
        <v>3</v>
      </c>
      <c r="D17" s="174">
        <v>2</v>
      </c>
      <c r="E17" s="174">
        <v>1</v>
      </c>
      <c r="F17" s="174">
        <v>1</v>
      </c>
      <c r="G17" s="174">
        <v>2</v>
      </c>
      <c r="H17" s="174">
        <v>3</v>
      </c>
      <c r="I17" s="203">
        <v>4</v>
      </c>
      <c r="J17" s="188">
        <v>1</v>
      </c>
      <c r="K17" s="168">
        <v>2</v>
      </c>
      <c r="L17" s="168">
        <v>3</v>
      </c>
      <c r="M17" s="168">
        <v>4</v>
      </c>
      <c r="N17" s="169">
        <v>5</v>
      </c>
      <c r="O17" s="202">
        <v>1</v>
      </c>
      <c r="P17" s="174">
        <v>2</v>
      </c>
      <c r="Q17" s="174">
        <v>3</v>
      </c>
      <c r="R17" s="174">
        <v>4</v>
      </c>
      <c r="S17" s="203">
        <v>5</v>
      </c>
      <c r="T17" s="186">
        <v>1</v>
      </c>
      <c r="U17" s="174">
        <v>2</v>
      </c>
      <c r="V17" s="174">
        <v>3</v>
      </c>
      <c r="W17" s="174">
        <v>4</v>
      </c>
      <c r="X17" s="175">
        <v>5</v>
      </c>
      <c r="Y17" s="126" t="s">
        <v>9</v>
      </c>
      <c r="AC17" s="15"/>
      <c r="AD17" s="15"/>
    </row>
    <row r="18" spans="1:36" ht="39.950000000000003" customHeight="1" x14ac:dyDescent="0.25">
      <c r="A18" s="80" t="s">
        <v>10</v>
      </c>
      <c r="B18" s="186">
        <v>1</v>
      </c>
      <c r="C18" s="174">
        <v>2</v>
      </c>
      <c r="D18" s="174">
        <v>3</v>
      </c>
      <c r="E18" s="174">
        <v>4</v>
      </c>
      <c r="F18" s="174">
        <v>5</v>
      </c>
      <c r="G18" s="174">
        <v>6</v>
      </c>
      <c r="H18" s="174">
        <v>7</v>
      </c>
      <c r="I18" s="203">
        <v>8</v>
      </c>
      <c r="J18" s="331">
        <v>1</v>
      </c>
      <c r="K18" s="114">
        <v>2</v>
      </c>
      <c r="L18" s="114">
        <v>3</v>
      </c>
      <c r="M18" s="114">
        <v>4</v>
      </c>
      <c r="N18" s="332" t="s">
        <v>88</v>
      </c>
      <c r="O18" s="202">
        <v>1</v>
      </c>
      <c r="P18" s="174">
        <v>2</v>
      </c>
      <c r="Q18" s="174">
        <v>3</v>
      </c>
      <c r="R18" s="174">
        <v>4</v>
      </c>
      <c r="S18" s="203">
        <v>5</v>
      </c>
      <c r="T18" s="186">
        <v>1</v>
      </c>
      <c r="U18" s="174">
        <v>2</v>
      </c>
      <c r="V18" s="174">
        <v>3</v>
      </c>
      <c r="W18" s="174">
        <v>4</v>
      </c>
      <c r="X18" s="175">
        <v>5</v>
      </c>
      <c r="Y18" s="208"/>
      <c r="AC18" s="2"/>
      <c r="AD18" s="15"/>
    </row>
    <row r="19" spans="1:36" ht="39.950000000000003" customHeight="1" x14ac:dyDescent="0.25">
      <c r="A19" s="171" t="s">
        <v>53</v>
      </c>
      <c r="B19" s="326">
        <v>40.799999999999997</v>
      </c>
      <c r="C19" s="327">
        <v>85.9</v>
      </c>
      <c r="D19" s="327">
        <v>68.3</v>
      </c>
      <c r="E19" s="327">
        <v>27.5</v>
      </c>
      <c r="F19" s="327">
        <v>41.5</v>
      </c>
      <c r="G19" s="327">
        <v>63</v>
      </c>
      <c r="H19" s="327">
        <v>55.7</v>
      </c>
      <c r="I19" s="328">
        <v>48.1</v>
      </c>
      <c r="J19" s="326">
        <v>15.9</v>
      </c>
      <c r="K19" s="327">
        <v>32.299999999999997</v>
      </c>
      <c r="L19" s="327">
        <v>49.9</v>
      </c>
      <c r="M19" s="327">
        <v>45</v>
      </c>
      <c r="N19" s="329"/>
      <c r="O19" s="330">
        <v>39.6</v>
      </c>
      <c r="P19" s="327">
        <v>40.9</v>
      </c>
      <c r="Q19" s="327">
        <v>75.8</v>
      </c>
      <c r="R19" s="327">
        <v>72.3</v>
      </c>
      <c r="S19" s="329">
        <v>37.9</v>
      </c>
      <c r="T19" s="326">
        <v>33.9</v>
      </c>
      <c r="U19" s="327">
        <v>53.1</v>
      </c>
      <c r="V19" s="327">
        <v>70.7</v>
      </c>
      <c r="W19" s="327">
        <v>64</v>
      </c>
      <c r="X19" s="329">
        <v>42</v>
      </c>
      <c r="Y19" s="98">
        <f t="shared" ref="Y19:Y25" si="0">SUM(B19:X19)</f>
        <v>1104.0999999999999</v>
      </c>
      <c r="Z19" s="301"/>
      <c r="AA19" s="302"/>
      <c r="AC19" s="2"/>
      <c r="AD19" s="15"/>
    </row>
    <row r="20" spans="1:36" ht="39.950000000000003" customHeight="1" x14ac:dyDescent="0.25">
      <c r="A20" s="171" t="s">
        <v>24</v>
      </c>
      <c r="B20" s="326">
        <v>40.799999999999997</v>
      </c>
      <c r="C20" s="327">
        <v>85.9</v>
      </c>
      <c r="D20" s="327">
        <v>68.3</v>
      </c>
      <c r="E20" s="327">
        <v>27.5</v>
      </c>
      <c r="F20" s="327">
        <v>41.5</v>
      </c>
      <c r="G20" s="327">
        <v>63</v>
      </c>
      <c r="H20" s="327">
        <v>55.7</v>
      </c>
      <c r="I20" s="328">
        <v>48.1</v>
      </c>
      <c r="J20" s="326">
        <v>15.9</v>
      </c>
      <c r="K20" s="327">
        <v>32.299999999999997</v>
      </c>
      <c r="L20" s="327">
        <v>49.9</v>
      </c>
      <c r="M20" s="327">
        <v>45</v>
      </c>
      <c r="N20" s="329"/>
      <c r="O20" s="330">
        <v>39.6</v>
      </c>
      <c r="P20" s="327">
        <v>40.9</v>
      </c>
      <c r="Q20" s="327">
        <v>75.8</v>
      </c>
      <c r="R20" s="327">
        <v>72.3</v>
      </c>
      <c r="S20" s="329">
        <v>37.9</v>
      </c>
      <c r="T20" s="326">
        <v>33.9</v>
      </c>
      <c r="U20" s="327">
        <v>53.1</v>
      </c>
      <c r="V20" s="327">
        <v>70.7</v>
      </c>
      <c r="W20" s="327">
        <v>64</v>
      </c>
      <c r="X20" s="329">
        <v>42</v>
      </c>
      <c r="Y20" s="98">
        <f t="shared" si="0"/>
        <v>1104.0999999999999</v>
      </c>
      <c r="Z20" s="301"/>
      <c r="AA20" s="302"/>
      <c r="AC20" s="2"/>
      <c r="AD20" s="15"/>
    </row>
    <row r="21" spans="1:36" ht="39.75" customHeight="1" x14ac:dyDescent="0.25">
      <c r="A21" s="171" t="s">
        <v>20</v>
      </c>
      <c r="B21" s="326">
        <v>43</v>
      </c>
      <c r="C21" s="327">
        <v>90.5</v>
      </c>
      <c r="D21" s="327">
        <v>71.8</v>
      </c>
      <c r="E21" s="327">
        <v>28.4</v>
      </c>
      <c r="F21" s="327">
        <v>43.3</v>
      </c>
      <c r="G21" s="327">
        <v>66.2</v>
      </c>
      <c r="H21" s="327">
        <v>58.6</v>
      </c>
      <c r="I21" s="328">
        <v>50.3</v>
      </c>
      <c r="J21" s="326">
        <v>16.7</v>
      </c>
      <c r="K21" s="327">
        <v>34</v>
      </c>
      <c r="L21" s="327">
        <v>52.6</v>
      </c>
      <c r="M21" s="327">
        <v>47.4</v>
      </c>
      <c r="N21" s="329"/>
      <c r="O21" s="330">
        <v>41.1</v>
      </c>
      <c r="P21" s="327">
        <v>43</v>
      </c>
      <c r="Q21" s="327">
        <v>79.400000000000006</v>
      </c>
      <c r="R21" s="327">
        <v>76</v>
      </c>
      <c r="S21" s="329">
        <v>39.799999999999997</v>
      </c>
      <c r="T21" s="326">
        <v>35.4</v>
      </c>
      <c r="U21" s="327">
        <v>55.5</v>
      </c>
      <c r="V21" s="327">
        <v>74.3</v>
      </c>
      <c r="W21" s="327">
        <v>66.900000000000006</v>
      </c>
      <c r="X21" s="329">
        <v>44.1</v>
      </c>
      <c r="Y21" s="98">
        <f t="shared" si="0"/>
        <v>1158.3</v>
      </c>
      <c r="Z21" s="301"/>
      <c r="AA21" s="302"/>
      <c r="AC21" s="2"/>
      <c r="AD21" s="15"/>
    </row>
    <row r="22" spans="1:36" ht="39.950000000000003" customHeight="1" x14ac:dyDescent="0.25">
      <c r="A22" s="171" t="s">
        <v>28</v>
      </c>
      <c r="B22" s="326">
        <v>43.1</v>
      </c>
      <c r="C22" s="327">
        <v>90.5</v>
      </c>
      <c r="D22" s="327">
        <v>71.8</v>
      </c>
      <c r="E22" s="327">
        <v>28.4</v>
      </c>
      <c r="F22" s="327">
        <v>43.4</v>
      </c>
      <c r="G22" s="327">
        <v>66.2</v>
      </c>
      <c r="H22" s="327">
        <v>58.6</v>
      </c>
      <c r="I22" s="328">
        <v>50.3</v>
      </c>
      <c r="J22" s="326">
        <v>16.7</v>
      </c>
      <c r="K22" s="327">
        <v>34</v>
      </c>
      <c r="L22" s="327">
        <v>52.6</v>
      </c>
      <c r="M22" s="327">
        <v>47.4</v>
      </c>
      <c r="N22" s="329"/>
      <c r="O22" s="330">
        <v>41.1</v>
      </c>
      <c r="P22" s="327">
        <v>43</v>
      </c>
      <c r="Q22" s="327">
        <v>79.5</v>
      </c>
      <c r="R22" s="327">
        <v>76</v>
      </c>
      <c r="S22" s="329">
        <v>39.799999999999997</v>
      </c>
      <c r="T22" s="326">
        <v>35.4</v>
      </c>
      <c r="U22" s="327">
        <v>55.5</v>
      </c>
      <c r="V22" s="327">
        <v>74.3</v>
      </c>
      <c r="W22" s="327">
        <v>67</v>
      </c>
      <c r="X22" s="329">
        <v>44.1</v>
      </c>
      <c r="Y22" s="98">
        <f t="shared" si="0"/>
        <v>1158.6999999999998</v>
      </c>
      <c r="Z22" s="301"/>
      <c r="AA22" s="302"/>
      <c r="AC22" s="2"/>
      <c r="AD22" s="15"/>
    </row>
    <row r="23" spans="1:36" ht="39.950000000000003" customHeight="1" x14ac:dyDescent="0.25">
      <c r="A23" s="171" t="s">
        <v>21</v>
      </c>
      <c r="B23" s="18">
        <v>42.74959349593496</v>
      </c>
      <c r="C23" s="19">
        <v>90.5</v>
      </c>
      <c r="D23" s="19">
        <v>71.191525423728805</v>
      </c>
      <c r="E23" s="19">
        <v>26.288793103448274</v>
      </c>
      <c r="F23" s="19">
        <v>43.4</v>
      </c>
      <c r="G23" s="19">
        <v>64.488524590163934</v>
      </c>
      <c r="H23" s="19">
        <v>58.342073170731709</v>
      </c>
      <c r="I23" s="108">
        <v>43.31388888888889</v>
      </c>
      <c r="J23" s="18">
        <v>15.573722627737226</v>
      </c>
      <c r="K23" s="19">
        <v>32.802816901408448</v>
      </c>
      <c r="L23" s="19">
        <v>51.654382022471914</v>
      </c>
      <c r="M23" s="19">
        <v>43.700487804878044</v>
      </c>
      <c r="N23" s="20">
        <v>28.499728997289974</v>
      </c>
      <c r="O23" s="61">
        <v>40.363880597014926</v>
      </c>
      <c r="P23" s="19">
        <v>42.394366197183103</v>
      </c>
      <c r="Q23" s="19">
        <v>79.031664212076578</v>
      </c>
      <c r="R23" s="19">
        <v>75.882352941176464</v>
      </c>
      <c r="S23" s="20">
        <v>35.889017341040464</v>
      </c>
      <c r="T23" s="18">
        <v>34.542560553633216</v>
      </c>
      <c r="U23" s="19">
        <v>55.357734204793033</v>
      </c>
      <c r="V23" s="19">
        <v>73.827503974562788</v>
      </c>
      <c r="W23" s="19">
        <v>66.417391304347831</v>
      </c>
      <c r="X23" s="20">
        <v>39.275862068965523</v>
      </c>
      <c r="Y23" s="98">
        <f t="shared" si="0"/>
        <v>1155.4878704214761</v>
      </c>
      <c r="Z23" s="301"/>
      <c r="AA23" s="302"/>
      <c r="AC23" s="2"/>
      <c r="AD23" s="15"/>
    </row>
    <row r="24" spans="1:36" ht="39.950000000000003" customHeight="1" x14ac:dyDescent="0.25">
      <c r="A24" s="171" t="s">
        <v>22</v>
      </c>
      <c r="B24" s="18">
        <v>42.74959349593496</v>
      </c>
      <c r="C24" s="19">
        <v>90.5</v>
      </c>
      <c r="D24" s="19">
        <v>71.191525423728805</v>
      </c>
      <c r="E24" s="19">
        <v>26.288793103448274</v>
      </c>
      <c r="F24" s="19">
        <v>43.4</v>
      </c>
      <c r="G24" s="19">
        <v>64.488524590163934</v>
      </c>
      <c r="H24" s="19">
        <v>58.342073170731709</v>
      </c>
      <c r="I24" s="108">
        <v>43.31388888888889</v>
      </c>
      <c r="J24" s="18">
        <v>15.573722627737226</v>
      </c>
      <c r="K24" s="19">
        <v>32.802816901408448</v>
      </c>
      <c r="L24" s="19">
        <v>51.654382022471914</v>
      </c>
      <c r="M24" s="19">
        <v>43.792682926829272</v>
      </c>
      <c r="N24" s="20">
        <v>28.499728997289974</v>
      </c>
      <c r="O24" s="61">
        <v>40.462089552238808</v>
      </c>
      <c r="P24" s="19">
        <v>42.492957746478879</v>
      </c>
      <c r="Q24" s="19">
        <v>79.031664212076578</v>
      </c>
      <c r="R24" s="19">
        <v>75.882352941176464</v>
      </c>
      <c r="S24" s="20">
        <v>35.889017341040464</v>
      </c>
      <c r="T24" s="18">
        <v>34.542560553633216</v>
      </c>
      <c r="U24" s="19">
        <v>55.357734204793033</v>
      </c>
      <c r="V24" s="19">
        <v>73.827503974562788</v>
      </c>
      <c r="W24" s="19">
        <v>66.417391304347831</v>
      </c>
      <c r="X24" s="20">
        <v>39.275862068965523</v>
      </c>
      <c r="Y24" s="98">
        <f t="shared" si="0"/>
        <v>1155.7768660479469</v>
      </c>
      <c r="Z24" s="301"/>
      <c r="AA24" s="302"/>
      <c r="AC24" s="2"/>
      <c r="AD24" s="15"/>
    </row>
    <row r="25" spans="1:36" ht="39.950000000000003" customHeight="1" thickBot="1" x14ac:dyDescent="0.3">
      <c r="A25" s="285" t="s">
        <v>23</v>
      </c>
      <c r="B25" s="18">
        <v>42.74959349593496</v>
      </c>
      <c r="C25" s="19">
        <v>90.6</v>
      </c>
      <c r="D25" s="19">
        <v>71.191525423728805</v>
      </c>
      <c r="E25" s="19">
        <v>26.288793103448274</v>
      </c>
      <c r="F25" s="19">
        <v>43.4</v>
      </c>
      <c r="G25" s="19">
        <v>64.488524590163934</v>
      </c>
      <c r="H25" s="19">
        <v>58.342073170731709</v>
      </c>
      <c r="I25" s="108">
        <v>43.4</v>
      </c>
      <c r="J25" s="130">
        <v>15.573722627737226</v>
      </c>
      <c r="K25" s="124">
        <v>32.802816901408448</v>
      </c>
      <c r="L25" s="124">
        <v>51.752584269662925</v>
      </c>
      <c r="M25" s="124">
        <v>43.792682926829272</v>
      </c>
      <c r="N25" s="132">
        <v>28.499728997289974</v>
      </c>
      <c r="O25" s="61">
        <v>40.462089552238808</v>
      </c>
      <c r="P25" s="19">
        <v>42.492957746478879</v>
      </c>
      <c r="Q25" s="19">
        <v>79.031664212076578</v>
      </c>
      <c r="R25" s="19">
        <v>75.882352941176464</v>
      </c>
      <c r="S25" s="20">
        <v>35.979190751445088</v>
      </c>
      <c r="T25" s="18">
        <v>34.542560553633216</v>
      </c>
      <c r="U25" s="19">
        <v>55.357734204793033</v>
      </c>
      <c r="V25" s="19">
        <v>73.827503974562788</v>
      </c>
      <c r="W25" s="19">
        <v>66.417391304347831</v>
      </c>
      <c r="X25" s="20">
        <v>39.275862068965523</v>
      </c>
      <c r="Y25" s="98">
        <f t="shared" si="0"/>
        <v>1156.1513528166536</v>
      </c>
      <c r="Z25" s="301"/>
      <c r="AA25" s="302"/>
      <c r="AC25" s="2"/>
    </row>
    <row r="26" spans="1:36" ht="41.45" customHeight="1" x14ac:dyDescent="0.25">
      <c r="A26" s="268" t="s">
        <v>9</v>
      </c>
      <c r="B26" s="131">
        <f>SUM(B19:B25)</f>
        <v>295.94878048780487</v>
      </c>
      <c r="C26" s="128">
        <f t="shared" ref="C26:X26" si="1">SUM(C19:C25)</f>
        <v>624.4</v>
      </c>
      <c r="D26" s="128">
        <f t="shared" si="1"/>
        <v>493.77457627118645</v>
      </c>
      <c r="E26" s="128">
        <f t="shared" si="1"/>
        <v>190.66637931034487</v>
      </c>
      <c r="F26" s="128">
        <f t="shared" si="1"/>
        <v>299.89999999999998</v>
      </c>
      <c r="G26" s="128">
        <f t="shared" si="1"/>
        <v>451.86557377049178</v>
      </c>
      <c r="H26" s="128">
        <f t="shared" si="1"/>
        <v>403.62621951219512</v>
      </c>
      <c r="I26" s="205">
        <f t="shared" si="1"/>
        <v>326.82777777777778</v>
      </c>
      <c r="J26" s="131">
        <f t="shared" si="1"/>
        <v>111.92116788321168</v>
      </c>
      <c r="K26" s="128">
        <f t="shared" si="1"/>
        <v>231.00845070422534</v>
      </c>
      <c r="L26" s="128">
        <f t="shared" si="1"/>
        <v>360.06134831460673</v>
      </c>
      <c r="M26" s="128">
        <f t="shared" si="1"/>
        <v>316.08585365853662</v>
      </c>
      <c r="N26" s="129">
        <f>SUM(N19:N25)</f>
        <v>85.499186991869919</v>
      </c>
      <c r="O26" s="127">
        <f t="shared" si="1"/>
        <v>282.68805970149253</v>
      </c>
      <c r="P26" s="128">
        <f t="shared" si="1"/>
        <v>295.18028169014087</v>
      </c>
      <c r="Q26" s="128">
        <f t="shared" si="1"/>
        <v>547.59499263622979</v>
      </c>
      <c r="R26" s="128">
        <f t="shared" si="1"/>
        <v>524.24705882352941</v>
      </c>
      <c r="S26" s="205">
        <f t="shared" si="1"/>
        <v>263.15722543352604</v>
      </c>
      <c r="T26" s="131">
        <f t="shared" si="1"/>
        <v>242.22768166089966</v>
      </c>
      <c r="U26" s="128">
        <f t="shared" si="1"/>
        <v>383.27320261437904</v>
      </c>
      <c r="V26" s="128">
        <f t="shared" si="1"/>
        <v>511.48251192368832</v>
      </c>
      <c r="W26" s="128">
        <f t="shared" si="1"/>
        <v>461.15217391304338</v>
      </c>
      <c r="X26" s="129">
        <f t="shared" si="1"/>
        <v>290.02758620689656</v>
      </c>
      <c r="Y26" s="98">
        <f>SUM(Y19,Y20,Y21,Y22,Y23,Y24,Y25)</f>
        <v>7992.6160892860762</v>
      </c>
      <c r="Z26" s="301"/>
    </row>
    <row r="27" spans="1:36" s="2" customFormat="1" ht="36.75" customHeight="1" x14ac:dyDescent="0.25">
      <c r="A27" s="192" t="s">
        <v>11</v>
      </c>
      <c r="B27" s="23">
        <v>115</v>
      </c>
      <c r="C27" s="24">
        <v>116</v>
      </c>
      <c r="D27" s="24">
        <v>120</v>
      </c>
      <c r="E27" s="24">
        <v>121.5</v>
      </c>
      <c r="F27" s="24">
        <v>119</v>
      </c>
      <c r="G27" s="24">
        <v>119</v>
      </c>
      <c r="H27" s="24">
        <v>117.5</v>
      </c>
      <c r="I27" s="228">
        <v>115</v>
      </c>
      <c r="J27" s="23">
        <v>120.5</v>
      </c>
      <c r="K27" s="24">
        <v>118</v>
      </c>
      <c r="L27" s="24">
        <v>116.5</v>
      </c>
      <c r="M27" s="24">
        <v>114</v>
      </c>
      <c r="N27" s="25">
        <v>115</v>
      </c>
      <c r="O27" s="63">
        <v>121.5</v>
      </c>
      <c r="P27" s="24">
        <v>119.5</v>
      </c>
      <c r="Q27" s="24">
        <v>115.5</v>
      </c>
      <c r="R27" s="24">
        <v>116</v>
      </c>
      <c r="S27" s="228">
        <v>113.5</v>
      </c>
      <c r="T27" s="23">
        <v>121</v>
      </c>
      <c r="U27" s="24">
        <v>119.5</v>
      </c>
      <c r="V27" s="24">
        <v>116.5</v>
      </c>
      <c r="W27" s="24">
        <v>115</v>
      </c>
      <c r="X27" s="25">
        <v>115.5</v>
      </c>
      <c r="Y27" s="99">
        <f>(((Y26*1000)/7)/Y28)</f>
        <v>117.36070495111927</v>
      </c>
    </row>
    <row r="28" spans="1:36" s="2" customFormat="1" ht="33" customHeight="1" x14ac:dyDescent="0.25">
      <c r="A28" s="193" t="s">
        <v>12</v>
      </c>
      <c r="B28" s="26">
        <v>366</v>
      </c>
      <c r="C28" s="27">
        <v>769</v>
      </c>
      <c r="D28" s="27">
        <v>585</v>
      </c>
      <c r="E28" s="27">
        <v>214</v>
      </c>
      <c r="F28" s="27">
        <v>360</v>
      </c>
      <c r="G28" s="27">
        <v>534</v>
      </c>
      <c r="H28" s="27">
        <v>489</v>
      </c>
      <c r="I28" s="183">
        <v>372</v>
      </c>
      <c r="J28" s="26">
        <v>127</v>
      </c>
      <c r="K28" s="27">
        <v>274</v>
      </c>
      <c r="L28" s="27">
        <v>437</v>
      </c>
      <c r="M28" s="27">
        <v>378</v>
      </c>
      <c r="N28" s="28">
        <v>244</v>
      </c>
      <c r="O28" s="64">
        <v>329</v>
      </c>
      <c r="P28" s="27">
        <v>350</v>
      </c>
      <c r="Q28" s="27">
        <v>675</v>
      </c>
      <c r="R28" s="27">
        <v>645</v>
      </c>
      <c r="S28" s="183">
        <v>312</v>
      </c>
      <c r="T28" s="26">
        <v>282</v>
      </c>
      <c r="U28" s="27">
        <v>457</v>
      </c>
      <c r="V28" s="27">
        <v>625</v>
      </c>
      <c r="W28" s="27">
        <v>570</v>
      </c>
      <c r="X28" s="28">
        <v>335</v>
      </c>
      <c r="Y28" s="29">
        <f>SUM(B28:X28)</f>
        <v>9729</v>
      </c>
    </row>
    <row r="29" spans="1:36" s="2" customFormat="1" ht="33" customHeight="1" x14ac:dyDescent="0.25">
      <c r="A29" s="194" t="s">
        <v>13</v>
      </c>
      <c r="B29" s="30">
        <f>((((B27*7)*B28)/1000)-(B19+B20))/5</f>
        <v>42.606000000000002</v>
      </c>
      <c r="C29" s="30">
        <f t="shared" ref="C29:X29" si="2">((((C27*7)*C28)/1000)-(C19+C20))/5</f>
        <v>90.525599999999997</v>
      </c>
      <c r="D29" s="30">
        <f t="shared" si="2"/>
        <v>70.959999999999994</v>
      </c>
      <c r="E29" s="30">
        <f t="shared" si="2"/>
        <v>25.401400000000002</v>
      </c>
      <c r="F29" s="30">
        <f t="shared" si="2"/>
        <v>43.375999999999998</v>
      </c>
      <c r="G29" s="30">
        <f t="shared" si="2"/>
        <v>63.764400000000002</v>
      </c>
      <c r="H29" s="30">
        <f t="shared" si="2"/>
        <v>58.160499999999999</v>
      </c>
      <c r="I29" s="324">
        <f t="shared" si="2"/>
        <v>40.652000000000001</v>
      </c>
      <c r="J29" s="30">
        <f t="shared" si="2"/>
        <v>15.0649</v>
      </c>
      <c r="K29" s="31">
        <f t="shared" si="2"/>
        <v>32.344800000000006</v>
      </c>
      <c r="L29" s="31">
        <f t="shared" si="2"/>
        <v>51.314699999999995</v>
      </c>
      <c r="M29" s="31">
        <f t="shared" si="2"/>
        <v>42.328800000000001</v>
      </c>
      <c r="N29" s="32">
        <f>((((N27*7)*N28)/1000)-(N19+N20))/5</f>
        <v>39.283999999999999</v>
      </c>
      <c r="O29" s="65">
        <f t="shared" si="2"/>
        <v>40.122900000000001</v>
      </c>
      <c r="P29" s="30">
        <f t="shared" si="2"/>
        <v>42.194999999999993</v>
      </c>
      <c r="Q29" s="30">
        <f t="shared" si="2"/>
        <v>78.827499999999986</v>
      </c>
      <c r="R29" s="30">
        <f t="shared" si="2"/>
        <v>75.828000000000003</v>
      </c>
      <c r="S29" s="30">
        <f t="shared" si="2"/>
        <v>34.416800000000002</v>
      </c>
      <c r="T29" s="30">
        <f t="shared" si="2"/>
        <v>34.210800000000006</v>
      </c>
      <c r="U29" s="30">
        <f t="shared" si="2"/>
        <v>55.216100000000004</v>
      </c>
      <c r="V29" s="30">
        <f t="shared" si="2"/>
        <v>73.657499999999999</v>
      </c>
      <c r="W29" s="30">
        <f t="shared" si="2"/>
        <v>66.17</v>
      </c>
      <c r="X29" s="286">
        <f t="shared" si="2"/>
        <v>37.369500000000002</v>
      </c>
      <c r="Y29" s="33"/>
    </row>
    <row r="30" spans="1:36" ht="33.75" customHeight="1" x14ac:dyDescent="0.25">
      <c r="A30" s="185" t="s">
        <v>14</v>
      </c>
      <c r="B30" s="279">
        <f t="shared" ref="B30:X30" si="3">((B28*B27)*7)/1000</f>
        <v>294.63</v>
      </c>
      <c r="C30" s="280">
        <f t="shared" si="3"/>
        <v>624.428</v>
      </c>
      <c r="D30" s="280">
        <f t="shared" si="3"/>
        <v>491.4</v>
      </c>
      <c r="E30" s="280">
        <f t="shared" si="3"/>
        <v>182.00700000000001</v>
      </c>
      <c r="F30" s="280">
        <f t="shared" si="3"/>
        <v>299.88</v>
      </c>
      <c r="G30" s="280">
        <f t="shared" si="3"/>
        <v>444.822</v>
      </c>
      <c r="H30" s="280">
        <f t="shared" si="3"/>
        <v>402.20249999999999</v>
      </c>
      <c r="I30" s="281">
        <f t="shared" si="3"/>
        <v>299.45999999999998</v>
      </c>
      <c r="J30" s="279">
        <f t="shared" si="3"/>
        <v>107.1245</v>
      </c>
      <c r="K30" s="280">
        <f t="shared" si="3"/>
        <v>226.32400000000001</v>
      </c>
      <c r="L30" s="280">
        <f t="shared" si="3"/>
        <v>356.37349999999998</v>
      </c>
      <c r="M30" s="280">
        <f t="shared" si="3"/>
        <v>301.64400000000001</v>
      </c>
      <c r="N30" s="282">
        <f t="shared" ref="N30" si="4">((N28*N27)*7)/1000</f>
        <v>196.42</v>
      </c>
      <c r="O30" s="325">
        <f t="shared" si="3"/>
        <v>279.81450000000001</v>
      </c>
      <c r="P30" s="280">
        <f t="shared" si="3"/>
        <v>292.77499999999998</v>
      </c>
      <c r="Q30" s="280">
        <f t="shared" si="3"/>
        <v>545.73749999999995</v>
      </c>
      <c r="R30" s="280">
        <f t="shared" si="3"/>
        <v>523.74</v>
      </c>
      <c r="S30" s="281">
        <f t="shared" si="3"/>
        <v>247.88399999999999</v>
      </c>
      <c r="T30" s="279">
        <f t="shared" si="3"/>
        <v>238.85400000000001</v>
      </c>
      <c r="U30" s="280">
        <f t="shared" si="3"/>
        <v>382.28050000000002</v>
      </c>
      <c r="V30" s="280">
        <f t="shared" si="3"/>
        <v>509.6875</v>
      </c>
      <c r="W30" s="280">
        <f t="shared" si="3"/>
        <v>458.85</v>
      </c>
      <c r="X30" s="282">
        <f t="shared" si="3"/>
        <v>270.84750000000003</v>
      </c>
      <c r="Y30" s="36"/>
    </row>
    <row r="31" spans="1:36" ht="33.75" customHeight="1" thickBot="1" x14ac:dyDescent="0.3">
      <c r="A31" s="195" t="s">
        <v>15</v>
      </c>
      <c r="B31" s="37">
        <f>+(B26/B28)/7*1000</f>
        <v>115.51474648235944</v>
      </c>
      <c r="C31" s="38">
        <f t="shared" ref="C31:X31" si="5">+(C26/C28)/7*1000</f>
        <v>115.99479843953185</v>
      </c>
      <c r="D31" s="38">
        <f t="shared" si="5"/>
        <v>120.57987210529583</v>
      </c>
      <c r="E31" s="38">
        <f t="shared" si="5"/>
        <v>127.28062704295384</v>
      </c>
      <c r="F31" s="38">
        <f t="shared" si="5"/>
        <v>119.00793650793649</v>
      </c>
      <c r="G31" s="38">
        <f t="shared" si="5"/>
        <v>120.88431615047935</v>
      </c>
      <c r="H31" s="38">
        <f t="shared" si="5"/>
        <v>117.91592740642568</v>
      </c>
      <c r="I31" s="207">
        <f t="shared" si="5"/>
        <v>125.50989930022189</v>
      </c>
      <c r="J31" s="37">
        <f t="shared" si="5"/>
        <v>125.89557692149795</v>
      </c>
      <c r="K31" s="38">
        <f t="shared" si="5"/>
        <v>120.44236220241154</v>
      </c>
      <c r="L31" s="38">
        <f t="shared" si="5"/>
        <v>117.70557316593879</v>
      </c>
      <c r="M31" s="38">
        <f t="shared" si="5"/>
        <v>119.4579945799458</v>
      </c>
      <c r="N31" s="39">
        <f>+(N26/N28)/7*1000</f>
        <v>50.058072009291521</v>
      </c>
      <c r="O31" s="67">
        <f t="shared" si="5"/>
        <v>122.74774628809924</v>
      </c>
      <c r="P31" s="38">
        <f t="shared" si="5"/>
        <v>120.48174762862892</v>
      </c>
      <c r="Q31" s="38">
        <f t="shared" si="5"/>
        <v>115.89312013465181</v>
      </c>
      <c r="R31" s="38">
        <f t="shared" si="5"/>
        <v>116.11230538727121</v>
      </c>
      <c r="S31" s="207">
        <f t="shared" si="5"/>
        <v>120.49323508861083</v>
      </c>
      <c r="T31" s="37">
        <f t="shared" si="5"/>
        <v>122.70905859214776</v>
      </c>
      <c r="U31" s="38">
        <f t="shared" si="5"/>
        <v>119.81031654091248</v>
      </c>
      <c r="V31" s="38">
        <f t="shared" si="5"/>
        <v>116.9102884397002</v>
      </c>
      <c r="W31" s="38">
        <f t="shared" si="5"/>
        <v>115.57698594311863</v>
      </c>
      <c r="X31" s="39">
        <f t="shared" si="5"/>
        <v>123.67914123961474</v>
      </c>
      <c r="Y31" s="40"/>
    </row>
    <row r="32" spans="1:36" ht="33.75" customHeight="1" x14ac:dyDescent="0.25">
      <c r="A32" s="41"/>
      <c r="B32" s="42">
        <f>B30-B26</f>
        <v>-1.3187804878048723</v>
      </c>
      <c r="C32" s="42">
        <f t="shared" ref="C32:X33" si="6">C30-C26</f>
        <v>2.8000000000020009E-2</v>
      </c>
      <c r="D32" s="42">
        <f t="shared" si="6"/>
        <v>-2.37457627118647</v>
      </c>
      <c r="E32" s="42">
        <f t="shared" si="6"/>
        <v>-8.6593793103448604</v>
      </c>
      <c r="F32" s="42">
        <f t="shared" si="6"/>
        <v>-1.999999999998181E-2</v>
      </c>
      <c r="G32" s="42">
        <f t="shared" si="6"/>
        <v>-7.0435737704917756</v>
      </c>
      <c r="H32" s="42">
        <f t="shared" si="6"/>
        <v>-1.4237195121951345</v>
      </c>
      <c r="I32" s="42">
        <f t="shared" si="6"/>
        <v>-27.367777777777803</v>
      </c>
      <c r="J32" s="42">
        <f t="shared" si="6"/>
        <v>-4.7966678832116827</v>
      </c>
      <c r="K32" s="42">
        <f t="shared" si="6"/>
        <v>-4.6844507042253269</v>
      </c>
      <c r="L32" s="42">
        <f t="shared" si="6"/>
        <v>-3.6878483146067538</v>
      </c>
      <c r="M32" s="42">
        <f t="shared" si="6"/>
        <v>-14.441853658536616</v>
      </c>
      <c r="N32" s="42">
        <f t="shared" ref="N32" si="7">N30-N26</f>
        <v>110.92081300813007</v>
      </c>
      <c r="O32" s="42">
        <f t="shared" si="6"/>
        <v>-2.8735597014925247</v>
      </c>
      <c r="P32" s="42">
        <f t="shared" si="6"/>
        <v>-2.405281690140896</v>
      </c>
      <c r="Q32" s="42">
        <f t="shared" si="6"/>
        <v>-1.8574926362298356</v>
      </c>
      <c r="R32" s="42">
        <f t="shared" si="6"/>
        <v>-0.50705882352940534</v>
      </c>
      <c r="S32" s="42">
        <f t="shared" si="6"/>
        <v>-15.273225433526051</v>
      </c>
      <c r="T32" s="42">
        <f t="shared" si="6"/>
        <v>-3.3736816608996492</v>
      </c>
      <c r="U32" s="42">
        <f t="shared" si="6"/>
        <v>-0.99270261437902718</v>
      </c>
      <c r="V32" s="42">
        <f t="shared" si="6"/>
        <v>-1.7950119236883211</v>
      </c>
      <c r="W32" s="42">
        <f t="shared" si="6"/>
        <v>-2.3021739130433616</v>
      </c>
      <c r="X32" s="42">
        <f t="shared" si="6"/>
        <v>-19.180086206896533</v>
      </c>
      <c r="Y32" s="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</row>
    <row r="33" spans="1:37" ht="33.75" customHeight="1" x14ac:dyDescent="0.25">
      <c r="A33" s="41"/>
      <c r="B33" s="42">
        <f>B31-B27</f>
        <v>0.51474648235944187</v>
      </c>
      <c r="C33" s="42">
        <f t="shared" si="6"/>
        <v>-5.201560468151456E-3</v>
      </c>
      <c r="D33" s="42">
        <f t="shared" si="6"/>
        <v>0.57987210529583422</v>
      </c>
      <c r="E33" s="42">
        <f t="shared" si="6"/>
        <v>5.7806270429538387</v>
      </c>
      <c r="F33" s="42">
        <f t="shared" si="6"/>
        <v>7.9365079364919211E-3</v>
      </c>
      <c r="G33" s="42">
        <f t="shared" si="6"/>
        <v>1.88431615047935</v>
      </c>
      <c r="H33" s="42">
        <f t="shared" si="6"/>
        <v>0.4159274064256806</v>
      </c>
      <c r="I33" s="42">
        <f t="shared" si="6"/>
        <v>10.509899300221889</v>
      </c>
      <c r="J33" s="42">
        <f t="shared" si="6"/>
        <v>5.3955769214979483</v>
      </c>
      <c r="K33" s="42">
        <f t="shared" si="6"/>
        <v>2.4423622024115446</v>
      </c>
      <c r="L33" s="42">
        <f t="shared" si="6"/>
        <v>1.2055731659387874</v>
      </c>
      <c r="M33" s="42">
        <f t="shared" si="6"/>
        <v>5.4579945799458045</v>
      </c>
      <c r="N33" s="42">
        <f t="shared" ref="N33" si="8">N31-N27</f>
        <v>-64.941927990708479</v>
      </c>
      <c r="O33" s="42">
        <f t="shared" si="6"/>
        <v>1.2477462880992363</v>
      </c>
      <c r="P33" s="42">
        <f t="shared" si="6"/>
        <v>0.98174762862892351</v>
      </c>
      <c r="Q33" s="42">
        <f t="shared" si="6"/>
        <v>0.39312013465180939</v>
      </c>
      <c r="R33" s="42">
        <f t="shared" si="6"/>
        <v>0.11230538727120631</v>
      </c>
      <c r="S33" s="42">
        <f t="shared" si="6"/>
        <v>6.993235088610831</v>
      </c>
      <c r="T33" s="42">
        <f t="shared" si="6"/>
        <v>1.7090585921477555</v>
      </c>
      <c r="U33" s="42">
        <f t="shared" si="6"/>
        <v>0.31031654091248129</v>
      </c>
      <c r="V33" s="42">
        <f t="shared" si="6"/>
        <v>0.4102884397001958</v>
      </c>
      <c r="W33" s="42">
        <f t="shared" si="6"/>
        <v>0.57698594311862905</v>
      </c>
      <c r="X33" s="42">
        <f t="shared" si="6"/>
        <v>8.1791412396147365</v>
      </c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1"/>
    </row>
    <row r="35" spans="1:37" ht="33.75" customHeight="1" x14ac:dyDescent="0.25">
      <c r="A35" s="41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1"/>
    </row>
    <row r="36" spans="1:37" s="2" customFormat="1" ht="33.75" customHeight="1" thickBot="1" x14ac:dyDescent="0.3">
      <c r="B36" s="43"/>
      <c r="C36" s="315">
        <v>33</v>
      </c>
      <c r="D36" s="315">
        <v>23</v>
      </c>
      <c r="E36" s="315">
        <v>16</v>
      </c>
      <c r="F36" s="315">
        <v>21</v>
      </c>
      <c r="G36" s="315">
        <v>8</v>
      </c>
      <c r="H36" s="318" t="s">
        <v>86</v>
      </c>
      <c r="I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3"/>
    </row>
    <row r="37" spans="1:37" ht="33.75" customHeight="1" thickBot="1" x14ac:dyDescent="0.3">
      <c r="A37" s="69" t="s">
        <v>16</v>
      </c>
      <c r="B37" s="980" t="s">
        <v>17</v>
      </c>
      <c r="C37" s="972"/>
      <c r="D37" s="972"/>
      <c r="E37" s="972"/>
      <c r="F37" s="972"/>
      <c r="G37" s="972"/>
      <c r="H37" s="972"/>
      <c r="I37" s="972"/>
      <c r="J37" s="977" t="s">
        <v>9</v>
      </c>
      <c r="K37" s="47"/>
      <c r="R37" s="44"/>
      <c r="S37" s="88" t="s">
        <v>18</v>
      </c>
      <c r="T37" s="973" t="s">
        <v>17</v>
      </c>
      <c r="U37" s="974"/>
      <c r="V37" s="974"/>
      <c r="W37" s="977" t="s">
        <v>9</v>
      </c>
      <c r="X37" s="269"/>
      <c r="Z37" s="45"/>
      <c r="AA37" s="45"/>
      <c r="AB37" s="46"/>
      <c r="AC37" s="3"/>
      <c r="AD37" s="45"/>
      <c r="AE37" s="45"/>
      <c r="AF37" s="45"/>
      <c r="AG37" s="3"/>
    </row>
    <row r="38" spans="1:37" ht="33.75" customHeight="1" thickBot="1" x14ac:dyDescent="0.3">
      <c r="A38" s="170" t="s">
        <v>34</v>
      </c>
      <c r="B38" s="141"/>
      <c r="C38" s="118"/>
      <c r="D38" s="118"/>
      <c r="E38" s="118"/>
      <c r="F38" s="118"/>
      <c r="G38" s="118"/>
      <c r="H38" s="118"/>
      <c r="I38" s="121"/>
      <c r="J38" s="985"/>
      <c r="K38" s="47"/>
      <c r="L38" s="47"/>
      <c r="M38" s="47"/>
      <c r="N38" s="47"/>
      <c r="O38" s="47"/>
      <c r="P38" s="47"/>
      <c r="Q38" s="970"/>
      <c r="R38" s="976"/>
      <c r="S38" s="97" t="s">
        <v>33</v>
      </c>
      <c r="T38" s="186"/>
      <c r="U38" s="173"/>
      <c r="V38" s="323"/>
      <c r="W38" s="984"/>
      <c r="X38" s="2"/>
      <c r="Z38" s="47"/>
      <c r="AA38" s="47"/>
      <c r="AB38" s="3"/>
      <c r="AC38" s="46"/>
      <c r="AD38" s="3"/>
      <c r="AE38" s="45"/>
      <c r="AF38" s="45"/>
      <c r="AG38" s="45"/>
    </row>
    <row r="39" spans="1:37" ht="33.75" customHeight="1" thickBot="1" x14ac:dyDescent="0.3">
      <c r="A39" s="170" t="s">
        <v>10</v>
      </c>
      <c r="B39" s="11">
        <v>1</v>
      </c>
      <c r="C39" s="16">
        <v>2</v>
      </c>
      <c r="D39" s="16">
        <v>3</v>
      </c>
      <c r="E39" s="16">
        <v>4</v>
      </c>
      <c r="F39" s="16">
        <v>5</v>
      </c>
      <c r="G39" s="16">
        <v>6</v>
      </c>
      <c r="H39" s="16" t="s">
        <v>82</v>
      </c>
      <c r="I39" s="107" t="s">
        <v>83</v>
      </c>
      <c r="J39" s="984"/>
      <c r="K39" s="47"/>
      <c r="L39" s="47"/>
      <c r="M39" s="47"/>
      <c r="N39" s="47"/>
      <c r="O39" s="47"/>
      <c r="P39" s="47"/>
      <c r="Q39" s="144"/>
      <c r="R39" s="145"/>
      <c r="S39" s="80" t="s">
        <v>10</v>
      </c>
      <c r="T39" s="186">
        <v>1</v>
      </c>
      <c r="U39" s="174">
        <v>2</v>
      </c>
      <c r="V39" s="175">
        <v>3</v>
      </c>
      <c r="W39" s="278"/>
      <c r="X39" s="270"/>
      <c r="Z39" s="47"/>
      <c r="AA39" s="47"/>
      <c r="AB39" s="48"/>
      <c r="AC39" s="48"/>
      <c r="AD39" s="2"/>
      <c r="AE39" s="2"/>
      <c r="AF39" s="2"/>
      <c r="AG39" s="2"/>
    </row>
    <row r="40" spans="1:37" ht="33.75" customHeight="1" x14ac:dyDescent="0.25">
      <c r="A40" s="171" t="s">
        <v>32</v>
      </c>
      <c r="B40" s="312">
        <v>31.4</v>
      </c>
      <c r="C40" s="313">
        <v>80.900000000000006</v>
      </c>
      <c r="D40" s="313">
        <v>50.3</v>
      </c>
      <c r="E40" s="313">
        <v>36.200000000000003</v>
      </c>
      <c r="F40" s="313">
        <v>78.400000000000006</v>
      </c>
      <c r="G40" s="313">
        <v>42.7</v>
      </c>
      <c r="H40" s="313">
        <v>5.7</v>
      </c>
      <c r="I40" s="314">
        <v>6.2</v>
      </c>
      <c r="J40" s="265">
        <f t="shared" ref="J40:J46" si="9">SUM(B40:I40)</f>
        <v>331.8</v>
      </c>
      <c r="K40" s="982" t="s">
        <v>84</v>
      </c>
      <c r="L40" s="983"/>
      <c r="M40" s="983"/>
      <c r="N40" s="983"/>
      <c r="O40" s="983"/>
      <c r="P40" s="983"/>
      <c r="Q40" s="983"/>
      <c r="R40" s="145"/>
      <c r="S40" s="171" t="s">
        <v>53</v>
      </c>
      <c r="T40" s="130">
        <v>10.1</v>
      </c>
      <c r="U40" s="124">
        <v>25.9</v>
      </c>
      <c r="V40" s="132">
        <v>9.6999999999999993</v>
      </c>
      <c r="W40" s="136">
        <f t="shared" ref="W40:W46" si="10">SUM(T40:V40)</f>
        <v>45.7</v>
      </c>
      <c r="X40" s="271"/>
      <c r="Y40" s="302"/>
      <c r="Z40" s="2"/>
      <c r="AA40" s="49"/>
      <c r="AB40" s="48"/>
      <c r="AC40" s="48"/>
      <c r="AD40" s="2"/>
      <c r="AE40" s="2"/>
      <c r="AF40" s="2"/>
      <c r="AG40" s="2"/>
    </row>
    <row r="41" spans="1:37" ht="33.75" customHeight="1" x14ac:dyDescent="0.25">
      <c r="A41" s="171" t="s">
        <v>24</v>
      </c>
      <c r="B41" s="312">
        <v>31.4</v>
      </c>
      <c r="C41" s="313">
        <v>80.900000000000006</v>
      </c>
      <c r="D41" s="313">
        <v>50.3</v>
      </c>
      <c r="E41" s="313">
        <v>36.200000000000003</v>
      </c>
      <c r="F41" s="313">
        <v>78.400000000000006</v>
      </c>
      <c r="G41" s="313">
        <v>42.7</v>
      </c>
      <c r="H41" s="313">
        <v>5.7</v>
      </c>
      <c r="I41" s="314">
        <v>6.2</v>
      </c>
      <c r="J41" s="291">
        <f t="shared" si="9"/>
        <v>331.8</v>
      </c>
      <c r="K41" s="982"/>
      <c r="L41" s="983"/>
      <c r="M41" s="983"/>
      <c r="N41" s="983"/>
      <c r="O41" s="983"/>
      <c r="P41" s="983"/>
      <c r="Q41" s="983"/>
      <c r="R41" s="145"/>
      <c r="S41" s="171" t="s">
        <v>24</v>
      </c>
      <c r="T41" s="130">
        <v>10.1</v>
      </c>
      <c r="U41" s="124">
        <v>25.9</v>
      </c>
      <c r="V41" s="132">
        <v>9.6999999999999993</v>
      </c>
      <c r="W41" s="136">
        <f t="shared" si="10"/>
        <v>45.7</v>
      </c>
      <c r="X41" s="271"/>
      <c r="Y41" s="302"/>
      <c r="Z41" s="2"/>
      <c r="AA41" s="49"/>
      <c r="AB41" s="48"/>
      <c r="AC41" s="48"/>
      <c r="AD41" s="2"/>
      <c r="AE41" s="2"/>
      <c r="AF41" s="2"/>
      <c r="AG41" s="2"/>
    </row>
    <row r="42" spans="1:37" ht="33.75" customHeight="1" x14ac:dyDescent="0.25">
      <c r="A42" s="171" t="s">
        <v>20</v>
      </c>
      <c r="B42" s="18">
        <v>32.799999999999997</v>
      </c>
      <c r="C42" s="19">
        <v>83</v>
      </c>
      <c r="D42" s="19">
        <v>51.5</v>
      </c>
      <c r="E42" s="19">
        <v>37</v>
      </c>
      <c r="F42" s="19">
        <v>81.599999999999994</v>
      </c>
      <c r="G42" s="19">
        <v>44.1</v>
      </c>
      <c r="H42" s="19">
        <v>5.5</v>
      </c>
      <c r="I42" s="20">
        <v>6.1</v>
      </c>
      <c r="J42" s="291">
        <f t="shared" si="9"/>
        <v>341.6</v>
      </c>
      <c r="K42" s="292" t="s">
        <v>81</v>
      </c>
      <c r="L42" s="49"/>
      <c r="M42" s="49"/>
      <c r="N42" s="49"/>
      <c r="O42" s="49"/>
      <c r="P42" s="144"/>
      <c r="Q42" s="145"/>
      <c r="R42" s="145"/>
      <c r="S42" s="171" t="s">
        <v>20</v>
      </c>
      <c r="T42" s="18">
        <v>10.5</v>
      </c>
      <c r="U42" s="19">
        <v>27.1</v>
      </c>
      <c r="V42" s="20">
        <v>10.1</v>
      </c>
      <c r="W42" s="136">
        <f t="shared" si="10"/>
        <v>47.7</v>
      </c>
      <c r="X42" s="271"/>
      <c r="Y42" s="302"/>
      <c r="Z42" s="2"/>
      <c r="AA42" s="49"/>
      <c r="AB42" s="48"/>
      <c r="AC42" s="48"/>
      <c r="AD42" s="2"/>
      <c r="AE42" s="2"/>
      <c r="AF42" s="2"/>
      <c r="AG42" s="2"/>
    </row>
    <row r="43" spans="1:37" ht="33.75" customHeight="1" x14ac:dyDescent="0.25">
      <c r="A43" s="171" t="s">
        <v>28</v>
      </c>
      <c r="B43" s="18">
        <v>32.9</v>
      </c>
      <c r="C43" s="19">
        <v>83.1</v>
      </c>
      <c r="D43" s="19">
        <v>51.5</v>
      </c>
      <c r="E43" s="19">
        <v>37</v>
      </c>
      <c r="F43" s="19">
        <v>81.7</v>
      </c>
      <c r="G43" s="19">
        <v>44.2</v>
      </c>
      <c r="H43" s="19">
        <v>5.5</v>
      </c>
      <c r="I43" s="20">
        <v>6.1</v>
      </c>
      <c r="J43" s="136">
        <f t="shared" si="9"/>
        <v>342</v>
      </c>
      <c r="K43" s="49"/>
      <c r="L43" s="49"/>
      <c r="M43" s="49"/>
      <c r="N43" s="49"/>
      <c r="O43" s="49"/>
      <c r="P43" s="144"/>
      <c r="Q43" s="145"/>
      <c r="R43" s="145"/>
      <c r="S43" s="171" t="s">
        <v>28</v>
      </c>
      <c r="T43" s="18">
        <v>10.5</v>
      </c>
      <c r="U43" s="19">
        <v>27.2</v>
      </c>
      <c r="V43" s="20">
        <v>10.1</v>
      </c>
      <c r="W43" s="136">
        <f t="shared" si="10"/>
        <v>47.800000000000004</v>
      </c>
      <c r="X43" s="271"/>
      <c r="Y43" s="302"/>
      <c r="Z43" s="2"/>
      <c r="AA43" s="49"/>
      <c r="AB43" s="48"/>
      <c r="AC43" s="48"/>
      <c r="AD43" s="2"/>
      <c r="AE43" s="2"/>
      <c r="AF43" s="2"/>
      <c r="AG43" s="2"/>
    </row>
    <row r="44" spans="1:37" ht="33.75" customHeight="1" x14ac:dyDescent="0.25">
      <c r="A44" s="171" t="s">
        <v>21</v>
      </c>
      <c r="B44" s="18">
        <v>32.9</v>
      </c>
      <c r="C44" s="19">
        <v>83.1</v>
      </c>
      <c r="D44" s="19">
        <v>51.6</v>
      </c>
      <c r="E44" s="19">
        <v>37</v>
      </c>
      <c r="F44" s="19">
        <v>81.7</v>
      </c>
      <c r="G44" s="19">
        <v>44.2</v>
      </c>
      <c r="H44" s="19">
        <v>5.5</v>
      </c>
      <c r="I44" s="20">
        <v>6.1</v>
      </c>
      <c r="J44" s="136">
        <f t="shared" si="9"/>
        <v>342.1</v>
      </c>
      <c r="K44" s="49"/>
      <c r="L44" s="49"/>
      <c r="M44" s="49"/>
      <c r="N44" s="49"/>
      <c r="O44" s="49"/>
      <c r="P44" s="144"/>
      <c r="Q44" s="145"/>
      <c r="R44" s="145"/>
      <c r="S44" s="171" t="s">
        <v>21</v>
      </c>
      <c r="T44" s="18">
        <v>10.5</v>
      </c>
      <c r="U44" s="19">
        <v>27.2</v>
      </c>
      <c r="V44" s="20">
        <v>10.1</v>
      </c>
      <c r="W44" s="136">
        <f t="shared" si="10"/>
        <v>47.800000000000004</v>
      </c>
      <c r="X44" s="271"/>
      <c r="Y44" s="302"/>
      <c r="Z44" s="2"/>
      <c r="AA44" s="49"/>
      <c r="AB44" s="48"/>
      <c r="AC44" s="48"/>
      <c r="AD44" s="2"/>
      <c r="AE44" s="2"/>
      <c r="AF44" s="2"/>
      <c r="AG44" s="2"/>
    </row>
    <row r="45" spans="1:37" ht="33.75" customHeight="1" x14ac:dyDescent="0.25">
      <c r="A45" s="171" t="s">
        <v>22</v>
      </c>
      <c r="B45" s="18">
        <v>32.9</v>
      </c>
      <c r="C45" s="19">
        <v>83.1</v>
      </c>
      <c r="D45" s="19">
        <v>51.6</v>
      </c>
      <c r="E45" s="19">
        <v>37</v>
      </c>
      <c r="F45" s="19">
        <v>81.7</v>
      </c>
      <c r="G45" s="19">
        <v>44.2</v>
      </c>
      <c r="H45" s="19">
        <v>5.6</v>
      </c>
      <c r="I45" s="20">
        <v>6.1</v>
      </c>
      <c r="J45" s="136">
        <f t="shared" si="9"/>
        <v>342.20000000000005</v>
      </c>
      <c r="K45" s="49"/>
      <c r="L45" s="49"/>
      <c r="M45" s="49"/>
      <c r="N45" s="49"/>
      <c r="O45" s="49"/>
      <c r="P45" s="144"/>
      <c r="Q45" s="145"/>
      <c r="R45" s="145"/>
      <c r="S45" s="171" t="s">
        <v>22</v>
      </c>
      <c r="T45" s="18">
        <v>10.6</v>
      </c>
      <c r="U45" s="19">
        <v>27.2</v>
      </c>
      <c r="V45" s="20">
        <v>10.1</v>
      </c>
      <c r="W45" s="136">
        <f t="shared" si="10"/>
        <v>47.9</v>
      </c>
      <c r="X45" s="271"/>
      <c r="Y45" s="302"/>
      <c r="Z45" s="2"/>
      <c r="AA45" s="49"/>
      <c r="AB45" s="48"/>
      <c r="AC45" s="48"/>
      <c r="AD45" s="2"/>
      <c r="AE45" s="2"/>
      <c r="AF45" s="2"/>
      <c r="AG45" s="2"/>
    </row>
    <row r="46" spans="1:37" ht="33.75" customHeight="1" thickBot="1" x14ac:dyDescent="0.3">
      <c r="A46" s="285" t="s">
        <v>32</v>
      </c>
      <c r="B46" s="130">
        <v>32.9</v>
      </c>
      <c r="C46" s="124">
        <v>83.1</v>
      </c>
      <c r="D46" s="124">
        <v>51.6</v>
      </c>
      <c r="E46" s="124">
        <v>37.1</v>
      </c>
      <c r="F46" s="124">
        <v>81.7</v>
      </c>
      <c r="G46" s="124">
        <v>44.2</v>
      </c>
      <c r="H46" s="124">
        <v>5.6</v>
      </c>
      <c r="I46" s="132">
        <v>6.1</v>
      </c>
      <c r="J46" s="289">
        <f t="shared" si="9"/>
        <v>342.3</v>
      </c>
      <c r="K46" s="49"/>
      <c r="L46" s="49"/>
      <c r="M46" s="49"/>
      <c r="N46" s="49"/>
      <c r="O46" s="49"/>
      <c r="P46" s="144"/>
      <c r="Q46" s="145"/>
      <c r="R46" s="145"/>
      <c r="S46" s="285" t="s">
        <v>23</v>
      </c>
      <c r="T46" s="18">
        <v>10.6</v>
      </c>
      <c r="U46" s="19">
        <v>27.2</v>
      </c>
      <c r="V46" s="20">
        <v>10.199999999999999</v>
      </c>
      <c r="W46" s="289">
        <f t="shared" si="10"/>
        <v>48</v>
      </c>
      <c r="X46" s="271"/>
      <c r="Y46" s="302"/>
      <c r="Z46" s="2"/>
      <c r="AA46" s="49"/>
      <c r="AB46" s="48"/>
      <c r="AC46" s="48"/>
      <c r="AD46" s="48"/>
      <c r="AE46" s="48"/>
      <c r="AF46" s="2"/>
      <c r="AG46" s="2"/>
      <c r="AH46" s="2"/>
      <c r="AI46" s="2"/>
    </row>
    <row r="47" spans="1:37" ht="33.75" customHeight="1" x14ac:dyDescent="0.25">
      <c r="A47" s="290" t="s">
        <v>9</v>
      </c>
      <c r="B47" s="131">
        <f>SUM(B40:B46)</f>
        <v>227.20000000000002</v>
      </c>
      <c r="C47" s="128">
        <f t="shared" ref="C47:I47" si="11">SUM(C40:C46)</f>
        <v>577.20000000000005</v>
      </c>
      <c r="D47" s="128">
        <f t="shared" si="11"/>
        <v>358.40000000000003</v>
      </c>
      <c r="E47" s="128">
        <f t="shared" si="11"/>
        <v>257.5</v>
      </c>
      <c r="F47" s="128">
        <f t="shared" si="11"/>
        <v>565.20000000000005</v>
      </c>
      <c r="G47" s="128">
        <f t="shared" si="11"/>
        <v>306.29999999999995</v>
      </c>
      <c r="H47" s="128">
        <f t="shared" si="11"/>
        <v>39.1</v>
      </c>
      <c r="I47" s="129">
        <f t="shared" si="11"/>
        <v>42.900000000000006</v>
      </c>
      <c r="J47" s="265">
        <f>SUM(B47:I47)</f>
        <v>2373.8000000000002</v>
      </c>
      <c r="K47" s="49"/>
      <c r="L47" s="49"/>
      <c r="M47" s="49"/>
      <c r="N47" s="49"/>
      <c r="O47" s="49"/>
      <c r="P47" s="49"/>
      <c r="Q47" s="49"/>
      <c r="S47" s="290" t="s">
        <v>9</v>
      </c>
      <c r="T47" s="133">
        <f>SUM(T40:T46)</f>
        <v>72.900000000000006</v>
      </c>
      <c r="U47" s="134">
        <f>SUM(U40:U46)</f>
        <v>187.7</v>
      </c>
      <c r="V47" s="134">
        <f>SUM(V40:V46)</f>
        <v>70</v>
      </c>
      <c r="W47" s="265">
        <f>SUM(W40,W41,W42,W43,W44,W45,W46)</f>
        <v>330.6</v>
      </c>
      <c r="X47" s="272"/>
      <c r="Z47" s="49"/>
      <c r="AA47" s="49"/>
      <c r="AB47" s="2"/>
      <c r="AC47" s="2"/>
      <c r="AD47" s="2"/>
      <c r="AE47" s="2"/>
      <c r="AF47" s="2"/>
      <c r="AG47" s="2"/>
      <c r="AH47" s="2"/>
      <c r="AI47" s="2"/>
    </row>
    <row r="48" spans="1:37" ht="33.75" customHeight="1" x14ac:dyDescent="0.25">
      <c r="A48" s="192" t="s">
        <v>11</v>
      </c>
      <c r="B48" s="321">
        <v>116</v>
      </c>
      <c r="C48" s="24">
        <v>119</v>
      </c>
      <c r="D48" s="24">
        <v>122</v>
      </c>
      <c r="E48" s="24">
        <v>120.5</v>
      </c>
      <c r="F48" s="24">
        <v>115.5</v>
      </c>
      <c r="G48" s="24">
        <v>112</v>
      </c>
      <c r="H48" s="319">
        <v>116</v>
      </c>
      <c r="I48" s="320">
        <v>116</v>
      </c>
      <c r="J48" s="137">
        <f>+((J47/J49)/7)*1000</f>
        <v>116.2544688770263</v>
      </c>
      <c r="K48" s="322" t="s">
        <v>87</v>
      </c>
      <c r="L48" s="50"/>
      <c r="M48" s="50"/>
      <c r="N48" s="50"/>
      <c r="O48" s="50"/>
      <c r="P48" s="50"/>
      <c r="Q48" s="49"/>
      <c r="S48" s="273" t="s">
        <v>11</v>
      </c>
      <c r="T48" s="23">
        <v>125.5</v>
      </c>
      <c r="U48" s="24">
        <v>126.5</v>
      </c>
      <c r="V48" s="24">
        <v>125</v>
      </c>
      <c r="W48" s="137">
        <f>+((W47/W49)/7)*1000</f>
        <v>125.94285714285716</v>
      </c>
      <c r="X48" s="2"/>
      <c r="Z48" s="50"/>
      <c r="AA48" s="50"/>
    </row>
    <row r="49" spans="1:36" ht="33.75" customHeight="1" x14ac:dyDescent="0.25">
      <c r="A49" s="193" t="s">
        <v>12</v>
      </c>
      <c r="B49" s="26">
        <v>280</v>
      </c>
      <c r="C49" s="27">
        <v>702</v>
      </c>
      <c r="D49" s="27">
        <v>426</v>
      </c>
      <c r="E49" s="27">
        <v>310</v>
      </c>
      <c r="F49" s="27">
        <v>705</v>
      </c>
      <c r="G49" s="27">
        <v>393</v>
      </c>
      <c r="H49" s="27">
        <v>48</v>
      </c>
      <c r="I49" s="28">
        <v>53</v>
      </c>
      <c r="J49" s="138">
        <f>SUM(B49:I49)</f>
        <v>2917</v>
      </c>
      <c r="K49" s="198"/>
      <c r="L49" s="198"/>
      <c r="M49" s="198"/>
      <c r="N49" s="198"/>
      <c r="O49" s="198"/>
      <c r="P49" s="198"/>
      <c r="Q49" s="49"/>
      <c r="R49" s="51"/>
      <c r="S49" s="193" t="s">
        <v>12</v>
      </c>
      <c r="T49" s="257">
        <v>83</v>
      </c>
      <c r="U49" s="275">
        <v>212</v>
      </c>
      <c r="V49" s="275">
        <v>80</v>
      </c>
      <c r="W49" s="254">
        <f>SUM(T49:V49)</f>
        <v>375</v>
      </c>
      <c r="X49" s="2"/>
      <c r="Z49" s="52"/>
      <c r="AA49" s="52"/>
    </row>
    <row r="50" spans="1:36" ht="33.75" customHeight="1" x14ac:dyDescent="0.25">
      <c r="A50" s="194" t="s">
        <v>13</v>
      </c>
      <c r="B50" s="30">
        <f>((((B48*7)*B49)/1000)-(B40+B41))/5</f>
        <v>32.911999999999999</v>
      </c>
      <c r="C50" s="31">
        <f t="shared" ref="C50:I50" si="12">((((C48*7)*C49)/1000)-(C40+C41))/5</f>
        <v>84.593199999999996</v>
      </c>
      <c r="D50" s="31">
        <f t="shared" si="12"/>
        <v>52.640799999999992</v>
      </c>
      <c r="E50" s="31">
        <f t="shared" si="12"/>
        <v>37.817</v>
      </c>
      <c r="F50" s="31">
        <f t="shared" si="12"/>
        <v>82.638499999999993</v>
      </c>
      <c r="G50" s="31">
        <f t="shared" si="12"/>
        <v>44.542400000000001</v>
      </c>
      <c r="H50" s="31">
        <f t="shared" si="12"/>
        <v>5.5152000000000001</v>
      </c>
      <c r="I50" s="32">
        <f t="shared" si="12"/>
        <v>6.1272000000000002</v>
      </c>
      <c r="J50" s="139">
        <f>((J47*1000)/J49)/7</f>
        <v>116.2544688770263</v>
      </c>
      <c r="K50" s="199"/>
      <c r="L50" s="199"/>
      <c r="M50" s="199"/>
      <c r="N50" s="199"/>
      <c r="O50" s="199"/>
      <c r="P50" s="199"/>
      <c r="Q50" s="49"/>
      <c r="S50" s="194" t="s">
        <v>13</v>
      </c>
      <c r="T50" s="30">
        <f>((((T48*7)*T49)/1000)-(T40+T41))/5</f>
        <v>10.543099999999999</v>
      </c>
      <c r="U50" s="30">
        <f>((((U48*7)*U49)/1000)-(U40+U41))/5</f>
        <v>27.185199999999998</v>
      </c>
      <c r="V50" s="30">
        <f>((((V48*7)*V49)/1000)-(V40+V41))/5</f>
        <v>10.120000000000001</v>
      </c>
      <c r="W50" s="274">
        <f>((W47*1000)/W49)/7</f>
        <v>125.94285714285715</v>
      </c>
      <c r="X50" s="43"/>
      <c r="Z50" s="52"/>
      <c r="AA50" s="52"/>
    </row>
    <row r="51" spans="1:36" ht="33.75" customHeight="1" x14ac:dyDescent="0.25">
      <c r="A51" s="185" t="s">
        <v>14</v>
      </c>
      <c r="B51" s="279">
        <f t="shared" ref="B51:I51" si="13">((B49*B48)*7)/1000</f>
        <v>227.36</v>
      </c>
      <c r="C51" s="280">
        <f t="shared" si="13"/>
        <v>584.76599999999996</v>
      </c>
      <c r="D51" s="280">
        <f t="shared" si="13"/>
        <v>363.80399999999997</v>
      </c>
      <c r="E51" s="280">
        <f t="shared" si="13"/>
        <v>261.48500000000001</v>
      </c>
      <c r="F51" s="280">
        <f t="shared" si="13"/>
        <v>569.99249999999995</v>
      </c>
      <c r="G51" s="280">
        <f t="shared" si="13"/>
        <v>308.11200000000002</v>
      </c>
      <c r="H51" s="280">
        <f t="shared" si="13"/>
        <v>38.975999999999999</v>
      </c>
      <c r="I51" s="282">
        <f t="shared" si="13"/>
        <v>43.036000000000001</v>
      </c>
      <c r="J51" s="112"/>
      <c r="K51" s="41"/>
      <c r="L51" s="41"/>
      <c r="M51" s="41"/>
      <c r="N51" s="41"/>
      <c r="O51" s="41"/>
      <c r="P51" s="41"/>
      <c r="Q51" s="49"/>
      <c r="S51" s="185" t="s">
        <v>14</v>
      </c>
      <c r="T51" s="279">
        <f>((T49*T48)*7)/1000</f>
        <v>72.915499999999994</v>
      </c>
      <c r="U51" s="280">
        <f>((U49*U48)*7)/1000</f>
        <v>187.726</v>
      </c>
      <c r="V51" s="280">
        <f>((V49*V48)*7)/1000</f>
        <v>70</v>
      </c>
      <c r="W51" s="36"/>
      <c r="X51" s="41"/>
    </row>
    <row r="52" spans="1:36" ht="33.75" customHeight="1" thickBot="1" x14ac:dyDescent="0.3">
      <c r="A52" s="195" t="s">
        <v>15</v>
      </c>
      <c r="B52" s="37">
        <f t="shared" ref="B52:I52" si="14">+(B47/B49)/7*1000</f>
        <v>115.91836734693879</v>
      </c>
      <c r="C52" s="38">
        <f t="shared" si="14"/>
        <v>117.46031746031747</v>
      </c>
      <c r="D52" s="38">
        <f t="shared" si="14"/>
        <v>120.18779342723006</v>
      </c>
      <c r="E52" s="38">
        <f t="shared" si="14"/>
        <v>118.66359447004608</v>
      </c>
      <c r="F52" s="38">
        <f t="shared" si="14"/>
        <v>114.52887537993921</v>
      </c>
      <c r="G52" s="38">
        <f t="shared" si="14"/>
        <v>111.34133042529989</v>
      </c>
      <c r="H52" s="38">
        <f t="shared" si="14"/>
        <v>116.36904761904762</v>
      </c>
      <c r="I52" s="39">
        <f t="shared" si="14"/>
        <v>115.63342318059301</v>
      </c>
      <c r="J52" s="140"/>
      <c r="K52" s="41"/>
      <c r="L52" s="41"/>
      <c r="M52" s="41"/>
      <c r="N52" s="41"/>
      <c r="O52" s="41"/>
      <c r="P52" s="41"/>
      <c r="Q52" s="49"/>
      <c r="R52" s="41"/>
      <c r="S52" s="195" t="s">
        <v>15</v>
      </c>
      <c r="T52" s="37">
        <f>+(T47/T49)/7*1000</f>
        <v>125.47332185886404</v>
      </c>
      <c r="U52" s="38">
        <f>+(U47/U49)/7*1000</f>
        <v>126.48247978436657</v>
      </c>
      <c r="V52" s="38">
        <f>+(V47/V49)/7*1000</f>
        <v>125</v>
      </c>
      <c r="W52" s="259"/>
      <c r="X52" s="42"/>
      <c r="Z52" s="42"/>
      <c r="AA52" s="42"/>
    </row>
    <row r="53" spans="1:36" ht="33.75" customHeight="1" x14ac:dyDescent="0.25">
      <c r="A53" s="41"/>
      <c r="B53" s="43">
        <f>B51-B47</f>
        <v>0.15999999999999659</v>
      </c>
      <c r="C53" s="43">
        <f t="shared" ref="C53:I54" si="15">C51-C47</f>
        <v>7.5659999999999172</v>
      </c>
      <c r="D53" s="43">
        <f t="shared" si="15"/>
        <v>5.4039999999999395</v>
      </c>
      <c r="E53" s="43">
        <f t="shared" si="15"/>
        <v>3.9850000000000136</v>
      </c>
      <c r="F53" s="43">
        <f t="shared" si="15"/>
        <v>4.7924999999999045</v>
      </c>
      <c r="G53" s="43">
        <f t="shared" si="15"/>
        <v>1.8120000000000687</v>
      </c>
      <c r="H53" s="43">
        <f t="shared" si="15"/>
        <v>-0.12400000000000233</v>
      </c>
      <c r="I53" s="43">
        <f t="shared" si="15"/>
        <v>0.13599999999999568</v>
      </c>
      <c r="J53" s="41"/>
      <c r="K53" s="41"/>
      <c r="L53" s="41"/>
      <c r="M53" s="41"/>
      <c r="N53" s="41"/>
      <c r="O53" s="41"/>
      <c r="P53" s="42"/>
      <c r="T53" s="43">
        <f t="shared" ref="T53:V54" si="16">T51-T47</f>
        <v>1.5499999999988745E-2</v>
      </c>
      <c r="U53" s="42">
        <f t="shared" si="16"/>
        <v>2.6000000000010459E-2</v>
      </c>
      <c r="V53" s="42">
        <f t="shared" si="16"/>
        <v>0</v>
      </c>
      <c r="W53" s="42"/>
      <c r="X53" s="42"/>
      <c r="Y53" s="42"/>
      <c r="Z53" s="42"/>
      <c r="AA53" s="2"/>
      <c r="AB53" s="2"/>
      <c r="AC53" s="2"/>
      <c r="AD53" s="2"/>
      <c r="AE53" s="2"/>
    </row>
    <row r="54" spans="1:36" ht="33.75" customHeight="1" x14ac:dyDescent="0.25">
      <c r="A54" s="41"/>
      <c r="B54" s="42">
        <f t="shared" ref="B54:G54" si="17">B52-B48</f>
        <v>-8.1632653061205929E-2</v>
      </c>
      <c r="C54" s="42">
        <f t="shared" si="17"/>
        <v>-1.5396825396825307</v>
      </c>
      <c r="D54" s="42">
        <f t="shared" si="17"/>
        <v>-1.8122065727699379</v>
      </c>
      <c r="E54" s="42">
        <f t="shared" si="17"/>
        <v>-1.8364055299539217</v>
      </c>
      <c r="F54" s="42">
        <f t="shared" si="17"/>
        <v>-0.9711246200607917</v>
      </c>
      <c r="G54" s="42">
        <f t="shared" si="17"/>
        <v>-0.658669574700113</v>
      </c>
      <c r="H54" s="42">
        <f t="shared" si="15"/>
        <v>0.3690476190476204</v>
      </c>
      <c r="I54" s="42">
        <f t="shared" si="15"/>
        <v>-0.36657681940698694</v>
      </c>
      <c r="J54" s="41"/>
      <c r="K54" s="41"/>
      <c r="L54" s="41"/>
      <c r="M54" s="41"/>
      <c r="N54" s="41"/>
      <c r="O54" s="42"/>
      <c r="P54" s="42"/>
      <c r="T54" s="42">
        <f t="shared" si="16"/>
        <v>-2.6678141135960232E-2</v>
      </c>
      <c r="U54" s="42">
        <f t="shared" si="16"/>
        <v>-1.7520215633425096E-2</v>
      </c>
      <c r="V54" s="42">
        <f t="shared" si="16"/>
        <v>0</v>
      </c>
      <c r="W54" s="42"/>
      <c r="X54" s="43"/>
      <c r="Y54" s="43"/>
      <c r="Z54" s="43"/>
      <c r="AA54" s="2"/>
      <c r="AB54" s="2"/>
      <c r="AC54" s="2"/>
      <c r="AD54" s="2"/>
      <c r="AH54" s="3"/>
    </row>
    <row r="55" spans="1:36" ht="33.75" customHeight="1" x14ac:dyDescent="0.25">
      <c r="A55" s="41"/>
      <c r="B55" s="287"/>
      <c r="C55" s="287"/>
      <c r="D55" s="287"/>
      <c r="E55" s="287"/>
      <c r="F55" s="287"/>
      <c r="G55" s="287"/>
      <c r="H55" s="41"/>
      <c r="I55" s="41"/>
      <c r="J55" s="41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2"/>
      <c r="X55" s="43"/>
      <c r="Y55" s="43"/>
      <c r="Z55" s="43"/>
      <c r="AA55" s="2"/>
      <c r="AB55" s="2"/>
      <c r="AC55" s="2"/>
      <c r="AD55" s="2"/>
      <c r="AH55" s="3"/>
    </row>
    <row r="56" spans="1:36" ht="33.75" customHeight="1" thickBot="1" x14ac:dyDescent="0.3">
      <c r="A56" s="53"/>
      <c r="B56" s="284"/>
      <c r="C56" s="284"/>
      <c r="D56" s="284"/>
      <c r="E56" s="284"/>
      <c r="F56" s="284"/>
      <c r="G56" s="284"/>
      <c r="H56" s="54"/>
      <c r="I56" s="54"/>
      <c r="J56" s="54"/>
      <c r="K56" s="54"/>
      <c r="L56" s="54"/>
      <c r="M56" s="54"/>
      <c r="N56" s="54"/>
      <c r="O56" s="958"/>
      <c r="P56" s="958"/>
      <c r="Q56" s="283"/>
      <c r="R56" s="283"/>
      <c r="S56" s="283"/>
      <c r="T56" s="54"/>
      <c r="U56" s="55"/>
      <c r="Z56" s="43"/>
      <c r="AA56" s="43"/>
      <c r="AB56" s="43"/>
      <c r="AC56" s="2"/>
      <c r="AD56" s="2"/>
      <c r="AE56" s="2"/>
      <c r="AF56" s="2"/>
      <c r="AH56" s="2"/>
      <c r="AI56" s="2"/>
      <c r="AJ56" s="2"/>
    </row>
    <row r="57" spans="1:36" ht="33.75" customHeight="1" thickBot="1" x14ac:dyDescent="0.3">
      <c r="A57" s="88" t="s">
        <v>19</v>
      </c>
      <c r="B57" s="973" t="s">
        <v>30</v>
      </c>
      <c r="C57" s="974"/>
      <c r="D57" s="974"/>
      <c r="E57" s="974"/>
      <c r="F57" s="975"/>
      <c r="G57" s="85"/>
      <c r="H57" s="56"/>
      <c r="I57" s="56"/>
      <c r="J57" s="56"/>
      <c r="K57" s="56"/>
      <c r="L57" s="56"/>
      <c r="M57" s="56"/>
      <c r="N57" s="56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36" ht="33.75" customHeight="1" thickBot="1" x14ac:dyDescent="0.3">
      <c r="A58" s="80" t="s">
        <v>34</v>
      </c>
      <c r="B58" s="188"/>
      <c r="C58" s="249"/>
      <c r="D58" s="249"/>
      <c r="E58" s="249"/>
      <c r="F58" s="250"/>
      <c r="G58" s="13" t="s">
        <v>9</v>
      </c>
      <c r="N58" s="45"/>
      <c r="O58" s="45"/>
      <c r="P58" s="45"/>
      <c r="Q58" s="45"/>
      <c r="R58" s="57"/>
      <c r="S58" s="57"/>
      <c r="T58" s="57"/>
      <c r="U58" s="57"/>
      <c r="V58" s="45"/>
      <c r="W58" s="45"/>
      <c r="X58" s="58"/>
      <c r="Y58" s="58"/>
      <c r="Z58" s="58"/>
      <c r="AA58" s="2"/>
      <c r="AB58" s="2"/>
      <c r="AC58" s="2"/>
      <c r="AD58" s="2"/>
      <c r="AF58" s="2"/>
      <c r="AG58" s="2"/>
      <c r="AH58" s="2"/>
    </row>
    <row r="59" spans="1:36" ht="33.75" customHeight="1" x14ac:dyDescent="0.25">
      <c r="A59" s="80" t="s">
        <v>10</v>
      </c>
      <c r="B59" s="186">
        <v>1</v>
      </c>
      <c r="C59" s="174">
        <v>2</v>
      </c>
      <c r="D59" s="174">
        <v>3</v>
      </c>
      <c r="E59" s="174">
        <v>4</v>
      </c>
      <c r="F59" s="175">
        <v>5</v>
      </c>
      <c r="G59" s="13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57"/>
      <c r="S59" s="57"/>
      <c r="T59" s="57"/>
      <c r="U59" s="57"/>
      <c r="V59" s="45"/>
      <c r="W59" s="45"/>
      <c r="X59" s="58"/>
      <c r="Y59" s="58"/>
      <c r="Z59" s="58"/>
      <c r="AA59" s="2"/>
      <c r="AB59" s="2"/>
      <c r="AC59" s="2"/>
      <c r="AD59" s="2"/>
      <c r="AE59" s="2"/>
      <c r="AF59" s="2"/>
      <c r="AG59" s="2"/>
      <c r="AH59" s="2"/>
    </row>
    <row r="60" spans="1:36" ht="33.75" customHeight="1" x14ac:dyDescent="0.25">
      <c r="A60" s="171" t="s">
        <v>53</v>
      </c>
      <c r="B60" s="18">
        <v>12.2</v>
      </c>
      <c r="C60" s="19">
        <v>19.8</v>
      </c>
      <c r="D60" s="19">
        <v>28.6</v>
      </c>
      <c r="E60" s="19">
        <v>41.5</v>
      </c>
      <c r="F60" s="20">
        <v>48.7</v>
      </c>
      <c r="G60" s="136">
        <f t="shared" ref="G60:G67" si="18">SUM(B60:F60)</f>
        <v>150.80000000000001</v>
      </c>
      <c r="H60" s="42"/>
      <c r="I60" s="302"/>
      <c r="J60" s="42"/>
      <c r="K60" s="42"/>
      <c r="L60" s="42"/>
      <c r="M60" s="42"/>
      <c r="N60" s="2"/>
      <c r="O60" s="45"/>
      <c r="P60" s="45"/>
      <c r="Q60" s="45"/>
      <c r="R60" s="57"/>
      <c r="S60" s="57"/>
      <c r="T60" s="57"/>
      <c r="U60" s="57"/>
      <c r="V60" s="45"/>
      <c r="W60" s="45"/>
      <c r="X60" s="58"/>
      <c r="Y60" s="58"/>
      <c r="Z60" s="58"/>
      <c r="AA60" s="2"/>
      <c r="AB60" s="2"/>
      <c r="AC60" s="2"/>
      <c r="AD60" s="2"/>
      <c r="AE60" s="2"/>
      <c r="AF60" s="2"/>
      <c r="AG60" s="2"/>
      <c r="AH60" s="2"/>
    </row>
    <row r="61" spans="1:36" ht="33.75" customHeight="1" x14ac:dyDescent="0.25">
      <c r="A61" s="171" t="s">
        <v>24</v>
      </c>
      <c r="B61" s="18">
        <v>12.2</v>
      </c>
      <c r="C61" s="19">
        <v>19.8</v>
      </c>
      <c r="D61" s="19">
        <v>28.6</v>
      </c>
      <c r="E61" s="19">
        <v>41.5</v>
      </c>
      <c r="F61" s="20">
        <v>48.7</v>
      </c>
      <c r="G61" s="136">
        <f t="shared" si="18"/>
        <v>150.80000000000001</v>
      </c>
      <c r="H61" s="42"/>
      <c r="I61" s="302"/>
      <c r="J61" s="42"/>
      <c r="K61" s="42"/>
      <c r="L61" s="42"/>
      <c r="M61" s="42"/>
      <c r="N61" s="2"/>
      <c r="O61" s="45"/>
      <c r="P61" s="45"/>
      <c r="Q61" s="45"/>
      <c r="R61" s="57"/>
      <c r="S61" s="57"/>
      <c r="T61" s="57"/>
      <c r="U61" s="57"/>
      <c r="V61" s="45"/>
      <c r="W61" s="45"/>
      <c r="X61" s="58"/>
      <c r="Y61" s="58"/>
      <c r="Z61" s="58"/>
      <c r="AA61" s="2"/>
      <c r="AB61" s="2"/>
      <c r="AC61" s="2"/>
      <c r="AD61" s="2"/>
      <c r="AE61" s="2"/>
      <c r="AF61" s="2"/>
      <c r="AG61" s="2"/>
      <c r="AH61" s="2"/>
    </row>
    <row r="62" spans="1:36" ht="33.75" customHeight="1" x14ac:dyDescent="0.25">
      <c r="A62" s="171" t="s">
        <v>20</v>
      </c>
      <c r="B62" s="18">
        <v>12.2</v>
      </c>
      <c r="C62" s="19">
        <v>20.8</v>
      </c>
      <c r="D62" s="19">
        <v>30.2</v>
      </c>
      <c r="E62" s="19">
        <v>43.9</v>
      </c>
      <c r="F62" s="20">
        <v>51.5</v>
      </c>
      <c r="G62" s="136">
        <f t="shared" si="18"/>
        <v>158.6</v>
      </c>
      <c r="H62" s="42"/>
      <c r="I62" s="302"/>
      <c r="J62" s="42"/>
      <c r="K62" s="42"/>
      <c r="L62" s="42"/>
      <c r="M62" s="42"/>
      <c r="N62" s="2"/>
      <c r="O62" s="45"/>
      <c r="P62" s="45"/>
      <c r="Q62" s="45"/>
      <c r="R62" s="57"/>
      <c r="S62" s="57"/>
      <c r="T62" s="57"/>
      <c r="U62" s="57"/>
      <c r="V62" s="45"/>
      <c r="W62" s="45"/>
      <c r="X62" s="58"/>
      <c r="Y62" s="58"/>
      <c r="Z62" s="58"/>
      <c r="AA62" s="2"/>
      <c r="AB62" s="2"/>
      <c r="AC62" s="2"/>
      <c r="AD62" s="2"/>
      <c r="AE62" s="2"/>
      <c r="AF62" s="2"/>
      <c r="AG62" s="2"/>
      <c r="AH62" s="2"/>
    </row>
    <row r="63" spans="1:36" ht="33.75" customHeight="1" x14ac:dyDescent="0.25">
      <c r="A63" s="171" t="s">
        <v>28</v>
      </c>
      <c r="B63" s="18">
        <v>12.2</v>
      </c>
      <c r="C63" s="19">
        <v>20.8</v>
      </c>
      <c r="D63" s="19">
        <v>30.3</v>
      </c>
      <c r="E63" s="19">
        <v>43.9</v>
      </c>
      <c r="F63" s="20">
        <v>51.5</v>
      </c>
      <c r="G63" s="136">
        <f t="shared" si="18"/>
        <v>158.69999999999999</v>
      </c>
      <c r="H63" s="42"/>
      <c r="I63" s="302"/>
      <c r="J63" s="42"/>
      <c r="K63" s="42"/>
      <c r="L63" s="42"/>
      <c r="M63" s="42"/>
      <c r="N63" s="2"/>
      <c r="O63" s="45"/>
      <c r="P63" s="45"/>
      <c r="Q63" s="45"/>
      <c r="R63" s="57"/>
      <c r="S63" s="57"/>
      <c r="T63" s="57"/>
      <c r="U63" s="57"/>
      <c r="V63" s="45"/>
      <c r="W63" s="45"/>
      <c r="X63" s="58"/>
      <c r="Y63" s="58"/>
      <c r="Z63" s="58"/>
      <c r="AA63" s="3"/>
      <c r="AB63" s="3"/>
      <c r="AC63" s="2"/>
      <c r="AD63" s="2"/>
      <c r="AE63" s="2"/>
      <c r="AF63" s="2"/>
      <c r="AG63" s="2"/>
      <c r="AH63" s="2"/>
    </row>
    <row r="64" spans="1:36" ht="33.75" customHeight="1" x14ac:dyDescent="0.25">
      <c r="A64" s="171" t="s">
        <v>21</v>
      </c>
      <c r="B64" s="18">
        <v>12.2</v>
      </c>
      <c r="C64" s="19">
        <v>20.9</v>
      </c>
      <c r="D64" s="19">
        <v>30.3</v>
      </c>
      <c r="E64" s="19">
        <v>43.9</v>
      </c>
      <c r="F64" s="20">
        <v>51.5</v>
      </c>
      <c r="G64" s="136">
        <f t="shared" si="18"/>
        <v>158.79999999999998</v>
      </c>
      <c r="H64" s="42"/>
      <c r="I64" s="302"/>
      <c r="J64" s="42"/>
      <c r="K64" s="42"/>
      <c r="L64" s="42"/>
      <c r="M64" s="42"/>
      <c r="N64" s="2"/>
      <c r="O64" s="45"/>
      <c r="P64" s="45"/>
      <c r="Q64" s="45"/>
      <c r="R64" s="57"/>
      <c r="S64" s="57"/>
      <c r="T64" s="57"/>
      <c r="U64" s="57"/>
      <c r="V64" s="45"/>
      <c r="W64" s="45"/>
      <c r="X64" s="58"/>
      <c r="Y64" s="58"/>
      <c r="Z64" s="58"/>
      <c r="AA64" s="3"/>
      <c r="AB64" s="3"/>
      <c r="AC64" s="2"/>
      <c r="AD64" s="2"/>
      <c r="AE64" s="2"/>
      <c r="AF64" s="2"/>
      <c r="AG64" s="2"/>
      <c r="AH64" s="2"/>
    </row>
    <row r="65" spans="1:34" ht="33.75" customHeight="1" x14ac:dyDescent="0.25">
      <c r="A65" s="171" t="s">
        <v>22</v>
      </c>
      <c r="B65" s="18">
        <v>12.3</v>
      </c>
      <c r="C65" s="19">
        <v>20.9</v>
      </c>
      <c r="D65" s="19">
        <v>30.3</v>
      </c>
      <c r="E65" s="19">
        <v>43.9</v>
      </c>
      <c r="F65" s="20">
        <v>51.5</v>
      </c>
      <c r="G65" s="136">
        <f t="shared" si="18"/>
        <v>158.9</v>
      </c>
      <c r="H65" s="42"/>
      <c r="I65" s="302"/>
      <c r="J65" s="42"/>
      <c r="K65" s="42"/>
      <c r="L65" s="42"/>
      <c r="M65" s="4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3"/>
      <c r="AB65" s="3"/>
      <c r="AE65" s="2"/>
      <c r="AF65" s="2"/>
      <c r="AG65" s="2"/>
      <c r="AH65" s="2"/>
    </row>
    <row r="66" spans="1:34" ht="33.75" customHeight="1" thickBot="1" x14ac:dyDescent="0.3">
      <c r="A66" s="171" t="s">
        <v>23</v>
      </c>
      <c r="B66" s="130">
        <v>12.2</v>
      </c>
      <c r="C66" s="124">
        <v>20.9</v>
      </c>
      <c r="D66" s="124">
        <v>30.3</v>
      </c>
      <c r="E66" s="124">
        <v>43.9</v>
      </c>
      <c r="F66" s="132">
        <v>51.5</v>
      </c>
      <c r="G66" s="289">
        <f t="shared" si="18"/>
        <v>158.79999999999998</v>
      </c>
      <c r="H66" s="42"/>
      <c r="I66" s="302"/>
      <c r="J66" s="42"/>
      <c r="K66" s="42"/>
      <c r="L66" s="42"/>
      <c r="M66" s="42"/>
      <c r="N66" s="2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3"/>
      <c r="AB66" s="3"/>
      <c r="AE66" s="2"/>
      <c r="AF66" s="2"/>
      <c r="AG66" s="2"/>
      <c r="AH66" s="2"/>
    </row>
    <row r="67" spans="1:34" ht="33.75" customHeight="1" thickBot="1" x14ac:dyDescent="0.3">
      <c r="A67" s="170" t="s">
        <v>9</v>
      </c>
      <c r="B67" s="297">
        <f t="shared" ref="B67:F67" si="19">SUM(B60:B66)</f>
        <v>85.5</v>
      </c>
      <c r="C67" s="298">
        <f t="shared" si="19"/>
        <v>143.9</v>
      </c>
      <c r="D67" s="298">
        <f t="shared" si="19"/>
        <v>208.60000000000002</v>
      </c>
      <c r="E67" s="298">
        <f t="shared" si="19"/>
        <v>302.5</v>
      </c>
      <c r="F67" s="299">
        <f t="shared" si="19"/>
        <v>354.9</v>
      </c>
      <c r="G67" s="300">
        <f t="shared" si="18"/>
        <v>1095.4000000000001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3"/>
      <c r="AB67" s="3"/>
      <c r="AC67" s="3"/>
      <c r="AD67" s="3"/>
      <c r="AE67" s="2"/>
      <c r="AF67" s="2"/>
      <c r="AG67" s="2"/>
      <c r="AH67" s="2"/>
    </row>
    <row r="68" spans="1:34" ht="33.75" customHeight="1" x14ac:dyDescent="0.25">
      <c r="A68" s="192" t="s">
        <v>11</v>
      </c>
      <c r="B68" s="293">
        <v>128.5</v>
      </c>
      <c r="C68" s="294">
        <v>128.5</v>
      </c>
      <c r="D68" s="294">
        <v>129</v>
      </c>
      <c r="E68" s="294">
        <v>129</v>
      </c>
      <c r="F68" s="295">
        <v>129</v>
      </c>
      <c r="G68" s="296">
        <f>+((G67/G69)/7)*1000</f>
        <v>128.90091786302659</v>
      </c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3"/>
      <c r="AB68" s="3"/>
      <c r="AC68" s="3"/>
      <c r="AD68" s="3"/>
      <c r="AE68" s="2"/>
      <c r="AF68" s="2"/>
      <c r="AG68" s="2"/>
      <c r="AH68" s="2"/>
    </row>
    <row r="69" spans="1:34" ht="33.75" customHeight="1" x14ac:dyDescent="0.25">
      <c r="A69" s="193" t="s">
        <v>12</v>
      </c>
      <c r="B69" s="257">
        <v>95</v>
      </c>
      <c r="C69" s="275">
        <v>160</v>
      </c>
      <c r="D69" s="275">
        <v>231</v>
      </c>
      <c r="E69" s="275">
        <v>335</v>
      </c>
      <c r="F69" s="276">
        <v>393</v>
      </c>
      <c r="G69" s="254">
        <f>SUM(B69:F69)</f>
        <v>1214</v>
      </c>
      <c r="N69" s="59"/>
      <c r="R69" s="3"/>
      <c r="S69" s="3"/>
      <c r="T69" s="3"/>
      <c r="U69" s="3"/>
      <c r="V69" s="3"/>
      <c r="W69" s="3"/>
    </row>
    <row r="70" spans="1:34" ht="33.75" customHeight="1" x14ac:dyDescent="0.25">
      <c r="A70" s="194" t="s">
        <v>13</v>
      </c>
      <c r="B70" s="30">
        <f>((((B68*7)*B69)/1000)-(B60+B61))/5</f>
        <v>12.2105</v>
      </c>
      <c r="C70" s="31">
        <f t="shared" ref="C70:F70" si="20">((((C68*7)*C69)/1000)-(C60+C61))/5</f>
        <v>20.863999999999997</v>
      </c>
      <c r="D70" s="31">
        <f t="shared" si="20"/>
        <v>30.278599999999994</v>
      </c>
      <c r="E70" s="31">
        <f t="shared" si="20"/>
        <v>43.900999999999996</v>
      </c>
      <c r="F70" s="32">
        <f t="shared" si="20"/>
        <v>51.49580000000001</v>
      </c>
      <c r="G70" s="139">
        <f>((G67*1000)/G69)/7</f>
        <v>128.90091786302659</v>
      </c>
      <c r="R70" s="3"/>
      <c r="S70" s="3"/>
      <c r="T70" s="3"/>
      <c r="U70" s="3"/>
      <c r="V70" s="3"/>
      <c r="W70" s="3"/>
    </row>
    <row r="71" spans="1:34" ht="33.75" customHeight="1" x14ac:dyDescent="0.25">
      <c r="A71" s="185" t="s">
        <v>14</v>
      </c>
      <c r="B71" s="279">
        <f t="shared" ref="B71:F71" si="21">((B69*B68)*7)/1000</f>
        <v>85.452500000000001</v>
      </c>
      <c r="C71" s="280">
        <f t="shared" si="21"/>
        <v>143.91999999999999</v>
      </c>
      <c r="D71" s="280">
        <f t="shared" si="21"/>
        <v>208.59299999999999</v>
      </c>
      <c r="E71" s="280">
        <f t="shared" si="21"/>
        <v>302.505</v>
      </c>
      <c r="F71" s="282">
        <f t="shared" si="21"/>
        <v>354.87900000000002</v>
      </c>
      <c r="G71" s="112"/>
      <c r="H71" s="41"/>
      <c r="I71" s="41"/>
      <c r="J71" s="41"/>
      <c r="K71" s="41"/>
      <c r="L71" s="41"/>
      <c r="M71" s="41"/>
      <c r="W71" s="3"/>
    </row>
    <row r="72" spans="1:34" ht="33.75" customHeight="1" thickBot="1" x14ac:dyDescent="0.3">
      <c r="A72" s="195" t="s">
        <v>15</v>
      </c>
      <c r="B72" s="37">
        <f t="shared" ref="B72:F72" si="22">+(B67/B69)/7*1000</f>
        <v>128.57142857142858</v>
      </c>
      <c r="C72" s="38">
        <f t="shared" si="22"/>
        <v>128.48214285714286</v>
      </c>
      <c r="D72" s="38">
        <f t="shared" si="22"/>
        <v>129.00432900432904</v>
      </c>
      <c r="E72" s="38">
        <f t="shared" si="22"/>
        <v>128.99786780383795</v>
      </c>
      <c r="F72" s="39">
        <f t="shared" si="22"/>
        <v>129.00763358778624</v>
      </c>
      <c r="G72" s="40"/>
      <c r="W72" s="3"/>
    </row>
    <row r="73" spans="1:34" ht="33.75" customHeight="1" x14ac:dyDescent="0.25">
      <c r="B73" s="43">
        <f>B71-B67</f>
        <v>-4.7499999999999432E-2</v>
      </c>
      <c r="C73" s="43">
        <f t="shared" ref="C73:F73" si="23">C71-C67</f>
        <v>1.999999999998181E-2</v>
      </c>
      <c r="D73" s="43">
        <f t="shared" si="23"/>
        <v>-7.0000000000334239E-3</v>
      </c>
      <c r="E73" s="43">
        <f t="shared" si="23"/>
        <v>4.9999999999954525E-3</v>
      </c>
      <c r="F73" s="43">
        <f t="shared" si="23"/>
        <v>-2.0999999999958163E-2</v>
      </c>
    </row>
    <row r="74" spans="1:34" ht="33.75" customHeight="1" x14ac:dyDescent="0.25">
      <c r="B74" s="42">
        <f t="shared" ref="B74:F74" si="24">B72-B68</f>
        <v>7.1428571428583609E-2</v>
      </c>
      <c r="C74" s="42">
        <f t="shared" si="24"/>
        <v>-1.7857142857138797E-2</v>
      </c>
      <c r="D74" s="42">
        <f t="shared" si="24"/>
        <v>4.329004329036934E-3</v>
      </c>
      <c r="E74" s="42">
        <f t="shared" si="24"/>
        <v>-2.132196162051514E-3</v>
      </c>
      <c r="F74" s="42">
        <f t="shared" si="24"/>
        <v>7.6335877862447887E-3</v>
      </c>
      <c r="G74" s="45"/>
      <c r="H74" s="45"/>
      <c r="I74" s="45"/>
      <c r="J74" s="45"/>
      <c r="K74" s="45"/>
      <c r="L74" s="45"/>
      <c r="M74" s="45"/>
      <c r="N74" s="52"/>
    </row>
    <row r="75" spans="1:34" ht="33.75" customHeight="1" x14ac:dyDescent="0.25">
      <c r="B75" s="287"/>
      <c r="C75" s="287"/>
      <c r="D75" s="287"/>
      <c r="E75" s="287"/>
      <c r="F75" s="287"/>
    </row>
    <row r="76" spans="1:34" ht="33.75" customHeight="1" x14ac:dyDescent="0.25">
      <c r="A76" s="45"/>
      <c r="B76" s="283"/>
      <c r="C76" s="283"/>
      <c r="D76" s="283"/>
      <c r="E76" s="283"/>
      <c r="F76" s="283"/>
      <c r="G76" s="58"/>
      <c r="H76" s="45"/>
      <c r="I76" s="45"/>
      <c r="J76" s="45"/>
      <c r="K76" s="45"/>
      <c r="L76" s="45"/>
      <c r="M76" s="45"/>
      <c r="N76" s="45"/>
      <c r="O76" s="45"/>
    </row>
    <row r="77" spans="1:34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4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4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4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6">
    <mergeCell ref="A3:C3"/>
    <mergeCell ref="E9:G9"/>
    <mergeCell ref="W9:X9"/>
    <mergeCell ref="O11:P11"/>
    <mergeCell ref="B16:I16"/>
    <mergeCell ref="T16:Y16"/>
    <mergeCell ref="B57:F57"/>
    <mergeCell ref="W37:W38"/>
    <mergeCell ref="J16:N16"/>
    <mergeCell ref="O16:S16"/>
    <mergeCell ref="B37:I37"/>
    <mergeCell ref="J37:J39"/>
    <mergeCell ref="T37:V37"/>
    <mergeCell ref="Q38:R38"/>
    <mergeCell ref="K40:Q41"/>
    <mergeCell ref="O56:P56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K241"/>
  <sheetViews>
    <sheetView workbookViewId="0"/>
  </sheetViews>
  <sheetFormatPr baseColWidth="10" defaultRowHeight="15" x14ac:dyDescent="0.25"/>
  <cols>
    <col min="1" max="1" width="52.42578125" style="14" bestFit="1" customWidth="1"/>
    <col min="2" max="18" width="26.42578125" style="14" customWidth="1"/>
    <col min="19" max="19" width="33.140625" style="14" customWidth="1"/>
    <col min="20" max="24" width="26.42578125" style="14" customWidth="1"/>
    <col min="25" max="25" width="24.85546875" style="14" bestFit="1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 t="s">
        <v>91</v>
      </c>
      <c r="P11" s="965"/>
      <c r="Q11" s="6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69" t="s">
        <v>7</v>
      </c>
      <c r="B16" s="971" t="s">
        <v>8</v>
      </c>
      <c r="C16" s="968"/>
      <c r="D16" s="968"/>
      <c r="E16" s="968"/>
      <c r="F16" s="968"/>
      <c r="G16" s="968"/>
      <c r="H16" s="968"/>
      <c r="I16" s="968"/>
      <c r="J16" s="962" t="s">
        <v>30</v>
      </c>
      <c r="K16" s="963"/>
      <c r="L16" s="963"/>
      <c r="M16" s="963"/>
      <c r="N16" s="964"/>
      <c r="O16" s="971" t="s">
        <v>29</v>
      </c>
      <c r="P16" s="968"/>
      <c r="Q16" s="968"/>
      <c r="R16" s="968"/>
      <c r="S16" s="969"/>
      <c r="T16" s="962" t="s">
        <v>31</v>
      </c>
      <c r="U16" s="963"/>
      <c r="V16" s="963"/>
      <c r="W16" s="963"/>
      <c r="X16" s="963"/>
      <c r="Y16" s="964"/>
    </row>
    <row r="17" spans="1:36" ht="39.950000000000003" customHeight="1" thickBot="1" x14ac:dyDescent="0.3">
      <c r="A17" s="80" t="s">
        <v>34</v>
      </c>
      <c r="B17" s="186">
        <v>4</v>
      </c>
      <c r="C17" s="174">
        <v>3</v>
      </c>
      <c r="D17" s="174">
        <v>2</v>
      </c>
      <c r="E17" s="174">
        <v>1</v>
      </c>
      <c r="F17" s="174">
        <v>1</v>
      </c>
      <c r="G17" s="174">
        <v>2</v>
      </c>
      <c r="H17" s="174">
        <v>3</v>
      </c>
      <c r="I17" s="203">
        <v>4</v>
      </c>
      <c r="J17" s="188">
        <v>1</v>
      </c>
      <c r="K17" s="168">
        <v>2</v>
      </c>
      <c r="L17" s="168">
        <v>3</v>
      </c>
      <c r="M17" s="168">
        <v>4</v>
      </c>
      <c r="N17" s="169">
        <v>5</v>
      </c>
      <c r="O17" s="202">
        <v>1</v>
      </c>
      <c r="P17" s="174">
        <v>2</v>
      </c>
      <c r="Q17" s="174">
        <v>3</v>
      </c>
      <c r="R17" s="174">
        <v>4</v>
      </c>
      <c r="S17" s="203">
        <v>5</v>
      </c>
      <c r="T17" s="186">
        <v>1</v>
      </c>
      <c r="U17" s="174">
        <v>2</v>
      </c>
      <c r="V17" s="174">
        <v>3</v>
      </c>
      <c r="W17" s="174">
        <v>4</v>
      </c>
      <c r="X17" s="175">
        <v>5</v>
      </c>
      <c r="Y17" s="261" t="s">
        <v>9</v>
      </c>
      <c r="AC17" s="15"/>
      <c r="AD17" s="15"/>
    </row>
    <row r="18" spans="1:36" ht="39.950000000000003" customHeight="1" x14ac:dyDescent="0.25">
      <c r="A18" s="80" t="s">
        <v>10</v>
      </c>
      <c r="B18" s="186">
        <v>1</v>
      </c>
      <c r="C18" s="174">
        <v>2</v>
      </c>
      <c r="D18" s="174">
        <v>3</v>
      </c>
      <c r="E18" s="174">
        <v>4</v>
      </c>
      <c r="F18" s="174">
        <v>5</v>
      </c>
      <c r="G18" s="174">
        <v>6</v>
      </c>
      <c r="H18" s="174">
        <v>7</v>
      </c>
      <c r="I18" s="203">
        <v>8</v>
      </c>
      <c r="J18" s="331">
        <v>1</v>
      </c>
      <c r="K18" s="114">
        <v>2</v>
      </c>
      <c r="L18" s="114">
        <v>3</v>
      </c>
      <c r="M18" s="114">
        <v>4</v>
      </c>
      <c r="N18" s="351" t="s">
        <v>88</v>
      </c>
      <c r="O18" s="202">
        <v>1</v>
      </c>
      <c r="P18" s="174">
        <v>2</v>
      </c>
      <c r="Q18" s="174">
        <v>3</v>
      </c>
      <c r="R18" s="174">
        <v>4</v>
      </c>
      <c r="S18" s="203">
        <v>5</v>
      </c>
      <c r="T18" s="186">
        <v>1</v>
      </c>
      <c r="U18" s="174">
        <v>2</v>
      </c>
      <c r="V18" s="174">
        <v>3</v>
      </c>
      <c r="W18" s="174">
        <v>4</v>
      </c>
      <c r="X18" s="175">
        <v>5</v>
      </c>
      <c r="Y18" s="126"/>
      <c r="AC18" s="2"/>
      <c r="AD18" s="15"/>
    </row>
    <row r="19" spans="1:36" ht="39.950000000000003" customHeight="1" x14ac:dyDescent="0.25">
      <c r="A19" s="171" t="s">
        <v>53</v>
      </c>
      <c r="B19" s="18">
        <v>42.7</v>
      </c>
      <c r="C19" s="19">
        <v>90.6</v>
      </c>
      <c r="D19" s="19">
        <v>71.2</v>
      </c>
      <c r="E19" s="19">
        <v>26.3</v>
      </c>
      <c r="F19" s="19">
        <v>43.4</v>
      </c>
      <c r="G19" s="19">
        <v>64.5</v>
      </c>
      <c r="H19" s="19">
        <v>58.3</v>
      </c>
      <c r="I19" s="108">
        <v>43.4</v>
      </c>
      <c r="J19" s="130">
        <v>15.6</v>
      </c>
      <c r="K19" s="124">
        <v>32.799999999999997</v>
      </c>
      <c r="L19" s="124">
        <v>51.8</v>
      </c>
      <c r="M19" s="124">
        <v>43.8</v>
      </c>
      <c r="N19" s="132">
        <v>28.5</v>
      </c>
      <c r="O19" s="61">
        <v>40.5</v>
      </c>
      <c r="P19" s="19">
        <v>42.5</v>
      </c>
      <c r="Q19" s="19">
        <v>79</v>
      </c>
      <c r="R19" s="19">
        <v>75.900000000000006</v>
      </c>
      <c r="S19" s="20">
        <v>36</v>
      </c>
      <c r="T19" s="18">
        <v>34.5</v>
      </c>
      <c r="U19" s="19">
        <v>55.4</v>
      </c>
      <c r="V19" s="19">
        <v>73.8</v>
      </c>
      <c r="W19" s="19">
        <v>66.400000000000006</v>
      </c>
      <c r="X19" s="20">
        <v>39.299999999999997</v>
      </c>
      <c r="Y19" s="209">
        <f>SUM(B19:X19)</f>
        <v>1156.2</v>
      </c>
      <c r="Z19" s="301"/>
      <c r="AA19" s="302"/>
      <c r="AC19" s="2"/>
      <c r="AD19" s="15"/>
    </row>
    <row r="20" spans="1:36" ht="39.950000000000003" customHeight="1" x14ac:dyDescent="0.25">
      <c r="A20" s="171" t="s">
        <v>24</v>
      </c>
      <c r="B20" s="18">
        <v>42.7</v>
      </c>
      <c r="C20" s="19">
        <v>90.6</v>
      </c>
      <c r="D20" s="19">
        <v>71.2</v>
      </c>
      <c r="E20" s="19">
        <v>26.3</v>
      </c>
      <c r="F20" s="19">
        <v>43.4</v>
      </c>
      <c r="G20" s="19">
        <v>64.5</v>
      </c>
      <c r="H20" s="19">
        <v>58.3</v>
      </c>
      <c r="I20" s="108">
        <v>43.4</v>
      </c>
      <c r="J20" s="130">
        <v>15.6</v>
      </c>
      <c r="K20" s="124">
        <v>32.799999999999997</v>
      </c>
      <c r="L20" s="124">
        <v>51.8</v>
      </c>
      <c r="M20" s="124">
        <v>43.8</v>
      </c>
      <c r="N20" s="132">
        <v>28.5</v>
      </c>
      <c r="O20" s="61">
        <v>40.5</v>
      </c>
      <c r="P20" s="19">
        <v>42.5</v>
      </c>
      <c r="Q20" s="19">
        <v>79</v>
      </c>
      <c r="R20" s="19">
        <v>75.900000000000006</v>
      </c>
      <c r="S20" s="20">
        <v>36</v>
      </c>
      <c r="T20" s="18">
        <v>34.5</v>
      </c>
      <c r="U20" s="19">
        <v>55.4</v>
      </c>
      <c r="V20" s="19">
        <v>73.8</v>
      </c>
      <c r="W20" s="19">
        <v>66.400000000000006</v>
      </c>
      <c r="X20" s="20">
        <v>39.299999999999997</v>
      </c>
      <c r="Y20" s="209">
        <f>SUM(B20:X20)</f>
        <v>1156.2</v>
      </c>
      <c r="Z20" s="301"/>
      <c r="AA20" s="302"/>
      <c r="AC20" s="2"/>
      <c r="AD20" s="15"/>
    </row>
    <row r="21" spans="1:36" ht="39.75" customHeight="1" x14ac:dyDescent="0.25">
      <c r="A21" s="171" t="s">
        <v>20</v>
      </c>
      <c r="B21" s="326">
        <v>44.1</v>
      </c>
      <c r="C21" s="327">
        <v>93.5</v>
      </c>
      <c r="D21" s="327">
        <v>73.3</v>
      </c>
      <c r="E21" s="327">
        <v>27</v>
      </c>
      <c r="F21" s="327">
        <v>44.6</v>
      </c>
      <c r="G21" s="327">
        <v>66.099999999999994</v>
      </c>
      <c r="H21" s="327">
        <v>59.8</v>
      </c>
      <c r="I21" s="328">
        <v>44.6</v>
      </c>
      <c r="J21" s="326">
        <v>24.5</v>
      </c>
      <c r="K21" s="327">
        <v>33.6</v>
      </c>
      <c r="L21" s="327">
        <v>53.2</v>
      </c>
      <c r="M21" s="327">
        <v>45.2</v>
      </c>
      <c r="N21" s="329">
        <v>18.5</v>
      </c>
      <c r="O21" s="330">
        <v>41.5</v>
      </c>
      <c r="P21" s="327">
        <v>43.3</v>
      </c>
      <c r="Q21" s="327">
        <v>81.8</v>
      </c>
      <c r="R21" s="327">
        <v>78.400000000000006</v>
      </c>
      <c r="S21" s="329">
        <v>40.1</v>
      </c>
      <c r="T21" s="326">
        <v>35.700000000000003</v>
      </c>
      <c r="U21" s="327">
        <v>57.1</v>
      </c>
      <c r="V21" s="327">
        <v>76.3</v>
      </c>
      <c r="W21" s="327">
        <v>69.2</v>
      </c>
      <c r="X21" s="329">
        <v>40.5</v>
      </c>
      <c r="Y21" s="209">
        <f>SUM(B21:X21)</f>
        <v>1191.9000000000001</v>
      </c>
      <c r="Z21" s="301"/>
      <c r="AA21" s="302"/>
      <c r="AC21" s="2"/>
      <c r="AD21" s="15"/>
    </row>
    <row r="22" spans="1:36" ht="39.950000000000003" customHeight="1" x14ac:dyDescent="0.25">
      <c r="A22" s="171" t="s">
        <v>28</v>
      </c>
      <c r="B22" s="326">
        <v>44.1</v>
      </c>
      <c r="C22" s="327">
        <v>93.5</v>
      </c>
      <c r="D22" s="327">
        <v>73.3</v>
      </c>
      <c r="E22" s="327">
        <v>27.1</v>
      </c>
      <c r="F22" s="327">
        <v>44.6</v>
      </c>
      <c r="G22" s="327">
        <v>66.099999999999994</v>
      </c>
      <c r="H22" s="327">
        <v>59.8</v>
      </c>
      <c r="I22" s="328">
        <v>44.6</v>
      </c>
      <c r="J22" s="326">
        <v>24.5</v>
      </c>
      <c r="K22" s="327">
        <v>33.700000000000003</v>
      </c>
      <c r="L22" s="327">
        <v>53.3</v>
      </c>
      <c r="M22" s="327">
        <v>45.2</v>
      </c>
      <c r="N22" s="329">
        <v>18.5</v>
      </c>
      <c r="O22" s="330">
        <v>41.6</v>
      </c>
      <c r="P22" s="327">
        <v>43.3</v>
      </c>
      <c r="Q22" s="327">
        <v>81.8</v>
      </c>
      <c r="R22" s="327">
        <v>78.400000000000006</v>
      </c>
      <c r="S22" s="329">
        <v>40.1</v>
      </c>
      <c r="T22" s="326">
        <v>35.700000000000003</v>
      </c>
      <c r="U22" s="327">
        <v>57.2</v>
      </c>
      <c r="V22" s="327">
        <v>76.3</v>
      </c>
      <c r="W22" s="327">
        <v>69.2</v>
      </c>
      <c r="X22" s="329">
        <v>40.5</v>
      </c>
      <c r="Y22" s="209">
        <f t="shared" ref="Y22:Y25" si="0">SUM(B22:X22)</f>
        <v>1192.4000000000001</v>
      </c>
      <c r="Z22" s="301"/>
      <c r="AA22" s="302"/>
      <c r="AC22" s="2"/>
      <c r="AD22" s="15"/>
    </row>
    <row r="23" spans="1:36" ht="39.950000000000003" customHeight="1" x14ac:dyDescent="0.25">
      <c r="A23" s="171" t="s">
        <v>21</v>
      </c>
      <c r="B23" s="326">
        <v>44.2</v>
      </c>
      <c r="C23" s="327">
        <v>93.5</v>
      </c>
      <c r="D23" s="327">
        <v>73.3</v>
      </c>
      <c r="E23" s="327">
        <v>27.1</v>
      </c>
      <c r="F23" s="327">
        <v>44.6</v>
      </c>
      <c r="G23" s="327">
        <v>66.2</v>
      </c>
      <c r="H23" s="327">
        <v>59.9</v>
      </c>
      <c r="I23" s="328">
        <v>44.6</v>
      </c>
      <c r="J23" s="326">
        <v>24.6</v>
      </c>
      <c r="K23" s="327">
        <v>33.700000000000003</v>
      </c>
      <c r="L23" s="327">
        <v>53.3</v>
      </c>
      <c r="M23" s="327">
        <v>45.2</v>
      </c>
      <c r="N23" s="329">
        <v>18.5</v>
      </c>
      <c r="O23" s="330">
        <v>41.6</v>
      </c>
      <c r="P23" s="327">
        <v>43.3</v>
      </c>
      <c r="Q23" s="327">
        <v>81.8</v>
      </c>
      <c r="R23" s="327">
        <v>78.5</v>
      </c>
      <c r="S23" s="329">
        <v>40.1</v>
      </c>
      <c r="T23" s="326">
        <v>35.700000000000003</v>
      </c>
      <c r="U23" s="327">
        <v>57.2</v>
      </c>
      <c r="V23" s="327">
        <v>76.3</v>
      </c>
      <c r="W23" s="327">
        <v>69.2</v>
      </c>
      <c r="X23" s="329">
        <v>40.6</v>
      </c>
      <c r="Y23" s="209">
        <f t="shared" si="0"/>
        <v>1193</v>
      </c>
      <c r="Z23" s="301"/>
      <c r="AA23" s="302"/>
      <c r="AC23" s="2"/>
      <c r="AD23" s="15"/>
    </row>
    <row r="24" spans="1:36" ht="39.950000000000003" customHeight="1" x14ac:dyDescent="0.25">
      <c r="A24" s="171" t="s">
        <v>22</v>
      </c>
      <c r="B24" s="326">
        <v>44.2</v>
      </c>
      <c r="C24" s="327">
        <v>93.5</v>
      </c>
      <c r="D24" s="327">
        <v>73.3</v>
      </c>
      <c r="E24" s="327">
        <v>27.1</v>
      </c>
      <c r="F24" s="327">
        <v>44.7</v>
      </c>
      <c r="G24" s="327">
        <v>66.2</v>
      </c>
      <c r="H24" s="327">
        <v>59.9</v>
      </c>
      <c r="I24" s="328">
        <v>44.6</v>
      </c>
      <c r="J24" s="326">
        <v>24.6</v>
      </c>
      <c r="K24" s="327">
        <v>33.700000000000003</v>
      </c>
      <c r="L24" s="327">
        <v>53.3</v>
      </c>
      <c r="M24" s="327">
        <v>45.2</v>
      </c>
      <c r="N24" s="329">
        <v>18.600000000000001</v>
      </c>
      <c r="O24" s="330">
        <v>41.6</v>
      </c>
      <c r="P24" s="327">
        <v>43.4</v>
      </c>
      <c r="Q24" s="327">
        <v>81.8</v>
      </c>
      <c r="R24" s="327">
        <v>78.5</v>
      </c>
      <c r="S24" s="329">
        <v>40.1</v>
      </c>
      <c r="T24" s="326">
        <v>35.799999999999997</v>
      </c>
      <c r="U24" s="327">
        <v>57.2</v>
      </c>
      <c r="V24" s="327">
        <v>76.400000000000006</v>
      </c>
      <c r="W24" s="327">
        <v>69.2</v>
      </c>
      <c r="X24" s="329">
        <v>40.6</v>
      </c>
      <c r="Y24" s="209">
        <f t="shared" si="0"/>
        <v>1193.5</v>
      </c>
      <c r="Z24" s="301"/>
      <c r="AA24" s="302"/>
      <c r="AC24" s="2"/>
      <c r="AD24" s="15"/>
    </row>
    <row r="25" spans="1:36" ht="39.950000000000003" customHeight="1" thickBot="1" x14ac:dyDescent="0.3">
      <c r="A25" s="285" t="s">
        <v>23</v>
      </c>
      <c r="B25" s="326">
        <v>44.2</v>
      </c>
      <c r="C25" s="327">
        <v>93.5</v>
      </c>
      <c r="D25" s="327">
        <v>73.400000000000006</v>
      </c>
      <c r="E25" s="327">
        <v>27.1</v>
      </c>
      <c r="F25" s="327">
        <v>44.7</v>
      </c>
      <c r="G25" s="327">
        <v>66.2</v>
      </c>
      <c r="H25" s="327">
        <v>59.9</v>
      </c>
      <c r="I25" s="328">
        <v>44.7</v>
      </c>
      <c r="J25" s="326">
        <v>24.6</v>
      </c>
      <c r="K25" s="327">
        <v>33.700000000000003</v>
      </c>
      <c r="L25" s="327">
        <v>53.4</v>
      </c>
      <c r="M25" s="327">
        <v>45.2</v>
      </c>
      <c r="N25" s="329">
        <v>18.600000000000001</v>
      </c>
      <c r="O25" s="330">
        <v>41.7</v>
      </c>
      <c r="P25" s="327">
        <v>43.4</v>
      </c>
      <c r="Q25" s="327">
        <v>81.8</v>
      </c>
      <c r="R25" s="327">
        <v>78.5</v>
      </c>
      <c r="S25" s="329">
        <v>40.200000000000003</v>
      </c>
      <c r="T25" s="326">
        <v>35.799999999999997</v>
      </c>
      <c r="U25" s="327">
        <v>57.2</v>
      </c>
      <c r="V25" s="327">
        <v>76.5</v>
      </c>
      <c r="W25" s="327">
        <v>69.2</v>
      </c>
      <c r="X25" s="329">
        <v>40.6</v>
      </c>
      <c r="Y25" s="376">
        <f t="shared" si="0"/>
        <v>1194.1000000000001</v>
      </c>
      <c r="Z25" s="301"/>
      <c r="AA25" s="302"/>
      <c r="AC25" s="2"/>
    </row>
    <row r="26" spans="1:36" ht="41.45" customHeight="1" x14ac:dyDescent="0.25">
      <c r="A26" s="268" t="s">
        <v>9</v>
      </c>
      <c r="B26" s="131">
        <f>SUM(B19:B25)</f>
        <v>306.2</v>
      </c>
      <c r="C26" s="128">
        <f t="shared" ref="C26:X26" si="1">SUM(C19:C25)</f>
        <v>648.70000000000005</v>
      </c>
      <c r="D26" s="128">
        <f t="shared" si="1"/>
        <v>509</v>
      </c>
      <c r="E26" s="128">
        <f t="shared" si="1"/>
        <v>187.99999999999997</v>
      </c>
      <c r="F26" s="128">
        <f t="shared" si="1"/>
        <v>310</v>
      </c>
      <c r="G26" s="128">
        <f t="shared" si="1"/>
        <v>459.79999999999995</v>
      </c>
      <c r="H26" s="128">
        <f t="shared" si="1"/>
        <v>415.89999999999992</v>
      </c>
      <c r="I26" s="205">
        <f t="shared" si="1"/>
        <v>309.89999999999998</v>
      </c>
      <c r="J26" s="131">
        <f t="shared" si="1"/>
        <v>154</v>
      </c>
      <c r="K26" s="128">
        <f t="shared" si="1"/>
        <v>233.99999999999994</v>
      </c>
      <c r="L26" s="128">
        <f t="shared" si="1"/>
        <v>370.1</v>
      </c>
      <c r="M26" s="128">
        <f t="shared" si="1"/>
        <v>313.59999999999997</v>
      </c>
      <c r="N26" s="129">
        <f>SUM(N19:N25)</f>
        <v>149.69999999999999</v>
      </c>
      <c r="O26" s="127">
        <f t="shared" si="1"/>
        <v>289</v>
      </c>
      <c r="P26" s="128">
        <f t="shared" si="1"/>
        <v>301.7</v>
      </c>
      <c r="Q26" s="128">
        <f t="shared" si="1"/>
        <v>567</v>
      </c>
      <c r="R26" s="128">
        <f t="shared" si="1"/>
        <v>544.1</v>
      </c>
      <c r="S26" s="205">
        <f t="shared" si="1"/>
        <v>272.59999999999997</v>
      </c>
      <c r="T26" s="131">
        <f t="shared" si="1"/>
        <v>247.70000000000005</v>
      </c>
      <c r="U26" s="128">
        <f t="shared" si="1"/>
        <v>396.7</v>
      </c>
      <c r="V26" s="128">
        <f t="shared" si="1"/>
        <v>529.4</v>
      </c>
      <c r="W26" s="128">
        <f t="shared" si="1"/>
        <v>478.79999999999995</v>
      </c>
      <c r="X26" s="129">
        <f t="shared" si="1"/>
        <v>281.39999999999998</v>
      </c>
      <c r="Y26" s="375">
        <f>SUM(Y19,Y20,Y21,Y22,Y23,Y24,Y25)</f>
        <v>8277.3000000000011</v>
      </c>
      <c r="Z26" s="301"/>
    </row>
    <row r="27" spans="1:36" s="2" customFormat="1" ht="36.75" customHeight="1" x14ac:dyDescent="0.25">
      <c r="A27" s="192" t="s">
        <v>11</v>
      </c>
      <c r="B27" s="23">
        <v>119.5</v>
      </c>
      <c r="C27" s="24">
        <v>120.5</v>
      </c>
      <c r="D27" s="24">
        <v>124.5</v>
      </c>
      <c r="E27" s="24">
        <v>125.5</v>
      </c>
      <c r="F27" s="24">
        <v>123</v>
      </c>
      <c r="G27" s="24">
        <v>123</v>
      </c>
      <c r="H27" s="24">
        <v>121.5</v>
      </c>
      <c r="I27" s="228">
        <v>119</v>
      </c>
      <c r="J27" s="23">
        <v>125</v>
      </c>
      <c r="K27" s="24">
        <v>122</v>
      </c>
      <c r="L27" s="24">
        <v>121</v>
      </c>
      <c r="M27" s="24">
        <v>118.5</v>
      </c>
      <c r="N27" s="25">
        <v>121.5</v>
      </c>
      <c r="O27" s="63">
        <v>125.5</v>
      </c>
      <c r="P27" s="24">
        <v>123.5</v>
      </c>
      <c r="Q27" s="24">
        <v>120</v>
      </c>
      <c r="R27" s="24">
        <v>120.5</v>
      </c>
      <c r="S27" s="228">
        <v>118</v>
      </c>
      <c r="T27" s="23">
        <v>125.5</v>
      </c>
      <c r="U27" s="24">
        <v>124</v>
      </c>
      <c r="V27" s="24">
        <v>121</v>
      </c>
      <c r="W27" s="24">
        <v>120</v>
      </c>
      <c r="X27" s="25">
        <v>120</v>
      </c>
      <c r="Y27" s="99">
        <f>(((Y26*1000)/7)/Y28)</f>
        <v>121.57839076407862</v>
      </c>
    </row>
    <row r="28" spans="1:36" s="2" customFormat="1" ht="33" customHeight="1" x14ac:dyDescent="0.25">
      <c r="A28" s="193" t="s">
        <v>12</v>
      </c>
      <c r="B28" s="26">
        <v>366</v>
      </c>
      <c r="C28" s="27">
        <v>769</v>
      </c>
      <c r="D28" s="27">
        <v>584</v>
      </c>
      <c r="E28" s="27">
        <v>214</v>
      </c>
      <c r="F28" s="27">
        <v>360</v>
      </c>
      <c r="G28" s="27">
        <v>534</v>
      </c>
      <c r="H28" s="27">
        <v>489</v>
      </c>
      <c r="I28" s="183">
        <v>372</v>
      </c>
      <c r="J28" s="365">
        <v>176</v>
      </c>
      <c r="K28" s="27">
        <v>274</v>
      </c>
      <c r="L28" s="27">
        <v>437</v>
      </c>
      <c r="M28" s="27">
        <v>378</v>
      </c>
      <c r="N28" s="366">
        <v>176</v>
      </c>
      <c r="O28" s="64">
        <v>329</v>
      </c>
      <c r="P28" s="27">
        <v>349</v>
      </c>
      <c r="Q28" s="27">
        <v>675</v>
      </c>
      <c r="R28" s="27">
        <v>645</v>
      </c>
      <c r="S28" s="368">
        <v>330</v>
      </c>
      <c r="T28" s="26">
        <v>282</v>
      </c>
      <c r="U28" s="27">
        <v>457</v>
      </c>
      <c r="V28" s="27">
        <v>625</v>
      </c>
      <c r="W28" s="27">
        <v>570</v>
      </c>
      <c r="X28" s="28">
        <v>335</v>
      </c>
      <c r="Y28" s="29">
        <f>SUM(B28:X28)</f>
        <v>9726</v>
      </c>
    </row>
    <row r="29" spans="1:36" s="2" customFormat="1" ht="33" customHeight="1" x14ac:dyDescent="0.25">
      <c r="A29" s="194" t="s">
        <v>13</v>
      </c>
      <c r="B29" s="30">
        <f>((((B27*7)*B28)/1000)-(B19+B20))/5</f>
        <v>44.151799999999994</v>
      </c>
      <c r="C29" s="30">
        <f t="shared" ref="C29:X29" si="2">((((C27*7)*C28)/1000)-(C19+C20))/5</f>
        <v>93.490300000000019</v>
      </c>
      <c r="D29" s="30">
        <f t="shared" si="2"/>
        <v>73.311200000000014</v>
      </c>
      <c r="E29" s="30">
        <f t="shared" si="2"/>
        <v>27.079799999999999</v>
      </c>
      <c r="F29" s="30">
        <f t="shared" si="2"/>
        <v>44.631999999999991</v>
      </c>
      <c r="G29" s="30">
        <f t="shared" si="2"/>
        <v>66.154799999999994</v>
      </c>
      <c r="H29" s="30">
        <f t="shared" si="2"/>
        <v>59.858899999999991</v>
      </c>
      <c r="I29" s="324">
        <f t="shared" si="2"/>
        <v>44.615199999999994</v>
      </c>
      <c r="J29" s="30">
        <f t="shared" si="2"/>
        <v>24.56</v>
      </c>
      <c r="K29" s="31">
        <f t="shared" si="2"/>
        <v>33.679200000000002</v>
      </c>
      <c r="L29" s="31">
        <f t="shared" si="2"/>
        <v>53.3078</v>
      </c>
      <c r="M29" s="31">
        <f t="shared" si="2"/>
        <v>45.190199999999997</v>
      </c>
      <c r="N29" s="32">
        <f>((((N27*7)*N28)/1000)-(N19+N20))/5</f>
        <v>18.537599999999998</v>
      </c>
      <c r="O29" s="65">
        <f t="shared" si="2"/>
        <v>41.6053</v>
      </c>
      <c r="P29" s="30">
        <f t="shared" si="2"/>
        <v>43.342100000000002</v>
      </c>
      <c r="Q29" s="30">
        <f t="shared" si="2"/>
        <v>81.8</v>
      </c>
      <c r="R29" s="30">
        <f t="shared" si="2"/>
        <v>78.451499999999996</v>
      </c>
      <c r="S29" s="30">
        <f t="shared" si="2"/>
        <v>40.116</v>
      </c>
      <c r="T29" s="30">
        <f t="shared" si="2"/>
        <v>35.747399999999999</v>
      </c>
      <c r="U29" s="30">
        <f t="shared" si="2"/>
        <v>57.175199999999997</v>
      </c>
      <c r="V29" s="30">
        <f t="shared" si="2"/>
        <v>76.35499999999999</v>
      </c>
      <c r="W29" s="30">
        <f t="shared" si="2"/>
        <v>69.2</v>
      </c>
      <c r="X29" s="286">
        <f t="shared" si="2"/>
        <v>40.559999999999995</v>
      </c>
      <c r="Y29" s="33"/>
    </row>
    <row r="30" spans="1:36" ht="33.75" customHeight="1" x14ac:dyDescent="0.25">
      <c r="A30" s="185" t="s">
        <v>14</v>
      </c>
      <c r="B30" s="279">
        <f t="shared" ref="B30:X30" si="3">((B28*B27)*7)/1000</f>
        <v>306.15899999999999</v>
      </c>
      <c r="C30" s="280">
        <f t="shared" si="3"/>
        <v>648.65150000000006</v>
      </c>
      <c r="D30" s="280">
        <f t="shared" si="3"/>
        <v>508.95600000000002</v>
      </c>
      <c r="E30" s="280">
        <f t="shared" si="3"/>
        <v>187.999</v>
      </c>
      <c r="F30" s="280">
        <f t="shared" si="3"/>
        <v>309.95999999999998</v>
      </c>
      <c r="G30" s="280">
        <f t="shared" si="3"/>
        <v>459.774</v>
      </c>
      <c r="H30" s="280">
        <f t="shared" si="3"/>
        <v>415.89449999999999</v>
      </c>
      <c r="I30" s="281">
        <f t="shared" si="3"/>
        <v>309.87599999999998</v>
      </c>
      <c r="J30" s="279">
        <f t="shared" si="3"/>
        <v>154</v>
      </c>
      <c r="K30" s="280">
        <f t="shared" si="3"/>
        <v>233.99600000000001</v>
      </c>
      <c r="L30" s="280">
        <f t="shared" si="3"/>
        <v>370.13900000000001</v>
      </c>
      <c r="M30" s="280">
        <f t="shared" si="3"/>
        <v>313.55099999999999</v>
      </c>
      <c r="N30" s="282">
        <f t="shared" si="3"/>
        <v>149.68799999999999</v>
      </c>
      <c r="O30" s="325">
        <f t="shared" si="3"/>
        <v>289.0265</v>
      </c>
      <c r="P30" s="280">
        <f t="shared" si="3"/>
        <v>301.71050000000002</v>
      </c>
      <c r="Q30" s="280">
        <f t="shared" si="3"/>
        <v>567</v>
      </c>
      <c r="R30" s="280">
        <f t="shared" si="3"/>
        <v>544.0575</v>
      </c>
      <c r="S30" s="281">
        <f t="shared" si="3"/>
        <v>272.58</v>
      </c>
      <c r="T30" s="279">
        <f t="shared" si="3"/>
        <v>247.73699999999999</v>
      </c>
      <c r="U30" s="280">
        <f t="shared" si="3"/>
        <v>396.67599999999999</v>
      </c>
      <c r="V30" s="280">
        <f t="shared" si="3"/>
        <v>529.375</v>
      </c>
      <c r="W30" s="280">
        <f t="shared" si="3"/>
        <v>478.8</v>
      </c>
      <c r="X30" s="282">
        <f t="shared" si="3"/>
        <v>281.39999999999998</v>
      </c>
      <c r="Y30" s="36"/>
    </row>
    <row r="31" spans="1:36" ht="33.75" customHeight="1" thickBot="1" x14ac:dyDescent="0.3">
      <c r="A31" s="195" t="s">
        <v>15</v>
      </c>
      <c r="B31" s="37">
        <f>+(B26/B28)/7*1000</f>
        <v>119.51600312256051</v>
      </c>
      <c r="C31" s="38">
        <f t="shared" ref="C31:X31" si="4">+(C26/C28)/7*1000</f>
        <v>120.50900984581089</v>
      </c>
      <c r="D31" s="38">
        <f t="shared" si="4"/>
        <v>124.51076320939335</v>
      </c>
      <c r="E31" s="38">
        <f t="shared" si="4"/>
        <v>125.5006675567423</v>
      </c>
      <c r="F31" s="38">
        <f t="shared" si="4"/>
        <v>123.01587301587303</v>
      </c>
      <c r="G31" s="38">
        <f t="shared" si="4"/>
        <v>123.00695559122524</v>
      </c>
      <c r="H31" s="38">
        <f t="shared" si="4"/>
        <v>121.50160677768038</v>
      </c>
      <c r="I31" s="207">
        <f t="shared" si="4"/>
        <v>119.00921658986175</v>
      </c>
      <c r="J31" s="37">
        <f t="shared" si="4"/>
        <v>125</v>
      </c>
      <c r="K31" s="38">
        <f t="shared" si="4"/>
        <v>122.00208550573511</v>
      </c>
      <c r="L31" s="38">
        <f t="shared" si="4"/>
        <v>120.9872507355345</v>
      </c>
      <c r="M31" s="38">
        <f t="shared" si="4"/>
        <v>118.51851851851849</v>
      </c>
      <c r="N31" s="39">
        <f>+(N26/N28)/7*1000</f>
        <v>121.50974025974025</v>
      </c>
      <c r="O31" s="67">
        <f t="shared" si="4"/>
        <v>125.48849326964829</v>
      </c>
      <c r="P31" s="38">
        <f t="shared" si="4"/>
        <v>123.49570200573065</v>
      </c>
      <c r="Q31" s="38">
        <f t="shared" si="4"/>
        <v>120</v>
      </c>
      <c r="R31" s="38">
        <f t="shared" si="4"/>
        <v>120.5094130675526</v>
      </c>
      <c r="S31" s="207">
        <f t="shared" si="4"/>
        <v>118.00865800865799</v>
      </c>
      <c r="T31" s="37">
        <f t="shared" si="4"/>
        <v>125.48125633232019</v>
      </c>
      <c r="U31" s="38">
        <f t="shared" si="4"/>
        <v>124.00750234448265</v>
      </c>
      <c r="V31" s="38">
        <f t="shared" si="4"/>
        <v>121.00571428571429</v>
      </c>
      <c r="W31" s="38">
        <f t="shared" si="4"/>
        <v>120</v>
      </c>
      <c r="X31" s="39">
        <f t="shared" si="4"/>
        <v>120</v>
      </c>
      <c r="Y31" s="40"/>
    </row>
    <row r="32" spans="1:36" ht="33.75" customHeight="1" x14ac:dyDescent="0.25">
      <c r="A32" s="41"/>
      <c r="B32" s="42">
        <f>B30-B26</f>
        <v>-4.0999999999996817E-2</v>
      </c>
      <c r="C32" s="42">
        <f t="shared" ref="C32:X33" si="5">C30-C26</f>
        <v>-4.8499999999989996E-2</v>
      </c>
      <c r="D32" s="42">
        <f t="shared" si="5"/>
        <v>-4.399999999998272E-2</v>
      </c>
      <c r="E32" s="42">
        <f t="shared" si="5"/>
        <v>-9.9999999997635314E-4</v>
      </c>
      <c r="F32" s="42">
        <f t="shared" si="5"/>
        <v>-4.0000000000020464E-2</v>
      </c>
      <c r="G32" s="42">
        <f t="shared" si="5"/>
        <v>-2.5999999999953616E-2</v>
      </c>
      <c r="H32" s="42">
        <f t="shared" si="5"/>
        <v>-5.4999999999267857E-3</v>
      </c>
      <c r="I32" s="42">
        <f t="shared" si="5"/>
        <v>-2.4000000000000909E-2</v>
      </c>
      <c r="J32" s="42">
        <f t="shared" si="5"/>
        <v>0</v>
      </c>
      <c r="K32" s="42">
        <f t="shared" si="5"/>
        <v>-3.9999999999338343E-3</v>
      </c>
      <c r="L32" s="42">
        <f t="shared" si="5"/>
        <v>3.8999999999987267E-2</v>
      </c>
      <c r="M32" s="42">
        <f t="shared" si="5"/>
        <v>-4.8999999999978172E-2</v>
      </c>
      <c r="N32" s="42">
        <f t="shared" si="5"/>
        <v>-1.2000000000000455E-2</v>
      </c>
      <c r="O32" s="42">
        <f t="shared" si="5"/>
        <v>2.6499999999998636E-2</v>
      </c>
      <c r="P32" s="42">
        <f t="shared" si="5"/>
        <v>1.0500000000035925E-2</v>
      </c>
      <c r="Q32" s="42">
        <f t="shared" si="5"/>
        <v>0</v>
      </c>
      <c r="R32" s="42">
        <f t="shared" si="5"/>
        <v>-4.250000000001819E-2</v>
      </c>
      <c r="S32" s="42">
        <f t="shared" si="5"/>
        <v>-1.999999999998181E-2</v>
      </c>
      <c r="T32" s="42">
        <f t="shared" si="5"/>
        <v>3.6999999999949296E-2</v>
      </c>
      <c r="U32" s="42">
        <f t="shared" si="5"/>
        <v>-2.4000000000000909E-2</v>
      </c>
      <c r="V32" s="42">
        <f t="shared" si="5"/>
        <v>-2.4999999999977263E-2</v>
      </c>
      <c r="W32" s="42">
        <f t="shared" si="5"/>
        <v>0</v>
      </c>
      <c r="X32" s="42">
        <f t="shared" si="5"/>
        <v>0</v>
      </c>
      <c r="Y32" s="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</row>
    <row r="33" spans="1:37" ht="33.75" customHeight="1" x14ac:dyDescent="0.25">
      <c r="A33" s="41"/>
      <c r="B33" s="42">
        <f>B31-B27</f>
        <v>1.600312256050529E-2</v>
      </c>
      <c r="C33" s="42">
        <f t="shared" si="5"/>
        <v>9.0098458108940349E-3</v>
      </c>
      <c r="D33" s="42">
        <f t="shared" si="5"/>
        <v>1.0763209393346074E-2</v>
      </c>
      <c r="E33" s="42">
        <f t="shared" si="5"/>
        <v>6.6755674230023487E-4</v>
      </c>
      <c r="F33" s="42">
        <f t="shared" si="5"/>
        <v>1.5873015873026475E-2</v>
      </c>
      <c r="G33" s="42">
        <f t="shared" si="5"/>
        <v>6.9555912252354801E-3</v>
      </c>
      <c r="H33" s="42">
        <f t="shared" si="5"/>
        <v>1.6067776803794231E-3</v>
      </c>
      <c r="I33" s="42">
        <f t="shared" si="5"/>
        <v>9.2165898617508901E-3</v>
      </c>
      <c r="J33" s="42">
        <f t="shared" si="5"/>
        <v>0</v>
      </c>
      <c r="K33" s="42">
        <f t="shared" si="5"/>
        <v>2.0855057351099049E-3</v>
      </c>
      <c r="L33" s="42">
        <f t="shared" si="5"/>
        <v>-1.2749264465497845E-2</v>
      </c>
      <c r="M33" s="42">
        <f t="shared" si="5"/>
        <v>1.8518518518490623E-2</v>
      </c>
      <c r="N33" s="42">
        <f t="shared" si="5"/>
        <v>9.7402597402549418E-3</v>
      </c>
      <c r="O33" s="42">
        <f t="shared" si="5"/>
        <v>-1.1506730351712235E-2</v>
      </c>
      <c r="P33" s="42">
        <f t="shared" si="5"/>
        <v>-4.2979942693506246E-3</v>
      </c>
      <c r="Q33" s="42">
        <f t="shared" si="5"/>
        <v>0</v>
      </c>
      <c r="R33" s="42">
        <f t="shared" si="5"/>
        <v>9.413067552600296E-3</v>
      </c>
      <c r="S33" s="42">
        <f t="shared" si="5"/>
        <v>8.6580086579886029E-3</v>
      </c>
      <c r="T33" s="42">
        <f t="shared" si="5"/>
        <v>-1.874366767981428E-2</v>
      </c>
      <c r="U33" s="42">
        <f t="shared" si="5"/>
        <v>7.5023444826456398E-3</v>
      </c>
      <c r="V33" s="42">
        <f t="shared" si="5"/>
        <v>5.7142857142906678E-3</v>
      </c>
      <c r="W33" s="42">
        <f t="shared" si="5"/>
        <v>0</v>
      </c>
      <c r="X33" s="42">
        <f t="shared" si="5"/>
        <v>0</v>
      </c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367">
        <v>126</v>
      </c>
      <c r="K34" s="42"/>
      <c r="L34" s="42"/>
      <c r="M34" s="42"/>
      <c r="N34" s="367">
        <v>244</v>
      </c>
      <c r="O34" s="42"/>
      <c r="P34" s="42"/>
      <c r="Q34" s="42"/>
      <c r="R34" s="42"/>
      <c r="S34" s="367">
        <v>312</v>
      </c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1"/>
    </row>
    <row r="35" spans="1:37" ht="33.75" customHeight="1" x14ac:dyDescent="0.25">
      <c r="A35" s="41"/>
      <c r="B35" s="42"/>
      <c r="C35" s="42"/>
      <c r="D35" s="42"/>
      <c r="E35" s="42"/>
      <c r="F35" s="42"/>
      <c r="G35" s="42"/>
      <c r="H35" s="42"/>
      <c r="I35" s="42"/>
      <c r="J35" s="367">
        <v>50</v>
      </c>
      <c r="K35" s="264"/>
      <c r="L35" s="264"/>
      <c r="M35" s="264"/>
      <c r="N35" s="367">
        <v>68</v>
      </c>
      <c r="O35" s="42"/>
      <c r="P35" s="42"/>
      <c r="Q35" s="42"/>
      <c r="R35" s="42"/>
      <c r="S35" s="367">
        <v>18</v>
      </c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1"/>
    </row>
    <row r="36" spans="1:37" s="2" customFormat="1" ht="33.75" customHeight="1" thickBot="1" x14ac:dyDescent="0.3">
      <c r="B36" s="43"/>
      <c r="C36" s="350"/>
      <c r="D36" s="350"/>
      <c r="E36" s="350"/>
      <c r="F36" s="350"/>
      <c r="G36" s="350"/>
      <c r="H36" s="318"/>
      <c r="I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3"/>
    </row>
    <row r="37" spans="1:37" ht="33.75" customHeight="1" thickBot="1" x14ac:dyDescent="0.3">
      <c r="A37" s="69" t="s">
        <v>16</v>
      </c>
      <c r="B37" s="980" t="s">
        <v>17</v>
      </c>
      <c r="C37" s="972"/>
      <c r="D37" s="972"/>
      <c r="E37" s="972"/>
      <c r="F37" s="972"/>
      <c r="G37" s="972"/>
      <c r="H37" s="972"/>
      <c r="I37" s="972"/>
      <c r="J37" s="977" t="s">
        <v>9</v>
      </c>
      <c r="K37" s="47"/>
      <c r="R37" s="44"/>
      <c r="S37" s="88" t="s">
        <v>18</v>
      </c>
      <c r="T37" s="980" t="s">
        <v>17</v>
      </c>
      <c r="U37" s="972"/>
      <c r="V37" s="972"/>
      <c r="W37" s="990"/>
      <c r="X37" s="977" t="s">
        <v>9</v>
      </c>
      <c r="Y37" s="269"/>
      <c r="AA37" s="45"/>
      <c r="AB37" s="45"/>
      <c r="AC37" s="46"/>
      <c r="AD37" s="3"/>
      <c r="AE37" s="45"/>
      <c r="AF37" s="45"/>
      <c r="AG37" s="45"/>
      <c r="AH37" s="3"/>
    </row>
    <row r="38" spans="1:37" ht="33.75" customHeight="1" thickBot="1" x14ac:dyDescent="0.3">
      <c r="A38" s="170" t="s">
        <v>34</v>
      </c>
      <c r="B38" s="141"/>
      <c r="C38" s="118"/>
      <c r="D38" s="118"/>
      <c r="E38" s="118"/>
      <c r="F38" s="118"/>
      <c r="G38" s="118"/>
      <c r="H38" s="118"/>
      <c r="I38" s="121"/>
      <c r="J38" s="985"/>
      <c r="K38" s="47"/>
      <c r="L38" s="47"/>
      <c r="M38" s="47"/>
      <c r="N38" s="47"/>
      <c r="O38" s="47"/>
      <c r="P38" s="47"/>
      <c r="Q38" s="970"/>
      <c r="R38" s="976"/>
      <c r="S38" s="353" t="s">
        <v>33</v>
      </c>
      <c r="T38" s="141">
        <v>1</v>
      </c>
      <c r="U38" s="118">
        <v>2</v>
      </c>
      <c r="V38" s="118">
        <v>3</v>
      </c>
      <c r="W38" s="119" t="s">
        <v>92</v>
      </c>
      <c r="X38" s="979"/>
      <c r="Y38" s="2"/>
      <c r="AA38" s="47"/>
      <c r="AB38" s="47"/>
      <c r="AC38" s="3"/>
      <c r="AD38" s="46"/>
      <c r="AE38" s="3"/>
      <c r="AF38" s="45"/>
      <c r="AG38" s="45"/>
      <c r="AH38" s="45"/>
    </row>
    <row r="39" spans="1:37" ht="33.75" customHeight="1" thickBot="1" x14ac:dyDescent="0.3">
      <c r="A39" s="170" t="s">
        <v>10</v>
      </c>
      <c r="B39" s="11">
        <v>1</v>
      </c>
      <c r="C39" s="16">
        <v>2</v>
      </c>
      <c r="D39" s="16">
        <v>3</v>
      </c>
      <c r="E39" s="16">
        <v>4</v>
      </c>
      <c r="F39" s="16">
        <v>5</v>
      </c>
      <c r="G39" s="16">
        <v>6</v>
      </c>
      <c r="H39" s="16" t="s">
        <v>82</v>
      </c>
      <c r="I39" s="352" t="s">
        <v>83</v>
      </c>
      <c r="J39" s="984"/>
      <c r="K39" s="47"/>
      <c r="L39" s="47"/>
      <c r="M39" s="47"/>
      <c r="N39" s="47"/>
      <c r="O39" s="47"/>
      <c r="P39" s="47"/>
      <c r="Q39" s="144"/>
      <c r="R39" s="145"/>
      <c r="S39" s="170" t="s">
        <v>10</v>
      </c>
      <c r="T39" s="11">
        <v>1</v>
      </c>
      <c r="U39" s="16">
        <v>2</v>
      </c>
      <c r="V39" s="16">
        <v>3</v>
      </c>
      <c r="W39" s="363" t="s">
        <v>72</v>
      </c>
      <c r="X39" s="278"/>
      <c r="Y39" s="270"/>
      <c r="AA39" s="47"/>
      <c r="AB39" s="47"/>
      <c r="AC39" s="48"/>
      <c r="AD39" s="48"/>
      <c r="AE39" s="2"/>
      <c r="AF39" s="2"/>
      <c r="AG39" s="2"/>
      <c r="AH39" s="2"/>
    </row>
    <row r="40" spans="1:37" ht="33.75" customHeight="1" x14ac:dyDescent="0.25">
      <c r="A40" s="171" t="s">
        <v>32</v>
      </c>
      <c r="B40" s="130">
        <v>32.9</v>
      </c>
      <c r="C40" s="124">
        <v>83.1</v>
      </c>
      <c r="D40" s="124">
        <v>51.6</v>
      </c>
      <c r="E40" s="124">
        <v>37.1</v>
      </c>
      <c r="F40" s="124">
        <v>81.7</v>
      </c>
      <c r="G40" s="124">
        <v>44.2</v>
      </c>
      <c r="H40" s="124">
        <v>5.6</v>
      </c>
      <c r="I40" s="132">
        <v>6.1</v>
      </c>
      <c r="J40" s="373">
        <f t="shared" ref="J40:J46" si="6">SUM(B40:I40)</f>
        <v>342.3</v>
      </c>
      <c r="K40" s="988" t="s">
        <v>93</v>
      </c>
      <c r="L40" s="989"/>
      <c r="M40" s="989"/>
      <c r="N40" s="989"/>
      <c r="O40" s="364"/>
      <c r="P40" s="364"/>
      <c r="Q40" s="364"/>
      <c r="R40" s="145"/>
      <c r="S40" s="171" t="s">
        <v>53</v>
      </c>
      <c r="T40" s="18">
        <v>9.6999999999999993</v>
      </c>
      <c r="U40" s="19">
        <v>14.9</v>
      </c>
      <c r="V40" s="19">
        <v>7.6</v>
      </c>
      <c r="W40" s="20">
        <v>15.8</v>
      </c>
      <c r="X40" s="98">
        <f>SUM(T40:W40)</f>
        <v>48</v>
      </c>
      <c r="Y40" s="271"/>
      <c r="Z40" s="302"/>
      <c r="AA40" s="2"/>
      <c r="AB40" s="49"/>
      <c r="AC40" s="48"/>
      <c r="AD40" s="48"/>
      <c r="AE40" s="2"/>
      <c r="AF40" s="2"/>
      <c r="AG40" s="2"/>
      <c r="AH40" s="2"/>
    </row>
    <row r="41" spans="1:37" ht="33.75" customHeight="1" x14ac:dyDescent="0.25">
      <c r="A41" s="171" t="s">
        <v>24</v>
      </c>
      <c r="B41" s="130">
        <v>32.9</v>
      </c>
      <c r="C41" s="124">
        <v>83.1</v>
      </c>
      <c r="D41" s="124">
        <v>51.6</v>
      </c>
      <c r="E41" s="124">
        <v>37.1</v>
      </c>
      <c r="F41" s="124">
        <v>81.7</v>
      </c>
      <c r="G41" s="124">
        <v>44.2</v>
      </c>
      <c r="H41" s="124">
        <v>5.6</v>
      </c>
      <c r="I41" s="132">
        <v>6.1</v>
      </c>
      <c r="J41" s="374">
        <f t="shared" si="6"/>
        <v>342.3</v>
      </c>
      <c r="K41" s="988"/>
      <c r="L41" s="989"/>
      <c r="M41" s="989"/>
      <c r="N41" s="989"/>
      <c r="O41" s="364"/>
      <c r="P41" s="364"/>
      <c r="Q41" s="364"/>
      <c r="R41" s="145"/>
      <c r="S41" s="171" t="s">
        <v>24</v>
      </c>
      <c r="T41" s="18">
        <v>9.6999999999999993</v>
      </c>
      <c r="U41" s="19">
        <v>14.9</v>
      </c>
      <c r="V41" s="19">
        <v>7.6</v>
      </c>
      <c r="W41" s="20">
        <v>15.8</v>
      </c>
      <c r="X41" s="98">
        <f>SUM(T41:W41)</f>
        <v>48</v>
      </c>
      <c r="Y41" s="271"/>
      <c r="Z41" s="302"/>
      <c r="AA41" s="2"/>
      <c r="AB41" s="49"/>
      <c r="AC41" s="48"/>
      <c r="AD41" s="48"/>
      <c r="AE41" s="2"/>
      <c r="AF41" s="2"/>
      <c r="AG41" s="2"/>
      <c r="AH41" s="2"/>
    </row>
    <row r="42" spans="1:37" ht="33.75" customHeight="1" x14ac:dyDescent="0.25">
      <c r="A42" s="171" t="s">
        <v>20</v>
      </c>
      <c r="B42" s="18">
        <v>33.700000000000003</v>
      </c>
      <c r="C42" s="19">
        <v>87.6</v>
      </c>
      <c r="D42" s="19">
        <v>54.8</v>
      </c>
      <c r="E42" s="19">
        <v>39.200000000000003</v>
      </c>
      <c r="F42" s="19">
        <v>85.2</v>
      </c>
      <c r="G42" s="19">
        <v>51.9</v>
      </c>
      <c r="H42" s="19">
        <v>5.3</v>
      </c>
      <c r="I42" s="20">
        <v>2.6</v>
      </c>
      <c r="J42" s="374">
        <f t="shared" si="6"/>
        <v>360.3</v>
      </c>
      <c r="K42" s="988"/>
      <c r="L42" s="989"/>
      <c r="M42" s="989"/>
      <c r="N42" s="989"/>
      <c r="O42" s="49"/>
      <c r="P42" s="43"/>
      <c r="Q42" s="2"/>
      <c r="R42" s="145"/>
      <c r="S42" s="171" t="s">
        <v>20</v>
      </c>
      <c r="T42" s="18">
        <v>10.1</v>
      </c>
      <c r="U42" s="19">
        <v>15.4</v>
      </c>
      <c r="V42" s="19">
        <v>7.7</v>
      </c>
      <c r="W42" s="20">
        <v>16</v>
      </c>
      <c r="X42" s="98">
        <f>SUM(T42:W42)</f>
        <v>49.2</v>
      </c>
      <c r="Y42" s="271"/>
      <c r="Z42" s="302"/>
      <c r="AA42" s="2"/>
      <c r="AB42" s="49"/>
      <c r="AC42" s="48"/>
      <c r="AD42" s="48"/>
      <c r="AE42" s="2"/>
      <c r="AF42" s="2"/>
      <c r="AG42" s="2"/>
      <c r="AH42" s="2"/>
    </row>
    <row r="43" spans="1:37" ht="33.75" customHeight="1" x14ac:dyDescent="0.25">
      <c r="A43" s="171" t="s">
        <v>28</v>
      </c>
      <c r="B43" s="18">
        <v>33.700000000000003</v>
      </c>
      <c r="C43" s="19">
        <v>87.6</v>
      </c>
      <c r="D43" s="19">
        <v>54.8</v>
      </c>
      <c r="E43" s="19">
        <v>39.200000000000003</v>
      </c>
      <c r="F43" s="19">
        <v>85.2</v>
      </c>
      <c r="G43" s="19">
        <v>52</v>
      </c>
      <c r="H43" s="19">
        <v>5.4</v>
      </c>
      <c r="I43" s="20">
        <v>2.6</v>
      </c>
      <c r="J43" s="98">
        <f t="shared" si="6"/>
        <v>360.5</v>
      </c>
      <c r="K43" s="988"/>
      <c r="L43" s="989"/>
      <c r="M43" s="989"/>
      <c r="N43" s="989"/>
      <c r="O43" s="49"/>
      <c r="P43" s="144"/>
      <c r="Q43" s="145"/>
      <c r="R43" s="145"/>
      <c r="S43" s="171" t="s">
        <v>28</v>
      </c>
      <c r="T43" s="18">
        <v>10.1</v>
      </c>
      <c r="U43" s="19">
        <v>15.4</v>
      </c>
      <c r="V43" s="19">
        <v>7.7</v>
      </c>
      <c r="W43" s="20">
        <v>16</v>
      </c>
      <c r="X43" s="98">
        <f t="shared" ref="X43:X46" si="7">SUM(T43:W43)</f>
        <v>49.2</v>
      </c>
      <c r="Y43" s="271"/>
      <c r="Z43" s="302"/>
      <c r="AA43" s="2"/>
      <c r="AB43" s="49"/>
      <c r="AC43" s="48"/>
      <c r="AD43" s="48"/>
      <c r="AE43" s="2"/>
      <c r="AF43" s="2"/>
      <c r="AG43" s="2"/>
      <c r="AH43" s="2"/>
    </row>
    <row r="44" spans="1:37" ht="33.75" customHeight="1" x14ac:dyDescent="0.25">
      <c r="A44" s="171" t="s">
        <v>21</v>
      </c>
      <c r="B44" s="18">
        <v>33.700000000000003</v>
      </c>
      <c r="C44" s="19">
        <v>87.6</v>
      </c>
      <c r="D44" s="19">
        <v>54.8</v>
      </c>
      <c r="E44" s="19">
        <v>39.200000000000003</v>
      </c>
      <c r="F44" s="19">
        <v>85.3</v>
      </c>
      <c r="G44" s="19">
        <v>52</v>
      </c>
      <c r="H44" s="19">
        <v>5.4</v>
      </c>
      <c r="I44" s="20">
        <v>2.6</v>
      </c>
      <c r="J44" s="98">
        <f t="shared" si="6"/>
        <v>360.6</v>
      </c>
      <c r="K44" s="988"/>
      <c r="L44" s="989"/>
      <c r="M44" s="989"/>
      <c r="N44" s="989"/>
      <c r="O44" s="49"/>
      <c r="P44" s="144"/>
      <c r="Q44" s="145"/>
      <c r="R44" s="145"/>
      <c r="S44" s="171" t="s">
        <v>21</v>
      </c>
      <c r="T44" s="18">
        <v>10.1</v>
      </c>
      <c r="U44" s="19">
        <v>15.4</v>
      </c>
      <c r="V44" s="19">
        <v>7.7</v>
      </c>
      <c r="W44" s="20">
        <v>16.100000000000001</v>
      </c>
      <c r="X44" s="98">
        <f t="shared" si="7"/>
        <v>49.300000000000004</v>
      </c>
      <c r="Y44" s="271"/>
      <c r="Z44" s="302"/>
      <c r="AA44" s="2"/>
      <c r="AB44" s="49"/>
      <c r="AC44" s="48"/>
      <c r="AD44" s="48"/>
      <c r="AE44" s="2"/>
      <c r="AF44" s="2"/>
      <c r="AG44" s="2"/>
      <c r="AH44" s="2"/>
    </row>
    <row r="45" spans="1:37" ht="33.75" customHeight="1" x14ac:dyDescent="0.25">
      <c r="A45" s="171" t="s">
        <v>22</v>
      </c>
      <c r="B45" s="18">
        <v>33.700000000000003</v>
      </c>
      <c r="C45" s="19">
        <v>87.7</v>
      </c>
      <c r="D45" s="19">
        <v>54.8</v>
      </c>
      <c r="E45" s="19">
        <v>39.200000000000003</v>
      </c>
      <c r="F45" s="19">
        <v>85.3</v>
      </c>
      <c r="G45" s="19">
        <v>52</v>
      </c>
      <c r="H45" s="19">
        <v>5.4</v>
      </c>
      <c r="I45" s="20">
        <v>2.6</v>
      </c>
      <c r="J45" s="98">
        <f t="shared" si="6"/>
        <v>360.7</v>
      </c>
      <c r="K45" s="988"/>
      <c r="L45" s="989"/>
      <c r="M45" s="989"/>
      <c r="N45" s="989"/>
      <c r="O45" s="49"/>
      <c r="P45" s="144"/>
      <c r="Q45" s="145"/>
      <c r="R45" s="145"/>
      <c r="S45" s="171" t="s">
        <v>22</v>
      </c>
      <c r="T45" s="18">
        <v>10.1</v>
      </c>
      <c r="U45" s="19">
        <v>15.4</v>
      </c>
      <c r="V45" s="19">
        <v>7.8</v>
      </c>
      <c r="W45" s="20">
        <v>16.100000000000001</v>
      </c>
      <c r="X45" s="98">
        <f t="shared" si="7"/>
        <v>49.4</v>
      </c>
      <c r="Y45" s="271"/>
      <c r="Z45" s="302"/>
      <c r="AA45" s="2"/>
      <c r="AB45" s="49"/>
      <c r="AC45" s="48"/>
      <c r="AD45" s="48"/>
      <c r="AE45" s="2"/>
      <c r="AF45" s="2"/>
      <c r="AG45" s="2"/>
      <c r="AH45" s="2"/>
    </row>
    <row r="46" spans="1:37" ht="33.75" customHeight="1" thickBot="1" x14ac:dyDescent="0.3">
      <c r="A46" s="285" t="s">
        <v>32</v>
      </c>
      <c r="B46" s="18">
        <v>33.799999999999997</v>
      </c>
      <c r="C46" s="19">
        <v>87.7</v>
      </c>
      <c r="D46" s="19">
        <v>54.8</v>
      </c>
      <c r="E46" s="19">
        <v>39.200000000000003</v>
      </c>
      <c r="F46" s="19">
        <v>85.3</v>
      </c>
      <c r="G46" s="19">
        <v>52</v>
      </c>
      <c r="H46" s="19">
        <v>5.4</v>
      </c>
      <c r="I46" s="20">
        <v>2.6</v>
      </c>
      <c r="J46" s="372">
        <f t="shared" si="6"/>
        <v>360.8</v>
      </c>
      <c r="K46" s="988"/>
      <c r="L46" s="989"/>
      <c r="M46" s="989"/>
      <c r="N46" s="989"/>
      <c r="O46" s="49"/>
      <c r="P46" s="144"/>
      <c r="Q46" s="145"/>
      <c r="R46" s="145"/>
      <c r="S46" s="285" t="s">
        <v>23</v>
      </c>
      <c r="T46" s="18">
        <v>10.199999999999999</v>
      </c>
      <c r="U46" s="19">
        <v>15.4</v>
      </c>
      <c r="V46" s="19">
        <v>7.8</v>
      </c>
      <c r="W46" s="20">
        <v>16.100000000000001</v>
      </c>
      <c r="X46" s="98">
        <f t="shared" si="7"/>
        <v>49.5</v>
      </c>
      <c r="Y46" s="271"/>
      <c r="Z46" s="302"/>
      <c r="AA46" s="2"/>
      <c r="AB46" s="49"/>
      <c r="AC46" s="48"/>
      <c r="AD46" s="48"/>
      <c r="AE46" s="48"/>
      <c r="AF46" s="48"/>
      <c r="AG46" s="2"/>
      <c r="AH46" s="2"/>
      <c r="AI46" s="2"/>
      <c r="AJ46" s="2"/>
    </row>
    <row r="47" spans="1:37" ht="33.75" customHeight="1" x14ac:dyDescent="0.25">
      <c r="A47" s="290" t="s">
        <v>9</v>
      </c>
      <c r="B47" s="131">
        <f>SUM(B40:B46)</f>
        <v>234.39999999999998</v>
      </c>
      <c r="C47" s="128">
        <f t="shared" ref="C47:I47" si="8">SUM(C40:C46)</f>
        <v>604.40000000000009</v>
      </c>
      <c r="D47" s="128">
        <f t="shared" si="8"/>
        <v>377.20000000000005</v>
      </c>
      <c r="E47" s="128">
        <f t="shared" si="8"/>
        <v>270.2</v>
      </c>
      <c r="F47" s="128">
        <f t="shared" si="8"/>
        <v>589.70000000000005</v>
      </c>
      <c r="G47" s="128">
        <f t="shared" si="8"/>
        <v>348.3</v>
      </c>
      <c r="H47" s="128">
        <f t="shared" si="8"/>
        <v>38.099999999999994</v>
      </c>
      <c r="I47" s="129">
        <f t="shared" si="8"/>
        <v>25.200000000000003</v>
      </c>
      <c r="J47" s="265">
        <f>SUM(B47:I47)</f>
        <v>2487.5</v>
      </c>
      <c r="K47" s="988"/>
      <c r="L47" s="989"/>
      <c r="M47" s="989"/>
      <c r="N47" s="989"/>
      <c r="O47" s="49"/>
      <c r="P47" s="49"/>
      <c r="Q47" s="49"/>
      <c r="S47" s="290" t="s">
        <v>9</v>
      </c>
      <c r="T47" s="133">
        <f>SUM(T40:T46)</f>
        <v>70</v>
      </c>
      <c r="U47" s="134">
        <f>SUM(U40:U46)</f>
        <v>106.80000000000001</v>
      </c>
      <c r="V47" s="134">
        <f>SUM(V40:V46)</f>
        <v>53.899999999999991</v>
      </c>
      <c r="W47" s="134">
        <f>SUM(W40:W46)</f>
        <v>111.9</v>
      </c>
      <c r="X47" s="265">
        <f>SUM(X40,X41,X42,X43,X44,X45,X46)</f>
        <v>342.59999999999997</v>
      </c>
      <c r="Y47" s="272"/>
      <c r="AA47" s="49"/>
      <c r="AB47" s="49"/>
      <c r="AC47" s="2"/>
      <c r="AD47" s="2"/>
      <c r="AE47" s="2"/>
      <c r="AF47" s="2"/>
      <c r="AG47" s="2"/>
      <c r="AH47" s="2"/>
      <c r="AI47" s="2"/>
      <c r="AJ47" s="2"/>
    </row>
    <row r="48" spans="1:37" ht="33.75" customHeight="1" x14ac:dyDescent="0.25">
      <c r="A48" s="192" t="s">
        <v>11</v>
      </c>
      <c r="B48" s="23">
        <v>120</v>
      </c>
      <c r="C48" s="24">
        <v>123</v>
      </c>
      <c r="D48" s="24">
        <v>126.5</v>
      </c>
      <c r="E48" s="24">
        <v>124.5</v>
      </c>
      <c r="F48" s="24">
        <v>119.5</v>
      </c>
      <c r="G48" s="24">
        <v>116</v>
      </c>
      <c r="H48" s="24">
        <v>126.5</v>
      </c>
      <c r="I48" s="25">
        <v>122</v>
      </c>
      <c r="J48" s="137">
        <f>+((J47/J49)/7)*1000</f>
        <v>121.90639549130115</v>
      </c>
      <c r="K48" s="988"/>
      <c r="L48" s="989"/>
      <c r="M48" s="989"/>
      <c r="N48" s="989"/>
      <c r="O48" s="50"/>
      <c r="P48" s="50"/>
      <c r="Q48" s="49"/>
      <c r="S48" s="273" t="s">
        <v>11</v>
      </c>
      <c r="T48" s="23">
        <v>131.5</v>
      </c>
      <c r="U48" s="24">
        <v>131.5</v>
      </c>
      <c r="V48" s="24">
        <v>130.5</v>
      </c>
      <c r="W48" s="155">
        <v>131</v>
      </c>
      <c r="X48" s="137">
        <f>+((X47/X49)/7)*1000</f>
        <v>131.21409421677515</v>
      </c>
      <c r="Y48" s="2"/>
      <c r="AA48" s="50"/>
      <c r="AB48" s="50"/>
    </row>
    <row r="49" spans="1:36" ht="33.75" customHeight="1" x14ac:dyDescent="0.25">
      <c r="A49" s="193" t="s">
        <v>12</v>
      </c>
      <c r="B49" s="26">
        <v>279</v>
      </c>
      <c r="C49" s="27">
        <v>702</v>
      </c>
      <c r="D49" s="27">
        <v>426</v>
      </c>
      <c r="E49" s="27">
        <v>310</v>
      </c>
      <c r="F49" s="27">
        <v>705</v>
      </c>
      <c r="G49" s="369">
        <v>429</v>
      </c>
      <c r="H49" s="369">
        <v>43</v>
      </c>
      <c r="I49" s="366">
        <v>21</v>
      </c>
      <c r="J49" s="371">
        <f>SUM(B49:I49)</f>
        <v>2915</v>
      </c>
      <c r="K49" s="988"/>
      <c r="L49" s="989"/>
      <c r="M49" s="989"/>
      <c r="N49" s="989"/>
      <c r="O49" s="198"/>
      <c r="P49" s="198"/>
      <c r="Q49" s="49"/>
      <c r="R49" s="51"/>
      <c r="S49" s="193" t="s">
        <v>12</v>
      </c>
      <c r="T49" s="257">
        <v>76</v>
      </c>
      <c r="U49" s="275">
        <v>116</v>
      </c>
      <c r="V49" s="275">
        <v>59</v>
      </c>
      <c r="W49" s="258">
        <v>122</v>
      </c>
      <c r="X49" s="254">
        <f>SUM(T49:W49)</f>
        <v>373</v>
      </c>
      <c r="Y49" s="2"/>
      <c r="AA49" s="52"/>
      <c r="AB49" s="52"/>
    </row>
    <row r="50" spans="1:36" ht="33.75" customHeight="1" x14ac:dyDescent="0.25">
      <c r="A50" s="194" t="s">
        <v>13</v>
      </c>
      <c r="B50" s="30">
        <f>((((B48*7)*B49)/1000)-(B40+B41))/5</f>
        <v>33.712000000000003</v>
      </c>
      <c r="C50" s="31">
        <f t="shared" ref="C50:I50" si="9">((((C48*7)*C49)/1000)-(C40+C41))/5</f>
        <v>87.644400000000005</v>
      </c>
      <c r="D50" s="31">
        <f t="shared" si="9"/>
        <v>54.804600000000008</v>
      </c>
      <c r="E50" s="31">
        <f t="shared" si="9"/>
        <v>39.193000000000005</v>
      </c>
      <c r="F50" s="31">
        <f t="shared" si="9"/>
        <v>85.266499999999994</v>
      </c>
      <c r="G50" s="31">
        <f t="shared" si="9"/>
        <v>51.989599999999996</v>
      </c>
      <c r="H50" s="31">
        <f t="shared" si="9"/>
        <v>5.3753000000000011</v>
      </c>
      <c r="I50" s="32">
        <f t="shared" si="9"/>
        <v>1.1468000000000003</v>
      </c>
      <c r="J50" s="139">
        <f>((J47*1000)/J49)/7</f>
        <v>121.90639549130115</v>
      </c>
      <c r="K50" s="988"/>
      <c r="L50" s="989"/>
      <c r="M50" s="989"/>
      <c r="N50" s="989"/>
      <c r="O50" s="199"/>
      <c r="P50" s="199"/>
      <c r="Q50" s="49"/>
      <c r="S50" s="194" t="s">
        <v>13</v>
      </c>
      <c r="T50" s="30">
        <f>((((T48*7)*T49)/1000)-(T40+T41))/5</f>
        <v>10.111599999999999</v>
      </c>
      <c r="U50" s="30">
        <f>((((U48*7)*U49)/1000)-(U40+U41))/5</f>
        <v>15.395600000000002</v>
      </c>
      <c r="V50" s="30">
        <f>((((V48*7)*V49)/1000)-(V40+V41))/5</f>
        <v>7.7393000000000001</v>
      </c>
      <c r="W50" s="30">
        <f>((((W48*7)*W49)/1000)-(W40+W41))/5</f>
        <v>16.0548</v>
      </c>
      <c r="X50" s="274">
        <f>((X47*1000)/X49)/7</f>
        <v>131.21409421677515</v>
      </c>
      <c r="Y50" s="43"/>
      <c r="AA50" s="52"/>
      <c r="AB50" s="52"/>
    </row>
    <row r="51" spans="1:36" ht="33.75" customHeight="1" x14ac:dyDescent="0.25">
      <c r="A51" s="185" t="s">
        <v>14</v>
      </c>
      <c r="B51" s="279">
        <f t="shared" ref="B51:I51" si="10">((B49*B48)*7)/1000</f>
        <v>234.36</v>
      </c>
      <c r="C51" s="280">
        <f t="shared" si="10"/>
        <v>604.42200000000003</v>
      </c>
      <c r="D51" s="280">
        <f t="shared" si="10"/>
        <v>377.22300000000001</v>
      </c>
      <c r="E51" s="280">
        <f t="shared" si="10"/>
        <v>270.16500000000002</v>
      </c>
      <c r="F51" s="280">
        <f t="shared" si="10"/>
        <v>589.73249999999996</v>
      </c>
      <c r="G51" s="280">
        <f t="shared" si="10"/>
        <v>348.34800000000001</v>
      </c>
      <c r="H51" s="280">
        <f t="shared" si="10"/>
        <v>38.076500000000003</v>
      </c>
      <c r="I51" s="282">
        <f t="shared" si="10"/>
        <v>17.934000000000001</v>
      </c>
      <c r="J51" s="112"/>
      <c r="K51" s="988"/>
      <c r="L51" s="989"/>
      <c r="M51" s="989"/>
      <c r="N51" s="989"/>
      <c r="O51" s="41"/>
      <c r="P51" s="41"/>
      <c r="Q51" s="49"/>
      <c r="S51" s="185" t="s">
        <v>14</v>
      </c>
      <c r="T51" s="279">
        <f>((T49*T48)*7)/1000</f>
        <v>69.957999999999998</v>
      </c>
      <c r="U51" s="280">
        <f>((U49*U48)*7)/1000</f>
        <v>106.77800000000001</v>
      </c>
      <c r="V51" s="280">
        <f>((V49*V48)*7)/1000</f>
        <v>53.896500000000003</v>
      </c>
      <c r="W51" s="280">
        <f>((W49*W48)*7)/1000</f>
        <v>111.874</v>
      </c>
      <c r="X51" s="36"/>
      <c r="Y51" s="41"/>
    </row>
    <row r="52" spans="1:36" ht="33.75" customHeight="1" thickBot="1" x14ac:dyDescent="0.3">
      <c r="A52" s="195" t="s">
        <v>15</v>
      </c>
      <c r="B52" s="37">
        <f t="shared" ref="B52:I52" si="11">+(B47/B49)/7*1000</f>
        <v>120.02048131080389</v>
      </c>
      <c r="C52" s="38">
        <f t="shared" si="11"/>
        <v>122.995522995523</v>
      </c>
      <c r="D52" s="38">
        <f t="shared" si="11"/>
        <v>126.49228705566735</v>
      </c>
      <c r="E52" s="38">
        <f t="shared" si="11"/>
        <v>124.51612903225806</v>
      </c>
      <c r="F52" s="38">
        <f t="shared" si="11"/>
        <v>119.49341438703141</v>
      </c>
      <c r="G52" s="38">
        <f t="shared" si="11"/>
        <v>115.98401598401598</v>
      </c>
      <c r="H52" s="38">
        <f t="shared" si="11"/>
        <v>126.57807308970098</v>
      </c>
      <c r="I52" s="39">
        <f t="shared" si="11"/>
        <v>171.42857142857144</v>
      </c>
      <c r="J52" s="140"/>
      <c r="K52" s="988"/>
      <c r="L52" s="989"/>
      <c r="M52" s="989"/>
      <c r="N52" s="989"/>
      <c r="O52" s="41"/>
      <c r="P52" s="41"/>
      <c r="Q52" s="49"/>
      <c r="R52" s="41"/>
      <c r="S52" s="195" t="s">
        <v>15</v>
      </c>
      <c r="T52" s="37">
        <f>+(T47/T49)/7*1000</f>
        <v>131.57894736842104</v>
      </c>
      <c r="U52" s="38">
        <f>+(U47/U49)/7*1000</f>
        <v>131.52709359605913</v>
      </c>
      <c r="V52" s="38">
        <f>+(V47/V49)/7*1000</f>
        <v>130.50847457627117</v>
      </c>
      <c r="W52" s="38">
        <f>+(W47/W49)/7*1000</f>
        <v>131.03044496487121</v>
      </c>
      <c r="X52" s="259"/>
      <c r="Y52" s="42"/>
      <c r="AA52" s="42"/>
      <c r="AB52" s="42"/>
    </row>
    <row r="53" spans="1:36" ht="33.75" customHeight="1" x14ac:dyDescent="0.25">
      <c r="A53" s="41"/>
      <c r="B53" s="43">
        <f>B51-B47</f>
        <v>-3.999999999996362E-2</v>
      </c>
      <c r="C53" s="43">
        <f t="shared" ref="C53:I54" si="12">C51-C47</f>
        <v>2.1999999999934516E-2</v>
      </c>
      <c r="D53" s="43">
        <f t="shared" si="12"/>
        <v>2.2999999999967713E-2</v>
      </c>
      <c r="E53" s="43">
        <f t="shared" si="12"/>
        <v>-3.4999999999968168E-2</v>
      </c>
      <c r="F53" s="43">
        <f t="shared" si="12"/>
        <v>3.2499999999913598E-2</v>
      </c>
      <c r="G53" s="43">
        <f t="shared" si="12"/>
        <v>4.8000000000001819E-2</v>
      </c>
      <c r="H53" s="43">
        <f t="shared" si="12"/>
        <v>-2.3499999999991417E-2</v>
      </c>
      <c r="I53" s="43">
        <f t="shared" si="12"/>
        <v>-7.2660000000000018</v>
      </c>
      <c r="J53" s="41"/>
      <c r="K53" s="41"/>
      <c r="L53" s="41"/>
      <c r="M53" s="41"/>
      <c r="N53" s="41"/>
      <c r="O53" s="41"/>
      <c r="P53" s="42"/>
      <c r="T53" s="43">
        <f t="shared" ref="T53:V54" si="13">T51-T47</f>
        <v>-4.2000000000001592E-2</v>
      </c>
      <c r="U53" s="42">
        <f t="shared" si="13"/>
        <v>-2.2000000000005571E-2</v>
      </c>
      <c r="V53" s="42">
        <f t="shared" si="13"/>
        <v>-3.4999999999882903E-3</v>
      </c>
      <c r="W53" s="42">
        <f t="shared" ref="W53" si="14">W51-W47</f>
        <v>-2.6000000000010459E-2</v>
      </c>
      <c r="X53" s="42"/>
      <c r="Y53" s="42"/>
      <c r="Z53" s="42"/>
      <c r="AA53" s="2"/>
      <c r="AB53" s="2"/>
      <c r="AC53" s="2"/>
      <c r="AD53" s="2"/>
      <c r="AE53" s="2"/>
    </row>
    <row r="54" spans="1:36" ht="33.75" customHeight="1" x14ac:dyDescent="0.25">
      <c r="A54" s="41"/>
      <c r="B54" s="42">
        <f t="shared" ref="B54:G54" si="15">B52-B48</f>
        <v>2.0481310803887709E-2</v>
      </c>
      <c r="C54" s="42">
        <f t="shared" si="15"/>
        <v>-4.4770044769961714E-3</v>
      </c>
      <c r="D54" s="42">
        <f t="shared" si="15"/>
        <v>-7.7129443326526825E-3</v>
      </c>
      <c r="E54" s="42">
        <f t="shared" si="15"/>
        <v>1.6129032258064058E-2</v>
      </c>
      <c r="F54" s="42">
        <f t="shared" si="15"/>
        <v>-6.5856129685926135E-3</v>
      </c>
      <c r="G54" s="42">
        <f t="shared" si="15"/>
        <v>-1.5984015984017219E-2</v>
      </c>
      <c r="H54" s="42">
        <f t="shared" si="12"/>
        <v>7.8073089700978926E-2</v>
      </c>
      <c r="I54" s="42">
        <f t="shared" si="12"/>
        <v>49.428571428571445</v>
      </c>
      <c r="J54" s="41"/>
      <c r="K54" s="41"/>
      <c r="L54" s="41"/>
      <c r="M54" s="41"/>
      <c r="N54" s="41"/>
      <c r="O54" s="42"/>
      <c r="P54" s="42"/>
      <c r="T54" s="42">
        <f t="shared" si="13"/>
        <v>7.8947368421040665E-2</v>
      </c>
      <c r="U54" s="42">
        <f t="shared" si="13"/>
        <v>2.7093596059131642E-2</v>
      </c>
      <c r="V54" s="42">
        <f t="shared" si="13"/>
        <v>8.4745762711690986E-3</v>
      </c>
      <c r="W54" s="42">
        <f t="shared" ref="W54" si="16">W52-W48</f>
        <v>3.0444964871207958E-2</v>
      </c>
      <c r="X54" s="43"/>
      <c r="Y54" s="43"/>
      <c r="Z54" s="43"/>
      <c r="AA54" s="2"/>
      <c r="AB54" s="2"/>
      <c r="AC54" s="2"/>
      <c r="AD54" s="2"/>
      <c r="AH54" s="3"/>
    </row>
    <row r="55" spans="1:36" ht="33.75" customHeight="1" x14ac:dyDescent="0.25">
      <c r="A55" s="41"/>
      <c r="B55" s="287"/>
      <c r="C55" s="287"/>
      <c r="D55" s="287"/>
      <c r="E55" s="287"/>
      <c r="F55" s="287"/>
      <c r="G55" s="367">
        <v>392</v>
      </c>
      <c r="H55" s="370">
        <v>48</v>
      </c>
      <c r="I55" s="370" t="s">
        <v>94</v>
      </c>
      <c r="J55" s="370">
        <v>2862</v>
      </c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2"/>
      <c r="X55" s="43"/>
      <c r="Y55" s="43"/>
      <c r="Z55" s="43"/>
      <c r="AA55" s="2"/>
      <c r="AB55" s="2"/>
      <c r="AC55" s="2"/>
      <c r="AD55" s="2"/>
      <c r="AH55" s="3"/>
    </row>
    <row r="56" spans="1:36" ht="33.75" customHeight="1" thickBot="1" x14ac:dyDescent="0.3">
      <c r="A56" s="53"/>
      <c r="B56" s="284"/>
      <c r="C56" s="284"/>
      <c r="D56" s="284"/>
      <c r="E56" s="284"/>
      <c r="F56" s="284"/>
      <c r="G56" s="284"/>
      <c r="H56" s="54"/>
      <c r="I56" s="54"/>
      <c r="J56" s="54"/>
      <c r="K56" s="54"/>
      <c r="L56" s="54"/>
      <c r="M56" s="54"/>
      <c r="N56" s="54"/>
      <c r="O56" s="958"/>
      <c r="P56" s="958"/>
      <c r="Q56" s="283"/>
      <c r="R56" s="283"/>
      <c r="S56" s="283"/>
      <c r="T56" s="54"/>
      <c r="U56" s="55"/>
      <c r="Z56" s="43"/>
      <c r="AA56" s="43"/>
      <c r="AB56" s="43"/>
      <c r="AC56" s="2"/>
      <c r="AD56" s="2"/>
      <c r="AE56" s="2"/>
      <c r="AF56" s="2"/>
      <c r="AH56" s="2"/>
      <c r="AI56" s="2"/>
      <c r="AJ56" s="2"/>
    </row>
    <row r="57" spans="1:36" ht="33.75" customHeight="1" x14ac:dyDescent="0.25">
      <c r="A57" s="359" t="s">
        <v>19</v>
      </c>
      <c r="B57" s="986" t="s">
        <v>30</v>
      </c>
      <c r="C57" s="956"/>
      <c r="D57" s="956"/>
      <c r="E57" s="956"/>
      <c r="F57" s="956"/>
      <c r="G57" s="987"/>
      <c r="H57" s="56"/>
      <c r="I57" s="56"/>
      <c r="J57" s="56"/>
      <c r="K57" s="56"/>
      <c r="L57" s="56"/>
      <c r="M57" s="56"/>
      <c r="N57" s="56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36" ht="33.75" customHeight="1" thickBot="1" x14ac:dyDescent="0.3">
      <c r="A58" s="170" t="s">
        <v>34</v>
      </c>
      <c r="B58" s="360">
        <v>1</v>
      </c>
      <c r="C58" s="361">
        <v>2</v>
      </c>
      <c r="D58" s="361">
        <v>3</v>
      </c>
      <c r="E58" s="361">
        <v>4</v>
      </c>
      <c r="F58" s="361" t="s">
        <v>92</v>
      </c>
      <c r="G58" s="13" t="s">
        <v>9</v>
      </c>
      <c r="N58" s="45"/>
      <c r="O58" s="45"/>
      <c r="P58" s="45"/>
      <c r="Q58" s="45"/>
      <c r="R58" s="57"/>
      <c r="S58" s="57"/>
      <c r="T58" s="57"/>
      <c r="U58" s="57"/>
      <c r="V58" s="45"/>
      <c r="W58" s="45"/>
      <c r="X58" s="58"/>
      <c r="Y58" s="58"/>
      <c r="Z58" s="58"/>
      <c r="AA58" s="2"/>
      <c r="AB58" s="2"/>
      <c r="AC58" s="2"/>
      <c r="AD58" s="2"/>
      <c r="AF58" s="2"/>
      <c r="AG58" s="2"/>
      <c r="AH58" s="2"/>
    </row>
    <row r="59" spans="1:36" ht="33.75" customHeight="1" x14ac:dyDescent="0.25">
      <c r="A59" s="170" t="s">
        <v>10</v>
      </c>
      <c r="B59" s="141">
        <v>1</v>
      </c>
      <c r="C59" s="150">
        <v>2</v>
      </c>
      <c r="D59" s="150">
        <v>3</v>
      </c>
      <c r="E59" s="150">
        <v>4</v>
      </c>
      <c r="F59" s="362" t="s">
        <v>59</v>
      </c>
      <c r="G59" s="13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57"/>
      <c r="S59" s="57"/>
      <c r="T59" s="57"/>
      <c r="U59" s="57"/>
      <c r="V59" s="45"/>
      <c r="W59" s="45"/>
      <c r="X59" s="58"/>
      <c r="Y59" s="58"/>
      <c r="Z59" s="58"/>
      <c r="AA59" s="2"/>
      <c r="AB59" s="2"/>
      <c r="AC59" s="2"/>
      <c r="AD59" s="2"/>
      <c r="AE59" s="2"/>
      <c r="AF59" s="2"/>
      <c r="AG59" s="2"/>
      <c r="AH59" s="2"/>
    </row>
    <row r="60" spans="1:36" ht="33.75" customHeight="1" x14ac:dyDescent="0.25">
      <c r="A60" s="171" t="s">
        <v>53</v>
      </c>
      <c r="B60" s="18">
        <v>17.8</v>
      </c>
      <c r="C60" s="19">
        <v>35.6</v>
      </c>
      <c r="D60" s="19">
        <v>39.200000000000003</v>
      </c>
      <c r="E60" s="19">
        <v>27.2</v>
      </c>
      <c r="F60" s="19">
        <v>39</v>
      </c>
      <c r="G60" s="98">
        <f t="shared" ref="G60:G67" si="17">SUM(B60:F60)</f>
        <v>158.80000000000001</v>
      </c>
      <c r="H60" s="42"/>
      <c r="I60" s="302"/>
      <c r="J60" s="42"/>
      <c r="K60" s="42"/>
      <c r="L60" s="42"/>
      <c r="M60" s="42"/>
      <c r="N60" s="2"/>
      <c r="O60" s="45"/>
      <c r="P60" s="45"/>
      <c r="Q60" s="45"/>
      <c r="R60" s="57"/>
      <c r="S60" s="57"/>
      <c r="T60" s="57"/>
      <c r="U60" s="57"/>
      <c r="V60" s="45"/>
      <c r="W60" s="45"/>
      <c r="X60" s="58"/>
      <c r="Y60" s="58"/>
      <c r="Z60" s="58"/>
      <c r="AA60" s="2"/>
      <c r="AB60" s="2"/>
      <c r="AC60" s="2"/>
      <c r="AD60" s="2"/>
      <c r="AE60" s="2"/>
      <c r="AF60" s="2"/>
      <c r="AG60" s="2"/>
      <c r="AH60" s="2"/>
    </row>
    <row r="61" spans="1:36" ht="33.75" customHeight="1" x14ac:dyDescent="0.25">
      <c r="A61" s="171" t="s">
        <v>24</v>
      </c>
      <c r="B61" s="18">
        <v>17.8</v>
      </c>
      <c r="C61" s="19">
        <v>35.6</v>
      </c>
      <c r="D61" s="19">
        <v>39.200000000000003</v>
      </c>
      <c r="E61" s="19">
        <v>27.2</v>
      </c>
      <c r="F61" s="19">
        <v>39</v>
      </c>
      <c r="G61" s="98">
        <f t="shared" si="17"/>
        <v>158.80000000000001</v>
      </c>
      <c r="H61" s="42"/>
      <c r="I61" s="302"/>
      <c r="J61" s="42"/>
      <c r="K61" s="42"/>
      <c r="L61" s="42"/>
      <c r="M61" s="42"/>
      <c r="N61" s="2"/>
      <c r="O61" s="45"/>
      <c r="P61" s="45"/>
      <c r="Q61" s="45"/>
      <c r="R61" s="57"/>
      <c r="S61" s="57"/>
      <c r="T61" s="57"/>
      <c r="U61" s="57"/>
      <c r="V61" s="45"/>
      <c r="W61" s="45"/>
      <c r="X61" s="58"/>
      <c r="Y61" s="58"/>
      <c r="Z61" s="58"/>
      <c r="AA61" s="2"/>
      <c r="AB61" s="2"/>
      <c r="AC61" s="2"/>
      <c r="AD61" s="2"/>
      <c r="AE61" s="2"/>
      <c r="AF61" s="2"/>
      <c r="AG61" s="2"/>
      <c r="AH61" s="2"/>
    </row>
    <row r="62" spans="1:36" ht="33.75" customHeight="1" x14ac:dyDescent="0.25">
      <c r="A62" s="171" t="s">
        <v>20</v>
      </c>
      <c r="B62" s="18">
        <v>18.3</v>
      </c>
      <c r="C62" s="19">
        <v>37.1</v>
      </c>
      <c r="D62" s="19">
        <v>41.2</v>
      </c>
      <c r="E62" s="19">
        <v>28.4</v>
      </c>
      <c r="F62" s="19">
        <v>40.1</v>
      </c>
      <c r="G62" s="98">
        <f t="shared" si="17"/>
        <v>165.1</v>
      </c>
      <c r="H62" s="42"/>
      <c r="I62" s="302"/>
      <c r="J62" s="42"/>
      <c r="K62" s="42"/>
      <c r="L62" s="42"/>
      <c r="M62" s="42"/>
      <c r="N62" s="2"/>
      <c r="O62" s="45"/>
      <c r="P62" s="45"/>
      <c r="Q62" s="45"/>
      <c r="R62" s="57"/>
      <c r="S62" s="57"/>
      <c r="T62" s="57"/>
      <c r="U62" s="57"/>
      <c r="V62" s="45"/>
      <c r="W62" s="45"/>
      <c r="X62" s="58"/>
      <c r="Y62" s="58"/>
      <c r="Z62" s="58"/>
      <c r="AA62" s="2"/>
      <c r="AB62" s="2"/>
      <c r="AC62" s="2"/>
      <c r="AD62" s="2"/>
      <c r="AE62" s="2"/>
      <c r="AF62" s="2"/>
      <c r="AG62" s="2"/>
      <c r="AH62" s="2"/>
    </row>
    <row r="63" spans="1:36" ht="33.75" customHeight="1" x14ac:dyDescent="0.25">
      <c r="A63" s="171" t="s">
        <v>28</v>
      </c>
      <c r="B63" s="18">
        <v>18.3</v>
      </c>
      <c r="C63" s="19">
        <v>37.1</v>
      </c>
      <c r="D63" s="19">
        <v>41.2</v>
      </c>
      <c r="E63" s="19">
        <v>28.4</v>
      </c>
      <c r="F63" s="19">
        <v>40.1</v>
      </c>
      <c r="G63" s="98">
        <f t="shared" si="17"/>
        <v>165.1</v>
      </c>
      <c r="H63" s="42"/>
      <c r="I63" s="302"/>
      <c r="J63" s="42"/>
      <c r="K63" s="42"/>
      <c r="L63" s="42"/>
      <c r="M63" s="42"/>
      <c r="N63" s="2"/>
      <c r="O63" s="45"/>
      <c r="P63" s="45"/>
      <c r="Q63" s="45"/>
      <c r="R63" s="57"/>
      <c r="S63" s="57"/>
      <c r="T63" s="57"/>
      <c r="U63" s="57"/>
      <c r="V63" s="45"/>
      <c r="W63" s="45"/>
      <c r="X63" s="58"/>
      <c r="Y63" s="58"/>
      <c r="Z63" s="58"/>
      <c r="AA63" s="3"/>
      <c r="AB63" s="3"/>
      <c r="AC63" s="2"/>
      <c r="AD63" s="2"/>
      <c r="AE63" s="2"/>
      <c r="AF63" s="2"/>
      <c r="AG63" s="2"/>
      <c r="AH63" s="2"/>
    </row>
    <row r="64" spans="1:36" ht="33.75" customHeight="1" x14ac:dyDescent="0.25">
      <c r="A64" s="171" t="s">
        <v>21</v>
      </c>
      <c r="B64" s="18">
        <v>18.3</v>
      </c>
      <c r="C64" s="19">
        <v>37.200000000000003</v>
      </c>
      <c r="D64" s="19">
        <v>41.2</v>
      </c>
      <c r="E64" s="19">
        <v>28.4</v>
      </c>
      <c r="F64" s="19">
        <v>40.1</v>
      </c>
      <c r="G64" s="98">
        <f t="shared" si="17"/>
        <v>165.2</v>
      </c>
      <c r="H64" s="42"/>
      <c r="I64" s="302"/>
      <c r="J64" s="42"/>
      <c r="K64" s="42"/>
      <c r="L64" s="42"/>
      <c r="M64" s="42"/>
      <c r="N64" s="2"/>
      <c r="O64" s="45"/>
      <c r="P64" s="45"/>
      <c r="Q64" s="45"/>
      <c r="R64" s="57"/>
      <c r="S64" s="57"/>
      <c r="T64" s="57"/>
      <c r="U64" s="57"/>
      <c r="V64" s="45"/>
      <c r="W64" s="45"/>
      <c r="X64" s="58"/>
      <c r="Y64" s="58"/>
      <c r="Z64" s="58"/>
      <c r="AA64" s="3"/>
      <c r="AB64" s="3"/>
      <c r="AC64" s="2"/>
      <c r="AD64" s="2"/>
      <c r="AE64" s="2"/>
      <c r="AF64" s="2"/>
      <c r="AG64" s="2"/>
      <c r="AH64" s="2"/>
    </row>
    <row r="65" spans="1:34" ht="33.75" customHeight="1" x14ac:dyDescent="0.25">
      <c r="A65" s="171" t="s">
        <v>22</v>
      </c>
      <c r="B65" s="18">
        <v>18.3</v>
      </c>
      <c r="C65" s="19">
        <v>37.200000000000003</v>
      </c>
      <c r="D65" s="19">
        <v>41.2</v>
      </c>
      <c r="E65" s="19">
        <v>28.5</v>
      </c>
      <c r="F65" s="19">
        <v>40.200000000000003</v>
      </c>
      <c r="G65" s="98">
        <f t="shared" si="17"/>
        <v>165.4</v>
      </c>
      <c r="H65" s="42"/>
      <c r="I65" s="302"/>
      <c r="J65" s="42"/>
      <c r="K65" s="42"/>
      <c r="L65" s="42"/>
      <c r="M65" s="4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3"/>
      <c r="AB65" s="3"/>
      <c r="AE65" s="2"/>
      <c r="AF65" s="2"/>
      <c r="AG65" s="2"/>
      <c r="AH65" s="2"/>
    </row>
    <row r="66" spans="1:34" ht="33.75" customHeight="1" thickBot="1" x14ac:dyDescent="0.3">
      <c r="A66" s="171" t="s">
        <v>23</v>
      </c>
      <c r="B66" s="18">
        <v>18.3</v>
      </c>
      <c r="C66" s="19">
        <v>37.200000000000003</v>
      </c>
      <c r="D66" s="19">
        <v>41.2</v>
      </c>
      <c r="E66" s="19">
        <v>28.5</v>
      </c>
      <c r="F66" s="19">
        <v>40.200000000000003</v>
      </c>
      <c r="G66" s="372">
        <f t="shared" si="17"/>
        <v>165.4</v>
      </c>
      <c r="H66" s="42"/>
      <c r="I66" s="302"/>
      <c r="J66" s="42"/>
      <c r="K66" s="42"/>
      <c r="L66" s="42"/>
      <c r="M66" s="42"/>
      <c r="N66" s="2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3"/>
      <c r="AB66" s="3"/>
      <c r="AE66" s="2"/>
      <c r="AF66" s="2"/>
      <c r="AG66" s="2"/>
      <c r="AH66" s="2"/>
    </row>
    <row r="67" spans="1:34" ht="33.75" customHeight="1" thickBot="1" x14ac:dyDescent="0.3">
      <c r="A67" s="170" t="s">
        <v>9</v>
      </c>
      <c r="B67" s="354">
        <f t="shared" ref="B67:F67" si="18">SUM(B60:B66)</f>
        <v>127.1</v>
      </c>
      <c r="C67" s="355">
        <f t="shared" si="18"/>
        <v>257</v>
      </c>
      <c r="D67" s="355">
        <f t="shared" si="18"/>
        <v>284.39999999999998</v>
      </c>
      <c r="E67" s="355">
        <f t="shared" si="18"/>
        <v>196.6</v>
      </c>
      <c r="F67" s="356">
        <f t="shared" si="18"/>
        <v>278.7</v>
      </c>
      <c r="G67" s="300">
        <f t="shared" si="17"/>
        <v>1143.8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3"/>
      <c r="AB67" s="3"/>
      <c r="AC67" s="3"/>
      <c r="AD67" s="3"/>
      <c r="AE67" s="2"/>
      <c r="AF67" s="2"/>
      <c r="AG67" s="2"/>
      <c r="AH67" s="2"/>
    </row>
    <row r="68" spans="1:34" ht="33.75" customHeight="1" x14ac:dyDescent="0.25">
      <c r="A68" s="192" t="s">
        <v>11</v>
      </c>
      <c r="B68" s="357">
        <v>134.5</v>
      </c>
      <c r="C68" s="358">
        <v>134.5</v>
      </c>
      <c r="D68" s="358">
        <v>135</v>
      </c>
      <c r="E68" s="358">
        <v>135</v>
      </c>
      <c r="F68" s="358">
        <v>134.5</v>
      </c>
      <c r="G68" s="296">
        <f>+((G67/G69)/7)*1000</f>
        <v>134.7073371805441</v>
      </c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3"/>
      <c r="AB68" s="3"/>
      <c r="AC68" s="3"/>
      <c r="AD68" s="3"/>
      <c r="AE68" s="2"/>
      <c r="AF68" s="2"/>
      <c r="AG68" s="2"/>
      <c r="AH68" s="2"/>
    </row>
    <row r="69" spans="1:34" ht="33.75" customHeight="1" x14ac:dyDescent="0.25">
      <c r="A69" s="193" t="s">
        <v>12</v>
      </c>
      <c r="B69" s="257">
        <v>135</v>
      </c>
      <c r="C69" s="275">
        <v>273</v>
      </c>
      <c r="D69" s="275">
        <v>301</v>
      </c>
      <c r="E69" s="275">
        <v>208</v>
      </c>
      <c r="F69" s="275">
        <v>296</v>
      </c>
      <c r="G69" s="254">
        <f>SUM(B69:F69)</f>
        <v>1213</v>
      </c>
      <c r="N69" s="59"/>
      <c r="R69" s="3"/>
      <c r="S69" s="3"/>
      <c r="T69" s="3"/>
      <c r="U69" s="3"/>
      <c r="V69" s="3"/>
      <c r="W69" s="3"/>
    </row>
    <row r="70" spans="1:34" ht="33.75" customHeight="1" x14ac:dyDescent="0.25">
      <c r="A70" s="194" t="s">
        <v>13</v>
      </c>
      <c r="B70" s="30">
        <f>((((B68*7)*B69)/1000)-(B60+B61))/5</f>
        <v>18.3005</v>
      </c>
      <c r="C70" s="31">
        <f t="shared" ref="C70:F70" si="19">((((C68*7)*C69)/1000)-(C60+C61))/5</f>
        <v>37.165900000000001</v>
      </c>
      <c r="D70" s="31">
        <f t="shared" si="19"/>
        <v>41.208999999999996</v>
      </c>
      <c r="E70" s="31">
        <f t="shared" si="19"/>
        <v>28.431999999999999</v>
      </c>
      <c r="F70" s="31">
        <f t="shared" si="19"/>
        <v>40.136800000000008</v>
      </c>
      <c r="G70" s="139">
        <f>((G67*1000)/G69)/7</f>
        <v>134.7073371805441</v>
      </c>
      <c r="R70" s="3"/>
      <c r="S70" s="3"/>
      <c r="T70" s="3"/>
      <c r="U70" s="3"/>
      <c r="V70" s="3"/>
      <c r="W70" s="3"/>
    </row>
    <row r="71" spans="1:34" ht="33.75" customHeight="1" x14ac:dyDescent="0.25">
      <c r="A71" s="185" t="s">
        <v>14</v>
      </c>
      <c r="B71" s="279">
        <f t="shared" ref="B71:F71" si="20">((B69*B68)*7)/1000</f>
        <v>127.10250000000001</v>
      </c>
      <c r="C71" s="280">
        <f t="shared" si="20"/>
        <v>257.02949999999998</v>
      </c>
      <c r="D71" s="280">
        <f t="shared" si="20"/>
        <v>284.44499999999999</v>
      </c>
      <c r="E71" s="280">
        <f t="shared" si="20"/>
        <v>196.56</v>
      </c>
      <c r="F71" s="280">
        <f t="shared" si="20"/>
        <v>278.68400000000003</v>
      </c>
      <c r="G71" s="112"/>
      <c r="H71" s="41"/>
      <c r="I71" s="41"/>
      <c r="J71" s="41"/>
      <c r="K71" s="41"/>
      <c r="L71" s="41"/>
      <c r="M71" s="41"/>
      <c r="W71" s="3"/>
    </row>
    <row r="72" spans="1:34" ht="33.75" customHeight="1" thickBot="1" x14ac:dyDescent="0.3">
      <c r="A72" s="195" t="s">
        <v>15</v>
      </c>
      <c r="B72" s="37">
        <f t="shared" ref="B72:F72" si="21">+(B67/B69)/7*1000</f>
        <v>134.49735449735451</v>
      </c>
      <c r="C72" s="38">
        <f t="shared" si="21"/>
        <v>134.48456305599163</v>
      </c>
      <c r="D72" s="38">
        <f t="shared" si="21"/>
        <v>134.97864261983864</v>
      </c>
      <c r="E72" s="38">
        <f t="shared" si="21"/>
        <v>135.02747252747253</v>
      </c>
      <c r="F72" s="38">
        <f t="shared" si="21"/>
        <v>134.50772200772201</v>
      </c>
      <c r="G72" s="40"/>
      <c r="W72" s="3"/>
    </row>
    <row r="73" spans="1:34" ht="33.75" customHeight="1" x14ac:dyDescent="0.25">
      <c r="B73" s="43">
        <f>B71-B67</f>
        <v>2.5000000000119371E-3</v>
      </c>
      <c r="C73" s="43">
        <f t="shared" ref="C73:F73" si="22">C71-C67</f>
        <v>2.9499999999984539E-2</v>
      </c>
      <c r="D73" s="43">
        <f t="shared" si="22"/>
        <v>4.5000000000015916E-2</v>
      </c>
      <c r="E73" s="43">
        <f t="shared" si="22"/>
        <v>-3.9999999999992042E-2</v>
      </c>
      <c r="F73" s="43">
        <f t="shared" si="22"/>
        <v>-1.5999999999962711E-2</v>
      </c>
    </row>
    <row r="74" spans="1:34" ht="33.75" customHeight="1" x14ac:dyDescent="0.25">
      <c r="B74" s="42">
        <f t="shared" ref="B74:F74" si="23">B72-B68</f>
        <v>-2.6455026454925701E-3</v>
      </c>
      <c r="C74" s="42">
        <f t="shared" si="23"/>
        <v>-1.5436944008371256E-2</v>
      </c>
      <c r="D74" s="42">
        <f t="shared" si="23"/>
        <v>-2.1357380161362016E-2</v>
      </c>
      <c r="E74" s="42">
        <f t="shared" si="23"/>
        <v>2.7472527472525599E-2</v>
      </c>
      <c r="F74" s="42">
        <f t="shared" si="23"/>
        <v>7.7220077220090388E-3</v>
      </c>
      <c r="G74" s="45"/>
      <c r="H74" s="45"/>
      <c r="I74" s="45"/>
      <c r="J74" s="45"/>
      <c r="K74" s="45"/>
      <c r="L74" s="45"/>
      <c r="M74" s="45"/>
      <c r="N74" s="52"/>
    </row>
    <row r="75" spans="1:34" ht="33.75" customHeight="1" x14ac:dyDescent="0.25">
      <c r="B75" s="287"/>
      <c r="C75" s="287"/>
      <c r="D75" s="287"/>
      <c r="E75" s="287"/>
      <c r="F75" s="287"/>
    </row>
    <row r="76" spans="1:34" ht="33.75" customHeight="1" x14ac:dyDescent="0.25">
      <c r="A76" s="45"/>
      <c r="B76" s="283"/>
      <c r="C76" s="283"/>
      <c r="D76" s="283"/>
      <c r="E76" s="283"/>
      <c r="F76" s="283"/>
      <c r="G76" s="58"/>
      <c r="H76" s="45"/>
      <c r="I76" s="45"/>
      <c r="J76" s="45"/>
      <c r="K76" s="45"/>
      <c r="L76" s="45"/>
      <c r="M76" s="45"/>
      <c r="N76" s="45"/>
      <c r="O76" s="45"/>
    </row>
    <row r="77" spans="1:34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4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4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4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6">
    <mergeCell ref="B57:G57"/>
    <mergeCell ref="K40:N52"/>
    <mergeCell ref="X37:X38"/>
    <mergeCell ref="Q38:R38"/>
    <mergeCell ref="A3:C3"/>
    <mergeCell ref="E9:G9"/>
    <mergeCell ref="W9:X9"/>
    <mergeCell ref="O11:P11"/>
    <mergeCell ref="B16:I16"/>
    <mergeCell ref="J16:N16"/>
    <mergeCell ref="O16:S16"/>
    <mergeCell ref="T16:Y16"/>
    <mergeCell ref="T37:W37"/>
    <mergeCell ref="O56:P56"/>
    <mergeCell ref="B37:I37"/>
    <mergeCell ref="J37:J39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X241"/>
  <sheetViews>
    <sheetView workbookViewId="0"/>
  </sheetViews>
  <sheetFormatPr baseColWidth="10" defaultRowHeight="15" x14ac:dyDescent="0.25"/>
  <cols>
    <col min="1" max="1" width="52.42578125" style="14" bestFit="1" customWidth="1"/>
    <col min="2" max="18" width="26.42578125" style="14" customWidth="1"/>
    <col min="19" max="19" width="33.140625" style="14" customWidth="1"/>
    <col min="20" max="24" width="26.42578125" style="14" customWidth="1"/>
    <col min="25" max="25" width="24.85546875" style="14" bestFit="1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 t="s">
        <v>91</v>
      </c>
      <c r="P11" s="965"/>
      <c r="Q11" s="6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379" t="s">
        <v>95</v>
      </c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69" t="s">
        <v>7</v>
      </c>
      <c r="B16" s="971" t="s">
        <v>8</v>
      </c>
      <c r="C16" s="968"/>
      <c r="D16" s="968"/>
      <c r="E16" s="968"/>
      <c r="F16" s="968"/>
      <c r="G16" s="968"/>
      <c r="H16" s="968"/>
      <c r="I16" s="968"/>
      <c r="J16" s="971" t="s">
        <v>30</v>
      </c>
      <c r="K16" s="968"/>
      <c r="L16" s="968"/>
      <c r="M16" s="968"/>
      <c r="N16" s="968"/>
      <c r="O16" s="969"/>
      <c r="P16" s="971" t="s">
        <v>29</v>
      </c>
      <c r="Q16" s="968"/>
      <c r="R16" s="968"/>
      <c r="S16" s="968"/>
      <c r="T16" s="969"/>
      <c r="U16" s="962" t="s">
        <v>31</v>
      </c>
      <c r="V16" s="963"/>
      <c r="W16" s="963"/>
      <c r="X16" s="963"/>
      <c r="Y16" s="963"/>
      <c r="Z16" s="964"/>
    </row>
    <row r="17" spans="1:37" ht="39.950000000000003" customHeight="1" thickBot="1" x14ac:dyDescent="0.3">
      <c r="A17" s="80" t="s">
        <v>34</v>
      </c>
      <c r="B17" s="186">
        <v>4</v>
      </c>
      <c r="C17" s="174">
        <v>3</v>
      </c>
      <c r="D17" s="174">
        <v>2</v>
      </c>
      <c r="E17" s="174">
        <v>1</v>
      </c>
      <c r="F17" s="174">
        <v>1</v>
      </c>
      <c r="G17" s="174">
        <v>2</v>
      </c>
      <c r="H17" s="174">
        <v>3</v>
      </c>
      <c r="I17" s="203">
        <v>4</v>
      </c>
      <c r="J17" s="188">
        <v>1</v>
      </c>
      <c r="K17" s="168">
        <v>2</v>
      </c>
      <c r="L17" s="168">
        <v>3</v>
      </c>
      <c r="M17" s="168">
        <v>4</v>
      </c>
      <c r="N17" s="204"/>
      <c r="O17" s="169"/>
      <c r="P17" s="202"/>
      <c r="Q17" s="174"/>
      <c r="R17" s="174"/>
      <c r="S17" s="174"/>
      <c r="T17" s="203"/>
      <c r="U17" s="186"/>
      <c r="V17" s="174"/>
      <c r="W17" s="174"/>
      <c r="X17" s="174"/>
      <c r="Y17" s="175"/>
      <c r="Z17" s="261" t="s">
        <v>9</v>
      </c>
      <c r="AD17" s="15"/>
      <c r="AE17" s="15"/>
    </row>
    <row r="18" spans="1:37" ht="39.950000000000003" customHeight="1" x14ac:dyDescent="0.25">
      <c r="A18" s="80" t="s">
        <v>10</v>
      </c>
      <c r="B18" s="186">
        <v>1</v>
      </c>
      <c r="C18" s="174">
        <v>2</v>
      </c>
      <c r="D18" s="174">
        <v>3</v>
      </c>
      <c r="E18" s="174">
        <v>4</v>
      </c>
      <c r="F18" s="174">
        <v>5</v>
      </c>
      <c r="G18" s="174">
        <v>6</v>
      </c>
      <c r="H18" s="174">
        <v>7</v>
      </c>
      <c r="I18" s="203">
        <v>8</v>
      </c>
      <c r="J18" s="331">
        <v>1</v>
      </c>
      <c r="K18" s="114">
        <v>2</v>
      </c>
      <c r="L18" s="114">
        <v>3</v>
      </c>
      <c r="M18" s="114">
        <v>4</v>
      </c>
      <c r="N18" s="116">
        <v>5</v>
      </c>
      <c r="O18" s="351" t="s">
        <v>88</v>
      </c>
      <c r="P18" s="202">
        <v>1</v>
      </c>
      <c r="Q18" s="174">
        <v>2</v>
      </c>
      <c r="R18" s="174">
        <v>3</v>
      </c>
      <c r="S18" s="174">
        <v>4</v>
      </c>
      <c r="T18" s="203">
        <v>5</v>
      </c>
      <c r="U18" s="186">
        <v>1</v>
      </c>
      <c r="V18" s="174">
        <v>2</v>
      </c>
      <c r="W18" s="174">
        <v>3</v>
      </c>
      <c r="X18" s="174">
        <v>4</v>
      </c>
      <c r="Y18" s="175">
        <v>5</v>
      </c>
      <c r="Z18" s="126"/>
      <c r="AD18" s="2"/>
      <c r="AE18" s="15"/>
    </row>
    <row r="19" spans="1:37" ht="39.950000000000003" customHeight="1" x14ac:dyDescent="0.25">
      <c r="A19" s="171" t="s">
        <v>53</v>
      </c>
      <c r="B19" s="18">
        <v>42.7</v>
      </c>
      <c r="C19" s="19">
        <v>90.6</v>
      </c>
      <c r="D19" s="19">
        <v>71.2</v>
      </c>
      <c r="E19" s="19">
        <v>26.3</v>
      </c>
      <c r="F19" s="19">
        <v>43.4</v>
      </c>
      <c r="G19" s="19">
        <v>64.5</v>
      </c>
      <c r="H19" s="19">
        <v>58.3</v>
      </c>
      <c r="I19" s="108">
        <v>43.4</v>
      </c>
      <c r="J19" s="130">
        <v>15.6</v>
      </c>
      <c r="K19" s="124">
        <v>32.799999999999997</v>
      </c>
      <c r="L19" s="124">
        <v>51.8</v>
      </c>
      <c r="M19" s="124">
        <v>43.8</v>
      </c>
      <c r="N19" s="125"/>
      <c r="O19" s="132">
        <v>28.5</v>
      </c>
      <c r="P19" s="61"/>
      <c r="Q19" s="19"/>
      <c r="R19" s="19"/>
      <c r="S19" s="19"/>
      <c r="T19" s="20"/>
      <c r="U19" s="18"/>
      <c r="V19" s="19"/>
      <c r="W19" s="19"/>
      <c r="X19" s="19"/>
      <c r="Y19" s="20"/>
      <c r="Z19" s="209">
        <f t="shared" ref="Z19:Z25" si="0">SUM(B19:Y19)</f>
        <v>612.9</v>
      </c>
      <c r="AA19" s="301"/>
      <c r="AB19" s="302"/>
      <c r="AD19" s="2"/>
      <c r="AE19" s="15"/>
    </row>
    <row r="20" spans="1:37" ht="39.950000000000003" customHeight="1" x14ac:dyDescent="0.25">
      <c r="A20" s="171" t="s">
        <v>24</v>
      </c>
      <c r="B20" s="18">
        <v>42.7</v>
      </c>
      <c r="C20" s="19">
        <v>90.6</v>
      </c>
      <c r="D20" s="19">
        <v>71.2</v>
      </c>
      <c r="E20" s="19">
        <v>26.3</v>
      </c>
      <c r="F20" s="19">
        <v>43.4</v>
      </c>
      <c r="G20" s="19">
        <v>64.5</v>
      </c>
      <c r="H20" s="19">
        <v>58.3</v>
      </c>
      <c r="I20" s="108">
        <v>43.4</v>
      </c>
      <c r="J20" s="130">
        <v>15.6</v>
      </c>
      <c r="K20" s="124">
        <v>32.799999999999997</v>
      </c>
      <c r="L20" s="124">
        <v>51.8</v>
      </c>
      <c r="M20" s="124">
        <v>43.8</v>
      </c>
      <c r="N20" s="125"/>
      <c r="O20" s="132">
        <v>28.5</v>
      </c>
      <c r="P20" s="61"/>
      <c r="Q20" s="19"/>
      <c r="R20" s="19"/>
      <c r="S20" s="19"/>
      <c r="T20" s="20"/>
      <c r="U20" s="18"/>
      <c r="V20" s="19"/>
      <c r="W20" s="19"/>
      <c r="X20" s="19"/>
      <c r="Y20" s="20"/>
      <c r="Z20" s="209">
        <f t="shared" si="0"/>
        <v>612.9</v>
      </c>
      <c r="AA20" s="301"/>
      <c r="AB20" s="302"/>
      <c r="AD20" s="2"/>
      <c r="AE20" s="15"/>
    </row>
    <row r="21" spans="1:37" ht="39.75" customHeight="1" x14ac:dyDescent="0.25">
      <c r="A21" s="171" t="s">
        <v>20</v>
      </c>
      <c r="B21" s="326">
        <v>44.1</v>
      </c>
      <c r="C21" s="327">
        <v>93.5</v>
      </c>
      <c r="D21" s="327">
        <v>73.3</v>
      </c>
      <c r="E21" s="327">
        <v>27</v>
      </c>
      <c r="F21" s="327">
        <v>44.6</v>
      </c>
      <c r="G21" s="327">
        <v>66.099999999999994</v>
      </c>
      <c r="H21" s="327">
        <v>59.8</v>
      </c>
      <c r="I21" s="328">
        <v>44.6</v>
      </c>
      <c r="J21" s="326">
        <v>24.5</v>
      </c>
      <c r="K21" s="327">
        <v>33.6</v>
      </c>
      <c r="L21" s="327">
        <v>53.2</v>
      </c>
      <c r="M21" s="327">
        <v>45.2</v>
      </c>
      <c r="N21" s="328"/>
      <c r="O21" s="329">
        <v>18.5</v>
      </c>
      <c r="P21" s="330"/>
      <c r="Q21" s="327"/>
      <c r="R21" s="327"/>
      <c r="S21" s="327"/>
      <c r="T21" s="329"/>
      <c r="U21" s="326"/>
      <c r="V21" s="327"/>
      <c r="W21" s="327"/>
      <c r="X21" s="327"/>
      <c r="Y21" s="329"/>
      <c r="Z21" s="209">
        <f t="shared" si="0"/>
        <v>628.00000000000011</v>
      </c>
      <c r="AA21" s="301"/>
      <c r="AB21" s="302"/>
      <c r="AD21" s="2"/>
      <c r="AE21" s="15"/>
    </row>
    <row r="22" spans="1:37" ht="39.950000000000003" customHeight="1" x14ac:dyDescent="0.25">
      <c r="A22" s="171" t="s">
        <v>28</v>
      </c>
      <c r="B22" s="326">
        <v>44.1</v>
      </c>
      <c r="C22" s="327">
        <v>93.5</v>
      </c>
      <c r="D22" s="327">
        <v>73.3</v>
      </c>
      <c r="E22" s="327">
        <v>27.1</v>
      </c>
      <c r="F22" s="327">
        <v>44.6</v>
      </c>
      <c r="G22" s="327">
        <v>66.099999999999994</v>
      </c>
      <c r="H22" s="327">
        <v>59.8</v>
      </c>
      <c r="I22" s="328">
        <v>44.6</v>
      </c>
      <c r="J22" s="326">
        <v>24.5</v>
      </c>
      <c r="K22" s="327">
        <v>33.700000000000003</v>
      </c>
      <c r="L22" s="327">
        <v>53.3</v>
      </c>
      <c r="M22" s="327">
        <v>45.2</v>
      </c>
      <c r="N22" s="328"/>
      <c r="O22" s="329">
        <v>18.5</v>
      </c>
      <c r="P22" s="330"/>
      <c r="Q22" s="327"/>
      <c r="R22" s="327"/>
      <c r="S22" s="327"/>
      <c r="T22" s="329"/>
      <c r="U22" s="326"/>
      <c r="V22" s="327"/>
      <c r="W22" s="327"/>
      <c r="X22" s="327"/>
      <c r="Y22" s="329"/>
      <c r="Z22" s="209">
        <f t="shared" si="0"/>
        <v>628.29999999999995</v>
      </c>
      <c r="AA22" s="301"/>
      <c r="AB22" s="302"/>
      <c r="AD22" s="2"/>
      <c r="AE22" s="15"/>
    </row>
    <row r="23" spans="1:37" ht="39.950000000000003" customHeight="1" x14ac:dyDescent="0.25">
      <c r="A23" s="171" t="s">
        <v>21</v>
      </c>
      <c r="B23" s="326">
        <v>44.2</v>
      </c>
      <c r="C23" s="327">
        <v>93.5</v>
      </c>
      <c r="D23" s="327">
        <v>73.3</v>
      </c>
      <c r="E23" s="327">
        <v>27.1</v>
      </c>
      <c r="F23" s="327">
        <v>44.6</v>
      </c>
      <c r="G23" s="327">
        <v>66.2</v>
      </c>
      <c r="H23" s="327">
        <v>59.9</v>
      </c>
      <c r="I23" s="328">
        <v>44.6</v>
      </c>
      <c r="J23" s="326">
        <v>24.6</v>
      </c>
      <c r="K23" s="327">
        <v>33.700000000000003</v>
      </c>
      <c r="L23" s="327">
        <v>53.3</v>
      </c>
      <c r="M23" s="327">
        <v>45.2</v>
      </c>
      <c r="N23" s="328"/>
      <c r="O23" s="329">
        <v>18.5</v>
      </c>
      <c r="P23" s="330"/>
      <c r="Q23" s="327"/>
      <c r="R23" s="327"/>
      <c r="S23" s="327"/>
      <c r="T23" s="329"/>
      <c r="U23" s="326"/>
      <c r="V23" s="327"/>
      <c r="W23" s="327"/>
      <c r="X23" s="327"/>
      <c r="Y23" s="329"/>
      <c r="Z23" s="209">
        <f t="shared" si="0"/>
        <v>628.70000000000005</v>
      </c>
      <c r="AA23" s="301"/>
      <c r="AB23" s="302"/>
      <c r="AD23" s="2"/>
      <c r="AE23" s="15"/>
    </row>
    <row r="24" spans="1:37" ht="39.950000000000003" customHeight="1" x14ac:dyDescent="0.25">
      <c r="A24" s="171" t="s">
        <v>22</v>
      </c>
      <c r="B24" s="326">
        <v>44.2</v>
      </c>
      <c r="C24" s="327">
        <v>93.5</v>
      </c>
      <c r="D24" s="327">
        <v>73.3</v>
      </c>
      <c r="E24" s="327">
        <v>27.1</v>
      </c>
      <c r="F24" s="327">
        <v>44.7</v>
      </c>
      <c r="G24" s="327">
        <v>66.2</v>
      </c>
      <c r="H24" s="327">
        <v>59.9</v>
      </c>
      <c r="I24" s="328">
        <v>44.6</v>
      </c>
      <c r="J24" s="326">
        <v>24.6</v>
      </c>
      <c r="K24" s="327">
        <v>33.700000000000003</v>
      </c>
      <c r="L24" s="327">
        <v>53.3</v>
      </c>
      <c r="M24" s="327">
        <v>45.2</v>
      </c>
      <c r="N24" s="328"/>
      <c r="O24" s="329">
        <v>18.600000000000001</v>
      </c>
      <c r="P24" s="330"/>
      <c r="Q24" s="327"/>
      <c r="R24" s="327"/>
      <c r="S24" s="327"/>
      <c r="T24" s="329"/>
      <c r="U24" s="326"/>
      <c r="V24" s="327"/>
      <c r="W24" s="327"/>
      <c r="X24" s="327"/>
      <c r="Y24" s="329"/>
      <c r="Z24" s="209">
        <f t="shared" si="0"/>
        <v>628.90000000000009</v>
      </c>
      <c r="AA24" s="301"/>
      <c r="AB24" s="302"/>
      <c r="AD24" s="2"/>
      <c r="AE24" s="15"/>
    </row>
    <row r="25" spans="1:37" ht="39.950000000000003" customHeight="1" thickBot="1" x14ac:dyDescent="0.3">
      <c r="A25" s="285" t="s">
        <v>23</v>
      </c>
      <c r="B25" s="326">
        <v>44.2</v>
      </c>
      <c r="C25" s="327">
        <v>93.5</v>
      </c>
      <c r="D25" s="327">
        <v>73.400000000000006</v>
      </c>
      <c r="E25" s="327">
        <v>27.1</v>
      </c>
      <c r="F25" s="327">
        <v>44.7</v>
      </c>
      <c r="G25" s="327">
        <v>66.2</v>
      </c>
      <c r="H25" s="327">
        <v>59.9</v>
      </c>
      <c r="I25" s="328">
        <v>44.7</v>
      </c>
      <c r="J25" s="326">
        <v>24.6</v>
      </c>
      <c r="K25" s="327">
        <v>33.700000000000003</v>
      </c>
      <c r="L25" s="327">
        <v>53.4</v>
      </c>
      <c r="M25" s="327">
        <v>45.2</v>
      </c>
      <c r="N25" s="378">
        <v>21.8</v>
      </c>
      <c r="O25" s="329">
        <v>18.600000000000001</v>
      </c>
      <c r="P25" s="330">
        <v>61.6</v>
      </c>
      <c r="Q25" s="327">
        <v>59.2</v>
      </c>
      <c r="R25" s="327">
        <v>23.7</v>
      </c>
      <c r="S25" s="327">
        <v>59.3</v>
      </c>
      <c r="T25" s="329">
        <v>59</v>
      </c>
      <c r="U25" s="326">
        <v>64.599999999999994</v>
      </c>
      <c r="V25" s="327">
        <v>63.6</v>
      </c>
      <c r="W25" s="327">
        <v>23.2</v>
      </c>
      <c r="X25" s="327">
        <v>61.8</v>
      </c>
      <c r="Y25" s="329">
        <v>62.3</v>
      </c>
      <c r="Z25" s="376">
        <f t="shared" si="0"/>
        <v>1189.3</v>
      </c>
      <c r="AA25" s="301"/>
      <c r="AB25" s="302"/>
      <c r="AD25" s="2"/>
    </row>
    <row r="26" spans="1:37" ht="41.45" customHeight="1" x14ac:dyDescent="0.25">
      <c r="A26" s="268" t="s">
        <v>9</v>
      </c>
      <c r="B26" s="131">
        <f>SUM(B19:B25)</f>
        <v>306.2</v>
      </c>
      <c r="C26" s="128">
        <f t="shared" ref="C26:Y26" si="1">SUM(C19:C25)</f>
        <v>648.70000000000005</v>
      </c>
      <c r="D26" s="128">
        <f t="shared" si="1"/>
        <v>509</v>
      </c>
      <c r="E26" s="128">
        <f t="shared" si="1"/>
        <v>187.99999999999997</v>
      </c>
      <c r="F26" s="128">
        <f t="shared" si="1"/>
        <v>310</v>
      </c>
      <c r="G26" s="128">
        <f t="shared" si="1"/>
        <v>459.79999999999995</v>
      </c>
      <c r="H26" s="128">
        <f t="shared" si="1"/>
        <v>415.89999999999992</v>
      </c>
      <c r="I26" s="205">
        <f t="shared" si="1"/>
        <v>309.89999999999998</v>
      </c>
      <c r="J26" s="131">
        <f t="shared" si="1"/>
        <v>154</v>
      </c>
      <c r="K26" s="128">
        <f t="shared" si="1"/>
        <v>233.99999999999994</v>
      </c>
      <c r="L26" s="128">
        <f t="shared" si="1"/>
        <v>370.1</v>
      </c>
      <c r="M26" s="128">
        <f t="shared" si="1"/>
        <v>313.59999999999997</v>
      </c>
      <c r="N26" s="205"/>
      <c r="O26" s="129">
        <f>SUM(O19:O25)</f>
        <v>149.69999999999999</v>
      </c>
      <c r="P26" s="127">
        <f t="shared" si="1"/>
        <v>61.6</v>
      </c>
      <c r="Q26" s="128">
        <f t="shared" si="1"/>
        <v>59.2</v>
      </c>
      <c r="R26" s="128">
        <f t="shared" si="1"/>
        <v>23.7</v>
      </c>
      <c r="S26" s="128">
        <f t="shared" si="1"/>
        <v>59.3</v>
      </c>
      <c r="T26" s="205">
        <f t="shared" si="1"/>
        <v>59</v>
      </c>
      <c r="U26" s="131">
        <f t="shared" si="1"/>
        <v>64.599999999999994</v>
      </c>
      <c r="V26" s="128">
        <f t="shared" si="1"/>
        <v>63.6</v>
      </c>
      <c r="W26" s="128">
        <f t="shared" si="1"/>
        <v>23.2</v>
      </c>
      <c r="X26" s="128">
        <f t="shared" si="1"/>
        <v>61.8</v>
      </c>
      <c r="Y26" s="129">
        <f t="shared" si="1"/>
        <v>62.3</v>
      </c>
      <c r="Z26" s="375">
        <f>SUM(Z19,Z20,Z21,Z22,Z23,Z24,Z25)</f>
        <v>4929</v>
      </c>
      <c r="AA26" s="301"/>
    </row>
    <row r="27" spans="1:37" s="2" customFormat="1" ht="36.75" customHeight="1" x14ac:dyDescent="0.25">
      <c r="A27" s="192" t="s">
        <v>11</v>
      </c>
      <c r="B27" s="23">
        <v>119.5</v>
      </c>
      <c r="C27" s="24">
        <v>120.5</v>
      </c>
      <c r="D27" s="24">
        <v>124.5</v>
      </c>
      <c r="E27" s="24">
        <v>125.5</v>
      </c>
      <c r="F27" s="24">
        <v>123</v>
      </c>
      <c r="G27" s="24">
        <v>123</v>
      </c>
      <c r="H27" s="24">
        <v>121.5</v>
      </c>
      <c r="I27" s="228">
        <v>119</v>
      </c>
      <c r="J27" s="23">
        <v>125</v>
      </c>
      <c r="K27" s="24">
        <v>122</v>
      </c>
      <c r="L27" s="24">
        <v>121</v>
      </c>
      <c r="M27" s="24">
        <v>118.5</v>
      </c>
      <c r="N27" s="228"/>
      <c r="O27" s="25">
        <v>121.5</v>
      </c>
      <c r="P27" s="63">
        <v>125</v>
      </c>
      <c r="Q27" s="24">
        <v>120</v>
      </c>
      <c r="R27" s="24">
        <v>123.5</v>
      </c>
      <c r="S27" s="24">
        <v>120.5</v>
      </c>
      <c r="T27" s="228">
        <v>120</v>
      </c>
      <c r="U27" s="23">
        <v>125.5</v>
      </c>
      <c r="V27" s="24">
        <v>123.5</v>
      </c>
      <c r="W27" s="24">
        <v>121</v>
      </c>
      <c r="X27" s="24">
        <v>120</v>
      </c>
      <c r="Y27" s="25">
        <v>121</v>
      </c>
      <c r="Z27" s="99">
        <f>(((Z26*1000)/7)/Z28)</f>
        <v>72.405435181784796</v>
      </c>
    </row>
    <row r="28" spans="1:37" s="2" customFormat="1" ht="33" customHeight="1" x14ac:dyDescent="0.25">
      <c r="A28" s="193" t="s">
        <v>12</v>
      </c>
      <c r="B28" s="26">
        <v>366</v>
      </c>
      <c r="C28" s="27">
        <v>769</v>
      </c>
      <c r="D28" s="27">
        <v>584</v>
      </c>
      <c r="E28" s="27">
        <v>214</v>
      </c>
      <c r="F28" s="27">
        <v>360</v>
      </c>
      <c r="G28" s="27">
        <v>534</v>
      </c>
      <c r="H28" s="27">
        <v>489</v>
      </c>
      <c r="I28" s="183">
        <v>372</v>
      </c>
      <c r="J28" s="393">
        <v>176</v>
      </c>
      <c r="K28" s="27">
        <v>274</v>
      </c>
      <c r="L28" s="27">
        <v>437</v>
      </c>
      <c r="M28" s="27">
        <v>378</v>
      </c>
      <c r="N28" s="388">
        <v>182</v>
      </c>
      <c r="O28" s="392">
        <v>176</v>
      </c>
      <c r="P28" s="380">
        <v>493</v>
      </c>
      <c r="Q28" s="381">
        <v>493</v>
      </c>
      <c r="R28" s="381">
        <v>192</v>
      </c>
      <c r="S28" s="381">
        <v>492</v>
      </c>
      <c r="T28" s="382">
        <v>492</v>
      </c>
      <c r="U28" s="383">
        <v>515</v>
      </c>
      <c r="V28" s="381">
        <v>515</v>
      </c>
      <c r="W28" s="381">
        <v>192</v>
      </c>
      <c r="X28" s="381">
        <v>515</v>
      </c>
      <c r="Y28" s="384">
        <v>515</v>
      </c>
      <c r="Z28" s="29">
        <f>SUM(B28:Y28)</f>
        <v>9725</v>
      </c>
      <c r="AA28" s="385" t="s">
        <v>96</v>
      </c>
    </row>
    <row r="29" spans="1:37" s="2" customFormat="1" ht="33" customHeight="1" x14ac:dyDescent="0.25">
      <c r="A29" s="194" t="s">
        <v>13</v>
      </c>
      <c r="B29" s="30">
        <f>((((B27*7)*B28)/1000)-(B19+B20))/5</f>
        <v>44.151799999999994</v>
      </c>
      <c r="C29" s="30">
        <f t="shared" ref="C29:Y29" si="2">((((C27*7)*C28)/1000)-(C19+C20))/5</f>
        <v>93.490300000000019</v>
      </c>
      <c r="D29" s="30">
        <f t="shared" si="2"/>
        <v>73.311200000000014</v>
      </c>
      <c r="E29" s="30">
        <f t="shared" si="2"/>
        <v>27.079799999999999</v>
      </c>
      <c r="F29" s="30">
        <f t="shared" si="2"/>
        <v>44.631999999999991</v>
      </c>
      <c r="G29" s="30">
        <f t="shared" si="2"/>
        <v>66.154799999999994</v>
      </c>
      <c r="H29" s="30">
        <f t="shared" si="2"/>
        <v>59.858899999999991</v>
      </c>
      <c r="I29" s="324">
        <f t="shared" si="2"/>
        <v>44.615199999999994</v>
      </c>
      <c r="J29" s="30">
        <f t="shared" si="2"/>
        <v>24.56</v>
      </c>
      <c r="K29" s="31">
        <f t="shared" si="2"/>
        <v>33.679200000000002</v>
      </c>
      <c r="L29" s="31">
        <f t="shared" si="2"/>
        <v>53.3078</v>
      </c>
      <c r="M29" s="31">
        <f t="shared" si="2"/>
        <v>45.190199999999997</v>
      </c>
      <c r="N29" s="163"/>
      <c r="O29" s="32">
        <f>((((O27*7)*O28)/1000)-(O19+O20))/5</f>
        <v>18.537599999999998</v>
      </c>
      <c r="P29" s="65">
        <f t="shared" si="2"/>
        <v>86.275000000000006</v>
      </c>
      <c r="Q29" s="30">
        <f t="shared" si="2"/>
        <v>82.823999999999998</v>
      </c>
      <c r="R29" s="30">
        <f t="shared" si="2"/>
        <v>33.196800000000003</v>
      </c>
      <c r="S29" s="30">
        <f t="shared" si="2"/>
        <v>83.000399999999999</v>
      </c>
      <c r="T29" s="30">
        <f t="shared" si="2"/>
        <v>82.655999999999992</v>
      </c>
      <c r="U29" s="30">
        <f t="shared" si="2"/>
        <v>90.485500000000002</v>
      </c>
      <c r="V29" s="30">
        <f t="shared" si="2"/>
        <v>89.043499999999995</v>
      </c>
      <c r="W29" s="30">
        <f t="shared" si="2"/>
        <v>32.524799999999999</v>
      </c>
      <c r="X29" s="30">
        <f t="shared" si="2"/>
        <v>86.52000000000001</v>
      </c>
      <c r="Y29" s="286">
        <f t="shared" si="2"/>
        <v>87.241</v>
      </c>
      <c r="Z29" s="33"/>
    </row>
    <row r="30" spans="1:37" ht="33.75" customHeight="1" x14ac:dyDescent="0.25">
      <c r="A30" s="185" t="s">
        <v>14</v>
      </c>
      <c r="B30" s="279">
        <f t="shared" ref="B30:Y30" si="3">((B28*B27)*7)/1000</f>
        <v>306.15899999999999</v>
      </c>
      <c r="C30" s="280">
        <f t="shared" si="3"/>
        <v>648.65150000000006</v>
      </c>
      <c r="D30" s="280">
        <f t="shared" si="3"/>
        <v>508.95600000000002</v>
      </c>
      <c r="E30" s="280">
        <f t="shared" si="3"/>
        <v>187.999</v>
      </c>
      <c r="F30" s="280">
        <f t="shared" si="3"/>
        <v>309.95999999999998</v>
      </c>
      <c r="G30" s="280">
        <f t="shared" si="3"/>
        <v>459.774</v>
      </c>
      <c r="H30" s="280">
        <f t="shared" si="3"/>
        <v>415.89449999999999</v>
      </c>
      <c r="I30" s="281">
        <f t="shared" si="3"/>
        <v>309.87599999999998</v>
      </c>
      <c r="J30" s="279">
        <f t="shared" si="3"/>
        <v>154</v>
      </c>
      <c r="K30" s="280">
        <f t="shared" si="3"/>
        <v>233.99600000000001</v>
      </c>
      <c r="L30" s="280">
        <f t="shared" si="3"/>
        <v>370.13900000000001</v>
      </c>
      <c r="M30" s="280">
        <f t="shared" si="3"/>
        <v>313.55099999999999</v>
      </c>
      <c r="N30" s="281"/>
      <c r="O30" s="282">
        <f t="shared" si="3"/>
        <v>149.68799999999999</v>
      </c>
      <c r="P30" s="325">
        <f t="shared" si="3"/>
        <v>431.375</v>
      </c>
      <c r="Q30" s="280">
        <f t="shared" si="3"/>
        <v>414.12</v>
      </c>
      <c r="R30" s="280">
        <f t="shared" si="3"/>
        <v>165.98400000000001</v>
      </c>
      <c r="S30" s="280">
        <f t="shared" si="3"/>
        <v>415.00200000000001</v>
      </c>
      <c r="T30" s="281">
        <f t="shared" si="3"/>
        <v>413.28</v>
      </c>
      <c r="U30" s="279">
        <f t="shared" si="3"/>
        <v>452.42750000000001</v>
      </c>
      <c r="V30" s="280">
        <f t="shared" si="3"/>
        <v>445.21749999999997</v>
      </c>
      <c r="W30" s="280">
        <f t="shared" si="3"/>
        <v>162.624</v>
      </c>
      <c r="X30" s="280">
        <f t="shared" si="3"/>
        <v>432.6</v>
      </c>
      <c r="Y30" s="282">
        <f t="shared" si="3"/>
        <v>436.20499999999998</v>
      </c>
      <c r="Z30" s="36"/>
    </row>
    <row r="31" spans="1:37" ht="33.75" customHeight="1" thickBot="1" x14ac:dyDescent="0.3">
      <c r="A31" s="195" t="s">
        <v>15</v>
      </c>
      <c r="B31" s="37">
        <f>+(B26/B28)/7*1000</f>
        <v>119.51600312256051</v>
      </c>
      <c r="C31" s="38">
        <f t="shared" ref="C31:Y31" si="4">+(C26/C28)/7*1000</f>
        <v>120.50900984581089</v>
      </c>
      <c r="D31" s="38">
        <f t="shared" si="4"/>
        <v>124.51076320939335</v>
      </c>
      <c r="E31" s="38">
        <f t="shared" si="4"/>
        <v>125.5006675567423</v>
      </c>
      <c r="F31" s="38">
        <f t="shared" si="4"/>
        <v>123.01587301587303</v>
      </c>
      <c r="G31" s="38">
        <f t="shared" si="4"/>
        <v>123.00695559122524</v>
      </c>
      <c r="H31" s="38">
        <f t="shared" si="4"/>
        <v>121.50160677768038</v>
      </c>
      <c r="I31" s="207">
        <f t="shared" si="4"/>
        <v>119.00921658986175</v>
      </c>
      <c r="J31" s="37">
        <f t="shared" si="4"/>
        <v>125</v>
      </c>
      <c r="K31" s="38">
        <f t="shared" si="4"/>
        <v>122.00208550573511</v>
      </c>
      <c r="L31" s="38">
        <f t="shared" si="4"/>
        <v>120.9872507355345</v>
      </c>
      <c r="M31" s="38">
        <f t="shared" si="4"/>
        <v>118.51851851851849</v>
      </c>
      <c r="N31" s="207"/>
      <c r="O31" s="39">
        <f>+(O26/O28)/7*1000</f>
        <v>121.50974025974025</v>
      </c>
      <c r="P31" s="67">
        <f t="shared" si="4"/>
        <v>17.849898580121703</v>
      </c>
      <c r="Q31" s="38">
        <f t="shared" si="4"/>
        <v>17.15444798609099</v>
      </c>
      <c r="R31" s="38">
        <f t="shared" si="4"/>
        <v>17.633928571428573</v>
      </c>
      <c r="S31" s="38">
        <f t="shared" si="4"/>
        <v>17.218350754936122</v>
      </c>
      <c r="T31" s="207">
        <f t="shared" si="4"/>
        <v>17.131242740998839</v>
      </c>
      <c r="U31" s="37">
        <f t="shared" si="4"/>
        <v>17.919556171983356</v>
      </c>
      <c r="V31" s="38">
        <f t="shared" si="4"/>
        <v>17.642163661581137</v>
      </c>
      <c r="W31" s="38">
        <f t="shared" si="4"/>
        <v>17.261904761904763</v>
      </c>
      <c r="X31" s="38">
        <f t="shared" si="4"/>
        <v>17.142857142857142</v>
      </c>
      <c r="Y31" s="39">
        <f t="shared" si="4"/>
        <v>17.28155339805825</v>
      </c>
      <c r="Z31" s="40"/>
    </row>
    <row r="32" spans="1:37" ht="33.75" customHeight="1" x14ac:dyDescent="0.25">
      <c r="A32" s="41"/>
      <c r="B32" s="42">
        <f>B30-B26</f>
        <v>-4.0999999999996817E-2</v>
      </c>
      <c r="C32" s="42">
        <f t="shared" ref="C32:Y33" si="5">C30-C26</f>
        <v>-4.8499999999989996E-2</v>
      </c>
      <c r="D32" s="42">
        <f t="shared" si="5"/>
        <v>-4.399999999998272E-2</v>
      </c>
      <c r="E32" s="42">
        <f t="shared" si="5"/>
        <v>-9.9999999997635314E-4</v>
      </c>
      <c r="F32" s="42">
        <f t="shared" si="5"/>
        <v>-4.0000000000020464E-2</v>
      </c>
      <c r="G32" s="42">
        <f t="shared" si="5"/>
        <v>-2.5999999999953616E-2</v>
      </c>
      <c r="H32" s="42">
        <f t="shared" si="5"/>
        <v>-5.4999999999267857E-3</v>
      </c>
      <c r="I32" s="42">
        <f t="shared" si="5"/>
        <v>-2.4000000000000909E-2</v>
      </c>
      <c r="J32" s="42">
        <f t="shared" si="5"/>
        <v>0</v>
      </c>
      <c r="K32" s="42">
        <f t="shared" si="5"/>
        <v>-3.9999999999338343E-3</v>
      </c>
      <c r="L32" s="42">
        <f t="shared" si="5"/>
        <v>3.8999999999987267E-2</v>
      </c>
      <c r="M32" s="42">
        <f t="shared" si="5"/>
        <v>-4.8999999999978172E-2</v>
      </c>
      <c r="N32" s="42"/>
      <c r="O32" s="42">
        <f t="shared" si="5"/>
        <v>-1.2000000000000455E-2</v>
      </c>
      <c r="P32" s="42">
        <f t="shared" si="5"/>
        <v>369.77499999999998</v>
      </c>
      <c r="Q32" s="42">
        <f t="shared" si="5"/>
        <v>354.92</v>
      </c>
      <c r="R32" s="42">
        <f t="shared" si="5"/>
        <v>142.28400000000002</v>
      </c>
      <c r="S32" s="42">
        <f t="shared" si="5"/>
        <v>355.702</v>
      </c>
      <c r="T32" s="42">
        <f t="shared" si="5"/>
        <v>354.28</v>
      </c>
      <c r="U32" s="42">
        <f t="shared" si="5"/>
        <v>387.82749999999999</v>
      </c>
      <c r="V32" s="42">
        <f t="shared" si="5"/>
        <v>381.61749999999995</v>
      </c>
      <c r="W32" s="42">
        <f t="shared" si="5"/>
        <v>139.42400000000001</v>
      </c>
      <c r="X32" s="42">
        <f t="shared" si="5"/>
        <v>370.8</v>
      </c>
      <c r="Y32" s="42">
        <f t="shared" si="5"/>
        <v>373.90499999999997</v>
      </c>
      <c r="Z32" s="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</row>
    <row r="33" spans="1:38" ht="33.75" customHeight="1" x14ac:dyDescent="0.25">
      <c r="A33" s="41"/>
      <c r="B33" s="42">
        <f>B31-B27</f>
        <v>1.600312256050529E-2</v>
      </c>
      <c r="C33" s="42">
        <f t="shared" si="5"/>
        <v>9.0098458108940349E-3</v>
      </c>
      <c r="D33" s="42">
        <f t="shared" si="5"/>
        <v>1.0763209393346074E-2</v>
      </c>
      <c r="E33" s="42">
        <f t="shared" si="5"/>
        <v>6.6755674230023487E-4</v>
      </c>
      <c r="F33" s="42">
        <f t="shared" si="5"/>
        <v>1.5873015873026475E-2</v>
      </c>
      <c r="G33" s="42">
        <f t="shared" si="5"/>
        <v>6.9555912252354801E-3</v>
      </c>
      <c r="H33" s="42">
        <f t="shared" si="5"/>
        <v>1.6067776803794231E-3</v>
      </c>
      <c r="I33" s="42">
        <f t="shared" si="5"/>
        <v>9.2165898617508901E-3</v>
      </c>
      <c r="J33" s="42">
        <f t="shared" si="5"/>
        <v>0</v>
      </c>
      <c r="K33" s="42">
        <f t="shared" si="5"/>
        <v>2.0855057351099049E-3</v>
      </c>
      <c r="L33" s="42">
        <f t="shared" si="5"/>
        <v>-1.2749264465497845E-2</v>
      </c>
      <c r="M33" s="42">
        <f t="shared" si="5"/>
        <v>1.8518518518490623E-2</v>
      </c>
      <c r="N33" s="42"/>
      <c r="O33" s="42">
        <f t="shared" si="5"/>
        <v>9.7402597402549418E-3</v>
      </c>
      <c r="P33" s="42">
        <f t="shared" si="5"/>
        <v>-107.1501014198783</v>
      </c>
      <c r="Q33" s="42">
        <f t="shared" si="5"/>
        <v>-102.84555201390901</v>
      </c>
      <c r="R33" s="42">
        <f t="shared" si="5"/>
        <v>-105.86607142857143</v>
      </c>
      <c r="S33" s="42">
        <f t="shared" si="5"/>
        <v>-103.28164924506387</v>
      </c>
      <c r="T33" s="42">
        <f t="shared" si="5"/>
        <v>-102.86875725900116</v>
      </c>
      <c r="U33" s="42">
        <f t="shared" si="5"/>
        <v>-107.58044382801664</v>
      </c>
      <c r="V33" s="42">
        <f t="shared" si="5"/>
        <v>-105.85783633841886</v>
      </c>
      <c r="W33" s="42">
        <f t="shared" si="5"/>
        <v>-103.73809523809524</v>
      </c>
      <c r="X33" s="42">
        <f t="shared" si="5"/>
        <v>-102.85714285714286</v>
      </c>
      <c r="Y33" s="42">
        <f t="shared" si="5"/>
        <v>-103.71844660194175</v>
      </c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264"/>
      <c r="K34" s="42"/>
      <c r="L34" s="42"/>
      <c r="M34" s="42"/>
      <c r="N34" s="42"/>
      <c r="O34" s="264"/>
      <c r="P34" s="42"/>
      <c r="Q34" s="42"/>
      <c r="R34" s="42"/>
      <c r="S34" s="42"/>
      <c r="T34" s="264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2"/>
      <c r="C35" s="42"/>
      <c r="D35" s="42"/>
      <c r="E35" s="42"/>
      <c r="F35" s="42"/>
      <c r="G35" s="42"/>
      <c r="H35" s="42"/>
      <c r="I35" s="42"/>
      <c r="J35" s="264"/>
      <c r="K35" s="264"/>
      <c r="L35" s="264"/>
      <c r="M35" s="264"/>
      <c r="N35" s="264"/>
      <c r="O35" s="264"/>
      <c r="P35" s="42"/>
      <c r="Q35" s="42"/>
      <c r="R35" s="42"/>
      <c r="S35" s="42"/>
      <c r="T35" s="264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1"/>
    </row>
    <row r="36" spans="1:38" s="2" customFormat="1" ht="33.75" customHeight="1" thickBot="1" x14ac:dyDescent="0.3">
      <c r="B36" s="43"/>
      <c r="C36" s="350"/>
      <c r="D36" s="350"/>
      <c r="E36" s="350"/>
      <c r="F36" s="350"/>
      <c r="G36" s="350"/>
      <c r="H36" s="318"/>
      <c r="I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3"/>
    </row>
    <row r="37" spans="1:38" ht="33.75" customHeight="1" thickBot="1" x14ac:dyDescent="0.3">
      <c r="A37" s="69" t="s">
        <v>16</v>
      </c>
      <c r="B37" s="980" t="s">
        <v>17</v>
      </c>
      <c r="C37" s="972"/>
      <c r="D37" s="972"/>
      <c r="E37" s="972"/>
      <c r="F37" s="972"/>
      <c r="G37" s="972"/>
      <c r="H37" s="972"/>
      <c r="I37" s="972"/>
      <c r="J37" s="977" t="s">
        <v>9</v>
      </c>
      <c r="K37" s="47"/>
      <c r="R37" s="44"/>
      <c r="S37" s="88" t="s">
        <v>18</v>
      </c>
      <c r="T37" s="980" t="s">
        <v>17</v>
      </c>
      <c r="U37" s="972"/>
      <c r="V37" s="972"/>
      <c r="W37" s="990"/>
      <c r="X37" s="977" t="s">
        <v>9</v>
      </c>
      <c r="Y37" s="269"/>
      <c r="AA37" s="45"/>
      <c r="AB37" s="45"/>
      <c r="AC37" s="46"/>
      <c r="AD37" s="3"/>
      <c r="AE37" s="45"/>
      <c r="AF37" s="45"/>
      <c r="AG37" s="45"/>
      <c r="AH37" s="3"/>
    </row>
    <row r="38" spans="1:38" ht="33.75" customHeight="1" thickBot="1" x14ac:dyDescent="0.3">
      <c r="A38" s="170" t="s">
        <v>34</v>
      </c>
      <c r="B38" s="141"/>
      <c r="C38" s="118"/>
      <c r="D38" s="118"/>
      <c r="E38" s="118"/>
      <c r="F38" s="118"/>
      <c r="G38" s="118"/>
      <c r="H38" s="118"/>
      <c r="I38" s="121"/>
      <c r="J38" s="985"/>
      <c r="K38" s="47"/>
      <c r="L38" s="47"/>
      <c r="M38" s="47"/>
      <c r="N38" s="47"/>
      <c r="O38" s="47"/>
      <c r="P38" s="47"/>
      <c r="Q38" s="970"/>
      <c r="R38" s="976"/>
      <c r="S38" s="353" t="s">
        <v>33</v>
      </c>
      <c r="T38" s="141">
        <v>1</v>
      </c>
      <c r="U38" s="118">
        <v>2</v>
      </c>
      <c r="V38" s="118">
        <v>3</v>
      </c>
      <c r="W38" s="119" t="s">
        <v>92</v>
      </c>
      <c r="X38" s="979"/>
      <c r="Y38" s="2"/>
      <c r="AA38" s="47"/>
      <c r="AB38" s="47"/>
      <c r="AC38" s="3"/>
      <c r="AD38" s="46"/>
      <c r="AE38" s="3"/>
      <c r="AF38" s="45"/>
      <c r="AG38" s="45"/>
      <c r="AH38" s="45"/>
    </row>
    <row r="39" spans="1:38" ht="33.75" customHeight="1" thickBot="1" x14ac:dyDescent="0.3">
      <c r="A39" s="170" t="s">
        <v>10</v>
      </c>
      <c r="B39" s="11">
        <v>1</v>
      </c>
      <c r="C39" s="16">
        <v>2</v>
      </c>
      <c r="D39" s="16">
        <v>3</v>
      </c>
      <c r="E39" s="16">
        <v>4</v>
      </c>
      <c r="F39" s="16">
        <v>5</v>
      </c>
      <c r="G39" s="16">
        <v>6</v>
      </c>
      <c r="H39" s="16" t="s">
        <v>82</v>
      </c>
      <c r="I39" s="352" t="s">
        <v>83</v>
      </c>
      <c r="J39" s="984"/>
      <c r="K39" s="47"/>
      <c r="L39" s="47"/>
      <c r="M39" s="47"/>
      <c r="N39" s="47"/>
      <c r="O39" s="47"/>
      <c r="P39" s="47"/>
      <c r="Q39" s="144"/>
      <c r="R39" s="145"/>
      <c r="S39" s="170" t="s">
        <v>10</v>
      </c>
      <c r="T39" s="11">
        <v>1</v>
      </c>
      <c r="U39" s="16">
        <v>2</v>
      </c>
      <c r="V39" s="16">
        <v>3</v>
      </c>
      <c r="W39" s="363" t="s">
        <v>72</v>
      </c>
      <c r="X39" s="278"/>
      <c r="Y39" s="270"/>
      <c r="AA39" s="47"/>
      <c r="AB39" s="47"/>
      <c r="AC39" s="48"/>
      <c r="AD39" s="48"/>
      <c r="AE39" s="2"/>
      <c r="AF39" s="2"/>
      <c r="AG39" s="2"/>
      <c r="AH39" s="2"/>
    </row>
    <row r="40" spans="1:38" ht="33.75" customHeight="1" x14ac:dyDescent="0.25">
      <c r="A40" s="171" t="s">
        <v>32</v>
      </c>
      <c r="B40" s="130">
        <v>32.9</v>
      </c>
      <c r="C40" s="124">
        <v>83.1</v>
      </c>
      <c r="D40" s="124">
        <v>51.6</v>
      </c>
      <c r="E40" s="124">
        <v>37.1</v>
      </c>
      <c r="F40" s="124">
        <v>81.7</v>
      </c>
      <c r="G40" s="124">
        <v>44.2</v>
      </c>
      <c r="H40" s="124">
        <v>5.6</v>
      </c>
      <c r="I40" s="132">
        <v>6.1</v>
      </c>
      <c r="J40" s="373">
        <f t="shared" ref="J40:J46" si="6">SUM(B40:I40)</f>
        <v>342.3</v>
      </c>
      <c r="K40" s="988"/>
      <c r="L40" s="989"/>
      <c r="M40" s="989"/>
      <c r="N40" s="989"/>
      <c r="O40" s="364"/>
      <c r="P40" s="364"/>
      <c r="Q40" s="364"/>
      <c r="R40" s="145"/>
      <c r="S40" s="171" t="s">
        <v>53</v>
      </c>
      <c r="T40" s="18">
        <v>9.6999999999999993</v>
      </c>
      <c r="U40" s="19">
        <v>14.9</v>
      </c>
      <c r="V40" s="19">
        <v>7.6</v>
      </c>
      <c r="W40" s="20">
        <v>15.8</v>
      </c>
      <c r="X40" s="98">
        <f>SUM(T40:W40)</f>
        <v>48</v>
      </c>
      <c r="Y40" s="271"/>
      <c r="Z40" s="302"/>
      <c r="AA40" s="2"/>
      <c r="AB40" s="49"/>
      <c r="AC40" s="48"/>
      <c r="AD40" s="48"/>
      <c r="AE40" s="2"/>
      <c r="AF40" s="2"/>
      <c r="AG40" s="2"/>
      <c r="AH40" s="2"/>
    </row>
    <row r="41" spans="1:38" ht="33.75" customHeight="1" x14ac:dyDescent="0.25">
      <c r="A41" s="171" t="s">
        <v>24</v>
      </c>
      <c r="B41" s="130">
        <v>32.9</v>
      </c>
      <c r="C41" s="124">
        <v>83.1</v>
      </c>
      <c r="D41" s="124">
        <v>51.6</v>
      </c>
      <c r="E41" s="124">
        <v>37.1</v>
      </c>
      <c r="F41" s="124">
        <v>81.7</v>
      </c>
      <c r="G41" s="124">
        <v>44.2</v>
      </c>
      <c r="H41" s="124">
        <v>5.6</v>
      </c>
      <c r="I41" s="132">
        <v>6.1</v>
      </c>
      <c r="J41" s="374">
        <f t="shared" si="6"/>
        <v>342.3</v>
      </c>
      <c r="K41" s="988"/>
      <c r="L41" s="989"/>
      <c r="M41" s="989"/>
      <c r="N41" s="989"/>
      <c r="O41" s="364"/>
      <c r="P41" s="364"/>
      <c r="Q41" s="364"/>
      <c r="R41" s="145"/>
      <c r="S41" s="171" t="s">
        <v>24</v>
      </c>
      <c r="T41" s="18">
        <v>9.6999999999999993</v>
      </c>
      <c r="U41" s="19">
        <v>14.9</v>
      </c>
      <c r="V41" s="19">
        <v>7.6</v>
      </c>
      <c r="W41" s="20">
        <v>15.8</v>
      </c>
      <c r="X41" s="98">
        <f>SUM(T41:W41)</f>
        <v>48</v>
      </c>
      <c r="Y41" s="271"/>
      <c r="Z41" s="302"/>
      <c r="AA41" s="2"/>
      <c r="AB41" s="49"/>
      <c r="AC41" s="48"/>
      <c r="AD41" s="48"/>
      <c r="AE41" s="2"/>
      <c r="AF41" s="2"/>
      <c r="AG41" s="2"/>
      <c r="AH41" s="2"/>
    </row>
    <row r="42" spans="1:38" ht="33.75" customHeight="1" x14ac:dyDescent="0.25">
      <c r="A42" s="171" t="s">
        <v>20</v>
      </c>
      <c r="B42" s="18">
        <v>33.700000000000003</v>
      </c>
      <c r="C42" s="19">
        <v>87.6</v>
      </c>
      <c r="D42" s="19">
        <v>54.8</v>
      </c>
      <c r="E42" s="19">
        <v>39.200000000000003</v>
      </c>
      <c r="F42" s="19">
        <v>85.2</v>
      </c>
      <c r="G42" s="19">
        <v>51.9</v>
      </c>
      <c r="H42" s="19">
        <v>5.3</v>
      </c>
      <c r="I42" s="20">
        <v>2.6</v>
      </c>
      <c r="J42" s="374">
        <f t="shared" si="6"/>
        <v>360.3</v>
      </c>
      <c r="K42" s="988"/>
      <c r="L42" s="989"/>
      <c r="M42" s="989"/>
      <c r="N42" s="989"/>
      <c r="O42" s="49"/>
      <c r="P42" s="43"/>
      <c r="Q42" s="2"/>
      <c r="R42" s="145"/>
      <c r="S42" s="171" t="s">
        <v>20</v>
      </c>
      <c r="T42" s="18">
        <v>10.1</v>
      </c>
      <c r="U42" s="19">
        <v>15.4</v>
      </c>
      <c r="V42" s="19">
        <v>7.7</v>
      </c>
      <c r="W42" s="20">
        <v>16</v>
      </c>
      <c r="X42" s="98">
        <f>SUM(T42:W42)</f>
        <v>49.2</v>
      </c>
      <c r="Y42" s="271"/>
      <c r="Z42" s="302"/>
      <c r="AA42" s="2"/>
      <c r="AB42" s="49"/>
      <c r="AC42" s="48"/>
      <c r="AD42" s="48"/>
      <c r="AE42" s="2"/>
      <c r="AF42" s="2"/>
      <c r="AG42" s="2"/>
      <c r="AH42" s="2"/>
    </row>
    <row r="43" spans="1:38" ht="33.75" customHeight="1" x14ac:dyDescent="0.25">
      <c r="A43" s="171" t="s">
        <v>28</v>
      </c>
      <c r="B43" s="18">
        <v>33.700000000000003</v>
      </c>
      <c r="C43" s="19">
        <v>87.6</v>
      </c>
      <c r="D43" s="19">
        <v>54.8</v>
      </c>
      <c r="E43" s="19">
        <v>39.200000000000003</v>
      </c>
      <c r="F43" s="19">
        <v>85.2</v>
      </c>
      <c r="G43" s="19">
        <v>52</v>
      </c>
      <c r="H43" s="19">
        <v>5.4</v>
      </c>
      <c r="I43" s="20">
        <v>2.6</v>
      </c>
      <c r="J43" s="98">
        <f t="shared" si="6"/>
        <v>360.5</v>
      </c>
      <c r="K43" s="988"/>
      <c r="L43" s="989"/>
      <c r="M43" s="989"/>
      <c r="N43" s="989"/>
      <c r="O43" s="49"/>
      <c r="P43" s="144"/>
      <c r="Q43" s="145"/>
      <c r="R43" s="145"/>
      <c r="S43" s="171" t="s">
        <v>28</v>
      </c>
      <c r="T43" s="18">
        <v>10.1</v>
      </c>
      <c r="U43" s="19">
        <v>15.4</v>
      </c>
      <c r="V43" s="19">
        <v>7.7</v>
      </c>
      <c r="W43" s="20">
        <v>16</v>
      </c>
      <c r="X43" s="98">
        <f t="shared" ref="X43:X46" si="7">SUM(T43:W43)</f>
        <v>49.2</v>
      </c>
      <c r="Y43" s="271"/>
      <c r="Z43" s="302"/>
      <c r="AA43" s="2"/>
      <c r="AB43" s="49"/>
      <c r="AC43" s="48"/>
      <c r="AD43" s="48"/>
      <c r="AE43" s="2"/>
      <c r="AF43" s="2"/>
      <c r="AG43" s="2"/>
      <c r="AH43" s="2"/>
    </row>
    <row r="44" spans="1:38" ht="33.75" customHeight="1" x14ac:dyDescent="0.25">
      <c r="A44" s="171" t="s">
        <v>21</v>
      </c>
      <c r="B44" s="18">
        <v>33.700000000000003</v>
      </c>
      <c r="C44" s="19">
        <v>87.6</v>
      </c>
      <c r="D44" s="19">
        <v>54.8</v>
      </c>
      <c r="E44" s="19">
        <v>39.200000000000003</v>
      </c>
      <c r="F44" s="19">
        <v>85.3</v>
      </c>
      <c r="G44" s="19">
        <v>52</v>
      </c>
      <c r="H44" s="19">
        <v>5.4</v>
      </c>
      <c r="I44" s="20">
        <v>2.6</v>
      </c>
      <c r="J44" s="98">
        <f t="shared" si="6"/>
        <v>360.6</v>
      </c>
      <c r="K44" s="988"/>
      <c r="L44" s="989"/>
      <c r="M44" s="989"/>
      <c r="N44" s="989"/>
      <c r="O44" s="49"/>
      <c r="P44" s="144"/>
      <c r="Q44" s="145"/>
      <c r="R44" s="145"/>
      <c r="S44" s="171" t="s">
        <v>21</v>
      </c>
      <c r="T44" s="18">
        <v>10.1</v>
      </c>
      <c r="U44" s="19">
        <v>15.4</v>
      </c>
      <c r="V44" s="19">
        <v>7.7</v>
      </c>
      <c r="W44" s="20">
        <v>16.100000000000001</v>
      </c>
      <c r="X44" s="98">
        <f t="shared" si="7"/>
        <v>49.300000000000004</v>
      </c>
      <c r="Y44" s="271"/>
      <c r="Z44" s="302"/>
      <c r="AA44" s="2"/>
      <c r="AB44" s="49"/>
      <c r="AC44" s="48"/>
      <c r="AD44" s="48"/>
      <c r="AE44" s="2"/>
      <c r="AF44" s="2"/>
      <c r="AG44" s="2"/>
      <c r="AH44" s="2"/>
    </row>
    <row r="45" spans="1:38" ht="33.75" customHeight="1" x14ac:dyDescent="0.25">
      <c r="A45" s="171" t="s">
        <v>22</v>
      </c>
      <c r="B45" s="18">
        <v>33.700000000000003</v>
      </c>
      <c r="C45" s="19">
        <v>87.7</v>
      </c>
      <c r="D45" s="19">
        <v>54.8</v>
      </c>
      <c r="E45" s="19">
        <v>39.200000000000003</v>
      </c>
      <c r="F45" s="19">
        <v>85.3</v>
      </c>
      <c r="G45" s="19">
        <v>52</v>
      </c>
      <c r="H45" s="19">
        <v>5.4</v>
      </c>
      <c r="I45" s="20">
        <v>2.6</v>
      </c>
      <c r="J45" s="98">
        <f t="shared" si="6"/>
        <v>360.7</v>
      </c>
      <c r="K45" s="988"/>
      <c r="L45" s="989"/>
      <c r="M45" s="989"/>
      <c r="N45" s="989"/>
      <c r="O45" s="49"/>
      <c r="P45" s="144"/>
      <c r="Q45" s="145"/>
      <c r="R45" s="145"/>
      <c r="S45" s="171" t="s">
        <v>22</v>
      </c>
      <c r="T45" s="18">
        <v>10.1</v>
      </c>
      <c r="U45" s="19">
        <v>15.4</v>
      </c>
      <c r="V45" s="19">
        <v>7.8</v>
      </c>
      <c r="W45" s="20">
        <v>16.100000000000001</v>
      </c>
      <c r="X45" s="98">
        <f t="shared" si="7"/>
        <v>49.4</v>
      </c>
      <c r="Y45" s="271"/>
      <c r="Z45" s="302"/>
      <c r="AA45" s="2"/>
      <c r="AB45" s="49"/>
      <c r="AC45" s="48"/>
      <c r="AD45" s="48"/>
      <c r="AE45" s="2"/>
      <c r="AF45" s="2"/>
      <c r="AG45" s="2"/>
      <c r="AH45" s="2"/>
    </row>
    <row r="46" spans="1:38" ht="33.75" customHeight="1" thickBot="1" x14ac:dyDescent="0.3">
      <c r="A46" s="285" t="s">
        <v>32</v>
      </c>
      <c r="B46" s="18">
        <v>33.799999999999997</v>
      </c>
      <c r="C46" s="19">
        <v>87.7</v>
      </c>
      <c r="D46" s="19">
        <v>54.8</v>
      </c>
      <c r="E46" s="19">
        <v>39.200000000000003</v>
      </c>
      <c r="F46" s="19">
        <v>85.3</v>
      </c>
      <c r="G46" s="19">
        <v>52</v>
      </c>
      <c r="H46" s="19">
        <v>5.4</v>
      </c>
      <c r="I46" s="20">
        <v>2.6</v>
      </c>
      <c r="J46" s="372">
        <f t="shared" si="6"/>
        <v>360.8</v>
      </c>
      <c r="K46" s="988"/>
      <c r="L46" s="989"/>
      <c r="M46" s="989"/>
      <c r="N46" s="989"/>
      <c r="O46" s="49"/>
      <c r="P46" s="144"/>
      <c r="Q46" s="145"/>
      <c r="R46" s="145"/>
      <c r="S46" s="285" t="s">
        <v>23</v>
      </c>
      <c r="T46" s="18">
        <v>10.199999999999999</v>
      </c>
      <c r="U46" s="19">
        <v>15.4</v>
      </c>
      <c r="V46" s="19">
        <v>7.8</v>
      </c>
      <c r="W46" s="20">
        <v>16.100000000000001</v>
      </c>
      <c r="X46" s="98">
        <f t="shared" si="7"/>
        <v>49.5</v>
      </c>
      <c r="Y46" s="271"/>
      <c r="Z46" s="302"/>
      <c r="AA46" s="2"/>
      <c r="AB46" s="49"/>
      <c r="AC46" s="48"/>
      <c r="AD46" s="48"/>
      <c r="AE46" s="48"/>
      <c r="AF46" s="48"/>
      <c r="AG46" s="2"/>
      <c r="AH46" s="2"/>
      <c r="AI46" s="2"/>
      <c r="AJ46" s="2"/>
    </row>
    <row r="47" spans="1:38" ht="33.75" customHeight="1" x14ac:dyDescent="0.25">
      <c r="A47" s="290" t="s">
        <v>9</v>
      </c>
      <c r="B47" s="131">
        <f>SUM(B40:B46)</f>
        <v>234.39999999999998</v>
      </c>
      <c r="C47" s="128">
        <f t="shared" ref="C47:I47" si="8">SUM(C40:C46)</f>
        <v>604.40000000000009</v>
      </c>
      <c r="D47" s="128">
        <f t="shared" si="8"/>
        <v>377.20000000000005</v>
      </c>
      <c r="E47" s="128">
        <f t="shared" si="8"/>
        <v>270.2</v>
      </c>
      <c r="F47" s="128">
        <f t="shared" si="8"/>
        <v>589.70000000000005</v>
      </c>
      <c r="G47" s="128">
        <f t="shared" si="8"/>
        <v>348.3</v>
      </c>
      <c r="H47" s="128">
        <f t="shared" si="8"/>
        <v>38.099999999999994</v>
      </c>
      <c r="I47" s="129">
        <f t="shared" si="8"/>
        <v>25.200000000000003</v>
      </c>
      <c r="J47" s="265">
        <f>SUM(B47:I47)</f>
        <v>2487.5</v>
      </c>
      <c r="K47" s="988"/>
      <c r="L47" s="989"/>
      <c r="M47" s="989"/>
      <c r="N47" s="989"/>
      <c r="O47" s="49"/>
      <c r="P47" s="49"/>
      <c r="Q47" s="49"/>
      <c r="S47" s="290" t="s">
        <v>9</v>
      </c>
      <c r="T47" s="133">
        <f>SUM(T40:T46)</f>
        <v>70</v>
      </c>
      <c r="U47" s="134">
        <f>SUM(U40:U46)</f>
        <v>106.80000000000001</v>
      </c>
      <c r="V47" s="134">
        <f>SUM(V40:V46)</f>
        <v>53.899999999999991</v>
      </c>
      <c r="W47" s="134">
        <f>SUM(W40:W46)</f>
        <v>111.9</v>
      </c>
      <c r="X47" s="265">
        <f>SUM(X40,X41,X42,X43,X44,X45,X46)</f>
        <v>342.59999999999997</v>
      </c>
      <c r="Y47" s="272"/>
      <c r="AA47" s="49"/>
      <c r="AB47" s="49"/>
      <c r="AC47" s="2"/>
      <c r="AD47" s="2"/>
      <c r="AE47" s="2"/>
      <c r="AF47" s="2"/>
      <c r="AG47" s="2"/>
      <c r="AH47" s="2"/>
      <c r="AI47" s="2"/>
      <c r="AJ47" s="2"/>
    </row>
    <row r="48" spans="1:38" ht="33.75" customHeight="1" x14ac:dyDescent="0.25">
      <c r="A48" s="192" t="s">
        <v>11</v>
      </c>
      <c r="B48" s="23">
        <v>120</v>
      </c>
      <c r="C48" s="24">
        <v>123</v>
      </c>
      <c r="D48" s="24">
        <v>126.5</v>
      </c>
      <c r="E48" s="24">
        <v>124.5</v>
      </c>
      <c r="F48" s="24">
        <v>119.5</v>
      </c>
      <c r="G48" s="24">
        <v>116</v>
      </c>
      <c r="H48" s="24">
        <v>126.5</v>
      </c>
      <c r="I48" s="25">
        <v>122</v>
      </c>
      <c r="J48" s="137">
        <f>+((J47/J49)/7)*1000</f>
        <v>121.90639549130115</v>
      </c>
      <c r="K48" s="988"/>
      <c r="L48" s="989"/>
      <c r="M48" s="989"/>
      <c r="N48" s="989"/>
      <c r="O48" s="50"/>
      <c r="P48" s="50"/>
      <c r="Q48" s="49"/>
      <c r="S48" s="273" t="s">
        <v>11</v>
      </c>
      <c r="T48" s="23">
        <v>131.5</v>
      </c>
      <c r="U48" s="24">
        <v>131.5</v>
      </c>
      <c r="V48" s="24">
        <v>130.5</v>
      </c>
      <c r="W48" s="155">
        <v>131</v>
      </c>
      <c r="X48" s="137">
        <f>+((X47/X49)/7)*1000</f>
        <v>131.21409421677515</v>
      </c>
      <c r="Y48" s="2"/>
      <c r="AA48" s="50"/>
      <c r="AB48" s="50"/>
    </row>
    <row r="49" spans="1:50" ht="33.75" customHeight="1" x14ac:dyDescent="0.25">
      <c r="A49" s="193" t="s">
        <v>12</v>
      </c>
      <c r="B49" s="26">
        <v>279</v>
      </c>
      <c r="C49" s="27">
        <v>702</v>
      </c>
      <c r="D49" s="27">
        <v>426</v>
      </c>
      <c r="E49" s="27">
        <v>310</v>
      </c>
      <c r="F49" s="27">
        <v>705</v>
      </c>
      <c r="G49" s="394">
        <v>429</v>
      </c>
      <c r="H49" s="394">
        <v>43</v>
      </c>
      <c r="I49" s="392">
        <v>21</v>
      </c>
      <c r="J49" s="395">
        <f>SUM(B49:I49)</f>
        <v>2915</v>
      </c>
      <c r="K49" s="988"/>
      <c r="L49" s="989"/>
      <c r="M49" s="989"/>
      <c r="N49" s="989"/>
      <c r="O49" s="198"/>
      <c r="P49" s="198"/>
      <c r="Q49" s="49"/>
      <c r="R49" s="51"/>
      <c r="S49" s="193" t="s">
        <v>12</v>
      </c>
      <c r="T49" s="257">
        <v>76</v>
      </c>
      <c r="U49" s="275">
        <v>116</v>
      </c>
      <c r="V49" s="275">
        <v>59</v>
      </c>
      <c r="W49" s="258">
        <v>122</v>
      </c>
      <c r="X49" s="254">
        <f>SUM(T49:W49)</f>
        <v>373</v>
      </c>
      <c r="Y49" s="2"/>
      <c r="AA49" s="52"/>
      <c r="AB49" s="52"/>
    </row>
    <row r="50" spans="1:50" ht="33.75" customHeight="1" x14ac:dyDescent="0.25">
      <c r="A50" s="194" t="s">
        <v>13</v>
      </c>
      <c r="B50" s="30">
        <f>((((B48*7)*B49)/1000)-(B40+B41))/5</f>
        <v>33.712000000000003</v>
      </c>
      <c r="C50" s="31">
        <f t="shared" ref="C50:I50" si="9">((((C48*7)*C49)/1000)-(C40+C41))/5</f>
        <v>87.644400000000005</v>
      </c>
      <c r="D50" s="31">
        <f t="shared" si="9"/>
        <v>54.804600000000008</v>
      </c>
      <c r="E50" s="31">
        <f t="shared" si="9"/>
        <v>39.193000000000005</v>
      </c>
      <c r="F50" s="31">
        <f t="shared" si="9"/>
        <v>85.266499999999994</v>
      </c>
      <c r="G50" s="31">
        <f t="shared" si="9"/>
        <v>51.989599999999996</v>
      </c>
      <c r="H50" s="31">
        <f t="shared" si="9"/>
        <v>5.3753000000000011</v>
      </c>
      <c r="I50" s="32">
        <f t="shared" si="9"/>
        <v>1.1468000000000003</v>
      </c>
      <c r="J50" s="139">
        <f>((J47*1000)/J49)/7</f>
        <v>121.90639549130115</v>
      </c>
      <c r="K50" s="988"/>
      <c r="L50" s="989"/>
      <c r="M50" s="989"/>
      <c r="N50" s="989"/>
      <c r="O50" s="199"/>
      <c r="P50" s="199"/>
      <c r="Q50" s="49"/>
      <c r="S50" s="194" t="s">
        <v>13</v>
      </c>
      <c r="T50" s="30">
        <f>((((T48*7)*T49)/1000)-(T40+T41))/5</f>
        <v>10.111599999999999</v>
      </c>
      <c r="U50" s="30">
        <f>((((U48*7)*U49)/1000)-(U40+U41))/5</f>
        <v>15.395600000000002</v>
      </c>
      <c r="V50" s="30">
        <f>((((V48*7)*V49)/1000)-(V40+V41))/5</f>
        <v>7.7393000000000001</v>
      </c>
      <c r="W50" s="30">
        <f>((((W48*7)*W49)/1000)-(W40+W41))/5</f>
        <v>16.0548</v>
      </c>
      <c r="X50" s="274">
        <f>((X47*1000)/X49)/7</f>
        <v>131.21409421677515</v>
      </c>
      <c r="Y50" s="43"/>
      <c r="AA50" s="52"/>
      <c r="AB50" s="52"/>
    </row>
    <row r="51" spans="1:50" ht="33.75" customHeight="1" x14ac:dyDescent="0.25">
      <c r="A51" s="185" t="s">
        <v>14</v>
      </c>
      <c r="B51" s="279">
        <f t="shared" ref="B51:I51" si="10">((B49*B48)*7)/1000</f>
        <v>234.36</v>
      </c>
      <c r="C51" s="280">
        <f t="shared" si="10"/>
        <v>604.42200000000003</v>
      </c>
      <c r="D51" s="280">
        <f t="shared" si="10"/>
        <v>377.22300000000001</v>
      </c>
      <c r="E51" s="280">
        <f t="shared" si="10"/>
        <v>270.16500000000002</v>
      </c>
      <c r="F51" s="280">
        <f t="shared" si="10"/>
        <v>589.73249999999996</v>
      </c>
      <c r="G51" s="280">
        <f t="shared" si="10"/>
        <v>348.34800000000001</v>
      </c>
      <c r="H51" s="280">
        <f t="shared" si="10"/>
        <v>38.076500000000003</v>
      </c>
      <c r="I51" s="282">
        <f t="shared" si="10"/>
        <v>17.934000000000001</v>
      </c>
      <c r="J51" s="112"/>
      <c r="K51" s="988"/>
      <c r="L51" s="989"/>
      <c r="M51" s="989"/>
      <c r="N51" s="989"/>
      <c r="O51" s="41"/>
      <c r="P51" s="41"/>
      <c r="Q51" s="49"/>
      <c r="S51" s="185" t="s">
        <v>14</v>
      </c>
      <c r="T51" s="279">
        <f>((T49*T48)*7)/1000</f>
        <v>69.957999999999998</v>
      </c>
      <c r="U51" s="280">
        <f>((U49*U48)*7)/1000</f>
        <v>106.77800000000001</v>
      </c>
      <c r="V51" s="280">
        <f>((V49*V48)*7)/1000</f>
        <v>53.896500000000003</v>
      </c>
      <c r="W51" s="280">
        <f>((W49*W48)*7)/1000</f>
        <v>111.874</v>
      </c>
      <c r="X51" s="36"/>
      <c r="Y51" s="41"/>
    </row>
    <row r="52" spans="1:50" ht="33.75" customHeight="1" thickBot="1" x14ac:dyDescent="0.3">
      <c r="A52" s="195" t="s">
        <v>15</v>
      </c>
      <c r="B52" s="37">
        <f t="shared" ref="B52:I52" si="11">+(B47/B49)/7*1000</f>
        <v>120.02048131080389</v>
      </c>
      <c r="C52" s="38">
        <f t="shared" si="11"/>
        <v>122.995522995523</v>
      </c>
      <c r="D52" s="38">
        <f t="shared" si="11"/>
        <v>126.49228705566735</v>
      </c>
      <c r="E52" s="38">
        <f t="shared" si="11"/>
        <v>124.51612903225806</v>
      </c>
      <c r="F52" s="38">
        <f t="shared" si="11"/>
        <v>119.49341438703141</v>
      </c>
      <c r="G52" s="38">
        <f t="shared" si="11"/>
        <v>115.98401598401598</v>
      </c>
      <c r="H52" s="38">
        <f t="shared" si="11"/>
        <v>126.57807308970098</v>
      </c>
      <c r="I52" s="39">
        <f t="shared" si="11"/>
        <v>171.42857142857144</v>
      </c>
      <c r="J52" s="140"/>
      <c r="K52" s="988"/>
      <c r="L52" s="989"/>
      <c r="M52" s="989"/>
      <c r="N52" s="989"/>
      <c r="O52" s="41"/>
      <c r="P52" s="41"/>
      <c r="Q52" s="49"/>
      <c r="R52" s="41"/>
      <c r="S52" s="195" t="s">
        <v>15</v>
      </c>
      <c r="T52" s="37">
        <f>+(T47/T49)/7*1000</f>
        <v>131.57894736842104</v>
      </c>
      <c r="U52" s="38">
        <f>+(U47/U49)/7*1000</f>
        <v>131.52709359605913</v>
      </c>
      <c r="V52" s="38">
        <f>+(V47/V49)/7*1000</f>
        <v>130.50847457627117</v>
      </c>
      <c r="W52" s="38">
        <f>+(W47/W49)/7*1000</f>
        <v>131.03044496487121</v>
      </c>
      <c r="X52" s="259"/>
      <c r="Y52" s="42"/>
      <c r="AA52" s="42"/>
      <c r="AB52" s="42"/>
    </row>
    <row r="53" spans="1:50" ht="33.75" customHeight="1" x14ac:dyDescent="0.25">
      <c r="A53" s="41"/>
      <c r="B53" s="43">
        <f>B51-B47</f>
        <v>-3.999999999996362E-2</v>
      </c>
      <c r="C53" s="43">
        <f t="shared" ref="C53:I54" si="12">C51-C47</f>
        <v>2.1999999999934516E-2</v>
      </c>
      <c r="D53" s="43">
        <f t="shared" si="12"/>
        <v>2.2999999999967713E-2</v>
      </c>
      <c r="E53" s="43">
        <f t="shared" si="12"/>
        <v>-3.4999999999968168E-2</v>
      </c>
      <c r="F53" s="43">
        <f t="shared" si="12"/>
        <v>3.2499999999913598E-2</v>
      </c>
      <c r="G53" s="43">
        <f t="shared" si="12"/>
        <v>4.8000000000001819E-2</v>
      </c>
      <c r="H53" s="43">
        <f t="shared" si="12"/>
        <v>-2.3499999999991417E-2</v>
      </c>
      <c r="I53" s="43">
        <f t="shared" si="12"/>
        <v>-7.2660000000000018</v>
      </c>
      <c r="J53" s="41"/>
      <c r="K53" s="41"/>
      <c r="L53" s="41"/>
      <c r="M53" s="41"/>
      <c r="N53" s="41"/>
      <c r="O53" s="41"/>
      <c r="P53" s="42"/>
      <c r="T53" s="43">
        <f t="shared" ref="T53:W54" si="13">T51-T47</f>
        <v>-4.2000000000001592E-2</v>
      </c>
      <c r="U53" s="42">
        <f t="shared" si="13"/>
        <v>-2.2000000000005571E-2</v>
      </c>
      <c r="V53" s="42">
        <f t="shared" si="13"/>
        <v>-3.4999999999882903E-3</v>
      </c>
      <c r="W53" s="42">
        <f t="shared" si="13"/>
        <v>-2.6000000000010459E-2</v>
      </c>
      <c r="X53" s="42"/>
      <c r="Y53" s="42"/>
      <c r="Z53" s="42"/>
      <c r="AA53" s="2"/>
      <c r="AB53" s="2"/>
      <c r="AC53" s="2"/>
      <c r="AD53" s="2"/>
      <c r="AE53" s="2"/>
    </row>
    <row r="54" spans="1:50" ht="33.75" customHeight="1" x14ac:dyDescent="0.25">
      <c r="A54" s="41"/>
      <c r="B54" s="42">
        <f t="shared" ref="B54:G54" si="14">B52-B48</f>
        <v>2.0481310803887709E-2</v>
      </c>
      <c r="C54" s="42">
        <f t="shared" si="14"/>
        <v>-4.4770044769961714E-3</v>
      </c>
      <c r="D54" s="42">
        <f t="shared" si="14"/>
        <v>-7.7129443326526825E-3</v>
      </c>
      <c r="E54" s="42">
        <f t="shared" si="14"/>
        <v>1.6129032258064058E-2</v>
      </c>
      <c r="F54" s="42">
        <f t="shared" si="14"/>
        <v>-6.5856129685926135E-3</v>
      </c>
      <c r="G54" s="42">
        <f t="shared" si="14"/>
        <v>-1.5984015984017219E-2</v>
      </c>
      <c r="H54" s="42">
        <f t="shared" si="12"/>
        <v>7.8073089700978926E-2</v>
      </c>
      <c r="I54" s="42">
        <f t="shared" si="12"/>
        <v>49.428571428571445</v>
      </c>
      <c r="J54" s="41"/>
      <c r="K54" s="41"/>
      <c r="L54" s="41"/>
      <c r="M54" s="41"/>
      <c r="N54" s="41"/>
      <c r="O54" s="42"/>
      <c r="P54" s="42"/>
      <c r="T54" s="42">
        <f t="shared" si="13"/>
        <v>7.8947368421040665E-2</v>
      </c>
      <c r="U54" s="42">
        <f t="shared" si="13"/>
        <v>2.7093596059131642E-2</v>
      </c>
      <c r="V54" s="42">
        <f t="shared" si="13"/>
        <v>8.4745762711690986E-3</v>
      </c>
      <c r="W54" s="42">
        <f t="shared" si="13"/>
        <v>3.0444964871207958E-2</v>
      </c>
      <c r="X54" s="43"/>
      <c r="Y54" s="43"/>
      <c r="Z54" s="43"/>
      <c r="AA54" s="2"/>
      <c r="AB54" s="2"/>
      <c r="AC54" s="2"/>
      <c r="AD54" s="2"/>
      <c r="AH54" s="3"/>
    </row>
    <row r="55" spans="1:50" ht="33.75" customHeight="1" x14ac:dyDescent="0.25">
      <c r="A55" s="41"/>
      <c r="B55" s="287"/>
      <c r="C55" s="287"/>
      <c r="D55" s="287"/>
      <c r="E55" s="287"/>
      <c r="F55" s="287"/>
      <c r="G55" s="264"/>
      <c r="H55" s="41"/>
      <c r="I55" s="41"/>
      <c r="J55" s="41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2"/>
      <c r="X55" s="43"/>
      <c r="Y55" s="43"/>
      <c r="Z55" s="43"/>
      <c r="AA55" s="2"/>
      <c r="AB55" s="2"/>
      <c r="AC55" s="2"/>
      <c r="AD55" s="2"/>
      <c r="AH55" s="3"/>
    </row>
    <row r="56" spans="1:50" ht="33.75" customHeight="1" thickBot="1" x14ac:dyDescent="0.3">
      <c r="A56" s="53"/>
      <c r="B56" s="284"/>
      <c r="C56" s="284"/>
      <c r="D56" s="284"/>
      <c r="E56" s="284"/>
      <c r="F56" s="284"/>
      <c r="G56" s="284"/>
      <c r="H56" s="54"/>
      <c r="I56" s="54"/>
      <c r="J56" s="54"/>
      <c r="K56" s="54"/>
      <c r="L56" s="54"/>
      <c r="M56" s="54"/>
      <c r="N56" s="54"/>
      <c r="O56" s="958"/>
      <c r="P56" s="958"/>
      <c r="Q56" s="283"/>
      <c r="R56" s="283"/>
      <c r="S56" s="283"/>
      <c r="T56" s="54"/>
      <c r="U56" s="55"/>
      <c r="Z56" s="43"/>
      <c r="AA56" s="43"/>
      <c r="AB56" s="43"/>
      <c r="AC56" s="2"/>
      <c r="AD56" s="2"/>
      <c r="AE56" s="2"/>
      <c r="AF56" s="2"/>
      <c r="AH56" s="2"/>
      <c r="AI56" s="2"/>
      <c r="AJ56" s="2"/>
    </row>
    <row r="57" spans="1:50" ht="33.75" customHeight="1" thickBot="1" x14ac:dyDescent="0.3">
      <c r="A57" s="359" t="s">
        <v>19</v>
      </c>
      <c r="B57" s="986" t="s">
        <v>8</v>
      </c>
      <c r="C57" s="956"/>
      <c r="D57" s="956"/>
      <c r="E57" s="956"/>
      <c r="F57" s="956"/>
      <c r="G57" s="986" t="s">
        <v>30</v>
      </c>
      <c r="H57" s="956"/>
      <c r="I57" s="956"/>
      <c r="J57" s="956"/>
      <c r="K57" s="956"/>
      <c r="L57" s="987"/>
      <c r="M57" s="986" t="s">
        <v>29</v>
      </c>
      <c r="N57" s="956"/>
      <c r="O57" s="956"/>
      <c r="P57" s="956"/>
      <c r="Q57" s="956"/>
      <c r="R57" s="973" t="s">
        <v>31</v>
      </c>
      <c r="S57" s="974"/>
      <c r="T57" s="974"/>
      <c r="U57" s="974"/>
      <c r="V57" s="991"/>
      <c r="AF57" s="43"/>
      <c r="AG57" s="43"/>
      <c r="AH57" s="43"/>
      <c r="AI57" s="2"/>
      <c r="AJ57" s="2"/>
      <c r="AK57" s="2"/>
      <c r="AL57" s="2"/>
      <c r="AN57" s="2"/>
      <c r="AO57" s="2"/>
      <c r="AP57" s="2"/>
    </row>
    <row r="58" spans="1:50" ht="33.75" customHeight="1" thickBot="1" x14ac:dyDescent="0.3">
      <c r="A58" s="170" t="s">
        <v>34</v>
      </c>
      <c r="B58" s="360"/>
      <c r="C58" s="361"/>
      <c r="D58" s="361"/>
      <c r="E58" s="361"/>
      <c r="F58" s="361"/>
      <c r="G58" s="360"/>
      <c r="H58" s="361"/>
      <c r="I58" s="361"/>
      <c r="J58" s="361"/>
      <c r="K58" s="361"/>
      <c r="L58" s="361"/>
      <c r="M58" s="360"/>
      <c r="N58" s="361"/>
      <c r="O58" s="361"/>
      <c r="P58" s="361"/>
      <c r="Q58" s="361"/>
      <c r="R58" s="386"/>
      <c r="S58" s="387"/>
      <c r="T58" s="387"/>
      <c r="U58" s="387"/>
      <c r="V58" s="387"/>
      <c r="W58" s="13" t="s">
        <v>9</v>
      </c>
      <c r="AD58" s="45"/>
      <c r="AE58" s="45"/>
      <c r="AF58" s="45"/>
      <c r="AG58" s="45"/>
      <c r="AH58" s="57"/>
      <c r="AI58" s="57"/>
      <c r="AJ58" s="57"/>
      <c r="AK58" s="57"/>
      <c r="AL58" s="45"/>
      <c r="AM58" s="45"/>
      <c r="AN58" s="58"/>
      <c r="AO58" s="58"/>
      <c r="AP58" s="58"/>
      <c r="AQ58" s="2"/>
      <c r="AR58" s="2"/>
      <c r="AS58" s="2"/>
      <c r="AT58" s="2"/>
      <c r="AV58" s="2"/>
      <c r="AW58" s="2"/>
      <c r="AX58" s="2"/>
    </row>
    <row r="59" spans="1:50" ht="33.75" customHeight="1" x14ac:dyDescent="0.25">
      <c r="A59" s="170" t="s">
        <v>10</v>
      </c>
      <c r="B59" s="141">
        <v>1</v>
      </c>
      <c r="C59" s="150">
        <v>2</v>
      </c>
      <c r="D59" s="150">
        <v>3</v>
      </c>
      <c r="E59" s="150">
        <v>4</v>
      </c>
      <c r="F59" s="389">
        <v>5</v>
      </c>
      <c r="G59" s="141">
        <v>1</v>
      </c>
      <c r="H59" s="150">
        <v>2</v>
      </c>
      <c r="I59" s="150">
        <v>3</v>
      </c>
      <c r="J59" s="150">
        <v>4</v>
      </c>
      <c r="K59" s="150">
        <v>5</v>
      </c>
      <c r="L59" s="362" t="s">
        <v>59</v>
      </c>
      <c r="M59" s="141">
        <v>1</v>
      </c>
      <c r="N59" s="150">
        <v>2</v>
      </c>
      <c r="O59" s="150">
        <v>3</v>
      </c>
      <c r="P59" s="150">
        <v>4</v>
      </c>
      <c r="Q59" s="389">
        <v>5</v>
      </c>
      <c r="R59" s="141">
        <v>1</v>
      </c>
      <c r="S59" s="150">
        <v>2</v>
      </c>
      <c r="T59" s="150">
        <v>3</v>
      </c>
      <c r="U59" s="150">
        <v>4</v>
      </c>
      <c r="V59" s="389">
        <v>5</v>
      </c>
      <c r="W59" s="13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25">
      <c r="A60" s="171" t="s">
        <v>53</v>
      </c>
      <c r="B60" s="18"/>
      <c r="C60" s="19"/>
      <c r="D60" s="19"/>
      <c r="E60" s="19"/>
      <c r="F60" s="19"/>
      <c r="G60" s="18"/>
      <c r="H60" s="19"/>
      <c r="I60" s="19"/>
      <c r="J60" s="19"/>
      <c r="K60" s="19"/>
      <c r="L60" s="19">
        <v>39</v>
      </c>
      <c r="M60" s="18"/>
      <c r="N60" s="19"/>
      <c r="O60" s="19"/>
      <c r="P60" s="19"/>
      <c r="Q60" s="19"/>
      <c r="R60" s="18"/>
      <c r="S60" s="19"/>
      <c r="T60" s="19"/>
      <c r="U60" s="19"/>
      <c r="V60" s="19"/>
      <c r="W60" s="98">
        <f t="shared" ref="W60:W67" si="15">SUM(G60:L60)</f>
        <v>39</v>
      </c>
      <c r="X60" s="42"/>
      <c r="Y60" s="302"/>
      <c r="Z60" s="42"/>
      <c r="AA60" s="42"/>
      <c r="AB60" s="42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25">
      <c r="A61" s="171" t="s">
        <v>24</v>
      </c>
      <c r="B61" s="18"/>
      <c r="C61" s="19"/>
      <c r="D61" s="19"/>
      <c r="E61" s="19"/>
      <c r="F61" s="19"/>
      <c r="G61" s="18"/>
      <c r="H61" s="19"/>
      <c r="I61" s="19"/>
      <c r="J61" s="19"/>
      <c r="K61" s="19"/>
      <c r="L61" s="19">
        <v>39</v>
      </c>
      <c r="M61" s="18"/>
      <c r="N61" s="19"/>
      <c r="O61" s="19"/>
      <c r="P61" s="19"/>
      <c r="Q61" s="19"/>
      <c r="R61" s="18"/>
      <c r="S61" s="19"/>
      <c r="T61" s="19"/>
      <c r="U61" s="19"/>
      <c r="V61" s="19"/>
      <c r="W61" s="98">
        <f t="shared" si="15"/>
        <v>39</v>
      </c>
      <c r="X61" s="42"/>
      <c r="Y61" s="302"/>
      <c r="Z61" s="42"/>
      <c r="AA61" s="42"/>
      <c r="AB61" s="42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25">
      <c r="A62" s="171" t="s">
        <v>20</v>
      </c>
      <c r="B62" s="18"/>
      <c r="C62" s="19"/>
      <c r="D62" s="19"/>
      <c r="E62" s="19"/>
      <c r="F62" s="19"/>
      <c r="G62" s="18"/>
      <c r="H62" s="19"/>
      <c r="I62" s="19"/>
      <c r="J62" s="19"/>
      <c r="K62" s="19"/>
      <c r="L62" s="19">
        <v>40.1</v>
      </c>
      <c r="M62" s="18"/>
      <c r="N62" s="19"/>
      <c r="O62" s="19"/>
      <c r="P62" s="19"/>
      <c r="Q62" s="19"/>
      <c r="R62" s="18"/>
      <c r="S62" s="19"/>
      <c r="T62" s="19"/>
      <c r="U62" s="19"/>
      <c r="V62" s="19"/>
      <c r="W62" s="98">
        <f t="shared" si="15"/>
        <v>40.1</v>
      </c>
      <c r="X62" s="42"/>
      <c r="Y62" s="302"/>
      <c r="Z62" s="42"/>
      <c r="AA62" s="42"/>
      <c r="AB62" s="42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25">
      <c r="A63" s="171" t="s">
        <v>28</v>
      </c>
      <c r="B63" s="18"/>
      <c r="C63" s="19"/>
      <c r="D63" s="19"/>
      <c r="E63" s="19"/>
      <c r="F63" s="19"/>
      <c r="G63" s="18"/>
      <c r="H63" s="19"/>
      <c r="I63" s="19"/>
      <c r="J63" s="19"/>
      <c r="K63" s="19"/>
      <c r="L63" s="19">
        <v>40.1</v>
      </c>
      <c r="M63" s="18"/>
      <c r="N63" s="19"/>
      <c r="O63" s="19"/>
      <c r="P63" s="19"/>
      <c r="Q63" s="19"/>
      <c r="R63" s="18"/>
      <c r="S63" s="19"/>
      <c r="T63" s="19"/>
      <c r="U63" s="19"/>
      <c r="V63" s="19"/>
      <c r="W63" s="98">
        <f t="shared" si="15"/>
        <v>40.1</v>
      </c>
      <c r="X63" s="42"/>
      <c r="Y63" s="302"/>
      <c r="Z63" s="42"/>
      <c r="AA63" s="42"/>
      <c r="AB63" s="42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25">
      <c r="A64" s="171" t="s">
        <v>21</v>
      </c>
      <c r="B64" s="18"/>
      <c r="C64" s="19"/>
      <c r="D64" s="19"/>
      <c r="E64" s="19"/>
      <c r="F64" s="19"/>
      <c r="G64" s="18"/>
      <c r="H64" s="19"/>
      <c r="I64" s="19"/>
      <c r="J64" s="19"/>
      <c r="K64" s="19"/>
      <c r="L64" s="19">
        <v>40.1</v>
      </c>
      <c r="M64" s="18"/>
      <c r="N64" s="19"/>
      <c r="O64" s="19"/>
      <c r="P64" s="19"/>
      <c r="Q64" s="19"/>
      <c r="R64" s="18"/>
      <c r="S64" s="19"/>
      <c r="T64" s="19"/>
      <c r="U64" s="19"/>
      <c r="V64" s="19"/>
      <c r="W64" s="98">
        <f t="shared" si="15"/>
        <v>40.1</v>
      </c>
      <c r="X64" s="42"/>
      <c r="Y64" s="302"/>
      <c r="Z64" s="42"/>
      <c r="AA64" s="42"/>
      <c r="AB64" s="42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25">
      <c r="A65" s="171" t="s">
        <v>22</v>
      </c>
      <c r="B65" s="18"/>
      <c r="C65" s="19"/>
      <c r="D65" s="19"/>
      <c r="E65" s="19"/>
      <c r="F65" s="19"/>
      <c r="G65" s="18"/>
      <c r="H65" s="19"/>
      <c r="I65" s="19"/>
      <c r="J65" s="19"/>
      <c r="K65" s="19"/>
      <c r="L65" s="19">
        <v>40.200000000000003</v>
      </c>
      <c r="M65" s="18"/>
      <c r="N65" s="19"/>
      <c r="O65" s="19"/>
      <c r="P65" s="19"/>
      <c r="Q65" s="19"/>
      <c r="R65" s="18"/>
      <c r="S65" s="19"/>
      <c r="T65" s="19"/>
      <c r="U65" s="19"/>
      <c r="V65" s="19"/>
      <c r="W65" s="98">
        <f t="shared" si="15"/>
        <v>40.200000000000003</v>
      </c>
      <c r="X65" s="42"/>
      <c r="Y65" s="302"/>
      <c r="Z65" s="42"/>
      <c r="AA65" s="42"/>
      <c r="AB65" s="42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3">
      <c r="A66" s="171" t="s">
        <v>23</v>
      </c>
      <c r="B66" s="18">
        <v>7.7</v>
      </c>
      <c r="C66" s="19">
        <v>7.7</v>
      </c>
      <c r="D66" s="19">
        <v>2.4</v>
      </c>
      <c r="E66" s="19">
        <v>7.7</v>
      </c>
      <c r="F66" s="19">
        <v>7.7</v>
      </c>
      <c r="G66" s="18">
        <v>7.7</v>
      </c>
      <c r="H66" s="19">
        <v>7.7</v>
      </c>
      <c r="I66" s="19">
        <v>2.4</v>
      </c>
      <c r="J66" s="19">
        <v>7.7</v>
      </c>
      <c r="K66" s="19">
        <v>7.7</v>
      </c>
      <c r="L66" s="19">
        <v>40.200000000000003</v>
      </c>
      <c r="M66" s="18">
        <v>6.4</v>
      </c>
      <c r="N66" s="19">
        <v>6.4</v>
      </c>
      <c r="O66" s="19">
        <v>2.4</v>
      </c>
      <c r="P66" s="19">
        <v>6.4</v>
      </c>
      <c r="Q66" s="19">
        <v>6.4</v>
      </c>
      <c r="R66" s="18">
        <v>6.6</v>
      </c>
      <c r="S66" s="19">
        <v>6.6</v>
      </c>
      <c r="T66" s="19">
        <v>2.4</v>
      </c>
      <c r="U66" s="19">
        <v>6.6</v>
      </c>
      <c r="V66" s="19">
        <v>6.6</v>
      </c>
      <c r="W66" s="372">
        <f t="shared" si="15"/>
        <v>73.400000000000006</v>
      </c>
      <c r="X66" s="42"/>
      <c r="Y66" s="302"/>
      <c r="Z66" s="42"/>
      <c r="AA66" s="42"/>
      <c r="AB66" s="42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354">
        <f t="shared" ref="B67:F67" si="16">SUM(B60:B66)</f>
        <v>7.7</v>
      </c>
      <c r="C67" s="355">
        <f t="shared" si="16"/>
        <v>7.7</v>
      </c>
      <c r="D67" s="355">
        <f t="shared" si="16"/>
        <v>2.4</v>
      </c>
      <c r="E67" s="355">
        <f t="shared" si="16"/>
        <v>7.7</v>
      </c>
      <c r="F67" s="356">
        <f t="shared" si="16"/>
        <v>7.7</v>
      </c>
      <c r="G67" s="354">
        <f t="shared" ref="G67:L67" si="17">SUM(G60:G66)</f>
        <v>7.7</v>
      </c>
      <c r="H67" s="355">
        <f t="shared" si="17"/>
        <v>7.7</v>
      </c>
      <c r="I67" s="355">
        <f t="shared" si="17"/>
        <v>2.4</v>
      </c>
      <c r="J67" s="355">
        <f t="shared" si="17"/>
        <v>7.7</v>
      </c>
      <c r="K67" s="355">
        <f t="shared" si="17"/>
        <v>7.7</v>
      </c>
      <c r="L67" s="356">
        <f t="shared" si="17"/>
        <v>278.7</v>
      </c>
      <c r="M67" s="354">
        <f t="shared" ref="M67:V67" si="18">SUM(M60:M66)</f>
        <v>6.4</v>
      </c>
      <c r="N67" s="355">
        <f t="shared" si="18"/>
        <v>6.4</v>
      </c>
      <c r="O67" s="355">
        <f t="shared" si="18"/>
        <v>2.4</v>
      </c>
      <c r="P67" s="355">
        <f t="shared" si="18"/>
        <v>6.4</v>
      </c>
      <c r="Q67" s="356">
        <f t="shared" si="18"/>
        <v>6.4</v>
      </c>
      <c r="R67" s="354">
        <f t="shared" si="18"/>
        <v>6.6</v>
      </c>
      <c r="S67" s="355">
        <f t="shared" si="18"/>
        <v>6.6</v>
      </c>
      <c r="T67" s="355">
        <f t="shared" si="18"/>
        <v>2.4</v>
      </c>
      <c r="U67" s="355">
        <f t="shared" si="18"/>
        <v>6.6</v>
      </c>
      <c r="V67" s="356">
        <f t="shared" si="18"/>
        <v>6.6</v>
      </c>
      <c r="W67" s="300">
        <f t="shared" si="15"/>
        <v>311.89999999999998</v>
      </c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135</v>
      </c>
      <c r="C68" s="358">
        <v>135</v>
      </c>
      <c r="D68" s="358">
        <v>135</v>
      </c>
      <c r="E68" s="358">
        <v>135</v>
      </c>
      <c r="F68" s="358">
        <v>135</v>
      </c>
      <c r="G68" s="357">
        <v>135</v>
      </c>
      <c r="H68" s="358">
        <v>135</v>
      </c>
      <c r="I68" s="358">
        <v>135</v>
      </c>
      <c r="J68" s="358">
        <v>135</v>
      </c>
      <c r="K68" s="358">
        <v>135</v>
      </c>
      <c r="L68" s="358">
        <v>134.5</v>
      </c>
      <c r="M68" s="357">
        <v>135</v>
      </c>
      <c r="N68" s="358">
        <v>135</v>
      </c>
      <c r="O68" s="358">
        <v>135</v>
      </c>
      <c r="P68" s="358">
        <v>135</v>
      </c>
      <c r="Q68" s="358">
        <v>135</v>
      </c>
      <c r="R68" s="357">
        <v>135</v>
      </c>
      <c r="S68" s="358">
        <v>135</v>
      </c>
      <c r="T68" s="358">
        <v>135</v>
      </c>
      <c r="U68" s="358">
        <v>135</v>
      </c>
      <c r="V68" s="358">
        <v>135</v>
      </c>
      <c r="W68" s="296">
        <f>+((W67/W69)/7)*1000</f>
        <v>36.915611314948514</v>
      </c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57</v>
      </c>
      <c r="C69" s="275">
        <v>57</v>
      </c>
      <c r="D69" s="275">
        <v>18</v>
      </c>
      <c r="E69" s="275">
        <v>57</v>
      </c>
      <c r="F69" s="275">
        <v>57</v>
      </c>
      <c r="G69" s="257">
        <v>57</v>
      </c>
      <c r="H69" s="275">
        <v>57</v>
      </c>
      <c r="I69" s="275">
        <v>18</v>
      </c>
      <c r="J69" s="275">
        <v>57</v>
      </c>
      <c r="K69" s="275">
        <v>57</v>
      </c>
      <c r="L69" s="275">
        <v>295</v>
      </c>
      <c r="M69" s="257">
        <v>47</v>
      </c>
      <c r="N69" s="275">
        <v>47</v>
      </c>
      <c r="O69" s="275">
        <v>18</v>
      </c>
      <c r="P69" s="275">
        <v>47</v>
      </c>
      <c r="Q69" s="275">
        <v>47</v>
      </c>
      <c r="R69" s="257">
        <v>49</v>
      </c>
      <c r="S69" s="275">
        <v>49</v>
      </c>
      <c r="T69" s="275">
        <v>18</v>
      </c>
      <c r="U69" s="275">
        <v>49</v>
      </c>
      <c r="V69" s="275">
        <v>49</v>
      </c>
      <c r="W69" s="254">
        <f>SUM(B69:V69)</f>
        <v>1207</v>
      </c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>((((B68*7)*B69)/1000)-(B60+B61))/5</f>
        <v>10.773</v>
      </c>
      <c r="C70" s="31">
        <f t="shared" ref="C70:F70" si="19">((((C68*7)*C69)/1000)-(C60+C61))/5</f>
        <v>10.773</v>
      </c>
      <c r="D70" s="31">
        <f t="shared" si="19"/>
        <v>3.4020000000000001</v>
      </c>
      <c r="E70" s="31">
        <f t="shared" si="19"/>
        <v>10.773</v>
      </c>
      <c r="F70" s="31">
        <f t="shared" si="19"/>
        <v>10.773</v>
      </c>
      <c r="G70" s="30">
        <f>((((G68*7)*G69)/1000)-(G60+G61))/5</f>
        <v>10.773</v>
      </c>
      <c r="H70" s="31">
        <f t="shared" ref="H70:L70" si="20">((((H68*7)*H69)/1000)-(H60+H61))/5</f>
        <v>10.773</v>
      </c>
      <c r="I70" s="31">
        <f t="shared" si="20"/>
        <v>3.4020000000000001</v>
      </c>
      <c r="J70" s="31">
        <f t="shared" si="20"/>
        <v>10.773</v>
      </c>
      <c r="K70" s="31">
        <f t="shared" ref="K70" si="21">((((K68*7)*K69)/1000)-(K60+K61))/5</f>
        <v>10.773</v>
      </c>
      <c r="L70" s="31">
        <f t="shared" si="20"/>
        <v>39.948500000000003</v>
      </c>
      <c r="M70" s="30">
        <f>((((M68*7)*M69)/1000)-(M60+M61))/5</f>
        <v>8.8829999999999991</v>
      </c>
      <c r="N70" s="31">
        <f t="shared" ref="N70:Q70" si="22">((((N68*7)*N69)/1000)-(N60+N61))/5</f>
        <v>8.8829999999999991</v>
      </c>
      <c r="O70" s="31">
        <f t="shared" si="22"/>
        <v>3.4020000000000001</v>
      </c>
      <c r="P70" s="31">
        <f t="shared" si="22"/>
        <v>8.8829999999999991</v>
      </c>
      <c r="Q70" s="31">
        <f t="shared" si="22"/>
        <v>8.8829999999999991</v>
      </c>
      <c r="R70" s="30">
        <f>((((R68*7)*R69)/1000)-(R60+R61))/5</f>
        <v>9.2609999999999992</v>
      </c>
      <c r="S70" s="31">
        <f t="shared" ref="S70:V70" si="23">((((S68*7)*S69)/1000)-(S60+S61))/5</f>
        <v>9.2609999999999992</v>
      </c>
      <c r="T70" s="31">
        <f t="shared" si="23"/>
        <v>3.4020000000000001</v>
      </c>
      <c r="U70" s="31">
        <f t="shared" si="23"/>
        <v>9.2609999999999992</v>
      </c>
      <c r="V70" s="31">
        <f t="shared" si="23"/>
        <v>9.2609999999999992</v>
      </c>
      <c r="W70" s="139">
        <f>((W67*1000)/W69)/7</f>
        <v>36.915611314948514</v>
      </c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F71" si="24">((B69*B68)*7)/1000</f>
        <v>53.865000000000002</v>
      </c>
      <c r="C71" s="280">
        <f t="shared" si="24"/>
        <v>53.865000000000002</v>
      </c>
      <c r="D71" s="280">
        <f t="shared" si="24"/>
        <v>17.010000000000002</v>
      </c>
      <c r="E71" s="280">
        <f t="shared" si="24"/>
        <v>53.865000000000002</v>
      </c>
      <c r="F71" s="280">
        <f t="shared" si="24"/>
        <v>53.865000000000002</v>
      </c>
      <c r="G71" s="279">
        <f t="shared" ref="G71:L71" si="25">((G69*G68)*7)/1000</f>
        <v>53.865000000000002</v>
      </c>
      <c r="H71" s="280">
        <f t="shared" si="25"/>
        <v>53.865000000000002</v>
      </c>
      <c r="I71" s="280">
        <f t="shared" si="25"/>
        <v>17.010000000000002</v>
      </c>
      <c r="J71" s="280">
        <f t="shared" si="25"/>
        <v>53.865000000000002</v>
      </c>
      <c r="K71" s="280">
        <f t="shared" ref="K71" si="26">((K69*K68)*7)/1000</f>
        <v>53.865000000000002</v>
      </c>
      <c r="L71" s="280">
        <f t="shared" si="25"/>
        <v>277.74250000000001</v>
      </c>
      <c r="M71" s="279">
        <f t="shared" ref="M71:V71" si="27">((M69*M68)*7)/1000</f>
        <v>44.414999999999999</v>
      </c>
      <c r="N71" s="280">
        <f t="shared" si="27"/>
        <v>44.414999999999999</v>
      </c>
      <c r="O71" s="280">
        <f t="shared" si="27"/>
        <v>17.010000000000002</v>
      </c>
      <c r="P71" s="280">
        <f t="shared" si="27"/>
        <v>44.414999999999999</v>
      </c>
      <c r="Q71" s="280">
        <f t="shared" si="27"/>
        <v>44.414999999999999</v>
      </c>
      <c r="R71" s="279">
        <f t="shared" si="27"/>
        <v>46.305</v>
      </c>
      <c r="S71" s="280">
        <f t="shared" si="27"/>
        <v>46.305</v>
      </c>
      <c r="T71" s="280">
        <f t="shared" si="27"/>
        <v>17.010000000000002</v>
      </c>
      <c r="U71" s="280">
        <f t="shared" si="27"/>
        <v>46.305</v>
      </c>
      <c r="V71" s="280">
        <f t="shared" si="27"/>
        <v>46.305</v>
      </c>
      <c r="W71" s="112"/>
      <c r="X71" s="41"/>
      <c r="Y71" s="41"/>
      <c r="Z71" s="41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F72" si="28">+(B67/B69)/7*1000</f>
        <v>19.298245614035089</v>
      </c>
      <c r="C72" s="38">
        <f t="shared" si="28"/>
        <v>19.298245614035089</v>
      </c>
      <c r="D72" s="38">
        <f t="shared" si="28"/>
        <v>19.047619047619047</v>
      </c>
      <c r="E72" s="38">
        <f t="shared" si="28"/>
        <v>19.298245614035089</v>
      </c>
      <c r="F72" s="38">
        <f t="shared" si="28"/>
        <v>19.298245614035089</v>
      </c>
      <c r="G72" s="37">
        <f t="shared" ref="G72:L72" si="29">+(G67/G69)/7*1000</f>
        <v>19.298245614035089</v>
      </c>
      <c r="H72" s="38">
        <f t="shared" si="29"/>
        <v>19.298245614035089</v>
      </c>
      <c r="I72" s="38">
        <f t="shared" si="29"/>
        <v>19.047619047619047</v>
      </c>
      <c r="J72" s="38">
        <f t="shared" si="29"/>
        <v>19.298245614035089</v>
      </c>
      <c r="K72" s="38">
        <f t="shared" ref="K72" si="30">+(K67/K69)/7*1000</f>
        <v>19.298245614035089</v>
      </c>
      <c r="L72" s="38">
        <f t="shared" si="29"/>
        <v>134.9636803874092</v>
      </c>
      <c r="M72" s="37">
        <f t="shared" ref="M72:V72" si="31">+(M67/M69)/7*1000</f>
        <v>19.452887537993924</v>
      </c>
      <c r="N72" s="38">
        <f t="shared" si="31"/>
        <v>19.452887537993924</v>
      </c>
      <c r="O72" s="38">
        <f t="shared" si="31"/>
        <v>19.047619047619047</v>
      </c>
      <c r="P72" s="38">
        <f t="shared" si="31"/>
        <v>19.452887537993924</v>
      </c>
      <c r="Q72" s="38">
        <f t="shared" si="31"/>
        <v>19.452887537993924</v>
      </c>
      <c r="R72" s="37">
        <f t="shared" si="31"/>
        <v>19.241982507288629</v>
      </c>
      <c r="S72" s="38">
        <f t="shared" si="31"/>
        <v>19.241982507288629</v>
      </c>
      <c r="T72" s="38">
        <f t="shared" si="31"/>
        <v>19.047619047619047</v>
      </c>
      <c r="U72" s="38">
        <f t="shared" si="31"/>
        <v>19.241982507288629</v>
      </c>
      <c r="V72" s="38">
        <f t="shared" si="31"/>
        <v>19.241982507288629</v>
      </c>
      <c r="W72" s="40"/>
      <c r="AM72" s="3"/>
    </row>
    <row r="73" spans="1:50" ht="33.75" customHeight="1" x14ac:dyDescent="0.25">
      <c r="B73" s="43">
        <f>B71-B67</f>
        <v>46.164999999999999</v>
      </c>
      <c r="C73" s="43">
        <f t="shared" ref="C73:F73" si="32">C71-C67</f>
        <v>46.164999999999999</v>
      </c>
      <c r="D73" s="43">
        <f t="shared" si="32"/>
        <v>14.610000000000001</v>
      </c>
      <c r="E73" s="43">
        <f t="shared" si="32"/>
        <v>46.164999999999999</v>
      </c>
      <c r="F73" s="43">
        <f t="shared" si="32"/>
        <v>46.164999999999999</v>
      </c>
      <c r="G73" s="43">
        <f>G71-G67</f>
        <v>46.164999999999999</v>
      </c>
      <c r="H73" s="43">
        <f t="shared" ref="H73:L73" si="33">H71-H67</f>
        <v>46.164999999999999</v>
      </c>
      <c r="I73" s="43">
        <f t="shared" si="33"/>
        <v>14.610000000000001</v>
      </c>
      <c r="J73" s="43">
        <f t="shared" si="33"/>
        <v>46.164999999999999</v>
      </c>
      <c r="K73" s="43">
        <f t="shared" ref="K73" si="34">K71-K67</f>
        <v>46.164999999999999</v>
      </c>
      <c r="L73" s="43">
        <f t="shared" si="33"/>
        <v>-0.95749999999998181</v>
      </c>
      <c r="M73" s="43">
        <f>M71-M67</f>
        <v>38.015000000000001</v>
      </c>
      <c r="N73" s="43">
        <f t="shared" ref="N73:Q73" si="35">N71-N67</f>
        <v>38.015000000000001</v>
      </c>
      <c r="O73" s="43">
        <f t="shared" si="35"/>
        <v>14.610000000000001</v>
      </c>
      <c r="P73" s="43">
        <f t="shared" si="35"/>
        <v>38.015000000000001</v>
      </c>
      <c r="Q73" s="43">
        <f t="shared" si="35"/>
        <v>38.015000000000001</v>
      </c>
      <c r="R73" s="43">
        <f>R71-R67</f>
        <v>39.704999999999998</v>
      </c>
      <c r="S73" s="43">
        <f t="shared" ref="S73:V73" si="36">S71-S67</f>
        <v>39.704999999999998</v>
      </c>
      <c r="T73" s="43">
        <f t="shared" si="36"/>
        <v>14.610000000000001</v>
      </c>
      <c r="U73" s="43">
        <f t="shared" si="36"/>
        <v>39.704999999999998</v>
      </c>
      <c r="V73" s="43">
        <f t="shared" si="36"/>
        <v>39.704999999999998</v>
      </c>
    </row>
    <row r="74" spans="1:50" ht="33.75" customHeight="1" x14ac:dyDescent="0.25">
      <c r="B74" s="42">
        <f t="shared" ref="B74:F74" si="37">B72-B68</f>
        <v>-115.7017543859649</v>
      </c>
      <c r="C74" s="42">
        <f t="shared" si="37"/>
        <v>-115.7017543859649</v>
      </c>
      <c r="D74" s="42">
        <f t="shared" si="37"/>
        <v>-115.95238095238095</v>
      </c>
      <c r="E74" s="42">
        <f t="shared" si="37"/>
        <v>-115.7017543859649</v>
      </c>
      <c r="F74" s="42">
        <f t="shared" si="37"/>
        <v>-115.7017543859649</v>
      </c>
      <c r="G74" s="42">
        <f t="shared" ref="G74:L74" si="38">G72-G68</f>
        <v>-115.7017543859649</v>
      </c>
      <c r="H74" s="42">
        <f t="shared" si="38"/>
        <v>-115.7017543859649</v>
      </c>
      <c r="I74" s="42">
        <f t="shared" si="38"/>
        <v>-115.95238095238095</v>
      </c>
      <c r="J74" s="42">
        <f t="shared" si="38"/>
        <v>-115.7017543859649</v>
      </c>
      <c r="K74" s="42">
        <f t="shared" ref="K74" si="39">K72-K68</f>
        <v>-115.7017543859649</v>
      </c>
      <c r="L74" s="42">
        <f t="shared" si="38"/>
        <v>0.46368038740919815</v>
      </c>
      <c r="M74" s="42">
        <f t="shared" ref="M74:V74" si="40">M72-M68</f>
        <v>-115.54711246200608</v>
      </c>
      <c r="N74" s="42">
        <f t="shared" si="40"/>
        <v>-115.54711246200608</v>
      </c>
      <c r="O74" s="42">
        <f t="shared" si="40"/>
        <v>-115.95238095238095</v>
      </c>
      <c r="P74" s="42">
        <f t="shared" si="40"/>
        <v>-115.54711246200608</v>
      </c>
      <c r="Q74" s="42">
        <f t="shared" si="40"/>
        <v>-115.54711246200608</v>
      </c>
      <c r="R74" s="42">
        <f t="shared" si="40"/>
        <v>-115.75801749271137</v>
      </c>
      <c r="S74" s="42">
        <f t="shared" si="40"/>
        <v>-115.75801749271137</v>
      </c>
      <c r="T74" s="42">
        <f t="shared" si="40"/>
        <v>-115.95238095238095</v>
      </c>
      <c r="U74" s="42">
        <f t="shared" si="40"/>
        <v>-115.75801749271137</v>
      </c>
      <c r="V74" s="42">
        <f t="shared" si="40"/>
        <v>-115.75801749271137</v>
      </c>
      <c r="W74" s="45"/>
      <c r="X74" s="45"/>
      <c r="Y74" s="45"/>
      <c r="Z74" s="45"/>
      <c r="AA74" s="45"/>
      <c r="AB74" s="45"/>
      <c r="AC74" s="45"/>
      <c r="AD74" s="52"/>
    </row>
    <row r="75" spans="1:50" ht="33.75" customHeight="1" x14ac:dyDescent="0.25">
      <c r="B75" s="287"/>
      <c r="C75" s="287"/>
      <c r="D75" s="287"/>
      <c r="E75" s="287"/>
      <c r="F75" s="287"/>
    </row>
    <row r="76" spans="1:50" ht="33.75" customHeight="1" x14ac:dyDescent="0.25">
      <c r="A76" s="45"/>
      <c r="B76" s="283"/>
      <c r="C76" s="283"/>
      <c r="D76" s="283"/>
      <c r="E76" s="283"/>
      <c r="F76" s="283"/>
      <c r="G76" s="58"/>
      <c r="H76" s="45"/>
      <c r="I76" s="45"/>
      <c r="J76" s="45"/>
      <c r="K76" s="45"/>
      <c r="L76" s="45"/>
      <c r="M76" s="45"/>
      <c r="N76" s="45"/>
      <c r="O76" s="45"/>
    </row>
    <row r="77" spans="1:5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9">
    <mergeCell ref="R57:V57"/>
    <mergeCell ref="B37:I37"/>
    <mergeCell ref="J37:J39"/>
    <mergeCell ref="T37:W37"/>
    <mergeCell ref="X37:X38"/>
    <mergeCell ref="Q38:R38"/>
    <mergeCell ref="K40:N52"/>
    <mergeCell ref="B57:F57"/>
    <mergeCell ref="G57:L57"/>
    <mergeCell ref="O56:P56"/>
    <mergeCell ref="M57:Q57"/>
    <mergeCell ref="A3:C3"/>
    <mergeCell ref="E9:G9"/>
    <mergeCell ref="W9:X9"/>
    <mergeCell ref="O11:P11"/>
    <mergeCell ref="B16:I16"/>
    <mergeCell ref="P16:T16"/>
    <mergeCell ref="U16:Z16"/>
    <mergeCell ref="J16:O16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W241"/>
  <sheetViews>
    <sheetView workbookViewId="0"/>
  </sheetViews>
  <sheetFormatPr baseColWidth="10" defaultRowHeight="15" x14ac:dyDescent="0.25"/>
  <cols>
    <col min="1" max="1" width="52.42578125" style="14" bestFit="1" customWidth="1"/>
    <col min="2" max="18" width="26.42578125" style="14" customWidth="1"/>
    <col min="19" max="19" width="33.140625" style="14" customWidth="1"/>
    <col min="20" max="24" width="26.42578125" style="14" customWidth="1"/>
    <col min="25" max="25" width="24.85546875" style="14" bestFit="1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 t="s">
        <v>97</v>
      </c>
      <c r="P11" s="965"/>
      <c r="Q11" s="6"/>
      <c r="R11" s="6"/>
      <c r="S11" s="6"/>
      <c r="T11" s="1"/>
      <c r="U11" s="1"/>
      <c r="V11" s="1" t="s">
        <v>6</v>
      </c>
      <c r="W11" s="95" t="s">
        <v>98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69" t="s">
        <v>7</v>
      </c>
      <c r="B16" s="971" t="s">
        <v>8</v>
      </c>
      <c r="C16" s="968"/>
      <c r="D16" s="968"/>
      <c r="E16" s="968"/>
      <c r="F16" s="969"/>
      <c r="G16" s="971" t="s">
        <v>30</v>
      </c>
      <c r="H16" s="968"/>
      <c r="I16" s="968"/>
      <c r="J16" s="968"/>
      <c r="K16" s="969"/>
      <c r="L16" s="968" t="s">
        <v>29</v>
      </c>
      <c r="M16" s="968"/>
      <c r="N16" s="968"/>
      <c r="O16" s="968"/>
      <c r="P16" s="969"/>
      <c r="Q16" s="962" t="s">
        <v>31</v>
      </c>
      <c r="R16" s="963"/>
      <c r="S16" s="963"/>
      <c r="T16" s="963"/>
      <c r="U16" s="963"/>
      <c r="V16" s="964"/>
    </row>
    <row r="17" spans="1:33" ht="39.950000000000003" customHeight="1" thickBot="1" x14ac:dyDescent="0.3">
      <c r="A17" s="80" t="s">
        <v>34</v>
      </c>
      <c r="B17" s="186"/>
      <c r="C17" s="174"/>
      <c r="D17" s="174"/>
      <c r="E17" s="174"/>
      <c r="F17" s="203"/>
      <c r="G17" s="188"/>
      <c r="H17" s="168"/>
      <c r="I17" s="168"/>
      <c r="J17" s="168"/>
      <c r="K17" s="169"/>
      <c r="L17" s="202"/>
      <c r="M17" s="174"/>
      <c r="N17" s="174"/>
      <c r="O17" s="174"/>
      <c r="P17" s="203"/>
      <c r="Q17" s="186"/>
      <c r="R17" s="174"/>
      <c r="S17" s="174"/>
      <c r="T17" s="174"/>
      <c r="U17" s="175"/>
      <c r="V17" s="261" t="s">
        <v>9</v>
      </c>
      <c r="Z17" s="15"/>
      <c r="AA17" s="15"/>
    </row>
    <row r="18" spans="1:33" ht="39.950000000000003" customHeight="1" x14ac:dyDescent="0.25">
      <c r="A18" s="80" t="s">
        <v>10</v>
      </c>
      <c r="B18" s="186">
        <v>1</v>
      </c>
      <c r="C18" s="174">
        <v>2</v>
      </c>
      <c r="D18" s="174">
        <v>3</v>
      </c>
      <c r="E18" s="174">
        <v>4</v>
      </c>
      <c r="F18" s="203">
        <v>5</v>
      </c>
      <c r="G18" s="331">
        <v>1</v>
      </c>
      <c r="H18" s="114">
        <v>2</v>
      </c>
      <c r="I18" s="114">
        <v>3</v>
      </c>
      <c r="J18" s="114">
        <v>4</v>
      </c>
      <c r="K18" s="332">
        <v>5</v>
      </c>
      <c r="L18" s="202">
        <v>1</v>
      </c>
      <c r="M18" s="174">
        <v>2</v>
      </c>
      <c r="N18" s="174">
        <v>3</v>
      </c>
      <c r="O18" s="174">
        <v>4</v>
      </c>
      <c r="P18" s="203">
        <v>5</v>
      </c>
      <c r="Q18" s="186">
        <v>1</v>
      </c>
      <c r="R18" s="174">
        <v>2</v>
      </c>
      <c r="S18" s="174">
        <v>3</v>
      </c>
      <c r="T18" s="174">
        <v>4</v>
      </c>
      <c r="U18" s="175">
        <v>5</v>
      </c>
      <c r="V18" s="126"/>
      <c r="Z18" s="2"/>
      <c r="AA18" s="15"/>
    </row>
    <row r="19" spans="1:33" ht="39.950000000000003" customHeight="1" x14ac:dyDescent="0.25">
      <c r="A19" s="171" t="s">
        <v>53</v>
      </c>
      <c r="B19" s="18">
        <v>71.599999999999994</v>
      </c>
      <c r="C19" s="19">
        <v>71.5</v>
      </c>
      <c r="D19" s="19">
        <v>23.3</v>
      </c>
      <c r="E19" s="19">
        <v>73</v>
      </c>
      <c r="F19" s="108">
        <v>73.8</v>
      </c>
      <c r="G19" s="18">
        <v>71</v>
      </c>
      <c r="H19" s="19">
        <v>72.5</v>
      </c>
      <c r="I19" s="19">
        <v>24</v>
      </c>
      <c r="J19" s="19">
        <v>71.900000000000006</v>
      </c>
      <c r="K19" s="20">
        <v>70.900000000000006</v>
      </c>
      <c r="L19" s="61">
        <v>61.6</v>
      </c>
      <c r="M19" s="19">
        <v>59.2</v>
      </c>
      <c r="N19" s="19">
        <v>23.6</v>
      </c>
      <c r="O19" s="19">
        <v>59.3</v>
      </c>
      <c r="P19" s="20">
        <v>59</v>
      </c>
      <c r="Q19" s="18">
        <v>64.599999999999994</v>
      </c>
      <c r="R19" s="19">
        <v>63.6</v>
      </c>
      <c r="S19" s="19">
        <v>23</v>
      </c>
      <c r="T19" s="19">
        <v>61.8</v>
      </c>
      <c r="U19" s="20">
        <v>62.3</v>
      </c>
      <c r="V19" s="209">
        <f t="shared" ref="V19:V25" si="0">SUM(B19:U19)</f>
        <v>1161.5</v>
      </c>
      <c r="W19" s="301"/>
      <c r="X19" s="302"/>
      <c r="Z19" s="2"/>
      <c r="AA19" s="15"/>
    </row>
    <row r="20" spans="1:33" ht="39.950000000000003" customHeight="1" x14ac:dyDescent="0.25">
      <c r="A20" s="171" t="s">
        <v>24</v>
      </c>
      <c r="B20" s="18">
        <v>71.599999999999994</v>
      </c>
      <c r="C20" s="19">
        <v>71.5</v>
      </c>
      <c r="D20" s="19">
        <v>23.3</v>
      </c>
      <c r="E20" s="19">
        <v>73</v>
      </c>
      <c r="F20" s="108">
        <v>73.8</v>
      </c>
      <c r="G20" s="18">
        <v>71</v>
      </c>
      <c r="H20" s="19">
        <v>72.5</v>
      </c>
      <c r="I20" s="19">
        <v>24</v>
      </c>
      <c r="J20" s="19">
        <v>71.900000000000006</v>
      </c>
      <c r="K20" s="20">
        <v>70.900000000000006</v>
      </c>
      <c r="L20" s="61">
        <v>61.6</v>
      </c>
      <c r="M20" s="19">
        <v>59.2</v>
      </c>
      <c r="N20" s="19">
        <v>23.6</v>
      </c>
      <c r="O20" s="19">
        <v>59.3</v>
      </c>
      <c r="P20" s="20">
        <v>59</v>
      </c>
      <c r="Q20" s="18">
        <v>64.599999999999994</v>
      </c>
      <c r="R20" s="19">
        <v>63.6</v>
      </c>
      <c r="S20" s="19">
        <v>23</v>
      </c>
      <c r="T20" s="19">
        <v>61.8</v>
      </c>
      <c r="U20" s="20">
        <v>62.3</v>
      </c>
      <c r="V20" s="209">
        <f t="shared" si="0"/>
        <v>1161.5</v>
      </c>
      <c r="W20" s="301"/>
      <c r="X20" s="302"/>
      <c r="Z20" s="2"/>
      <c r="AA20" s="15"/>
    </row>
    <row r="21" spans="1:33" ht="39.75" customHeight="1" x14ac:dyDescent="0.25">
      <c r="A21" s="171" t="s">
        <v>20</v>
      </c>
      <c r="B21" s="326">
        <v>75.7</v>
      </c>
      <c r="C21" s="327">
        <v>79.099999999999994</v>
      </c>
      <c r="D21" s="327">
        <v>24.6</v>
      </c>
      <c r="E21" s="327">
        <v>77.2</v>
      </c>
      <c r="F21" s="328">
        <v>77.7</v>
      </c>
      <c r="G21" s="326">
        <v>74.7</v>
      </c>
      <c r="H21" s="327">
        <v>76.2</v>
      </c>
      <c r="I21" s="327">
        <v>25.2</v>
      </c>
      <c r="J21" s="327">
        <v>76</v>
      </c>
      <c r="K21" s="329">
        <v>74.5</v>
      </c>
      <c r="L21" s="330">
        <v>64.7</v>
      </c>
      <c r="M21" s="327">
        <v>62.6</v>
      </c>
      <c r="N21" s="327">
        <v>24.6</v>
      </c>
      <c r="O21" s="327">
        <v>62.7</v>
      </c>
      <c r="P21" s="329">
        <v>62.1</v>
      </c>
      <c r="Q21" s="326">
        <v>67.5</v>
      </c>
      <c r="R21" s="327">
        <v>66.400000000000006</v>
      </c>
      <c r="S21" s="327">
        <v>24.3</v>
      </c>
      <c r="T21" s="327">
        <v>65</v>
      </c>
      <c r="U21" s="329">
        <v>65.900000000000006</v>
      </c>
      <c r="V21" s="209">
        <f t="shared" si="0"/>
        <v>1226.7000000000003</v>
      </c>
      <c r="W21" s="301"/>
      <c r="X21" s="302"/>
      <c r="Z21" s="2"/>
      <c r="AA21" s="15"/>
    </row>
    <row r="22" spans="1:33" ht="39.950000000000003" customHeight="1" x14ac:dyDescent="0.25">
      <c r="A22" s="171" t="s">
        <v>28</v>
      </c>
      <c r="B22" s="326">
        <v>75.7</v>
      </c>
      <c r="C22" s="327">
        <v>79.099999999999994</v>
      </c>
      <c r="D22" s="327">
        <v>24.7</v>
      </c>
      <c r="E22" s="327">
        <v>77.2</v>
      </c>
      <c r="F22" s="328">
        <v>77.7</v>
      </c>
      <c r="G22" s="326">
        <v>74.7</v>
      </c>
      <c r="H22" s="327">
        <v>76.2</v>
      </c>
      <c r="I22" s="327">
        <v>25.2</v>
      </c>
      <c r="J22" s="327">
        <v>76</v>
      </c>
      <c r="K22" s="329">
        <v>74.599999999999994</v>
      </c>
      <c r="L22" s="330">
        <v>64.7</v>
      </c>
      <c r="M22" s="327">
        <v>62.6</v>
      </c>
      <c r="N22" s="327">
        <v>24.6</v>
      </c>
      <c r="O22" s="327">
        <v>62.7</v>
      </c>
      <c r="P22" s="329">
        <v>62.1</v>
      </c>
      <c r="Q22" s="326">
        <v>67.5</v>
      </c>
      <c r="R22" s="327">
        <v>66.5</v>
      </c>
      <c r="S22" s="327">
        <v>24.3</v>
      </c>
      <c r="T22" s="327">
        <v>65</v>
      </c>
      <c r="U22" s="329">
        <v>65.900000000000006</v>
      </c>
      <c r="V22" s="209">
        <f t="shared" si="0"/>
        <v>1227.0000000000002</v>
      </c>
      <c r="W22" s="301"/>
      <c r="X22" s="302"/>
      <c r="Z22" s="2"/>
      <c r="AA22" s="15"/>
    </row>
    <row r="23" spans="1:33" ht="39.950000000000003" customHeight="1" x14ac:dyDescent="0.25">
      <c r="A23" s="171" t="s">
        <v>21</v>
      </c>
      <c r="B23" s="326">
        <v>75.7</v>
      </c>
      <c r="C23" s="327">
        <v>79.099999999999994</v>
      </c>
      <c r="D23" s="327">
        <v>24.7</v>
      </c>
      <c r="E23" s="327">
        <v>77.2</v>
      </c>
      <c r="F23" s="328">
        <v>77.8</v>
      </c>
      <c r="G23" s="326">
        <v>74.7</v>
      </c>
      <c r="H23" s="327">
        <v>76.2</v>
      </c>
      <c r="I23" s="327">
        <v>25.2</v>
      </c>
      <c r="J23" s="327">
        <v>76</v>
      </c>
      <c r="K23" s="329">
        <v>74.599999999999994</v>
      </c>
      <c r="L23" s="330">
        <v>64.7</v>
      </c>
      <c r="M23" s="327">
        <v>62.6</v>
      </c>
      <c r="N23" s="327">
        <v>24.7</v>
      </c>
      <c r="O23" s="327">
        <v>62.7</v>
      </c>
      <c r="P23" s="329">
        <v>62.2</v>
      </c>
      <c r="Q23" s="326">
        <v>67.5</v>
      </c>
      <c r="R23" s="327">
        <v>66.5</v>
      </c>
      <c r="S23" s="327">
        <v>24.3</v>
      </c>
      <c r="T23" s="327">
        <v>65</v>
      </c>
      <c r="U23" s="329">
        <v>65.900000000000006</v>
      </c>
      <c r="V23" s="209">
        <f t="shared" si="0"/>
        <v>1227.3000000000002</v>
      </c>
      <c r="W23" s="301"/>
      <c r="X23" s="302"/>
      <c r="Z23" s="2"/>
      <c r="AA23" s="15"/>
    </row>
    <row r="24" spans="1:33" ht="39.950000000000003" customHeight="1" x14ac:dyDescent="0.25">
      <c r="A24" s="171" t="s">
        <v>22</v>
      </c>
      <c r="B24" s="326">
        <v>75.7</v>
      </c>
      <c r="C24" s="327">
        <v>79.099999999999994</v>
      </c>
      <c r="D24" s="327">
        <v>24.7</v>
      </c>
      <c r="E24" s="327">
        <v>77.3</v>
      </c>
      <c r="F24" s="328">
        <v>77.8</v>
      </c>
      <c r="G24" s="326">
        <v>74.7</v>
      </c>
      <c r="H24" s="327">
        <v>76.2</v>
      </c>
      <c r="I24" s="327">
        <v>25.2</v>
      </c>
      <c r="J24" s="327">
        <v>76</v>
      </c>
      <c r="K24" s="329">
        <v>74.599999999999994</v>
      </c>
      <c r="L24" s="330">
        <v>64.8</v>
      </c>
      <c r="M24" s="327">
        <v>62.6</v>
      </c>
      <c r="N24" s="327">
        <v>24.7</v>
      </c>
      <c r="O24" s="327">
        <v>62.7</v>
      </c>
      <c r="P24" s="329">
        <v>62.2</v>
      </c>
      <c r="Q24" s="326">
        <v>67.5</v>
      </c>
      <c r="R24" s="327">
        <v>66.5</v>
      </c>
      <c r="S24" s="327">
        <v>24.3</v>
      </c>
      <c r="T24" s="327">
        <v>65.099999999999994</v>
      </c>
      <c r="U24" s="329">
        <v>65.900000000000006</v>
      </c>
      <c r="V24" s="209">
        <f t="shared" si="0"/>
        <v>1227.6000000000001</v>
      </c>
      <c r="W24" s="301"/>
      <c r="X24" s="302"/>
      <c r="Z24" s="2"/>
      <c r="AA24" s="15"/>
    </row>
    <row r="25" spans="1:33" ht="39.950000000000003" customHeight="1" thickBot="1" x14ac:dyDescent="0.3">
      <c r="A25" s="285" t="s">
        <v>23</v>
      </c>
      <c r="B25" s="326">
        <v>75.8</v>
      </c>
      <c r="C25" s="327">
        <v>79.099999999999994</v>
      </c>
      <c r="D25" s="327">
        <v>24.7</v>
      </c>
      <c r="E25" s="327">
        <v>77.3</v>
      </c>
      <c r="F25" s="328">
        <v>77.8</v>
      </c>
      <c r="G25" s="326">
        <v>74.8</v>
      </c>
      <c r="H25" s="327">
        <v>76.2</v>
      </c>
      <c r="I25" s="327">
        <v>25.2</v>
      </c>
      <c r="J25" s="327">
        <v>76.099999999999994</v>
      </c>
      <c r="K25" s="329">
        <v>74.599999999999994</v>
      </c>
      <c r="L25" s="330">
        <v>64.8</v>
      </c>
      <c r="M25" s="327">
        <v>62.6</v>
      </c>
      <c r="N25" s="327">
        <v>24.7</v>
      </c>
      <c r="O25" s="327">
        <v>62.8</v>
      </c>
      <c r="P25" s="329">
        <v>62.2</v>
      </c>
      <c r="Q25" s="326">
        <v>67.599999999999994</v>
      </c>
      <c r="R25" s="327">
        <v>66.5</v>
      </c>
      <c r="S25" s="327">
        <v>24.4</v>
      </c>
      <c r="T25" s="327">
        <v>65.099999999999994</v>
      </c>
      <c r="U25" s="329">
        <v>66</v>
      </c>
      <c r="V25" s="376">
        <f t="shared" si="0"/>
        <v>1228.3000000000002</v>
      </c>
      <c r="W25" s="301"/>
      <c r="X25" s="302"/>
      <c r="Z25" s="2"/>
    </row>
    <row r="26" spans="1:33" ht="41.45" customHeight="1" x14ac:dyDescent="0.25">
      <c r="A26" s="268" t="s">
        <v>9</v>
      </c>
      <c r="B26" s="131">
        <f>SUM(B19:B25)</f>
        <v>521.79999999999995</v>
      </c>
      <c r="C26" s="128">
        <f t="shared" ref="C26:U26" si="1">SUM(C19:C25)</f>
        <v>538.5</v>
      </c>
      <c r="D26" s="128">
        <f t="shared" si="1"/>
        <v>170</v>
      </c>
      <c r="E26" s="128">
        <f t="shared" si="1"/>
        <v>532.19999999999993</v>
      </c>
      <c r="F26" s="205">
        <f t="shared" si="1"/>
        <v>536.4</v>
      </c>
      <c r="G26" s="131">
        <f t="shared" si="1"/>
        <v>515.59999999999991</v>
      </c>
      <c r="H26" s="128">
        <f t="shared" si="1"/>
        <v>526</v>
      </c>
      <c r="I26" s="128">
        <f t="shared" si="1"/>
        <v>174</v>
      </c>
      <c r="J26" s="128">
        <f t="shared" si="1"/>
        <v>523.9</v>
      </c>
      <c r="K26" s="129">
        <f t="shared" si="1"/>
        <v>514.70000000000005</v>
      </c>
      <c r="L26" s="127">
        <f t="shared" si="1"/>
        <v>446.90000000000003</v>
      </c>
      <c r="M26" s="128">
        <f t="shared" si="1"/>
        <v>431.40000000000003</v>
      </c>
      <c r="N26" s="128">
        <f t="shared" si="1"/>
        <v>170.5</v>
      </c>
      <c r="O26" s="128">
        <f t="shared" si="1"/>
        <v>432.2</v>
      </c>
      <c r="P26" s="205">
        <f t="shared" si="1"/>
        <v>428.79999999999995</v>
      </c>
      <c r="Q26" s="131">
        <f t="shared" si="1"/>
        <v>466.79999999999995</v>
      </c>
      <c r="R26" s="128">
        <f t="shared" si="1"/>
        <v>459.6</v>
      </c>
      <c r="S26" s="128">
        <f t="shared" si="1"/>
        <v>167.6</v>
      </c>
      <c r="T26" s="128">
        <f t="shared" si="1"/>
        <v>448.80000000000007</v>
      </c>
      <c r="U26" s="129">
        <f t="shared" si="1"/>
        <v>454.19999999999993</v>
      </c>
      <c r="V26" s="375">
        <f>SUM(V19,V20,V21,V22,V23,V24,V25)</f>
        <v>8459.9000000000015</v>
      </c>
      <c r="W26" s="301"/>
    </row>
    <row r="27" spans="1:33" s="2" customFormat="1" ht="36.75" customHeight="1" x14ac:dyDescent="0.25">
      <c r="A27" s="192" t="s">
        <v>11</v>
      </c>
      <c r="B27" s="23">
        <v>125.5</v>
      </c>
      <c r="C27" s="24">
        <v>129.5</v>
      </c>
      <c r="D27" s="24">
        <v>126.5</v>
      </c>
      <c r="E27" s="24">
        <v>128</v>
      </c>
      <c r="F27" s="228">
        <v>129</v>
      </c>
      <c r="G27" s="23">
        <v>124</v>
      </c>
      <c r="H27" s="24">
        <v>126.5</v>
      </c>
      <c r="I27" s="24">
        <v>129.5</v>
      </c>
      <c r="J27" s="24">
        <v>126</v>
      </c>
      <c r="K27" s="25">
        <v>124</v>
      </c>
      <c r="L27" s="63">
        <v>129.5</v>
      </c>
      <c r="M27" s="24">
        <v>125</v>
      </c>
      <c r="N27" s="24">
        <v>127.5</v>
      </c>
      <c r="O27" s="24">
        <v>125.5</v>
      </c>
      <c r="P27" s="228">
        <v>124.5</v>
      </c>
      <c r="Q27" s="23">
        <v>129.5</v>
      </c>
      <c r="R27" s="24">
        <v>127.5</v>
      </c>
      <c r="S27" s="24">
        <v>126</v>
      </c>
      <c r="T27" s="24">
        <v>124.5</v>
      </c>
      <c r="U27" s="25">
        <v>126</v>
      </c>
      <c r="V27" s="99">
        <f>(((V26*1000)/7)/V28)</f>
        <v>126.60351381281617</v>
      </c>
    </row>
    <row r="28" spans="1:33" s="2" customFormat="1" ht="33" customHeight="1" x14ac:dyDescent="0.25">
      <c r="A28" s="193" t="s">
        <v>12</v>
      </c>
      <c r="B28" s="26">
        <v>594</v>
      </c>
      <c r="C28" s="27">
        <v>594</v>
      </c>
      <c r="D28" s="27">
        <v>192</v>
      </c>
      <c r="E28" s="27">
        <v>594</v>
      </c>
      <c r="F28" s="183">
        <v>594</v>
      </c>
      <c r="G28" s="26">
        <v>594</v>
      </c>
      <c r="H28" s="27">
        <v>594</v>
      </c>
      <c r="I28" s="275">
        <v>192</v>
      </c>
      <c r="J28" s="27">
        <v>594</v>
      </c>
      <c r="K28" s="28">
        <v>593</v>
      </c>
      <c r="L28" s="64">
        <v>493</v>
      </c>
      <c r="M28" s="27">
        <v>493</v>
      </c>
      <c r="N28" s="27">
        <v>191</v>
      </c>
      <c r="O28" s="27">
        <v>492</v>
      </c>
      <c r="P28" s="275">
        <v>492</v>
      </c>
      <c r="Q28" s="27">
        <v>515</v>
      </c>
      <c r="R28" s="27">
        <v>515</v>
      </c>
      <c r="S28" s="27">
        <v>190</v>
      </c>
      <c r="T28" s="27">
        <v>515</v>
      </c>
      <c r="U28" s="27">
        <v>515</v>
      </c>
      <c r="V28" s="29">
        <f>SUM(B28:U28)</f>
        <v>9546</v>
      </c>
      <c r="W28" s="402"/>
    </row>
    <row r="29" spans="1:33" s="2" customFormat="1" ht="33" customHeight="1" x14ac:dyDescent="0.25">
      <c r="A29" s="194" t="s">
        <v>13</v>
      </c>
      <c r="B29" s="30">
        <f>((((B27*7)*B28)/1000)-(B19+B20))/5</f>
        <v>75.725799999999992</v>
      </c>
      <c r="C29" s="30">
        <f t="shared" ref="C29:U29" si="2">((((C27*7)*C28)/1000)-(C19+C20))/5</f>
        <v>79.092200000000005</v>
      </c>
      <c r="D29" s="30">
        <f t="shared" si="2"/>
        <v>24.683199999999999</v>
      </c>
      <c r="E29" s="30">
        <f t="shared" si="2"/>
        <v>77.244800000000012</v>
      </c>
      <c r="F29" s="324">
        <f t="shared" si="2"/>
        <v>77.756399999999985</v>
      </c>
      <c r="G29" s="30">
        <f t="shared" si="2"/>
        <v>74.718400000000003</v>
      </c>
      <c r="H29" s="31">
        <f t="shared" si="2"/>
        <v>76.197399999999988</v>
      </c>
      <c r="I29" s="31">
        <f t="shared" si="2"/>
        <v>25.209600000000002</v>
      </c>
      <c r="J29" s="31">
        <f t="shared" si="2"/>
        <v>76.021600000000007</v>
      </c>
      <c r="K29" s="32">
        <f t="shared" si="2"/>
        <v>74.584800000000001</v>
      </c>
      <c r="L29" s="65">
        <f t="shared" si="2"/>
        <v>64.740899999999996</v>
      </c>
      <c r="M29" s="30">
        <f t="shared" si="2"/>
        <v>62.595000000000006</v>
      </c>
      <c r="N29" s="30">
        <f t="shared" si="2"/>
        <v>24.653500000000001</v>
      </c>
      <c r="O29" s="30">
        <f t="shared" si="2"/>
        <v>62.724399999999989</v>
      </c>
      <c r="P29" s="30">
        <f t="shared" si="2"/>
        <v>62.155600000000007</v>
      </c>
      <c r="Q29" s="30">
        <f t="shared" si="2"/>
        <v>67.529500000000013</v>
      </c>
      <c r="R29" s="30">
        <f t="shared" si="2"/>
        <v>66.487499999999997</v>
      </c>
      <c r="S29" s="30">
        <f t="shared" si="2"/>
        <v>24.316000000000003</v>
      </c>
      <c r="T29" s="30">
        <f t="shared" si="2"/>
        <v>65.044499999999999</v>
      </c>
      <c r="U29" s="286">
        <f t="shared" si="2"/>
        <v>65.926000000000002</v>
      </c>
      <c r="V29" s="33"/>
    </row>
    <row r="30" spans="1:33" ht="33.75" customHeight="1" x14ac:dyDescent="0.25">
      <c r="A30" s="185" t="s">
        <v>14</v>
      </c>
      <c r="B30" s="279">
        <f t="shared" ref="B30:U30" si="3">((B28*B27)*7)/1000</f>
        <v>521.82899999999995</v>
      </c>
      <c r="C30" s="280">
        <f t="shared" si="3"/>
        <v>538.46100000000001</v>
      </c>
      <c r="D30" s="280">
        <f t="shared" si="3"/>
        <v>170.01599999999999</v>
      </c>
      <c r="E30" s="280">
        <f t="shared" si="3"/>
        <v>532.22400000000005</v>
      </c>
      <c r="F30" s="281">
        <f t="shared" si="3"/>
        <v>536.38199999999995</v>
      </c>
      <c r="G30" s="279">
        <f t="shared" si="3"/>
        <v>515.59199999999998</v>
      </c>
      <c r="H30" s="280">
        <f t="shared" si="3"/>
        <v>525.98699999999997</v>
      </c>
      <c r="I30" s="280">
        <f t="shared" si="3"/>
        <v>174.048</v>
      </c>
      <c r="J30" s="280">
        <f t="shared" si="3"/>
        <v>523.90800000000002</v>
      </c>
      <c r="K30" s="282">
        <f t="shared" si="3"/>
        <v>514.72400000000005</v>
      </c>
      <c r="L30" s="325">
        <f t="shared" si="3"/>
        <v>446.90449999999998</v>
      </c>
      <c r="M30" s="280">
        <f t="shared" si="3"/>
        <v>431.375</v>
      </c>
      <c r="N30" s="280">
        <f t="shared" si="3"/>
        <v>170.4675</v>
      </c>
      <c r="O30" s="280">
        <f t="shared" si="3"/>
        <v>432.22199999999998</v>
      </c>
      <c r="P30" s="281">
        <f t="shared" si="3"/>
        <v>428.77800000000002</v>
      </c>
      <c r="Q30" s="279">
        <f t="shared" si="3"/>
        <v>466.84750000000003</v>
      </c>
      <c r="R30" s="280">
        <f t="shared" si="3"/>
        <v>459.63749999999999</v>
      </c>
      <c r="S30" s="280">
        <f t="shared" si="3"/>
        <v>167.58</v>
      </c>
      <c r="T30" s="280">
        <f t="shared" si="3"/>
        <v>448.82249999999999</v>
      </c>
      <c r="U30" s="282">
        <f t="shared" si="3"/>
        <v>454.23</v>
      </c>
      <c r="V30" s="36"/>
    </row>
    <row r="31" spans="1:33" ht="33.75" customHeight="1" thickBot="1" x14ac:dyDescent="0.3">
      <c r="A31" s="195" t="s">
        <v>15</v>
      </c>
      <c r="B31" s="37">
        <f>+(B26/B28)/7*1000</f>
        <v>125.49302549302548</v>
      </c>
      <c r="C31" s="38">
        <f t="shared" ref="C31:U31" si="4">+(C26/C28)/7*1000</f>
        <v>129.50937950937953</v>
      </c>
      <c r="D31" s="38">
        <f t="shared" si="4"/>
        <v>126.48809523809523</v>
      </c>
      <c r="E31" s="38">
        <f t="shared" si="4"/>
        <v>127.99422799422797</v>
      </c>
      <c r="F31" s="207">
        <f t="shared" si="4"/>
        <v>129.00432900432898</v>
      </c>
      <c r="G31" s="37">
        <f t="shared" si="4"/>
        <v>124.00192400192398</v>
      </c>
      <c r="H31" s="38">
        <f t="shared" si="4"/>
        <v>126.50312650312651</v>
      </c>
      <c r="I31" s="38">
        <f t="shared" si="4"/>
        <v>129.46428571428572</v>
      </c>
      <c r="J31" s="38">
        <f t="shared" si="4"/>
        <v>125.998075998076</v>
      </c>
      <c r="K31" s="39">
        <f t="shared" si="4"/>
        <v>123.99421826066008</v>
      </c>
      <c r="L31" s="67">
        <f t="shared" si="4"/>
        <v>129.49869603013619</v>
      </c>
      <c r="M31" s="38">
        <f t="shared" si="4"/>
        <v>125.00724427702117</v>
      </c>
      <c r="N31" s="38">
        <f t="shared" si="4"/>
        <v>127.52430815258039</v>
      </c>
      <c r="O31" s="38">
        <f t="shared" si="4"/>
        <v>125.49361207897795</v>
      </c>
      <c r="P31" s="207">
        <f t="shared" si="4"/>
        <v>124.50638792102205</v>
      </c>
      <c r="Q31" s="37">
        <f t="shared" si="4"/>
        <v>129.48682385575589</v>
      </c>
      <c r="R31" s="38">
        <f t="shared" si="4"/>
        <v>127.48959778085991</v>
      </c>
      <c r="S31" s="38">
        <f t="shared" si="4"/>
        <v>126.01503759398497</v>
      </c>
      <c r="T31" s="38">
        <f t="shared" si="4"/>
        <v>124.49375866851598</v>
      </c>
      <c r="U31" s="39">
        <f t="shared" si="4"/>
        <v>125.9916782246879</v>
      </c>
      <c r="V31" s="40"/>
    </row>
    <row r="32" spans="1:33" ht="33.75" customHeight="1" x14ac:dyDescent="0.25">
      <c r="A32" s="41"/>
      <c r="B32" s="42">
        <f>B30-B26</f>
        <v>2.8999999999996362E-2</v>
      </c>
      <c r="C32" s="42">
        <f t="shared" ref="C32:U33" si="5">C30-C26</f>
        <v>-3.8999999999987267E-2</v>
      </c>
      <c r="D32" s="42">
        <f t="shared" si="5"/>
        <v>1.5999999999991132E-2</v>
      </c>
      <c r="E32" s="42">
        <f t="shared" si="5"/>
        <v>2.4000000000114596E-2</v>
      </c>
      <c r="F32" s="42">
        <f t="shared" si="5"/>
        <v>-1.8000000000029104E-2</v>
      </c>
      <c r="G32" s="42">
        <f t="shared" si="5"/>
        <v>-7.9999999999245119E-3</v>
      </c>
      <c r="H32" s="42">
        <f t="shared" si="5"/>
        <v>-1.3000000000033651E-2</v>
      </c>
      <c r="I32" s="42">
        <f t="shared" si="5"/>
        <v>4.8000000000001819E-2</v>
      </c>
      <c r="J32" s="42">
        <f t="shared" si="5"/>
        <v>8.0000000000381988E-3</v>
      </c>
      <c r="K32" s="42">
        <f t="shared" si="5"/>
        <v>2.4000000000000909E-2</v>
      </c>
      <c r="L32" s="42">
        <f t="shared" si="5"/>
        <v>4.4999999999504325E-3</v>
      </c>
      <c r="M32" s="42">
        <f t="shared" si="5"/>
        <v>-2.5000000000034106E-2</v>
      </c>
      <c r="N32" s="42">
        <f t="shared" si="5"/>
        <v>-3.2499999999998863E-2</v>
      </c>
      <c r="O32" s="42">
        <f t="shared" si="5"/>
        <v>2.199999999999136E-2</v>
      </c>
      <c r="P32" s="42">
        <f t="shared" si="5"/>
        <v>-2.1999999999934516E-2</v>
      </c>
      <c r="Q32" s="42">
        <f t="shared" si="5"/>
        <v>4.7500000000070486E-2</v>
      </c>
      <c r="R32" s="42">
        <f t="shared" si="5"/>
        <v>3.7499999999965894E-2</v>
      </c>
      <c r="S32" s="42">
        <f t="shared" si="5"/>
        <v>-1.999999999998181E-2</v>
      </c>
      <c r="T32" s="42">
        <f t="shared" si="5"/>
        <v>2.2499999999922693E-2</v>
      </c>
      <c r="U32" s="42">
        <f t="shared" si="5"/>
        <v>3.0000000000086402E-2</v>
      </c>
      <c r="V32" s="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</row>
    <row r="33" spans="1:37" ht="33.75" customHeight="1" x14ac:dyDescent="0.25">
      <c r="A33" s="41"/>
      <c r="B33" s="42">
        <f>B31-B27</f>
        <v>-6.9745069745152932E-3</v>
      </c>
      <c r="C33" s="42">
        <f t="shared" si="5"/>
        <v>9.3795093795279172E-3</v>
      </c>
      <c r="D33" s="42">
        <f t="shared" si="5"/>
        <v>-1.1904761904773409E-2</v>
      </c>
      <c r="E33" s="42">
        <f t="shared" si="5"/>
        <v>-5.7720057720302975E-3</v>
      </c>
      <c r="F33" s="42">
        <f t="shared" si="5"/>
        <v>4.3290043289800906E-3</v>
      </c>
      <c r="G33" s="42">
        <f t="shared" si="5"/>
        <v>1.9240019239816775E-3</v>
      </c>
      <c r="H33" s="42">
        <f t="shared" si="5"/>
        <v>3.1265031265093057E-3</v>
      </c>
      <c r="I33" s="42">
        <f t="shared" si="5"/>
        <v>-3.5714285714277594E-2</v>
      </c>
      <c r="J33" s="42">
        <f t="shared" si="5"/>
        <v>-1.9240019239958883E-3</v>
      </c>
      <c r="K33" s="42">
        <f t="shared" si="5"/>
        <v>-5.7817393399233197E-3</v>
      </c>
      <c r="L33" s="42">
        <f t="shared" si="5"/>
        <v>-1.3039698638124264E-3</v>
      </c>
      <c r="M33" s="42">
        <f t="shared" si="5"/>
        <v>7.2442770211722518E-3</v>
      </c>
      <c r="N33" s="42">
        <f t="shared" si="5"/>
        <v>2.4308152580388764E-2</v>
      </c>
      <c r="O33" s="42">
        <f t="shared" si="5"/>
        <v>-6.3879210220534333E-3</v>
      </c>
      <c r="P33" s="42">
        <f t="shared" si="5"/>
        <v>6.3879210220534333E-3</v>
      </c>
      <c r="Q33" s="42">
        <f t="shared" si="5"/>
        <v>-1.3176144244113175E-2</v>
      </c>
      <c r="R33" s="42">
        <f t="shared" si="5"/>
        <v>-1.0402219140090097E-2</v>
      </c>
      <c r="S33" s="42">
        <f t="shared" si="5"/>
        <v>1.5037593984970954E-2</v>
      </c>
      <c r="T33" s="42">
        <f t="shared" si="5"/>
        <v>-6.2413314840199519E-3</v>
      </c>
      <c r="U33" s="42">
        <f t="shared" si="5"/>
        <v>-8.3217753120976568E-3</v>
      </c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1"/>
    </row>
    <row r="34" spans="1:3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264"/>
      <c r="K34" s="42"/>
      <c r="L34" s="42"/>
      <c r="M34" s="42"/>
      <c r="N34" s="42"/>
      <c r="O34" s="264"/>
      <c r="P34" s="42"/>
      <c r="Q34" s="42"/>
      <c r="R34" s="42"/>
      <c r="S34" s="42"/>
      <c r="T34" s="264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7" ht="33.75" customHeight="1" x14ac:dyDescent="0.25">
      <c r="A35" s="41"/>
      <c r="B35" s="42"/>
      <c r="C35" s="42"/>
      <c r="D35" s="42"/>
      <c r="E35" s="42"/>
      <c r="F35" s="42"/>
      <c r="G35" s="42"/>
      <c r="H35" s="42"/>
      <c r="I35" s="42"/>
      <c r="J35" s="264"/>
      <c r="K35" s="264"/>
      <c r="L35" s="264"/>
      <c r="M35" s="264"/>
      <c r="N35" s="264"/>
      <c r="O35" s="264"/>
      <c r="P35" s="42"/>
      <c r="Q35" s="42"/>
      <c r="R35" s="42"/>
      <c r="S35" s="42"/>
      <c r="T35" s="264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1"/>
    </row>
    <row r="36" spans="1:37" s="2" customFormat="1" ht="33.75" customHeight="1" thickBot="1" x14ac:dyDescent="0.3">
      <c r="B36" s="43"/>
      <c r="C36" s="350"/>
      <c r="D36" s="350"/>
      <c r="E36" s="350"/>
      <c r="F36" s="350"/>
      <c r="G36" s="350"/>
      <c r="H36" s="318"/>
      <c r="I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3"/>
    </row>
    <row r="37" spans="1:37" ht="33.75" customHeight="1" thickBot="1" x14ac:dyDescent="0.3">
      <c r="A37" s="69" t="s">
        <v>16</v>
      </c>
      <c r="B37" s="980" t="s">
        <v>17</v>
      </c>
      <c r="C37" s="972"/>
      <c r="D37" s="972"/>
      <c r="E37" s="972"/>
      <c r="F37" s="972"/>
      <c r="G37" s="972"/>
      <c r="H37" s="990"/>
      <c r="I37" s="977" t="s">
        <v>9</v>
      </c>
      <c r="J37" s="47"/>
      <c r="Q37" s="44"/>
      <c r="R37" s="88" t="s">
        <v>18</v>
      </c>
      <c r="S37" s="973" t="s">
        <v>17</v>
      </c>
      <c r="T37" s="974"/>
      <c r="U37" s="991"/>
      <c r="V37" s="977" t="s">
        <v>9</v>
      </c>
      <c r="W37" s="269"/>
      <c r="Y37" s="45"/>
      <c r="Z37" s="45"/>
      <c r="AA37" s="46"/>
      <c r="AB37" s="3"/>
      <c r="AC37" s="45"/>
      <c r="AD37" s="45"/>
      <c r="AE37" s="45"/>
      <c r="AF37" s="3"/>
    </row>
    <row r="38" spans="1:37" ht="33.75" customHeight="1" thickBot="1" x14ac:dyDescent="0.3">
      <c r="A38" s="170" t="s">
        <v>34</v>
      </c>
      <c r="B38" s="141"/>
      <c r="C38" s="118"/>
      <c r="D38" s="118"/>
      <c r="E38" s="118"/>
      <c r="F38" s="118"/>
      <c r="G38" s="118"/>
      <c r="H38" s="119"/>
      <c r="I38" s="978"/>
      <c r="J38" s="47"/>
      <c r="K38" s="47"/>
      <c r="L38" s="47"/>
      <c r="M38" s="47"/>
      <c r="N38" s="47"/>
      <c r="O38" s="47"/>
      <c r="P38" s="970"/>
      <c r="Q38" s="976"/>
      <c r="R38" s="353" t="s">
        <v>33</v>
      </c>
      <c r="S38" s="141">
        <v>1</v>
      </c>
      <c r="T38" s="118">
        <v>2</v>
      </c>
      <c r="U38" s="118">
        <v>3</v>
      </c>
      <c r="V38" s="979"/>
      <c r="W38" s="2"/>
      <c r="Y38" s="47"/>
      <c r="Z38" s="47"/>
      <c r="AA38" s="3"/>
      <c r="AB38" s="46"/>
      <c r="AC38" s="3"/>
      <c r="AD38" s="45"/>
      <c r="AE38" s="45"/>
      <c r="AF38" s="45"/>
    </row>
    <row r="39" spans="1:37" ht="33.75" customHeight="1" thickBot="1" x14ac:dyDescent="0.3">
      <c r="A39" s="170" t="s">
        <v>10</v>
      </c>
      <c r="B39" s="11">
        <v>1</v>
      </c>
      <c r="C39" s="16">
        <v>2</v>
      </c>
      <c r="D39" s="16">
        <v>3</v>
      </c>
      <c r="E39" s="16">
        <v>4</v>
      </c>
      <c r="F39" s="16">
        <v>5</v>
      </c>
      <c r="G39" s="16">
        <v>6</v>
      </c>
      <c r="H39" s="17" t="s">
        <v>99</v>
      </c>
      <c r="I39" s="979"/>
      <c r="J39" s="47"/>
      <c r="K39" s="47"/>
      <c r="L39" s="47"/>
      <c r="M39" s="47"/>
      <c r="N39" s="47"/>
      <c r="O39" s="47"/>
      <c r="P39" s="144"/>
      <c r="Q39" s="145"/>
      <c r="R39" s="170" t="s">
        <v>10</v>
      </c>
      <c r="S39" s="11">
        <v>1</v>
      </c>
      <c r="T39" s="16">
        <v>2</v>
      </c>
      <c r="U39" s="16">
        <v>3</v>
      </c>
      <c r="V39" s="278"/>
      <c r="W39" s="270"/>
      <c r="Y39" s="47"/>
      <c r="Z39" s="47"/>
      <c r="AA39" s="48"/>
      <c r="AB39" s="48"/>
      <c r="AC39" s="2"/>
      <c r="AD39" s="2"/>
      <c r="AE39" s="2"/>
      <c r="AF39" s="2"/>
    </row>
    <row r="40" spans="1:37" ht="33.75" customHeight="1" x14ac:dyDescent="0.25">
      <c r="A40" s="171" t="s">
        <v>32</v>
      </c>
      <c r="B40" s="18">
        <v>32.9</v>
      </c>
      <c r="C40" s="19">
        <v>83.1</v>
      </c>
      <c r="D40" s="19">
        <v>51.6</v>
      </c>
      <c r="E40" s="19">
        <v>37.1</v>
      </c>
      <c r="F40" s="19">
        <v>81.7</v>
      </c>
      <c r="G40" s="19">
        <v>44.2</v>
      </c>
      <c r="H40" s="20">
        <v>5.6</v>
      </c>
      <c r="I40" s="374">
        <f>SUM(B40:H40)</f>
        <v>336.2</v>
      </c>
      <c r="J40" s="988"/>
      <c r="K40" s="989"/>
      <c r="L40" s="989"/>
      <c r="M40" s="989"/>
      <c r="N40" s="364"/>
      <c r="O40" s="364"/>
      <c r="P40" s="364"/>
      <c r="Q40" s="145"/>
      <c r="R40" s="171" t="s">
        <v>53</v>
      </c>
      <c r="S40" s="18">
        <v>10.199999999999999</v>
      </c>
      <c r="T40" s="19">
        <v>15.4</v>
      </c>
      <c r="U40" s="19">
        <v>7.8</v>
      </c>
      <c r="V40" s="98">
        <f t="shared" ref="V40:V46" si="6">SUM(S40:U40)</f>
        <v>33.4</v>
      </c>
      <c r="W40" s="271"/>
      <c r="X40" s="302"/>
      <c r="Y40" s="2"/>
      <c r="Z40" s="49"/>
      <c r="AA40" s="48"/>
      <c r="AB40" s="48"/>
      <c r="AC40" s="2"/>
      <c r="AD40" s="2"/>
      <c r="AE40" s="2"/>
      <c r="AF40" s="2"/>
    </row>
    <row r="41" spans="1:37" ht="33.75" customHeight="1" x14ac:dyDescent="0.25">
      <c r="A41" s="171" t="s">
        <v>24</v>
      </c>
      <c r="B41" s="18">
        <v>32.9</v>
      </c>
      <c r="C41" s="19">
        <v>83.1</v>
      </c>
      <c r="D41" s="19">
        <v>51.6</v>
      </c>
      <c r="E41" s="19">
        <v>37.1</v>
      </c>
      <c r="F41" s="19">
        <v>81.7</v>
      </c>
      <c r="G41" s="19">
        <v>44.2</v>
      </c>
      <c r="H41" s="20">
        <v>5.6</v>
      </c>
      <c r="I41" s="374">
        <f>SUM(B41:H41)</f>
        <v>336.2</v>
      </c>
      <c r="J41" s="988"/>
      <c r="K41" s="989"/>
      <c r="L41" s="989"/>
      <c r="M41" s="989"/>
      <c r="N41" s="364"/>
      <c r="O41" s="364"/>
      <c r="P41" s="364"/>
      <c r="Q41" s="145"/>
      <c r="R41" s="171" t="s">
        <v>24</v>
      </c>
      <c r="S41" s="18">
        <v>10.199999999999999</v>
      </c>
      <c r="T41" s="19">
        <v>15.4</v>
      </c>
      <c r="U41" s="19">
        <v>7.8</v>
      </c>
      <c r="V41" s="98">
        <f t="shared" si="6"/>
        <v>33.4</v>
      </c>
      <c r="W41" s="271"/>
      <c r="X41" s="302"/>
      <c r="Y41" s="2"/>
      <c r="Z41" s="49"/>
      <c r="AA41" s="48"/>
      <c r="AB41" s="48"/>
      <c r="AC41" s="2"/>
      <c r="AD41" s="2"/>
      <c r="AE41" s="2"/>
      <c r="AF41" s="2"/>
    </row>
    <row r="42" spans="1:37" ht="33.75" customHeight="1" x14ac:dyDescent="0.25">
      <c r="A42" s="171" t="s">
        <v>20</v>
      </c>
      <c r="B42" s="18">
        <v>35.200000000000003</v>
      </c>
      <c r="C42" s="19">
        <v>91.5</v>
      </c>
      <c r="D42" s="19">
        <v>57.2</v>
      </c>
      <c r="E42" s="19">
        <v>40.700000000000003</v>
      </c>
      <c r="F42" s="19">
        <v>89.2</v>
      </c>
      <c r="G42" s="19">
        <v>53.8</v>
      </c>
      <c r="H42" s="20">
        <v>2.7</v>
      </c>
      <c r="I42" s="374">
        <f t="shared" ref="I42:I46" si="7">SUM(B42:H42)</f>
        <v>370.3</v>
      </c>
      <c r="J42" s="988"/>
      <c r="K42" s="989"/>
      <c r="L42" s="989"/>
      <c r="M42" s="989"/>
      <c r="N42" s="49"/>
      <c r="O42" s="43"/>
      <c r="P42" s="2"/>
      <c r="Q42" s="145"/>
      <c r="R42" s="171" t="s">
        <v>20</v>
      </c>
      <c r="S42" s="18">
        <v>10.5</v>
      </c>
      <c r="T42" s="19">
        <v>16</v>
      </c>
      <c r="U42" s="19">
        <v>8.1</v>
      </c>
      <c r="V42" s="98">
        <f t="shared" si="6"/>
        <v>34.6</v>
      </c>
      <c r="W42" s="271"/>
      <c r="X42" s="302"/>
      <c r="Y42" s="2"/>
      <c r="Z42" s="49"/>
      <c r="AA42" s="48"/>
      <c r="AB42" s="48"/>
      <c r="AC42" s="2"/>
      <c r="AD42" s="2"/>
      <c r="AE42" s="2"/>
      <c r="AF42" s="2"/>
    </row>
    <row r="43" spans="1:37" ht="33.75" customHeight="1" x14ac:dyDescent="0.25">
      <c r="A43" s="171" t="s">
        <v>28</v>
      </c>
      <c r="B43" s="18">
        <v>35.299999999999997</v>
      </c>
      <c r="C43" s="19">
        <v>91.6</v>
      </c>
      <c r="D43" s="19">
        <v>57.2</v>
      </c>
      <c r="E43" s="19">
        <v>40.700000000000003</v>
      </c>
      <c r="F43" s="19">
        <v>89.2</v>
      </c>
      <c r="G43" s="19">
        <v>53.9</v>
      </c>
      <c r="H43" s="20">
        <v>2.7</v>
      </c>
      <c r="I43" s="374">
        <f t="shared" si="7"/>
        <v>370.59999999999997</v>
      </c>
      <c r="J43" s="988"/>
      <c r="K43" s="989"/>
      <c r="L43" s="989"/>
      <c r="M43" s="989"/>
      <c r="N43" s="49"/>
      <c r="O43" s="144"/>
      <c r="P43" s="145"/>
      <c r="Q43" s="145"/>
      <c r="R43" s="171" t="s">
        <v>28</v>
      </c>
      <c r="S43" s="18">
        <v>10.5</v>
      </c>
      <c r="T43" s="19">
        <v>16.100000000000001</v>
      </c>
      <c r="U43" s="19">
        <v>8.1</v>
      </c>
      <c r="V43" s="98">
        <f t="shared" si="6"/>
        <v>34.700000000000003</v>
      </c>
      <c r="W43" s="271"/>
      <c r="X43" s="302"/>
      <c r="Y43" s="2"/>
      <c r="Z43" s="49"/>
      <c r="AA43" s="48"/>
      <c r="AB43" s="48"/>
      <c r="AC43" s="2"/>
      <c r="AD43" s="2"/>
      <c r="AE43" s="2"/>
      <c r="AF43" s="2"/>
    </row>
    <row r="44" spans="1:37" ht="33.75" customHeight="1" x14ac:dyDescent="0.25">
      <c r="A44" s="171" t="s">
        <v>21</v>
      </c>
      <c r="B44" s="18">
        <v>35.299999999999997</v>
      </c>
      <c r="C44" s="19">
        <v>91.6</v>
      </c>
      <c r="D44" s="19">
        <v>57.2</v>
      </c>
      <c r="E44" s="19">
        <v>40.700000000000003</v>
      </c>
      <c r="F44" s="19">
        <v>89.2</v>
      </c>
      <c r="G44" s="19">
        <v>53.9</v>
      </c>
      <c r="H44" s="20">
        <v>2.7</v>
      </c>
      <c r="I44" s="374">
        <f t="shared" si="7"/>
        <v>370.59999999999997</v>
      </c>
      <c r="J44" s="988"/>
      <c r="K44" s="989"/>
      <c r="L44" s="989"/>
      <c r="M44" s="989"/>
      <c r="N44" s="49"/>
      <c r="O44" s="144"/>
      <c r="P44" s="145"/>
      <c r="Q44" s="145"/>
      <c r="R44" s="171" t="s">
        <v>21</v>
      </c>
      <c r="S44" s="18">
        <v>10.5</v>
      </c>
      <c r="T44" s="19">
        <v>16.100000000000001</v>
      </c>
      <c r="U44" s="19">
        <v>8.1</v>
      </c>
      <c r="V44" s="98">
        <f t="shared" si="6"/>
        <v>34.700000000000003</v>
      </c>
      <c r="W44" s="271"/>
      <c r="X44" s="302"/>
      <c r="Y44" s="2"/>
      <c r="Z44" s="49"/>
      <c r="AA44" s="48"/>
      <c r="AB44" s="48"/>
      <c r="AC44" s="2"/>
      <c r="AD44" s="2"/>
      <c r="AE44" s="2"/>
      <c r="AF44" s="2"/>
    </row>
    <row r="45" spans="1:37" ht="33.75" customHeight="1" x14ac:dyDescent="0.25">
      <c r="A45" s="171" t="s">
        <v>22</v>
      </c>
      <c r="B45" s="18">
        <v>35.299999999999997</v>
      </c>
      <c r="C45" s="19">
        <v>91.6</v>
      </c>
      <c r="D45" s="19">
        <v>57.2</v>
      </c>
      <c r="E45" s="19">
        <v>40.799999999999997</v>
      </c>
      <c r="F45" s="19">
        <v>89.2</v>
      </c>
      <c r="G45" s="19">
        <v>53.9</v>
      </c>
      <c r="H45" s="20">
        <v>2.7</v>
      </c>
      <c r="I45" s="374">
        <f t="shared" si="7"/>
        <v>370.69999999999993</v>
      </c>
      <c r="J45" s="988"/>
      <c r="K45" s="989"/>
      <c r="L45" s="989"/>
      <c r="M45" s="989"/>
      <c r="N45" s="49"/>
      <c r="O45" s="144"/>
      <c r="P45" s="145"/>
      <c r="Q45" s="145"/>
      <c r="R45" s="171" t="s">
        <v>22</v>
      </c>
      <c r="S45" s="18">
        <v>10.5</v>
      </c>
      <c r="T45" s="19">
        <v>16.100000000000001</v>
      </c>
      <c r="U45" s="19">
        <v>8.1</v>
      </c>
      <c r="V45" s="98">
        <f t="shared" si="6"/>
        <v>34.700000000000003</v>
      </c>
      <c r="W45" s="271"/>
      <c r="X45" s="302"/>
      <c r="Y45" s="2"/>
      <c r="Z45" s="49"/>
      <c r="AA45" s="48"/>
      <c r="AB45" s="48"/>
      <c r="AC45" s="2"/>
      <c r="AD45" s="2"/>
      <c r="AE45" s="2"/>
      <c r="AF45" s="2"/>
    </row>
    <row r="46" spans="1:37" ht="33.75" customHeight="1" thickBot="1" x14ac:dyDescent="0.3">
      <c r="A46" s="285" t="s">
        <v>32</v>
      </c>
      <c r="B46" s="18">
        <v>35.299999999999997</v>
      </c>
      <c r="C46" s="19">
        <v>91.6</v>
      </c>
      <c r="D46" s="19">
        <v>57.2</v>
      </c>
      <c r="E46" s="19">
        <v>40.799999999999997</v>
      </c>
      <c r="F46" s="19">
        <v>89.3</v>
      </c>
      <c r="G46" s="19">
        <v>53.9</v>
      </c>
      <c r="H46" s="20">
        <v>2.7</v>
      </c>
      <c r="I46" s="374">
        <f t="shared" si="7"/>
        <v>370.79999999999995</v>
      </c>
      <c r="J46" s="988"/>
      <c r="K46" s="989"/>
      <c r="L46" s="989"/>
      <c r="M46" s="989"/>
      <c r="N46" s="49"/>
      <c r="O46" s="144"/>
      <c r="P46" s="145"/>
      <c r="Q46" s="145"/>
      <c r="R46" s="285" t="s">
        <v>23</v>
      </c>
      <c r="S46" s="18">
        <v>10.5</v>
      </c>
      <c r="T46" s="19">
        <v>16.100000000000001</v>
      </c>
      <c r="U46" s="19">
        <v>8.1999999999999993</v>
      </c>
      <c r="V46" s="98">
        <f t="shared" si="6"/>
        <v>34.799999999999997</v>
      </c>
      <c r="W46" s="271"/>
      <c r="X46" s="302"/>
      <c r="Y46" s="2"/>
      <c r="Z46" s="49"/>
      <c r="AA46" s="48"/>
      <c r="AB46" s="48"/>
      <c r="AC46" s="48"/>
      <c r="AD46" s="48"/>
      <c r="AE46" s="2"/>
      <c r="AF46" s="2"/>
      <c r="AG46" s="2"/>
      <c r="AH46" s="2"/>
    </row>
    <row r="47" spans="1:37" ht="33.75" customHeight="1" x14ac:dyDescent="0.25">
      <c r="A47" s="290" t="s">
        <v>9</v>
      </c>
      <c r="B47" s="131">
        <f>SUM(B40:B46)</f>
        <v>242.20000000000005</v>
      </c>
      <c r="C47" s="128">
        <f t="shared" ref="C47:G47" si="8">SUM(C40:C46)</f>
        <v>624.1</v>
      </c>
      <c r="D47" s="128">
        <f t="shared" si="8"/>
        <v>389.2</v>
      </c>
      <c r="E47" s="128">
        <f t="shared" si="8"/>
        <v>277.90000000000003</v>
      </c>
      <c r="F47" s="128">
        <f t="shared" si="8"/>
        <v>609.5</v>
      </c>
      <c r="G47" s="128">
        <f t="shared" si="8"/>
        <v>357.79999999999995</v>
      </c>
      <c r="H47" s="128">
        <f t="shared" ref="H47" si="9">SUM(H40:H46)</f>
        <v>24.699999999999996</v>
      </c>
      <c r="I47" s="265">
        <f>SUM(B47:H47)</f>
        <v>2525.3999999999996</v>
      </c>
      <c r="J47" s="988"/>
      <c r="K47" s="989"/>
      <c r="L47" s="989"/>
      <c r="M47" s="989"/>
      <c r="N47" s="49"/>
      <c r="O47" s="49"/>
      <c r="P47" s="49"/>
      <c r="R47" s="290" t="s">
        <v>9</v>
      </c>
      <c r="S47" s="133">
        <f>SUM(S40:S46)</f>
        <v>72.900000000000006</v>
      </c>
      <c r="T47" s="134">
        <f>SUM(T40:T46)</f>
        <v>111.19999999999999</v>
      </c>
      <c r="U47" s="134">
        <f>SUM(U40:U46)</f>
        <v>56.2</v>
      </c>
      <c r="V47" s="265">
        <f>SUM(V40,V41,V42,V43,V44,V45,V46)</f>
        <v>240.3</v>
      </c>
      <c r="W47" s="272"/>
      <c r="Y47" s="49"/>
      <c r="Z47" s="49"/>
      <c r="AA47" s="2"/>
      <c r="AB47" s="2"/>
      <c r="AC47" s="2"/>
      <c r="AD47" s="2"/>
      <c r="AE47" s="2"/>
      <c r="AF47" s="2"/>
      <c r="AG47" s="2"/>
      <c r="AH47" s="2"/>
    </row>
    <row r="48" spans="1:37" ht="33.75" customHeight="1" x14ac:dyDescent="0.25">
      <c r="A48" s="192" t="s">
        <v>11</v>
      </c>
      <c r="B48" s="23">
        <v>124</v>
      </c>
      <c r="C48" s="24">
        <v>127</v>
      </c>
      <c r="D48" s="24">
        <v>130.5</v>
      </c>
      <c r="E48" s="24">
        <v>128.5</v>
      </c>
      <c r="F48" s="24">
        <v>123.5</v>
      </c>
      <c r="G48" s="24">
        <v>120</v>
      </c>
      <c r="H48" s="24">
        <v>130.5</v>
      </c>
      <c r="I48" s="137">
        <f>+((I47/I49)/7)*1000</f>
        <v>125.79199043634188</v>
      </c>
      <c r="J48" s="988"/>
      <c r="K48" s="989"/>
      <c r="L48" s="989"/>
      <c r="M48" s="989"/>
      <c r="N48" s="50"/>
      <c r="O48" s="50"/>
      <c r="P48" s="49"/>
      <c r="R48" s="273" t="s">
        <v>11</v>
      </c>
      <c r="S48" s="23">
        <v>137</v>
      </c>
      <c r="T48" s="24">
        <v>137</v>
      </c>
      <c r="U48" s="24">
        <v>136</v>
      </c>
      <c r="V48" s="137">
        <f>+((V47/V49)/7)*1000</f>
        <v>136.76721684689812</v>
      </c>
      <c r="W48" s="2"/>
      <c r="Y48" s="50"/>
      <c r="Z48" s="50"/>
    </row>
    <row r="49" spans="1:49" ht="33.75" customHeight="1" x14ac:dyDescent="0.25">
      <c r="A49" s="193" t="s">
        <v>12</v>
      </c>
      <c r="B49" s="26">
        <v>279</v>
      </c>
      <c r="C49" s="27">
        <v>702</v>
      </c>
      <c r="D49" s="27">
        <v>426</v>
      </c>
      <c r="E49" s="27">
        <v>309</v>
      </c>
      <c r="F49" s="27">
        <v>705</v>
      </c>
      <c r="G49" s="275">
        <v>426</v>
      </c>
      <c r="H49" s="275">
        <v>21</v>
      </c>
      <c r="I49" s="395">
        <f>SUM(B49:H49)</f>
        <v>2868</v>
      </c>
      <c r="J49" s="988"/>
      <c r="K49" s="989"/>
      <c r="L49" s="989"/>
      <c r="M49" s="989"/>
      <c r="N49" s="198"/>
      <c r="O49" s="198"/>
      <c r="P49" s="49"/>
      <c r="Q49" s="51"/>
      <c r="R49" s="193" t="s">
        <v>12</v>
      </c>
      <c r="S49" s="257">
        <v>76</v>
      </c>
      <c r="T49" s="275">
        <v>116</v>
      </c>
      <c r="U49" s="275">
        <v>59</v>
      </c>
      <c r="V49" s="254">
        <f>SUM(S49:U49)</f>
        <v>251</v>
      </c>
      <c r="W49" s="2"/>
      <c r="Y49" s="52"/>
      <c r="Z49" s="52"/>
    </row>
    <row r="50" spans="1:49" ht="33.75" customHeight="1" x14ac:dyDescent="0.25">
      <c r="A50" s="194" t="s">
        <v>13</v>
      </c>
      <c r="B50" s="30">
        <f>((((B48*7)*B49)/1000)-(B40+B41))/5</f>
        <v>35.2744</v>
      </c>
      <c r="C50" s="31">
        <f t="shared" ref="C50:G50" si="10">((((C48*7)*C49)/1000)-(C40+C41))/5</f>
        <v>91.575599999999994</v>
      </c>
      <c r="D50" s="31">
        <f t="shared" si="10"/>
        <v>57.190200000000004</v>
      </c>
      <c r="E50" s="31">
        <f t="shared" si="10"/>
        <v>40.749099999999999</v>
      </c>
      <c r="F50" s="31">
        <f t="shared" si="10"/>
        <v>89.214500000000001</v>
      </c>
      <c r="G50" s="31">
        <f t="shared" si="10"/>
        <v>53.887999999999991</v>
      </c>
      <c r="H50" s="31">
        <f t="shared" ref="H50" si="11">((((H48*7)*H49)/1000)-(H40+H41))/5</f>
        <v>1.5966999999999998</v>
      </c>
      <c r="I50" s="139">
        <f>((I47*1000)/I49)/7</f>
        <v>125.79199043634188</v>
      </c>
      <c r="J50" s="988"/>
      <c r="K50" s="989"/>
      <c r="L50" s="989"/>
      <c r="M50" s="989"/>
      <c r="N50" s="199"/>
      <c r="O50" s="199"/>
      <c r="P50" s="49"/>
      <c r="R50" s="194" t="s">
        <v>13</v>
      </c>
      <c r="S50" s="30">
        <f>((((S48*7)*S49)/1000)-(S40+S41))/5</f>
        <v>10.4968</v>
      </c>
      <c r="T50" s="30">
        <f>((((T48*7)*T49)/1000)-(T40+T41))/5</f>
        <v>16.088799999999999</v>
      </c>
      <c r="U50" s="30">
        <f>((((U48*7)*U49)/1000)-(U40+U41))/5</f>
        <v>8.1135999999999999</v>
      </c>
      <c r="V50" s="274">
        <f>((V47*1000)/V49)/7</f>
        <v>136.76721684689812</v>
      </c>
      <c r="W50" s="43"/>
      <c r="Y50" s="52"/>
      <c r="Z50" s="52"/>
    </row>
    <row r="51" spans="1:49" ht="33.75" customHeight="1" x14ac:dyDescent="0.25">
      <c r="A51" s="185" t="s">
        <v>14</v>
      </c>
      <c r="B51" s="279">
        <f t="shared" ref="B51:G51" si="12">((B49*B48)*7)/1000</f>
        <v>242.172</v>
      </c>
      <c r="C51" s="280">
        <f t="shared" si="12"/>
        <v>624.07799999999997</v>
      </c>
      <c r="D51" s="280">
        <f t="shared" si="12"/>
        <v>389.15100000000001</v>
      </c>
      <c r="E51" s="280">
        <f t="shared" si="12"/>
        <v>277.94549999999998</v>
      </c>
      <c r="F51" s="280">
        <f t="shared" si="12"/>
        <v>609.47249999999997</v>
      </c>
      <c r="G51" s="280">
        <f t="shared" si="12"/>
        <v>357.84</v>
      </c>
      <c r="H51" s="280">
        <f t="shared" ref="H51" si="13">((H49*H48)*7)/1000</f>
        <v>19.183499999999999</v>
      </c>
      <c r="I51" s="112"/>
      <c r="J51" s="988"/>
      <c r="K51" s="989"/>
      <c r="L51" s="989"/>
      <c r="M51" s="989"/>
      <c r="N51" s="41"/>
      <c r="O51" s="41"/>
      <c r="P51" s="49"/>
      <c r="R51" s="185" t="s">
        <v>14</v>
      </c>
      <c r="S51" s="279">
        <f>((S49*S48)*7)/1000</f>
        <v>72.884</v>
      </c>
      <c r="T51" s="280">
        <f>((T49*T48)*7)/1000</f>
        <v>111.244</v>
      </c>
      <c r="U51" s="280">
        <f>((U49*U48)*7)/1000</f>
        <v>56.167999999999999</v>
      </c>
      <c r="V51" s="36"/>
      <c r="W51" s="41"/>
    </row>
    <row r="52" spans="1:49" ht="33.75" customHeight="1" thickBot="1" x14ac:dyDescent="0.3">
      <c r="A52" s="195" t="s">
        <v>15</v>
      </c>
      <c r="B52" s="37">
        <f t="shared" ref="B52:G52" si="14">+(B47/B49)/7*1000</f>
        <v>124.01433691756273</v>
      </c>
      <c r="C52" s="38">
        <f t="shared" si="14"/>
        <v>127.00447700447701</v>
      </c>
      <c r="D52" s="38">
        <f t="shared" si="14"/>
        <v>130.51643192488262</v>
      </c>
      <c r="E52" s="38">
        <f t="shared" si="14"/>
        <v>128.47896440129452</v>
      </c>
      <c r="F52" s="38">
        <f t="shared" si="14"/>
        <v>123.50557244174266</v>
      </c>
      <c r="G52" s="38">
        <f t="shared" si="14"/>
        <v>119.98658618376926</v>
      </c>
      <c r="H52" s="38">
        <f t="shared" ref="H52" si="15">+(H47/H49)/7*1000</f>
        <v>168.02721088435371</v>
      </c>
      <c r="I52" s="140"/>
      <c r="J52" s="988"/>
      <c r="K52" s="989"/>
      <c r="L52" s="989"/>
      <c r="M52" s="989"/>
      <c r="N52" s="41"/>
      <c r="O52" s="41"/>
      <c r="P52" s="49"/>
      <c r="Q52" s="41"/>
      <c r="R52" s="195" t="s">
        <v>15</v>
      </c>
      <c r="S52" s="37">
        <f>+(S47/S49)/7*1000</f>
        <v>137.03007518796991</v>
      </c>
      <c r="T52" s="38">
        <f>+(T47/T49)/7*1000</f>
        <v>136.94581280788177</v>
      </c>
      <c r="U52" s="38">
        <f>+(U47/U49)/7*1000</f>
        <v>136.07748184019371</v>
      </c>
      <c r="V52" s="259"/>
      <c r="W52" s="42"/>
      <c r="Y52" s="42"/>
      <c r="Z52" s="42"/>
    </row>
    <row r="53" spans="1:49" ht="33.75" customHeight="1" x14ac:dyDescent="0.25">
      <c r="A53" s="41"/>
      <c r="B53" s="43">
        <f>B51-B47</f>
        <v>-2.8000000000048431E-2</v>
      </c>
      <c r="C53" s="43">
        <f t="shared" ref="C53:G53" si="16">C51-C47</f>
        <v>-2.2000000000048203E-2</v>
      </c>
      <c r="D53" s="43">
        <f t="shared" si="16"/>
        <v>-4.8999999999978172E-2</v>
      </c>
      <c r="E53" s="43">
        <f t="shared" si="16"/>
        <v>4.5499999999947249E-2</v>
      </c>
      <c r="F53" s="43">
        <f t="shared" si="16"/>
        <v>-2.7500000000031832E-2</v>
      </c>
      <c r="G53" s="43">
        <f t="shared" si="16"/>
        <v>4.0000000000020464E-2</v>
      </c>
      <c r="H53" s="43">
        <f t="shared" ref="H53" si="17">H51-H47</f>
        <v>-5.5164999999999971</v>
      </c>
      <c r="I53" s="41"/>
      <c r="J53" s="41"/>
      <c r="K53" s="41"/>
      <c r="L53" s="41"/>
      <c r="M53" s="41"/>
      <c r="N53" s="42"/>
      <c r="R53" s="43"/>
      <c r="S53" s="42">
        <f>S51-S47</f>
        <v>-1.6000000000005343E-2</v>
      </c>
      <c r="T53" s="42">
        <f t="shared" ref="T53:U53" si="18">T51-T47</f>
        <v>4.4000000000011141E-2</v>
      </c>
      <c r="U53" s="42">
        <f t="shared" si="18"/>
        <v>-3.2000000000003581E-2</v>
      </c>
      <c r="V53" s="42"/>
      <c r="W53" s="42"/>
      <c r="X53" s="2"/>
      <c r="Y53" s="2"/>
      <c r="Z53" s="2"/>
      <c r="AA53" s="2"/>
      <c r="AB53" s="2"/>
    </row>
    <row r="54" spans="1:49" ht="33.75" customHeight="1" x14ac:dyDescent="0.25">
      <c r="A54" s="41"/>
      <c r="B54" s="42">
        <f t="shared" ref="B54:G54" si="19">B52-B48</f>
        <v>1.4336917562729923E-2</v>
      </c>
      <c r="C54" s="42">
        <f t="shared" si="19"/>
        <v>4.4770044770103823E-3</v>
      </c>
      <c r="D54" s="42">
        <f t="shared" si="19"/>
        <v>1.6431924882624571E-2</v>
      </c>
      <c r="E54" s="42">
        <f t="shared" si="19"/>
        <v>-2.1035598705481107E-2</v>
      </c>
      <c r="F54" s="42">
        <f t="shared" si="19"/>
        <v>5.5724417426574746E-3</v>
      </c>
      <c r="G54" s="42">
        <f t="shared" si="19"/>
        <v>-1.3413816230738007E-2</v>
      </c>
      <c r="H54" s="42">
        <f t="shared" ref="H54" si="20">H52-H48</f>
        <v>37.527210884353707</v>
      </c>
      <c r="I54" s="41"/>
      <c r="J54" s="41"/>
      <c r="K54" s="41"/>
      <c r="L54" s="41"/>
      <c r="M54" s="42"/>
      <c r="N54" s="42"/>
      <c r="R54" s="42"/>
      <c r="S54" s="42">
        <f>S52-S48</f>
        <v>3.0075187969913486E-2</v>
      </c>
      <c r="T54" s="42">
        <f t="shared" ref="T54:U54" si="21">T52-T48</f>
        <v>-5.4187192118234861E-2</v>
      </c>
      <c r="U54" s="42">
        <f t="shared" si="21"/>
        <v>7.7481840193712515E-2</v>
      </c>
      <c r="V54" s="43"/>
      <c r="W54" s="43"/>
      <c r="X54" s="2"/>
      <c r="Y54" s="2"/>
      <c r="Z54" s="2"/>
      <c r="AA54" s="2"/>
      <c r="AE54" s="3"/>
    </row>
    <row r="55" spans="1:49" ht="33.75" customHeight="1" x14ac:dyDescent="0.25">
      <c r="A55" s="41"/>
      <c r="B55" s="287"/>
      <c r="C55" s="287"/>
      <c r="D55" s="287"/>
      <c r="E55" s="287"/>
      <c r="F55" s="287"/>
      <c r="G55" s="264"/>
      <c r="H55" s="41"/>
      <c r="I55" s="41"/>
      <c r="J55" s="41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2"/>
      <c r="X55" s="43"/>
      <c r="Y55" s="43"/>
      <c r="Z55" s="43"/>
      <c r="AA55" s="2"/>
      <c r="AB55" s="2"/>
      <c r="AC55" s="2"/>
      <c r="AD55" s="2"/>
      <c r="AH55" s="3"/>
    </row>
    <row r="56" spans="1:49" ht="33.75" customHeight="1" thickBot="1" x14ac:dyDescent="0.3">
      <c r="A56" s="53"/>
      <c r="B56" s="284"/>
      <c r="C56" s="284"/>
      <c r="D56" s="284"/>
      <c r="E56" s="284"/>
      <c r="F56" s="284"/>
      <c r="G56" s="284"/>
      <c r="H56" s="54"/>
      <c r="I56" s="54"/>
      <c r="J56" s="54"/>
      <c r="K56" s="54"/>
      <c r="L56" s="54"/>
      <c r="M56" s="54"/>
      <c r="N56" s="54"/>
      <c r="O56" s="958"/>
      <c r="P56" s="958"/>
      <c r="Q56" s="283"/>
      <c r="R56" s="283"/>
      <c r="S56" s="283"/>
      <c r="T56" s="54"/>
      <c r="U56" s="55"/>
      <c r="Z56" s="43"/>
      <c r="AA56" s="43"/>
      <c r="AB56" s="43"/>
      <c r="AC56" s="2"/>
      <c r="AD56" s="2"/>
      <c r="AE56" s="2"/>
      <c r="AF56" s="2"/>
      <c r="AH56" s="2"/>
      <c r="AI56" s="2"/>
      <c r="AJ56" s="2"/>
    </row>
    <row r="57" spans="1:49" ht="33.75" customHeight="1" x14ac:dyDescent="0.25">
      <c r="A57" s="359" t="s">
        <v>19</v>
      </c>
      <c r="B57" s="986" t="s">
        <v>8</v>
      </c>
      <c r="C57" s="956"/>
      <c r="D57" s="956"/>
      <c r="E57" s="956"/>
      <c r="F57" s="956"/>
      <c r="G57" s="986" t="s">
        <v>30</v>
      </c>
      <c r="H57" s="956"/>
      <c r="I57" s="956"/>
      <c r="J57" s="956"/>
      <c r="K57" s="987"/>
      <c r="L57" s="986" t="s">
        <v>29</v>
      </c>
      <c r="M57" s="956"/>
      <c r="N57" s="956"/>
      <c r="O57" s="956"/>
      <c r="P57" s="956"/>
      <c r="Q57" s="994" t="s">
        <v>31</v>
      </c>
      <c r="R57" s="995"/>
      <c r="S57" s="995"/>
      <c r="T57" s="995"/>
      <c r="U57" s="996"/>
      <c r="V57" s="992" t="s">
        <v>9</v>
      </c>
      <c r="AE57" s="43"/>
      <c r="AF57" s="43"/>
      <c r="AG57" s="43"/>
      <c r="AH57" s="2"/>
      <c r="AI57" s="2"/>
      <c r="AJ57" s="2"/>
      <c r="AK57" s="2"/>
      <c r="AM57" s="2"/>
      <c r="AN57" s="2"/>
      <c r="AO57" s="2"/>
    </row>
    <row r="58" spans="1:49" ht="33.75" customHeight="1" thickBot="1" x14ac:dyDescent="0.3">
      <c r="A58" s="170" t="s">
        <v>34</v>
      </c>
      <c r="B58" s="360"/>
      <c r="C58" s="361"/>
      <c r="D58" s="361"/>
      <c r="E58" s="361"/>
      <c r="F58" s="361"/>
      <c r="G58" s="360"/>
      <c r="H58" s="361"/>
      <c r="I58" s="361"/>
      <c r="J58" s="361"/>
      <c r="K58" s="361"/>
      <c r="L58" s="360"/>
      <c r="M58" s="361"/>
      <c r="N58" s="361"/>
      <c r="O58" s="361"/>
      <c r="P58" s="396"/>
      <c r="Q58" s="360"/>
      <c r="R58" s="361"/>
      <c r="S58" s="361"/>
      <c r="T58" s="361"/>
      <c r="U58" s="397"/>
      <c r="V58" s="993"/>
      <c r="AC58" s="45"/>
      <c r="AD58" s="45"/>
      <c r="AE58" s="45"/>
      <c r="AF58" s="45"/>
      <c r="AG58" s="57"/>
      <c r="AH58" s="57"/>
      <c r="AI58" s="57"/>
      <c r="AJ58" s="57"/>
      <c r="AK58" s="45"/>
      <c r="AL58" s="45"/>
      <c r="AM58" s="58"/>
      <c r="AN58" s="58"/>
      <c r="AO58" s="58"/>
      <c r="AP58" s="2"/>
      <c r="AQ58" s="2"/>
      <c r="AR58" s="2"/>
      <c r="AS58" s="2"/>
      <c r="AU58" s="2"/>
      <c r="AV58" s="2"/>
      <c r="AW58" s="2"/>
    </row>
    <row r="59" spans="1:49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188">
        <v>1</v>
      </c>
      <c r="H59" s="168">
        <v>2</v>
      </c>
      <c r="I59" s="168">
        <v>3</v>
      </c>
      <c r="J59" s="168">
        <v>4</v>
      </c>
      <c r="K59" s="168">
        <v>5</v>
      </c>
      <c r="L59" s="188">
        <v>1</v>
      </c>
      <c r="M59" s="168">
        <v>2</v>
      </c>
      <c r="N59" s="168">
        <v>3</v>
      </c>
      <c r="O59" s="168">
        <v>4</v>
      </c>
      <c r="P59" s="413">
        <v>5</v>
      </c>
      <c r="Q59" s="188">
        <v>1</v>
      </c>
      <c r="R59" s="168">
        <v>2</v>
      </c>
      <c r="S59" s="168">
        <v>3</v>
      </c>
      <c r="T59" s="168">
        <v>4</v>
      </c>
      <c r="U59" s="414">
        <v>5</v>
      </c>
      <c r="V59" s="126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57"/>
      <c r="AH59" s="57"/>
      <c r="AI59" s="57"/>
      <c r="AJ59" s="57"/>
      <c r="AK59" s="45"/>
      <c r="AL59" s="45"/>
      <c r="AM59" s="58"/>
      <c r="AN59" s="58"/>
      <c r="AO59" s="58"/>
      <c r="AP59" s="2"/>
      <c r="AQ59" s="2"/>
      <c r="AR59" s="2"/>
      <c r="AS59" s="2"/>
      <c r="AT59" s="2"/>
      <c r="AU59" s="2"/>
      <c r="AV59" s="2"/>
      <c r="AW59" s="2"/>
    </row>
    <row r="60" spans="1:49" ht="33.75" customHeight="1" x14ac:dyDescent="0.25">
      <c r="A60" s="171" t="s">
        <v>53</v>
      </c>
      <c r="B60" s="133">
        <v>7.7</v>
      </c>
      <c r="C60" s="134">
        <v>7.7</v>
      </c>
      <c r="D60" s="134">
        <v>2.4</v>
      </c>
      <c r="E60" s="134">
        <v>7.7</v>
      </c>
      <c r="F60" s="134">
        <v>7.7</v>
      </c>
      <c r="G60" s="133">
        <v>7.7</v>
      </c>
      <c r="H60" s="134">
        <v>7.7</v>
      </c>
      <c r="I60" s="134">
        <v>2.4</v>
      </c>
      <c r="J60" s="134">
        <v>7.7</v>
      </c>
      <c r="K60" s="134">
        <v>7.7</v>
      </c>
      <c r="L60" s="133">
        <v>6.4</v>
      </c>
      <c r="M60" s="134">
        <v>6.4</v>
      </c>
      <c r="N60" s="134">
        <v>2.4</v>
      </c>
      <c r="O60" s="134">
        <v>6.4</v>
      </c>
      <c r="P60" s="134">
        <v>6.4</v>
      </c>
      <c r="Q60" s="133">
        <v>6.6</v>
      </c>
      <c r="R60" s="134">
        <v>6.6</v>
      </c>
      <c r="S60" s="134">
        <v>2.4</v>
      </c>
      <c r="T60" s="134">
        <v>6.6</v>
      </c>
      <c r="U60" s="156">
        <v>6.6</v>
      </c>
      <c r="V60" s="412">
        <f t="shared" ref="V60:V67" si="22">SUM(B60:U60)</f>
        <v>123.20000000000002</v>
      </c>
      <c r="W60" s="42"/>
      <c r="X60" s="302"/>
      <c r="Y60" s="42"/>
      <c r="Z60" s="42"/>
      <c r="AA60" s="42"/>
      <c r="AB60" s="42"/>
      <c r="AC60" s="2"/>
      <c r="AD60" s="45"/>
      <c r="AE60" s="45"/>
      <c r="AF60" s="45"/>
      <c r="AG60" s="57"/>
      <c r="AH60" s="57"/>
      <c r="AI60" s="57"/>
      <c r="AJ60" s="57"/>
      <c r="AK60" s="45"/>
      <c r="AL60" s="45"/>
      <c r="AM60" s="58"/>
      <c r="AN60" s="58"/>
      <c r="AO60" s="58"/>
      <c r="AP60" s="2"/>
      <c r="AQ60" s="2"/>
      <c r="AR60" s="2"/>
      <c r="AS60" s="2"/>
      <c r="AT60" s="2"/>
      <c r="AU60" s="2"/>
      <c r="AV60" s="2"/>
      <c r="AW60" s="2"/>
    </row>
    <row r="61" spans="1:49" ht="33.75" customHeight="1" x14ac:dyDescent="0.25">
      <c r="A61" s="171" t="s">
        <v>24</v>
      </c>
      <c r="B61" s="18">
        <v>7.7</v>
      </c>
      <c r="C61" s="19">
        <v>7.7</v>
      </c>
      <c r="D61" s="19">
        <v>2.4</v>
      </c>
      <c r="E61" s="19">
        <v>7.7</v>
      </c>
      <c r="F61" s="19">
        <v>7.7</v>
      </c>
      <c r="G61" s="18">
        <v>7.7</v>
      </c>
      <c r="H61" s="19">
        <v>7.7</v>
      </c>
      <c r="I61" s="19">
        <v>2.4</v>
      </c>
      <c r="J61" s="19">
        <v>7.7</v>
      </c>
      <c r="K61" s="19">
        <v>7.7</v>
      </c>
      <c r="L61" s="18">
        <v>6.4</v>
      </c>
      <c r="M61" s="19">
        <v>6.4</v>
      </c>
      <c r="N61" s="19">
        <v>2.4</v>
      </c>
      <c r="O61" s="19">
        <v>6.4</v>
      </c>
      <c r="P61" s="19">
        <v>6.4</v>
      </c>
      <c r="Q61" s="18">
        <v>6.6</v>
      </c>
      <c r="R61" s="19">
        <v>6.6</v>
      </c>
      <c r="S61" s="19">
        <v>2.4</v>
      </c>
      <c r="T61" s="19">
        <v>6.6</v>
      </c>
      <c r="U61" s="20">
        <v>6.6</v>
      </c>
      <c r="V61" s="412">
        <f t="shared" si="22"/>
        <v>123.20000000000002</v>
      </c>
      <c r="W61" s="42"/>
      <c r="X61" s="302"/>
      <c r="Y61" s="42"/>
      <c r="Z61" s="42"/>
      <c r="AA61" s="42"/>
      <c r="AB61" s="42"/>
      <c r="AC61" s="2"/>
      <c r="AD61" s="45"/>
      <c r="AE61" s="45"/>
      <c r="AF61" s="45"/>
      <c r="AG61" s="57"/>
      <c r="AH61" s="57"/>
      <c r="AI61" s="57"/>
      <c r="AJ61" s="57"/>
      <c r="AK61" s="45"/>
      <c r="AL61" s="45"/>
      <c r="AM61" s="58"/>
      <c r="AN61" s="58"/>
      <c r="AO61" s="58"/>
      <c r="AP61" s="2"/>
      <c r="AQ61" s="2"/>
      <c r="AR61" s="2"/>
      <c r="AS61" s="2"/>
      <c r="AT61" s="2"/>
      <c r="AU61" s="2"/>
      <c r="AV61" s="2"/>
      <c r="AW61" s="2"/>
    </row>
    <row r="62" spans="1:49" ht="33.75" customHeight="1" x14ac:dyDescent="0.25">
      <c r="A62" s="171" t="s">
        <v>20</v>
      </c>
      <c r="B62" s="18">
        <v>8.1</v>
      </c>
      <c r="C62" s="19">
        <v>8.1</v>
      </c>
      <c r="D62" s="19">
        <v>2.5</v>
      </c>
      <c r="E62" s="19">
        <v>8.1</v>
      </c>
      <c r="F62" s="19">
        <v>8.1</v>
      </c>
      <c r="G62" s="18">
        <v>8.1</v>
      </c>
      <c r="H62" s="19">
        <v>8.1</v>
      </c>
      <c r="I62" s="19">
        <v>2.5</v>
      </c>
      <c r="J62" s="19">
        <v>8.1</v>
      </c>
      <c r="K62" s="19">
        <v>8.1</v>
      </c>
      <c r="L62" s="18">
        <v>6.6</v>
      </c>
      <c r="M62" s="19">
        <v>6.6</v>
      </c>
      <c r="N62" s="19">
        <v>2.5</v>
      </c>
      <c r="O62" s="19">
        <v>6.6</v>
      </c>
      <c r="P62" s="19">
        <v>6.6</v>
      </c>
      <c r="Q62" s="18">
        <v>7</v>
      </c>
      <c r="R62" s="19">
        <v>7</v>
      </c>
      <c r="S62" s="19">
        <v>2.5</v>
      </c>
      <c r="T62" s="19">
        <v>7</v>
      </c>
      <c r="U62" s="20">
        <v>7</v>
      </c>
      <c r="V62" s="412">
        <f t="shared" si="22"/>
        <v>129.19999999999999</v>
      </c>
      <c r="W62" s="42"/>
      <c r="X62" s="302"/>
      <c r="Y62" s="42"/>
      <c r="Z62" s="42"/>
      <c r="AA62" s="42"/>
      <c r="AB62" s="42"/>
      <c r="AC62" s="2"/>
      <c r="AD62" s="45"/>
      <c r="AE62" s="45"/>
      <c r="AF62" s="45"/>
      <c r="AG62" s="57"/>
      <c r="AH62" s="57"/>
      <c r="AI62" s="57"/>
      <c r="AJ62" s="57"/>
      <c r="AK62" s="45"/>
      <c r="AL62" s="45"/>
      <c r="AM62" s="58"/>
      <c r="AN62" s="58"/>
      <c r="AO62" s="58"/>
      <c r="AP62" s="2"/>
      <c r="AQ62" s="2"/>
      <c r="AR62" s="2"/>
      <c r="AS62" s="2"/>
      <c r="AT62" s="2"/>
      <c r="AU62" s="2"/>
      <c r="AV62" s="2"/>
      <c r="AW62" s="2"/>
    </row>
    <row r="63" spans="1:49" ht="33.75" customHeight="1" x14ac:dyDescent="0.25">
      <c r="A63" s="171" t="s">
        <v>28</v>
      </c>
      <c r="B63" s="18">
        <v>8.1</v>
      </c>
      <c r="C63" s="19">
        <v>8.1</v>
      </c>
      <c r="D63" s="19">
        <v>2.6</v>
      </c>
      <c r="E63" s="19">
        <v>8.1</v>
      </c>
      <c r="F63" s="19">
        <v>8.1</v>
      </c>
      <c r="G63" s="18">
        <v>8.1</v>
      </c>
      <c r="H63" s="19">
        <v>8.1</v>
      </c>
      <c r="I63" s="19">
        <v>2.6</v>
      </c>
      <c r="J63" s="19">
        <v>8.1</v>
      </c>
      <c r="K63" s="19">
        <v>8.1</v>
      </c>
      <c r="L63" s="18">
        <v>6.7</v>
      </c>
      <c r="M63" s="19">
        <v>6.7</v>
      </c>
      <c r="N63" s="19">
        <v>2.6</v>
      </c>
      <c r="O63" s="19">
        <v>6.7</v>
      </c>
      <c r="P63" s="19">
        <v>6.7</v>
      </c>
      <c r="Q63" s="18">
        <v>7</v>
      </c>
      <c r="R63" s="19">
        <v>7</v>
      </c>
      <c r="S63" s="19">
        <v>2.6</v>
      </c>
      <c r="T63" s="19">
        <v>7</v>
      </c>
      <c r="U63" s="20">
        <v>7</v>
      </c>
      <c r="V63" s="412">
        <f t="shared" si="22"/>
        <v>130</v>
      </c>
      <c r="W63" s="42"/>
      <c r="X63" s="302"/>
      <c r="Y63" s="42"/>
      <c r="Z63" s="42"/>
      <c r="AA63" s="42"/>
      <c r="AB63" s="42"/>
      <c r="AC63" s="2"/>
      <c r="AD63" s="45"/>
      <c r="AE63" s="45"/>
      <c r="AF63" s="45"/>
      <c r="AG63" s="57"/>
      <c r="AH63" s="57"/>
      <c r="AI63" s="57"/>
      <c r="AJ63" s="57"/>
      <c r="AK63" s="45"/>
      <c r="AL63" s="45"/>
      <c r="AM63" s="58"/>
      <c r="AN63" s="58"/>
      <c r="AO63" s="58"/>
      <c r="AP63" s="3"/>
      <c r="AQ63" s="3"/>
      <c r="AR63" s="2"/>
      <c r="AS63" s="2"/>
      <c r="AT63" s="2"/>
      <c r="AU63" s="2"/>
      <c r="AV63" s="2"/>
      <c r="AW63" s="2"/>
    </row>
    <row r="64" spans="1:49" ht="33.75" customHeight="1" x14ac:dyDescent="0.25">
      <c r="A64" s="171" t="s">
        <v>21</v>
      </c>
      <c r="B64" s="18">
        <v>8.1</v>
      </c>
      <c r="C64" s="19">
        <v>8.1</v>
      </c>
      <c r="D64" s="19">
        <v>2.6</v>
      </c>
      <c r="E64" s="19">
        <v>8.1</v>
      </c>
      <c r="F64" s="19">
        <v>8.1</v>
      </c>
      <c r="G64" s="18">
        <v>8.1</v>
      </c>
      <c r="H64" s="19">
        <v>8.1</v>
      </c>
      <c r="I64" s="19">
        <v>2.6</v>
      </c>
      <c r="J64" s="19">
        <v>8.1</v>
      </c>
      <c r="K64" s="19">
        <v>8.1</v>
      </c>
      <c r="L64" s="18">
        <v>6.7</v>
      </c>
      <c r="M64" s="19">
        <v>6.7</v>
      </c>
      <c r="N64" s="19">
        <v>2.6</v>
      </c>
      <c r="O64" s="19">
        <v>6.7</v>
      </c>
      <c r="P64" s="19">
        <v>6.7</v>
      </c>
      <c r="Q64" s="18">
        <v>7</v>
      </c>
      <c r="R64" s="19">
        <v>7</v>
      </c>
      <c r="S64" s="19">
        <v>2.6</v>
      </c>
      <c r="T64" s="19">
        <v>7</v>
      </c>
      <c r="U64" s="20">
        <v>7</v>
      </c>
      <c r="V64" s="412">
        <f t="shared" si="22"/>
        <v>130</v>
      </c>
      <c r="W64" s="42"/>
      <c r="X64" s="302"/>
      <c r="Y64" s="42"/>
      <c r="Z64" s="42"/>
      <c r="AA64" s="42"/>
      <c r="AB64" s="42"/>
      <c r="AC64" s="2"/>
      <c r="AD64" s="45"/>
      <c r="AE64" s="45"/>
      <c r="AF64" s="45"/>
      <c r="AG64" s="57"/>
      <c r="AH64" s="57"/>
      <c r="AI64" s="57"/>
      <c r="AJ64" s="57"/>
      <c r="AK64" s="45"/>
      <c r="AL64" s="45"/>
      <c r="AM64" s="58"/>
      <c r="AN64" s="58"/>
      <c r="AO64" s="58"/>
      <c r="AP64" s="3"/>
      <c r="AQ64" s="3"/>
      <c r="AR64" s="2"/>
      <c r="AS64" s="2"/>
      <c r="AT64" s="2"/>
      <c r="AU64" s="2"/>
      <c r="AV64" s="2"/>
      <c r="AW64" s="2"/>
    </row>
    <row r="65" spans="1:49" ht="33.75" customHeight="1" x14ac:dyDescent="0.25">
      <c r="A65" s="171" t="s">
        <v>22</v>
      </c>
      <c r="B65" s="18">
        <v>8.1999999999999993</v>
      </c>
      <c r="C65" s="19">
        <v>8.1999999999999993</v>
      </c>
      <c r="D65" s="19">
        <v>2.6</v>
      </c>
      <c r="E65" s="19">
        <v>8.1999999999999993</v>
      </c>
      <c r="F65" s="19">
        <v>8.1999999999999993</v>
      </c>
      <c r="G65" s="18">
        <v>8.1999999999999993</v>
      </c>
      <c r="H65" s="19">
        <v>8.1999999999999993</v>
      </c>
      <c r="I65" s="19">
        <v>2.6</v>
      </c>
      <c r="J65" s="19">
        <v>8.1999999999999993</v>
      </c>
      <c r="K65" s="19">
        <v>8.1999999999999993</v>
      </c>
      <c r="L65" s="18">
        <v>6.7</v>
      </c>
      <c r="M65" s="19">
        <v>6.7</v>
      </c>
      <c r="N65" s="19">
        <v>2.6</v>
      </c>
      <c r="O65" s="19">
        <v>6.7</v>
      </c>
      <c r="P65" s="19">
        <v>6.7</v>
      </c>
      <c r="Q65" s="18">
        <v>7</v>
      </c>
      <c r="R65" s="19">
        <v>7</v>
      </c>
      <c r="S65" s="19">
        <v>2.6</v>
      </c>
      <c r="T65" s="19">
        <v>7</v>
      </c>
      <c r="U65" s="20">
        <v>7</v>
      </c>
      <c r="V65" s="412">
        <f t="shared" si="22"/>
        <v>130.80000000000001</v>
      </c>
      <c r="W65" s="42"/>
      <c r="X65" s="302"/>
      <c r="Y65" s="42"/>
      <c r="Z65" s="42"/>
      <c r="AA65" s="42"/>
      <c r="AB65" s="42"/>
      <c r="AC65" s="2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3"/>
      <c r="AQ65" s="3"/>
      <c r="AT65" s="2"/>
      <c r="AU65" s="2"/>
      <c r="AV65" s="2"/>
      <c r="AW65" s="2"/>
    </row>
    <row r="66" spans="1:49" ht="33.75" customHeight="1" thickBot="1" x14ac:dyDescent="0.3">
      <c r="A66" s="171" t="s">
        <v>23</v>
      </c>
      <c r="B66" s="153">
        <v>8.1999999999999993</v>
      </c>
      <c r="C66" s="154">
        <v>8.1999999999999993</v>
      </c>
      <c r="D66" s="154">
        <v>2.6</v>
      </c>
      <c r="E66" s="154">
        <v>8.1999999999999993</v>
      </c>
      <c r="F66" s="154">
        <v>8.1999999999999993</v>
      </c>
      <c r="G66" s="153">
        <v>8.1999999999999993</v>
      </c>
      <c r="H66" s="154">
        <v>8.1999999999999993</v>
      </c>
      <c r="I66" s="154">
        <v>2.6</v>
      </c>
      <c r="J66" s="154">
        <v>8.1999999999999993</v>
      </c>
      <c r="K66" s="154">
        <v>8.1999999999999993</v>
      </c>
      <c r="L66" s="18">
        <v>6.7</v>
      </c>
      <c r="M66" s="154">
        <v>6.7</v>
      </c>
      <c r="N66" s="154">
        <v>2.6</v>
      </c>
      <c r="O66" s="154">
        <v>6.7</v>
      </c>
      <c r="P66" s="154">
        <v>6.7</v>
      </c>
      <c r="Q66" s="153">
        <v>7</v>
      </c>
      <c r="R66" s="154">
        <v>7</v>
      </c>
      <c r="S66" s="154">
        <v>2.6</v>
      </c>
      <c r="T66" s="154">
        <v>7</v>
      </c>
      <c r="U66" s="182">
        <v>7</v>
      </c>
      <c r="V66" s="412">
        <f>SUM(B66:U66)</f>
        <v>130.80000000000001</v>
      </c>
      <c r="W66" s="42"/>
      <c r="X66" s="302"/>
      <c r="Y66" s="42"/>
      <c r="Z66" s="42"/>
      <c r="AA66" s="42"/>
      <c r="AB66" s="42"/>
      <c r="AC66" s="2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3"/>
      <c r="AQ66" s="3"/>
      <c r="AT66" s="2"/>
      <c r="AU66" s="2"/>
      <c r="AV66" s="2"/>
      <c r="AW66" s="2"/>
    </row>
    <row r="67" spans="1:49" ht="33.75" customHeight="1" thickBot="1" x14ac:dyDescent="0.3">
      <c r="A67" s="170" t="s">
        <v>9</v>
      </c>
      <c r="B67" s="354">
        <f t="shared" ref="B67:U67" si="23">SUM(B60:B66)</f>
        <v>56.100000000000009</v>
      </c>
      <c r="C67" s="355">
        <f t="shared" si="23"/>
        <v>56.100000000000009</v>
      </c>
      <c r="D67" s="355">
        <f t="shared" si="23"/>
        <v>17.7</v>
      </c>
      <c r="E67" s="355">
        <f t="shared" si="23"/>
        <v>56.100000000000009</v>
      </c>
      <c r="F67" s="356">
        <f t="shared" si="23"/>
        <v>56.100000000000009</v>
      </c>
      <c r="G67" s="354">
        <f t="shared" si="23"/>
        <v>56.100000000000009</v>
      </c>
      <c r="H67" s="355">
        <f t="shared" si="23"/>
        <v>56.100000000000009</v>
      </c>
      <c r="I67" s="355">
        <f t="shared" si="23"/>
        <v>17.7</v>
      </c>
      <c r="J67" s="355">
        <f t="shared" si="23"/>
        <v>56.100000000000009</v>
      </c>
      <c r="K67" s="355">
        <f t="shared" si="23"/>
        <v>56.100000000000009</v>
      </c>
      <c r="L67" s="354">
        <f t="shared" si="23"/>
        <v>46.2</v>
      </c>
      <c r="M67" s="355">
        <f t="shared" si="23"/>
        <v>46.2</v>
      </c>
      <c r="N67" s="355">
        <f t="shared" si="23"/>
        <v>17.7</v>
      </c>
      <c r="O67" s="355">
        <f t="shared" si="23"/>
        <v>46.2</v>
      </c>
      <c r="P67" s="356">
        <f t="shared" si="23"/>
        <v>46.2</v>
      </c>
      <c r="Q67" s="354">
        <f t="shared" si="23"/>
        <v>48.2</v>
      </c>
      <c r="R67" s="355">
        <f t="shared" si="23"/>
        <v>48.2</v>
      </c>
      <c r="S67" s="355">
        <f t="shared" si="23"/>
        <v>17.7</v>
      </c>
      <c r="T67" s="355">
        <f t="shared" si="23"/>
        <v>48.2</v>
      </c>
      <c r="U67" s="411">
        <f t="shared" si="23"/>
        <v>48.2</v>
      </c>
      <c r="V67" s="376">
        <f t="shared" si="22"/>
        <v>897.2000000000005</v>
      </c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3"/>
      <c r="AQ67" s="3"/>
      <c r="AR67" s="3"/>
      <c r="AS67" s="3"/>
      <c r="AT67" s="2"/>
      <c r="AU67" s="2"/>
      <c r="AV67" s="2"/>
      <c r="AW67" s="2"/>
    </row>
    <row r="68" spans="1:49" ht="33.75" customHeight="1" x14ac:dyDescent="0.25">
      <c r="A68" s="192" t="s">
        <v>11</v>
      </c>
      <c r="B68" s="357">
        <v>140.5</v>
      </c>
      <c r="C68" s="358">
        <v>140.5</v>
      </c>
      <c r="D68" s="358">
        <v>140.5</v>
      </c>
      <c r="E68" s="358">
        <v>140.5</v>
      </c>
      <c r="F68" s="358">
        <v>140.5</v>
      </c>
      <c r="G68" s="357">
        <v>140.5</v>
      </c>
      <c r="H68" s="358">
        <v>140.5</v>
      </c>
      <c r="I68" s="358">
        <v>140.5</v>
      </c>
      <c r="J68" s="358">
        <v>140.5</v>
      </c>
      <c r="K68" s="358">
        <v>140.5</v>
      </c>
      <c r="L68" s="357">
        <v>140.5</v>
      </c>
      <c r="M68" s="358">
        <v>140.5</v>
      </c>
      <c r="N68" s="358">
        <v>140.5</v>
      </c>
      <c r="O68" s="358">
        <v>140.5</v>
      </c>
      <c r="P68" s="358">
        <v>140.5</v>
      </c>
      <c r="Q68" s="357">
        <v>140.5</v>
      </c>
      <c r="R68" s="358">
        <v>140.5</v>
      </c>
      <c r="S68" s="358">
        <v>140.5</v>
      </c>
      <c r="T68" s="358">
        <v>140.5</v>
      </c>
      <c r="U68" s="358">
        <v>140.5</v>
      </c>
      <c r="V68" s="296">
        <f>+((V67/V69)/7)*1000</f>
        <v>140.53884711779457</v>
      </c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3"/>
      <c r="AQ68" s="3"/>
      <c r="AR68" s="3"/>
      <c r="AS68" s="3"/>
      <c r="AT68" s="2"/>
      <c r="AU68" s="2"/>
      <c r="AV68" s="2"/>
      <c r="AW68" s="2"/>
    </row>
    <row r="69" spans="1:49" ht="33.75" customHeight="1" x14ac:dyDescent="0.25">
      <c r="A69" s="193" t="s">
        <v>12</v>
      </c>
      <c r="B69" s="257">
        <v>57</v>
      </c>
      <c r="C69" s="275">
        <v>57</v>
      </c>
      <c r="D69" s="275">
        <v>18</v>
      </c>
      <c r="E69" s="275">
        <v>57</v>
      </c>
      <c r="F69" s="275">
        <v>57</v>
      </c>
      <c r="G69" s="257">
        <v>57</v>
      </c>
      <c r="H69" s="275">
        <v>57</v>
      </c>
      <c r="I69" s="275">
        <v>18</v>
      </c>
      <c r="J69" s="275">
        <v>57</v>
      </c>
      <c r="K69" s="275">
        <v>57</v>
      </c>
      <c r="L69" s="257">
        <v>47</v>
      </c>
      <c r="M69" s="275">
        <v>47</v>
      </c>
      <c r="N69" s="275">
        <v>18</v>
      </c>
      <c r="O69" s="275">
        <v>47</v>
      </c>
      <c r="P69" s="275">
        <v>47</v>
      </c>
      <c r="Q69" s="257">
        <v>49</v>
      </c>
      <c r="R69" s="275">
        <v>49</v>
      </c>
      <c r="S69" s="275">
        <v>18</v>
      </c>
      <c r="T69" s="275">
        <v>49</v>
      </c>
      <c r="U69" s="275">
        <v>49</v>
      </c>
      <c r="V69" s="254">
        <f>SUM(B69:U69)</f>
        <v>912</v>
      </c>
      <c r="AC69" s="59"/>
      <c r="AG69" s="3"/>
      <c r="AH69" s="3"/>
      <c r="AI69" s="3"/>
      <c r="AJ69" s="3"/>
      <c r="AK69" s="3"/>
      <c r="AL69" s="3"/>
    </row>
    <row r="70" spans="1:49" ht="33.75" customHeight="1" x14ac:dyDescent="0.25">
      <c r="A70" s="194" t="s">
        <v>13</v>
      </c>
      <c r="B70" s="30">
        <f>((((B68*7)*B69)/1000)-(B60+B61))/5</f>
        <v>8.1318999999999999</v>
      </c>
      <c r="C70" s="31">
        <f t="shared" ref="C70:F70" si="24">((((C68*7)*C69)/1000)-(C60+C61))/5</f>
        <v>8.1318999999999999</v>
      </c>
      <c r="D70" s="31">
        <f t="shared" si="24"/>
        <v>2.5805999999999996</v>
      </c>
      <c r="E70" s="31">
        <f t="shared" si="24"/>
        <v>8.1318999999999999</v>
      </c>
      <c r="F70" s="31">
        <f t="shared" si="24"/>
        <v>8.1318999999999999</v>
      </c>
      <c r="G70" s="30">
        <f>((((G68*7)*G69)/1000)-(G60+G61))/5</f>
        <v>8.1318999999999999</v>
      </c>
      <c r="H70" s="31">
        <f t="shared" ref="H70:K70" si="25">((((H68*7)*H69)/1000)-(H60+H61))/5</f>
        <v>8.1318999999999999</v>
      </c>
      <c r="I70" s="31">
        <f t="shared" si="25"/>
        <v>2.5805999999999996</v>
      </c>
      <c r="J70" s="31">
        <f t="shared" si="25"/>
        <v>8.1318999999999999</v>
      </c>
      <c r="K70" s="31">
        <f t="shared" si="25"/>
        <v>8.1318999999999999</v>
      </c>
      <c r="L70" s="30">
        <f>((((L68*7)*L69)/1000)-(L60+L61))/5</f>
        <v>6.684899999999999</v>
      </c>
      <c r="M70" s="31">
        <f t="shared" ref="M70:P70" si="26">((((M68*7)*M69)/1000)-(M60+M61))/5</f>
        <v>6.684899999999999</v>
      </c>
      <c r="N70" s="31">
        <f t="shared" si="26"/>
        <v>2.5805999999999996</v>
      </c>
      <c r="O70" s="31">
        <f t="shared" si="26"/>
        <v>6.684899999999999</v>
      </c>
      <c r="P70" s="31">
        <f t="shared" si="26"/>
        <v>6.684899999999999</v>
      </c>
      <c r="Q70" s="30">
        <f>((((Q68*7)*Q69)/1000)-(Q60+Q61))/5</f>
        <v>6.9983000000000004</v>
      </c>
      <c r="R70" s="31">
        <f t="shared" ref="R70:U70" si="27">((((R68*7)*R69)/1000)-(R60+R61))/5</f>
        <v>6.9983000000000004</v>
      </c>
      <c r="S70" s="31">
        <f t="shared" si="27"/>
        <v>2.5805999999999996</v>
      </c>
      <c r="T70" s="31">
        <f t="shared" si="27"/>
        <v>6.9983000000000004</v>
      </c>
      <c r="U70" s="31">
        <f t="shared" si="27"/>
        <v>6.9983000000000004</v>
      </c>
      <c r="V70" s="139">
        <f>((V67*100)/V69)/7</f>
        <v>14.053884711779457</v>
      </c>
      <c r="AG70" s="3"/>
      <c r="AH70" s="3"/>
      <c r="AI70" s="3"/>
      <c r="AJ70" s="3"/>
      <c r="AK70" s="3"/>
      <c r="AL70" s="3"/>
    </row>
    <row r="71" spans="1:49" ht="33.75" customHeight="1" x14ac:dyDescent="0.25">
      <c r="A71" s="185" t="s">
        <v>14</v>
      </c>
      <c r="B71" s="279">
        <f t="shared" ref="B71:U71" si="28">((B69*B68)*7)/1000</f>
        <v>56.0595</v>
      </c>
      <c r="C71" s="280">
        <f t="shared" si="28"/>
        <v>56.0595</v>
      </c>
      <c r="D71" s="280">
        <f t="shared" si="28"/>
        <v>17.702999999999999</v>
      </c>
      <c r="E71" s="280">
        <f t="shared" si="28"/>
        <v>56.0595</v>
      </c>
      <c r="F71" s="280">
        <f t="shared" si="28"/>
        <v>56.0595</v>
      </c>
      <c r="G71" s="279">
        <f t="shared" si="28"/>
        <v>56.0595</v>
      </c>
      <c r="H71" s="280">
        <f t="shared" si="28"/>
        <v>56.0595</v>
      </c>
      <c r="I71" s="280">
        <f t="shared" si="28"/>
        <v>17.702999999999999</v>
      </c>
      <c r="J71" s="280">
        <f t="shared" si="28"/>
        <v>56.0595</v>
      </c>
      <c r="K71" s="280">
        <f t="shared" si="28"/>
        <v>56.0595</v>
      </c>
      <c r="L71" s="279">
        <f t="shared" si="28"/>
        <v>46.224499999999999</v>
      </c>
      <c r="M71" s="280">
        <f t="shared" si="28"/>
        <v>46.224499999999999</v>
      </c>
      <c r="N71" s="280">
        <f t="shared" si="28"/>
        <v>17.702999999999999</v>
      </c>
      <c r="O71" s="280">
        <f t="shared" si="28"/>
        <v>46.224499999999999</v>
      </c>
      <c r="P71" s="280">
        <f t="shared" si="28"/>
        <v>46.224499999999999</v>
      </c>
      <c r="Q71" s="279">
        <f t="shared" si="28"/>
        <v>48.191499999999998</v>
      </c>
      <c r="R71" s="280">
        <f t="shared" si="28"/>
        <v>48.191499999999998</v>
      </c>
      <c r="S71" s="280">
        <f t="shared" si="28"/>
        <v>17.702999999999999</v>
      </c>
      <c r="T71" s="280">
        <f t="shared" si="28"/>
        <v>48.191499999999998</v>
      </c>
      <c r="U71" s="280">
        <f t="shared" si="28"/>
        <v>48.191499999999998</v>
      </c>
      <c r="V71" s="112"/>
      <c r="W71" s="41"/>
      <c r="X71" s="41"/>
      <c r="Y71" s="41"/>
      <c r="Z71" s="41"/>
      <c r="AA71" s="41"/>
      <c r="AB71" s="41"/>
      <c r="AL71" s="3"/>
    </row>
    <row r="72" spans="1:49" ht="33.75" customHeight="1" thickBot="1" x14ac:dyDescent="0.3">
      <c r="A72" s="195" t="s">
        <v>15</v>
      </c>
      <c r="B72" s="37">
        <f t="shared" ref="B72:U72" si="29">+(B67/B69)/7*1000</f>
        <v>140.60150375939853</v>
      </c>
      <c r="C72" s="38">
        <f t="shared" si="29"/>
        <v>140.60150375939853</v>
      </c>
      <c r="D72" s="38">
        <f t="shared" si="29"/>
        <v>140.47619047619048</v>
      </c>
      <c r="E72" s="38">
        <f t="shared" si="29"/>
        <v>140.60150375939853</v>
      </c>
      <c r="F72" s="38">
        <f t="shared" si="29"/>
        <v>140.60150375939853</v>
      </c>
      <c r="G72" s="37">
        <f t="shared" si="29"/>
        <v>140.60150375939853</v>
      </c>
      <c r="H72" s="38">
        <f t="shared" si="29"/>
        <v>140.60150375939853</v>
      </c>
      <c r="I72" s="38">
        <f t="shared" si="29"/>
        <v>140.47619047619048</v>
      </c>
      <c r="J72" s="38">
        <f t="shared" si="29"/>
        <v>140.60150375939853</v>
      </c>
      <c r="K72" s="38">
        <f t="shared" si="29"/>
        <v>140.60150375939853</v>
      </c>
      <c r="L72" s="37">
        <f t="shared" si="29"/>
        <v>140.42553191489364</v>
      </c>
      <c r="M72" s="38">
        <f t="shared" si="29"/>
        <v>140.42553191489364</v>
      </c>
      <c r="N72" s="38">
        <f t="shared" si="29"/>
        <v>140.47619047619048</v>
      </c>
      <c r="O72" s="38">
        <f t="shared" si="29"/>
        <v>140.42553191489364</v>
      </c>
      <c r="P72" s="38">
        <f t="shared" si="29"/>
        <v>140.42553191489364</v>
      </c>
      <c r="Q72" s="37">
        <f t="shared" si="29"/>
        <v>140.52478134110788</v>
      </c>
      <c r="R72" s="38">
        <f t="shared" si="29"/>
        <v>140.52478134110788</v>
      </c>
      <c r="S72" s="38">
        <f t="shared" si="29"/>
        <v>140.47619047619048</v>
      </c>
      <c r="T72" s="38">
        <f t="shared" si="29"/>
        <v>140.52478134110788</v>
      </c>
      <c r="U72" s="38">
        <f t="shared" si="29"/>
        <v>140.52478134110788</v>
      </c>
      <c r="V72" s="40"/>
      <c r="AL72" s="3"/>
    </row>
    <row r="73" spans="1:49" ht="33.75" customHeight="1" x14ac:dyDescent="0.25">
      <c r="B73" s="43">
        <f>B71-B67</f>
        <v>-4.050000000000864E-2</v>
      </c>
      <c r="C73" s="43">
        <f t="shared" ref="C73:F73" si="30">C71-C67</f>
        <v>-4.050000000000864E-2</v>
      </c>
      <c r="D73" s="43">
        <f t="shared" si="30"/>
        <v>3.0000000000001137E-3</v>
      </c>
      <c r="E73" s="43">
        <f t="shared" si="30"/>
        <v>-4.050000000000864E-2</v>
      </c>
      <c r="F73" s="43">
        <f t="shared" si="30"/>
        <v>-4.050000000000864E-2</v>
      </c>
      <c r="G73" s="43">
        <f>G71-G67</f>
        <v>-4.050000000000864E-2</v>
      </c>
      <c r="H73" s="43">
        <f t="shared" ref="H73:K74" si="31">H71-H67</f>
        <v>-4.050000000000864E-2</v>
      </c>
      <c r="I73" s="43">
        <f t="shared" si="31"/>
        <v>3.0000000000001137E-3</v>
      </c>
      <c r="J73" s="43">
        <f t="shared" si="31"/>
        <v>-4.050000000000864E-2</v>
      </c>
      <c r="K73" s="43">
        <f t="shared" si="31"/>
        <v>-4.050000000000864E-2</v>
      </c>
      <c r="L73" s="43">
        <f>L71-L67</f>
        <v>2.4499999999996191E-2</v>
      </c>
      <c r="M73" s="43">
        <f t="shared" ref="M73:P73" si="32">M71-M67</f>
        <v>2.4499999999996191E-2</v>
      </c>
      <c r="N73" s="43">
        <f t="shared" si="32"/>
        <v>3.0000000000001137E-3</v>
      </c>
      <c r="O73" s="43">
        <f t="shared" si="32"/>
        <v>2.4499999999996191E-2</v>
      </c>
      <c r="P73" s="43">
        <f t="shared" si="32"/>
        <v>2.4499999999996191E-2</v>
      </c>
      <c r="Q73" s="43">
        <f>Q71-Q67</f>
        <v>-8.5000000000050591E-3</v>
      </c>
      <c r="R73" s="43">
        <f t="shared" ref="R73:U73" si="33">R71-R67</f>
        <v>-8.5000000000050591E-3</v>
      </c>
      <c r="S73" s="43">
        <f t="shared" si="33"/>
        <v>3.0000000000001137E-3</v>
      </c>
      <c r="T73" s="43">
        <f t="shared" si="33"/>
        <v>-8.5000000000050591E-3</v>
      </c>
      <c r="U73" s="43">
        <f t="shared" si="33"/>
        <v>-8.5000000000050591E-3</v>
      </c>
    </row>
    <row r="74" spans="1:49" ht="33.75" customHeight="1" x14ac:dyDescent="0.25">
      <c r="B74" s="42">
        <f t="shared" ref="B74:U74" si="34">B72-B68</f>
        <v>0.10150375939852552</v>
      </c>
      <c r="C74" s="42">
        <f t="shared" si="34"/>
        <v>0.10150375939852552</v>
      </c>
      <c r="D74" s="42">
        <f t="shared" si="34"/>
        <v>-2.3809523809518396E-2</v>
      </c>
      <c r="E74" s="42">
        <f t="shared" si="34"/>
        <v>0.10150375939852552</v>
      </c>
      <c r="F74" s="42">
        <f t="shared" si="34"/>
        <v>0.10150375939852552</v>
      </c>
      <c r="G74" s="42">
        <f t="shared" si="34"/>
        <v>0.10150375939852552</v>
      </c>
      <c r="H74" s="42">
        <f t="shared" si="34"/>
        <v>0.10150375939852552</v>
      </c>
      <c r="I74" s="42">
        <f t="shared" si="34"/>
        <v>-2.3809523809518396E-2</v>
      </c>
      <c r="J74" s="42">
        <f t="shared" si="34"/>
        <v>0.10150375939852552</v>
      </c>
      <c r="K74" s="42">
        <f t="shared" si="31"/>
        <v>0.10150375939852552</v>
      </c>
      <c r="L74" s="42">
        <f t="shared" si="34"/>
        <v>-7.4468085106360604E-2</v>
      </c>
      <c r="M74" s="42">
        <f t="shared" si="34"/>
        <v>-7.4468085106360604E-2</v>
      </c>
      <c r="N74" s="42">
        <f t="shared" si="34"/>
        <v>-2.3809523809518396E-2</v>
      </c>
      <c r="O74" s="42">
        <f t="shared" si="34"/>
        <v>-7.4468085106360604E-2</v>
      </c>
      <c r="P74" s="42">
        <f t="shared" si="34"/>
        <v>-7.4468085106360604E-2</v>
      </c>
      <c r="Q74" s="42">
        <f t="shared" si="34"/>
        <v>2.4781341107882326E-2</v>
      </c>
      <c r="R74" s="42">
        <f t="shared" si="34"/>
        <v>2.4781341107882326E-2</v>
      </c>
      <c r="S74" s="42">
        <f t="shared" si="34"/>
        <v>-2.3809523809518396E-2</v>
      </c>
      <c r="T74" s="42">
        <f t="shared" si="34"/>
        <v>2.4781341107882326E-2</v>
      </c>
      <c r="U74" s="42">
        <f t="shared" si="34"/>
        <v>2.4781341107882326E-2</v>
      </c>
      <c r="V74" s="45"/>
      <c r="W74" s="45"/>
      <c r="X74" s="45"/>
      <c r="Y74" s="45"/>
      <c r="Z74" s="45"/>
      <c r="AA74" s="45"/>
      <c r="AB74" s="45"/>
      <c r="AC74" s="52"/>
    </row>
    <row r="75" spans="1:49" ht="33.75" customHeight="1" x14ac:dyDescent="0.25">
      <c r="B75" s="287"/>
      <c r="C75" s="287"/>
      <c r="D75" s="287"/>
      <c r="E75" s="287"/>
      <c r="F75" s="287"/>
    </row>
    <row r="76" spans="1:49" ht="33.75" customHeight="1" x14ac:dyDescent="0.25">
      <c r="A76" s="45"/>
      <c r="B76" s="283"/>
      <c r="C76" s="283"/>
      <c r="D76" s="283"/>
      <c r="E76" s="283"/>
      <c r="F76" s="283"/>
      <c r="G76" s="58"/>
      <c r="H76" s="45"/>
      <c r="I76" s="45"/>
      <c r="J76" s="45"/>
      <c r="K76" s="45"/>
      <c r="L76" s="45"/>
      <c r="M76" s="45"/>
      <c r="N76" s="45"/>
      <c r="O76" s="45"/>
    </row>
    <row r="77" spans="1:49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49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49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49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20">
    <mergeCell ref="V57:V58"/>
    <mergeCell ref="G16:K16"/>
    <mergeCell ref="B16:F16"/>
    <mergeCell ref="O56:P56"/>
    <mergeCell ref="B57:F57"/>
    <mergeCell ref="L57:P57"/>
    <mergeCell ref="Q57:U57"/>
    <mergeCell ref="S37:U37"/>
    <mergeCell ref="B37:H37"/>
    <mergeCell ref="G57:K57"/>
    <mergeCell ref="I37:I39"/>
    <mergeCell ref="V37:V38"/>
    <mergeCell ref="P38:Q38"/>
    <mergeCell ref="J40:M52"/>
    <mergeCell ref="A3:C3"/>
    <mergeCell ref="E9:G9"/>
    <mergeCell ref="W9:X9"/>
    <mergeCell ref="O11:P11"/>
    <mergeCell ref="L16:P16"/>
    <mergeCell ref="Q16:V16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W241"/>
  <sheetViews>
    <sheetView workbookViewId="0"/>
  </sheetViews>
  <sheetFormatPr baseColWidth="10" defaultRowHeight="15" x14ac:dyDescent="0.25"/>
  <cols>
    <col min="1" max="1" width="52.42578125" style="14" bestFit="1" customWidth="1"/>
    <col min="2" max="18" width="26.42578125" style="14" customWidth="1"/>
    <col min="19" max="19" width="33.140625" style="14" customWidth="1"/>
    <col min="20" max="24" width="26.42578125" style="14" customWidth="1"/>
    <col min="25" max="25" width="24.85546875" style="14" bestFit="1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 t="s">
        <v>97</v>
      </c>
      <c r="P11" s="965"/>
      <c r="Q11" s="6"/>
      <c r="R11" s="6"/>
      <c r="S11" s="6"/>
      <c r="T11" s="1"/>
      <c r="U11" s="1"/>
      <c r="V11" s="1" t="s">
        <v>6</v>
      </c>
      <c r="W11" s="95" t="s">
        <v>98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9"/>
      <c r="H16" s="962" t="s">
        <v>30</v>
      </c>
      <c r="I16" s="963"/>
      <c r="J16" s="963"/>
      <c r="K16" s="963"/>
      <c r="L16" s="963"/>
      <c r="M16" s="964"/>
      <c r="N16" s="968" t="s">
        <v>29</v>
      </c>
      <c r="O16" s="968"/>
      <c r="P16" s="968"/>
      <c r="Q16" s="968"/>
      <c r="R16" s="969"/>
      <c r="S16" s="962" t="s">
        <v>31</v>
      </c>
      <c r="T16" s="963"/>
      <c r="U16" s="963"/>
      <c r="V16" s="963"/>
      <c r="W16" s="963"/>
      <c r="X16" s="964"/>
    </row>
    <row r="17" spans="1:35" ht="39.950000000000003" customHeight="1" thickBot="1" x14ac:dyDescent="0.3">
      <c r="A17" s="170" t="s">
        <v>34</v>
      </c>
      <c r="B17" s="425"/>
      <c r="C17" s="168"/>
      <c r="D17" s="168"/>
      <c r="E17" s="168"/>
      <c r="F17" s="168"/>
      <c r="G17" s="204"/>
      <c r="H17" s="188"/>
      <c r="I17" s="168"/>
      <c r="J17" s="168"/>
      <c r="K17" s="168"/>
      <c r="L17" s="168"/>
      <c r="M17" s="169"/>
      <c r="N17" s="202"/>
      <c r="O17" s="174"/>
      <c r="P17" s="174"/>
      <c r="Q17" s="174"/>
      <c r="R17" s="203"/>
      <c r="S17" s="186"/>
      <c r="T17" s="174"/>
      <c r="U17" s="174"/>
      <c r="V17" s="174"/>
      <c r="W17" s="175"/>
      <c r="X17" s="261" t="s">
        <v>9</v>
      </c>
      <c r="AB17" s="15"/>
      <c r="AC17" s="15"/>
    </row>
    <row r="18" spans="1:35" ht="39.950000000000003" customHeight="1" x14ac:dyDescent="0.25">
      <c r="A18" s="170" t="s">
        <v>10</v>
      </c>
      <c r="B18" s="424" t="s">
        <v>100</v>
      </c>
      <c r="C18" s="114">
        <v>1</v>
      </c>
      <c r="D18" s="114">
        <v>2</v>
      </c>
      <c r="E18" s="114">
        <v>3</v>
      </c>
      <c r="F18" s="114">
        <v>4</v>
      </c>
      <c r="G18" s="116">
        <v>5</v>
      </c>
      <c r="H18" s="331" t="s">
        <v>100</v>
      </c>
      <c r="I18" s="114">
        <v>1</v>
      </c>
      <c r="J18" s="114">
        <v>2</v>
      </c>
      <c r="K18" s="114">
        <v>3</v>
      </c>
      <c r="L18" s="114">
        <v>4</v>
      </c>
      <c r="M18" s="332">
        <v>5</v>
      </c>
      <c r="N18" s="202">
        <v>1</v>
      </c>
      <c r="O18" s="174">
        <v>2</v>
      </c>
      <c r="P18" s="174">
        <v>3</v>
      </c>
      <c r="Q18" s="174">
        <v>4</v>
      </c>
      <c r="R18" s="203">
        <v>5</v>
      </c>
      <c r="S18" s="186">
        <v>1</v>
      </c>
      <c r="T18" s="174">
        <v>2</v>
      </c>
      <c r="U18" s="174">
        <v>3</v>
      </c>
      <c r="V18" s="174">
        <v>4</v>
      </c>
      <c r="W18" s="175">
        <v>5</v>
      </c>
      <c r="X18" s="126"/>
      <c r="AB18" s="2"/>
      <c r="AC18" s="15"/>
    </row>
    <row r="19" spans="1:35" ht="39.950000000000003" customHeight="1" x14ac:dyDescent="0.25">
      <c r="A19" s="171" t="s">
        <v>53</v>
      </c>
      <c r="B19" s="419"/>
      <c r="C19" s="19">
        <v>71.599999999999994</v>
      </c>
      <c r="D19" s="19">
        <v>71.5</v>
      </c>
      <c r="E19" s="19">
        <v>23.3</v>
      </c>
      <c r="F19" s="19">
        <v>73</v>
      </c>
      <c r="G19" s="108">
        <v>73.8</v>
      </c>
      <c r="H19" s="18"/>
      <c r="I19" s="19">
        <v>71</v>
      </c>
      <c r="J19" s="19">
        <v>72.5</v>
      </c>
      <c r="K19" s="19">
        <v>24</v>
      </c>
      <c r="L19" s="19">
        <v>71.900000000000006</v>
      </c>
      <c r="M19" s="20">
        <v>70.900000000000006</v>
      </c>
      <c r="N19" s="61">
        <v>61.6</v>
      </c>
      <c r="O19" s="19">
        <v>59.2</v>
      </c>
      <c r="P19" s="19">
        <v>23.6</v>
      </c>
      <c r="Q19" s="19">
        <v>59.3</v>
      </c>
      <c r="R19" s="20">
        <v>59</v>
      </c>
      <c r="S19" s="18">
        <v>64.599999999999994</v>
      </c>
      <c r="T19" s="19">
        <v>63.6</v>
      </c>
      <c r="U19" s="19">
        <v>23</v>
      </c>
      <c r="V19" s="19">
        <v>61.8</v>
      </c>
      <c r="W19" s="20">
        <v>62.3</v>
      </c>
      <c r="X19" s="209">
        <f t="shared" ref="X19:X25" si="0">SUM(C19:W19)</f>
        <v>1161.5</v>
      </c>
      <c r="Y19" s="301"/>
      <c r="Z19" s="302"/>
      <c r="AB19" s="2"/>
      <c r="AC19" s="15"/>
    </row>
    <row r="20" spans="1:35" ht="39.950000000000003" customHeight="1" x14ac:dyDescent="0.25">
      <c r="A20" s="171" t="s">
        <v>24</v>
      </c>
      <c r="B20" s="419"/>
      <c r="C20" s="19">
        <v>71.599999999999994</v>
      </c>
      <c r="D20" s="19">
        <v>71.5</v>
      </c>
      <c r="E20" s="19">
        <v>23.3</v>
      </c>
      <c r="F20" s="19">
        <v>73</v>
      </c>
      <c r="G20" s="108">
        <v>73.8</v>
      </c>
      <c r="H20" s="18"/>
      <c r="I20" s="19">
        <v>71</v>
      </c>
      <c r="J20" s="19">
        <v>72.5</v>
      </c>
      <c r="K20" s="19">
        <v>24</v>
      </c>
      <c r="L20" s="19">
        <v>71.900000000000006</v>
      </c>
      <c r="M20" s="20">
        <v>70.900000000000006</v>
      </c>
      <c r="N20" s="61">
        <v>61.6</v>
      </c>
      <c r="O20" s="19">
        <v>59.2</v>
      </c>
      <c r="P20" s="19">
        <v>23.6</v>
      </c>
      <c r="Q20" s="19">
        <v>59.3</v>
      </c>
      <c r="R20" s="20">
        <v>59</v>
      </c>
      <c r="S20" s="18">
        <v>64.599999999999994</v>
      </c>
      <c r="T20" s="19">
        <v>63.6</v>
      </c>
      <c r="U20" s="19">
        <v>23</v>
      </c>
      <c r="V20" s="19">
        <v>61.8</v>
      </c>
      <c r="W20" s="20">
        <v>62.3</v>
      </c>
      <c r="X20" s="209">
        <f t="shared" si="0"/>
        <v>1161.5</v>
      </c>
      <c r="Y20" s="301"/>
      <c r="Z20" s="302"/>
      <c r="AB20" s="2"/>
      <c r="AC20" s="15"/>
    </row>
    <row r="21" spans="1:35" ht="39.75" customHeight="1" x14ac:dyDescent="0.25">
      <c r="A21" s="171" t="s">
        <v>20</v>
      </c>
      <c r="B21" s="419"/>
      <c r="C21" s="327">
        <v>75.7</v>
      </c>
      <c r="D21" s="327">
        <v>79.099999999999994</v>
      </c>
      <c r="E21" s="327">
        <v>24.6</v>
      </c>
      <c r="F21" s="327">
        <v>77.2</v>
      </c>
      <c r="G21" s="328">
        <v>77.7</v>
      </c>
      <c r="H21" s="326"/>
      <c r="I21" s="327">
        <v>74.7</v>
      </c>
      <c r="J21" s="327">
        <v>76.2</v>
      </c>
      <c r="K21" s="327">
        <v>25.2</v>
      </c>
      <c r="L21" s="327">
        <v>76</v>
      </c>
      <c r="M21" s="329">
        <v>74.5</v>
      </c>
      <c r="N21" s="330">
        <v>64.7</v>
      </c>
      <c r="O21" s="327">
        <v>62.6</v>
      </c>
      <c r="P21" s="327">
        <v>24.6</v>
      </c>
      <c r="Q21" s="327">
        <v>62.7</v>
      </c>
      <c r="R21" s="329">
        <v>62.1</v>
      </c>
      <c r="S21" s="326">
        <v>67.5</v>
      </c>
      <c r="T21" s="327">
        <v>66.400000000000006</v>
      </c>
      <c r="U21" s="327">
        <v>24.3</v>
      </c>
      <c r="V21" s="327">
        <v>65</v>
      </c>
      <c r="W21" s="329">
        <v>65.900000000000006</v>
      </c>
      <c r="X21" s="209">
        <f t="shared" si="0"/>
        <v>1226.7000000000003</v>
      </c>
      <c r="Y21" s="301"/>
      <c r="Z21" s="302"/>
      <c r="AB21" s="2"/>
      <c r="AC21" s="15"/>
    </row>
    <row r="22" spans="1:35" ht="39.950000000000003" customHeight="1" x14ac:dyDescent="0.25">
      <c r="A22" s="171" t="s">
        <v>28</v>
      </c>
      <c r="B22" s="419"/>
      <c r="C22" s="327">
        <v>75.7</v>
      </c>
      <c r="D22" s="327">
        <v>79.099999999999994</v>
      </c>
      <c r="E22" s="327">
        <v>24.7</v>
      </c>
      <c r="F22" s="327">
        <v>77.2</v>
      </c>
      <c r="G22" s="328">
        <v>77.7</v>
      </c>
      <c r="H22" s="326"/>
      <c r="I22" s="327">
        <v>74.7</v>
      </c>
      <c r="J22" s="327">
        <v>76.2</v>
      </c>
      <c r="K22" s="327">
        <v>25.2</v>
      </c>
      <c r="L22" s="327">
        <v>76</v>
      </c>
      <c r="M22" s="329">
        <v>74.599999999999994</v>
      </c>
      <c r="N22" s="330">
        <v>64.7</v>
      </c>
      <c r="O22" s="327">
        <v>62.6</v>
      </c>
      <c r="P22" s="327">
        <v>24.6</v>
      </c>
      <c r="Q22" s="327">
        <v>62.7</v>
      </c>
      <c r="R22" s="329">
        <v>62.1</v>
      </c>
      <c r="S22" s="326">
        <v>67.5</v>
      </c>
      <c r="T22" s="327">
        <v>66.5</v>
      </c>
      <c r="U22" s="327">
        <v>24.3</v>
      </c>
      <c r="V22" s="327">
        <v>65</v>
      </c>
      <c r="W22" s="329">
        <v>65.900000000000006</v>
      </c>
      <c r="X22" s="209">
        <f t="shared" si="0"/>
        <v>1227.0000000000002</v>
      </c>
      <c r="Y22" s="301"/>
      <c r="Z22" s="302"/>
      <c r="AB22" s="2"/>
      <c r="AC22" s="15"/>
    </row>
    <row r="23" spans="1:35" ht="39.950000000000003" customHeight="1" x14ac:dyDescent="0.25">
      <c r="A23" s="171" t="s">
        <v>21</v>
      </c>
      <c r="B23" s="419"/>
      <c r="C23" s="327">
        <v>75.7</v>
      </c>
      <c r="D23" s="327">
        <v>79.099999999999994</v>
      </c>
      <c r="E23" s="327">
        <v>24.7</v>
      </c>
      <c r="F23" s="327">
        <v>77.2</v>
      </c>
      <c r="G23" s="328">
        <v>77.8</v>
      </c>
      <c r="H23" s="326"/>
      <c r="I23" s="327">
        <v>74.7</v>
      </c>
      <c r="J23" s="327">
        <v>76.2</v>
      </c>
      <c r="K23" s="327">
        <v>25.2</v>
      </c>
      <c r="L23" s="327">
        <v>76</v>
      </c>
      <c r="M23" s="329">
        <v>74.599999999999994</v>
      </c>
      <c r="N23" s="330">
        <v>64.7</v>
      </c>
      <c r="O23" s="327">
        <v>62.6</v>
      </c>
      <c r="P23" s="327">
        <v>24.7</v>
      </c>
      <c r="Q23" s="327">
        <v>62.7</v>
      </c>
      <c r="R23" s="329">
        <v>62.2</v>
      </c>
      <c r="S23" s="326">
        <v>67.5</v>
      </c>
      <c r="T23" s="327">
        <v>66.5</v>
      </c>
      <c r="U23" s="327">
        <v>24.3</v>
      </c>
      <c r="V23" s="327">
        <v>65</v>
      </c>
      <c r="W23" s="329">
        <v>65.900000000000006</v>
      </c>
      <c r="X23" s="209">
        <f t="shared" si="0"/>
        <v>1227.3000000000002</v>
      </c>
      <c r="Y23" s="301"/>
      <c r="Z23" s="302"/>
      <c r="AB23" s="2"/>
      <c r="AC23" s="15"/>
    </row>
    <row r="24" spans="1:35" ht="39.950000000000003" customHeight="1" x14ac:dyDescent="0.25">
      <c r="A24" s="171" t="s">
        <v>22</v>
      </c>
      <c r="B24" s="419"/>
      <c r="C24" s="327">
        <v>75.7</v>
      </c>
      <c r="D24" s="327">
        <v>79.099999999999994</v>
      </c>
      <c r="E24" s="327">
        <v>24.7</v>
      </c>
      <c r="F24" s="327">
        <v>77.3</v>
      </c>
      <c r="G24" s="328">
        <v>77.8</v>
      </c>
      <c r="H24" s="326"/>
      <c r="I24" s="327">
        <v>74.7</v>
      </c>
      <c r="J24" s="327">
        <v>76.2</v>
      </c>
      <c r="K24" s="327">
        <v>25.2</v>
      </c>
      <c r="L24" s="327">
        <v>76</v>
      </c>
      <c r="M24" s="329">
        <v>74.599999999999994</v>
      </c>
      <c r="N24" s="330">
        <v>64.8</v>
      </c>
      <c r="O24" s="327">
        <v>62.6</v>
      </c>
      <c r="P24" s="327">
        <v>24.7</v>
      </c>
      <c r="Q24" s="327">
        <v>62.7</v>
      </c>
      <c r="R24" s="329">
        <v>62.2</v>
      </c>
      <c r="S24" s="326">
        <v>67.5</v>
      </c>
      <c r="T24" s="327">
        <v>66.5</v>
      </c>
      <c r="U24" s="327">
        <v>24.3</v>
      </c>
      <c r="V24" s="327">
        <v>65.099999999999994</v>
      </c>
      <c r="W24" s="329">
        <v>65.900000000000006</v>
      </c>
      <c r="X24" s="209">
        <f t="shared" si="0"/>
        <v>1227.6000000000001</v>
      </c>
      <c r="Y24" s="301"/>
      <c r="Z24" s="302"/>
      <c r="AB24" s="2"/>
      <c r="AC24" s="15"/>
    </row>
    <row r="25" spans="1:35" ht="39.950000000000003" customHeight="1" thickBot="1" x14ac:dyDescent="0.3">
      <c r="A25" s="285" t="s">
        <v>23</v>
      </c>
      <c r="B25" s="420"/>
      <c r="C25" s="399">
        <v>75.8</v>
      </c>
      <c r="D25" s="399">
        <v>79.099999999999994</v>
      </c>
      <c r="E25" s="399">
        <v>24.7</v>
      </c>
      <c r="F25" s="399">
        <v>77.3</v>
      </c>
      <c r="G25" s="405">
        <v>77.8</v>
      </c>
      <c r="H25" s="398"/>
      <c r="I25" s="399">
        <v>74.8</v>
      </c>
      <c r="J25" s="399">
        <v>76.2</v>
      </c>
      <c r="K25" s="399">
        <v>25.2</v>
      </c>
      <c r="L25" s="399">
        <v>76.099999999999994</v>
      </c>
      <c r="M25" s="401">
        <v>74.599999999999994</v>
      </c>
      <c r="N25" s="330">
        <v>64.8</v>
      </c>
      <c r="O25" s="327">
        <v>62.6</v>
      </c>
      <c r="P25" s="327">
        <v>24.7</v>
      </c>
      <c r="Q25" s="327">
        <v>62.8</v>
      </c>
      <c r="R25" s="329">
        <v>62.2</v>
      </c>
      <c r="S25" s="326">
        <v>67.599999999999994</v>
      </c>
      <c r="T25" s="327">
        <v>66.5</v>
      </c>
      <c r="U25" s="327">
        <v>24.4</v>
      </c>
      <c r="V25" s="327">
        <v>65.099999999999994</v>
      </c>
      <c r="W25" s="329">
        <v>66</v>
      </c>
      <c r="X25" s="376">
        <f t="shared" si="0"/>
        <v>1228.3000000000002</v>
      </c>
      <c r="Y25" s="301"/>
      <c r="Z25" s="302"/>
      <c r="AB25" s="2"/>
    </row>
    <row r="26" spans="1:35" ht="41.45" customHeight="1" x14ac:dyDescent="0.25">
      <c r="A26" s="268" t="s">
        <v>9</v>
      </c>
      <c r="B26" s="421"/>
      <c r="C26" s="128">
        <f>SUM(C19:C25)</f>
        <v>521.79999999999995</v>
      </c>
      <c r="D26" s="128">
        <f t="shared" ref="D26:W26" si="1">SUM(D19:D25)</f>
        <v>538.5</v>
      </c>
      <c r="E26" s="128">
        <f t="shared" si="1"/>
        <v>170</v>
      </c>
      <c r="F26" s="128">
        <f t="shared" si="1"/>
        <v>532.19999999999993</v>
      </c>
      <c r="G26" s="205">
        <f t="shared" si="1"/>
        <v>536.4</v>
      </c>
      <c r="H26" s="131"/>
      <c r="I26" s="128">
        <f t="shared" si="1"/>
        <v>515.59999999999991</v>
      </c>
      <c r="J26" s="128">
        <f t="shared" si="1"/>
        <v>526</v>
      </c>
      <c r="K26" s="128">
        <f t="shared" si="1"/>
        <v>174</v>
      </c>
      <c r="L26" s="128">
        <f t="shared" si="1"/>
        <v>523.9</v>
      </c>
      <c r="M26" s="129">
        <f t="shared" si="1"/>
        <v>514.70000000000005</v>
      </c>
      <c r="N26" s="127">
        <f t="shared" si="1"/>
        <v>446.90000000000003</v>
      </c>
      <c r="O26" s="128">
        <f t="shared" si="1"/>
        <v>431.40000000000003</v>
      </c>
      <c r="P26" s="128">
        <f t="shared" si="1"/>
        <v>170.5</v>
      </c>
      <c r="Q26" s="128">
        <f t="shared" si="1"/>
        <v>432.2</v>
      </c>
      <c r="R26" s="205">
        <f t="shared" si="1"/>
        <v>428.79999999999995</v>
      </c>
      <c r="S26" s="131">
        <f t="shared" si="1"/>
        <v>466.79999999999995</v>
      </c>
      <c r="T26" s="128">
        <f t="shared" si="1"/>
        <v>459.6</v>
      </c>
      <c r="U26" s="128">
        <f t="shared" si="1"/>
        <v>167.6</v>
      </c>
      <c r="V26" s="128">
        <f t="shared" si="1"/>
        <v>448.80000000000007</v>
      </c>
      <c r="W26" s="129">
        <f t="shared" si="1"/>
        <v>454.19999999999993</v>
      </c>
      <c r="X26" s="375">
        <f>SUM(X19,X20,X21,X22,X23,X24,X25)</f>
        <v>8459.9000000000015</v>
      </c>
      <c r="Y26" s="301"/>
    </row>
    <row r="27" spans="1:35" s="2" customFormat="1" ht="36.75" customHeight="1" x14ac:dyDescent="0.25">
      <c r="A27" s="192" t="s">
        <v>11</v>
      </c>
      <c r="B27" s="23"/>
      <c r="C27" s="24">
        <v>125.5</v>
      </c>
      <c r="D27" s="24">
        <v>129.5</v>
      </c>
      <c r="E27" s="24">
        <v>126.5</v>
      </c>
      <c r="F27" s="24">
        <v>128</v>
      </c>
      <c r="G27" s="228">
        <v>129</v>
      </c>
      <c r="H27" s="23"/>
      <c r="I27" s="24">
        <v>124</v>
      </c>
      <c r="J27" s="24">
        <v>126.5</v>
      </c>
      <c r="K27" s="24">
        <v>129.5</v>
      </c>
      <c r="L27" s="24">
        <v>126</v>
      </c>
      <c r="M27" s="25">
        <v>124</v>
      </c>
      <c r="N27" s="63">
        <v>129.5</v>
      </c>
      <c r="O27" s="24">
        <v>125</v>
      </c>
      <c r="P27" s="24">
        <v>127.5</v>
      </c>
      <c r="Q27" s="24">
        <v>125.5</v>
      </c>
      <c r="R27" s="228">
        <v>124.5</v>
      </c>
      <c r="S27" s="23">
        <v>129.5</v>
      </c>
      <c r="T27" s="24">
        <v>127.5</v>
      </c>
      <c r="U27" s="24">
        <v>126</v>
      </c>
      <c r="V27" s="24">
        <v>124.5</v>
      </c>
      <c r="W27" s="25">
        <v>126</v>
      </c>
      <c r="X27" s="99">
        <f>(((X26*1000)/7)/X28)</f>
        <v>126.60351381281617</v>
      </c>
    </row>
    <row r="28" spans="1:35" s="2" customFormat="1" ht="33" customHeight="1" x14ac:dyDescent="0.25">
      <c r="A28" s="193" t="s">
        <v>12</v>
      </c>
      <c r="B28" s="257"/>
      <c r="C28" s="27">
        <v>594</v>
      </c>
      <c r="D28" s="27">
        <v>594</v>
      </c>
      <c r="E28" s="27">
        <v>192</v>
      </c>
      <c r="F28" s="27">
        <v>594</v>
      </c>
      <c r="G28" s="183">
        <v>594</v>
      </c>
      <c r="H28" s="26"/>
      <c r="I28" s="27">
        <v>594</v>
      </c>
      <c r="J28" s="27">
        <v>594</v>
      </c>
      <c r="K28" s="275">
        <v>192</v>
      </c>
      <c r="L28" s="27">
        <v>594</v>
      </c>
      <c r="M28" s="28">
        <v>593</v>
      </c>
      <c r="N28" s="64">
        <v>493</v>
      </c>
      <c r="O28" s="27">
        <v>493</v>
      </c>
      <c r="P28" s="27">
        <v>191</v>
      </c>
      <c r="Q28" s="27">
        <v>492</v>
      </c>
      <c r="R28" s="275">
        <v>492</v>
      </c>
      <c r="S28" s="27">
        <v>515</v>
      </c>
      <c r="T28" s="27">
        <v>515</v>
      </c>
      <c r="U28" s="27">
        <v>190</v>
      </c>
      <c r="V28" s="27">
        <v>515</v>
      </c>
      <c r="W28" s="27">
        <v>515</v>
      </c>
      <c r="X28" s="29">
        <f>SUM(C28:W28)</f>
        <v>9546</v>
      </c>
      <c r="Y28" s="402"/>
    </row>
    <row r="29" spans="1:35" s="2" customFormat="1" ht="33" customHeight="1" x14ac:dyDescent="0.25">
      <c r="A29" s="194" t="s">
        <v>13</v>
      </c>
      <c r="B29" s="422"/>
      <c r="C29" s="31">
        <f>((((C27*7)*C28)/1000)-(C19+C20))/5</f>
        <v>75.725799999999992</v>
      </c>
      <c r="D29" s="31">
        <f t="shared" ref="D29:W29" si="2">((((D27*7)*D28)/1000)-(D19+D20))/5</f>
        <v>79.092200000000005</v>
      </c>
      <c r="E29" s="31">
        <f t="shared" si="2"/>
        <v>24.683199999999999</v>
      </c>
      <c r="F29" s="31">
        <f t="shared" si="2"/>
        <v>77.244800000000012</v>
      </c>
      <c r="G29" s="163">
        <f t="shared" si="2"/>
        <v>77.756399999999985</v>
      </c>
      <c r="H29" s="30"/>
      <c r="I29" s="31">
        <f t="shared" si="2"/>
        <v>74.718400000000003</v>
      </c>
      <c r="J29" s="31">
        <f t="shared" si="2"/>
        <v>76.197399999999988</v>
      </c>
      <c r="K29" s="31">
        <f t="shared" si="2"/>
        <v>25.209600000000002</v>
      </c>
      <c r="L29" s="31">
        <f t="shared" si="2"/>
        <v>76.021600000000007</v>
      </c>
      <c r="M29" s="32">
        <f t="shared" si="2"/>
        <v>74.584800000000001</v>
      </c>
      <c r="N29" s="65">
        <f t="shared" si="2"/>
        <v>64.740899999999996</v>
      </c>
      <c r="O29" s="30">
        <f t="shared" si="2"/>
        <v>62.595000000000006</v>
      </c>
      <c r="P29" s="30">
        <f t="shared" si="2"/>
        <v>24.653500000000001</v>
      </c>
      <c r="Q29" s="30">
        <f t="shared" si="2"/>
        <v>62.724399999999989</v>
      </c>
      <c r="R29" s="30">
        <f t="shared" si="2"/>
        <v>62.155600000000007</v>
      </c>
      <c r="S29" s="30">
        <f t="shared" si="2"/>
        <v>67.529500000000013</v>
      </c>
      <c r="T29" s="30">
        <f t="shared" si="2"/>
        <v>66.487499999999997</v>
      </c>
      <c r="U29" s="30">
        <f t="shared" si="2"/>
        <v>24.316000000000003</v>
      </c>
      <c r="V29" s="30">
        <f t="shared" si="2"/>
        <v>65.044499999999999</v>
      </c>
      <c r="W29" s="286">
        <f t="shared" si="2"/>
        <v>65.926000000000002</v>
      </c>
      <c r="X29" s="33"/>
    </row>
    <row r="30" spans="1:35" ht="33.75" customHeight="1" x14ac:dyDescent="0.25">
      <c r="A30" s="185" t="s">
        <v>14</v>
      </c>
      <c r="B30" s="34"/>
      <c r="C30" s="280">
        <f t="shared" ref="C30:W30" si="3">((C28*C27)*7)/1000</f>
        <v>521.82899999999995</v>
      </c>
      <c r="D30" s="280">
        <f t="shared" si="3"/>
        <v>538.46100000000001</v>
      </c>
      <c r="E30" s="280">
        <f t="shared" si="3"/>
        <v>170.01599999999999</v>
      </c>
      <c r="F30" s="280">
        <f t="shared" si="3"/>
        <v>532.22400000000005</v>
      </c>
      <c r="G30" s="281">
        <f t="shared" si="3"/>
        <v>536.38199999999995</v>
      </c>
      <c r="H30" s="279"/>
      <c r="I30" s="280">
        <f t="shared" si="3"/>
        <v>515.59199999999998</v>
      </c>
      <c r="J30" s="280">
        <f t="shared" si="3"/>
        <v>525.98699999999997</v>
      </c>
      <c r="K30" s="280">
        <f t="shared" si="3"/>
        <v>174.048</v>
      </c>
      <c r="L30" s="280">
        <f t="shared" si="3"/>
        <v>523.90800000000002</v>
      </c>
      <c r="M30" s="282">
        <f t="shared" si="3"/>
        <v>514.72400000000005</v>
      </c>
      <c r="N30" s="325">
        <f t="shared" si="3"/>
        <v>446.90449999999998</v>
      </c>
      <c r="O30" s="280">
        <f t="shared" si="3"/>
        <v>431.375</v>
      </c>
      <c r="P30" s="280">
        <f t="shared" si="3"/>
        <v>170.4675</v>
      </c>
      <c r="Q30" s="280">
        <f t="shared" si="3"/>
        <v>432.22199999999998</v>
      </c>
      <c r="R30" s="281">
        <f t="shared" si="3"/>
        <v>428.77800000000002</v>
      </c>
      <c r="S30" s="279">
        <f t="shared" si="3"/>
        <v>466.84750000000003</v>
      </c>
      <c r="T30" s="280">
        <f t="shared" si="3"/>
        <v>459.63749999999999</v>
      </c>
      <c r="U30" s="280">
        <f t="shared" si="3"/>
        <v>167.58</v>
      </c>
      <c r="V30" s="280">
        <f t="shared" si="3"/>
        <v>448.82249999999999</v>
      </c>
      <c r="W30" s="282">
        <f t="shared" si="3"/>
        <v>454.23</v>
      </c>
      <c r="X30" s="36"/>
    </row>
    <row r="31" spans="1:35" ht="33.75" customHeight="1" thickBot="1" x14ac:dyDescent="0.3">
      <c r="A31" s="195" t="s">
        <v>15</v>
      </c>
      <c r="B31" s="423"/>
      <c r="C31" s="38">
        <f>+(C26/C28)/7*1000</f>
        <v>125.49302549302548</v>
      </c>
      <c r="D31" s="38">
        <f t="shared" ref="D31:W31" si="4">+(D26/D28)/7*1000</f>
        <v>129.50937950937953</v>
      </c>
      <c r="E31" s="38">
        <f t="shared" si="4"/>
        <v>126.48809523809523</v>
      </c>
      <c r="F31" s="38">
        <f t="shared" si="4"/>
        <v>127.99422799422797</v>
      </c>
      <c r="G31" s="207">
        <f t="shared" si="4"/>
        <v>129.00432900432898</v>
      </c>
      <c r="H31" s="37"/>
      <c r="I31" s="38">
        <f t="shared" si="4"/>
        <v>124.00192400192398</v>
      </c>
      <c r="J31" s="38">
        <f t="shared" si="4"/>
        <v>126.50312650312651</v>
      </c>
      <c r="K31" s="38">
        <f t="shared" si="4"/>
        <v>129.46428571428572</v>
      </c>
      <c r="L31" s="38">
        <f t="shared" si="4"/>
        <v>125.998075998076</v>
      </c>
      <c r="M31" s="39">
        <f t="shared" si="4"/>
        <v>123.99421826066008</v>
      </c>
      <c r="N31" s="67">
        <f t="shared" si="4"/>
        <v>129.49869603013619</v>
      </c>
      <c r="O31" s="38">
        <f t="shared" si="4"/>
        <v>125.00724427702117</v>
      </c>
      <c r="P31" s="38">
        <f t="shared" si="4"/>
        <v>127.52430815258039</v>
      </c>
      <c r="Q31" s="38">
        <f t="shared" si="4"/>
        <v>125.49361207897795</v>
      </c>
      <c r="R31" s="207">
        <f t="shared" si="4"/>
        <v>124.50638792102205</v>
      </c>
      <c r="S31" s="37">
        <f t="shared" si="4"/>
        <v>129.48682385575589</v>
      </c>
      <c r="T31" s="38">
        <f t="shared" si="4"/>
        <v>127.48959778085991</v>
      </c>
      <c r="U31" s="38">
        <f t="shared" si="4"/>
        <v>126.01503759398497</v>
      </c>
      <c r="V31" s="38">
        <f t="shared" si="4"/>
        <v>124.49375866851598</v>
      </c>
      <c r="W31" s="39">
        <f t="shared" si="4"/>
        <v>125.9916782246879</v>
      </c>
      <c r="X31" s="40"/>
    </row>
    <row r="32" spans="1:35" ht="33.75" customHeight="1" x14ac:dyDescent="0.25">
      <c r="A32" s="41"/>
      <c r="B32" s="41"/>
      <c r="C32" s="42">
        <f>C30-C26</f>
        <v>2.8999999999996362E-2</v>
      </c>
      <c r="D32" s="42">
        <f t="shared" ref="D32:W33" si="5">D30-D26</f>
        <v>-3.8999999999987267E-2</v>
      </c>
      <c r="E32" s="42">
        <f t="shared" si="5"/>
        <v>1.5999999999991132E-2</v>
      </c>
      <c r="F32" s="42">
        <f t="shared" si="5"/>
        <v>2.4000000000114596E-2</v>
      </c>
      <c r="G32" s="42">
        <f t="shared" si="5"/>
        <v>-1.8000000000029104E-2</v>
      </c>
      <c r="H32" s="42"/>
      <c r="I32" s="42">
        <f t="shared" si="5"/>
        <v>-7.9999999999245119E-3</v>
      </c>
      <c r="J32" s="42">
        <f t="shared" si="5"/>
        <v>-1.3000000000033651E-2</v>
      </c>
      <c r="K32" s="42">
        <f t="shared" si="5"/>
        <v>4.8000000000001819E-2</v>
      </c>
      <c r="L32" s="42">
        <f t="shared" si="5"/>
        <v>8.0000000000381988E-3</v>
      </c>
      <c r="M32" s="42">
        <f t="shared" si="5"/>
        <v>2.4000000000000909E-2</v>
      </c>
      <c r="N32" s="42">
        <f t="shared" si="5"/>
        <v>4.4999999999504325E-3</v>
      </c>
      <c r="O32" s="42">
        <f t="shared" si="5"/>
        <v>-2.5000000000034106E-2</v>
      </c>
      <c r="P32" s="42">
        <f t="shared" si="5"/>
        <v>-3.2499999999998863E-2</v>
      </c>
      <c r="Q32" s="42">
        <f t="shared" si="5"/>
        <v>2.199999999999136E-2</v>
      </c>
      <c r="R32" s="42">
        <f t="shared" si="5"/>
        <v>-2.1999999999934516E-2</v>
      </c>
      <c r="S32" s="42">
        <f t="shared" si="5"/>
        <v>4.7500000000070486E-2</v>
      </c>
      <c r="T32" s="42">
        <f t="shared" si="5"/>
        <v>3.7499999999965894E-2</v>
      </c>
      <c r="U32" s="42">
        <f t="shared" si="5"/>
        <v>-1.999999999998181E-2</v>
      </c>
      <c r="V32" s="42">
        <f t="shared" si="5"/>
        <v>2.2499999999922693E-2</v>
      </c>
      <c r="W32" s="42">
        <f t="shared" si="5"/>
        <v>3.0000000000086402E-2</v>
      </c>
      <c r="X32" s="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</row>
    <row r="33" spans="1:37" ht="33.75" customHeight="1" x14ac:dyDescent="0.25">
      <c r="A33" s="41"/>
      <c r="B33" s="41"/>
      <c r="C33" s="42">
        <f>C31-C27</f>
        <v>-6.9745069745152932E-3</v>
      </c>
      <c r="D33" s="42">
        <f t="shared" si="5"/>
        <v>9.3795093795279172E-3</v>
      </c>
      <c r="E33" s="42">
        <f t="shared" si="5"/>
        <v>-1.1904761904773409E-2</v>
      </c>
      <c r="F33" s="42">
        <f t="shared" si="5"/>
        <v>-5.7720057720302975E-3</v>
      </c>
      <c r="G33" s="42">
        <f t="shared" si="5"/>
        <v>4.3290043289800906E-3</v>
      </c>
      <c r="H33" s="42"/>
      <c r="I33" s="42">
        <f t="shared" si="5"/>
        <v>1.9240019239816775E-3</v>
      </c>
      <c r="J33" s="42">
        <f t="shared" si="5"/>
        <v>3.1265031265093057E-3</v>
      </c>
      <c r="K33" s="42">
        <f t="shared" si="5"/>
        <v>-3.5714285714277594E-2</v>
      </c>
      <c r="L33" s="42">
        <f t="shared" si="5"/>
        <v>-1.9240019239958883E-3</v>
      </c>
      <c r="M33" s="42">
        <f t="shared" si="5"/>
        <v>-5.7817393399233197E-3</v>
      </c>
      <c r="N33" s="42">
        <f t="shared" si="5"/>
        <v>-1.3039698638124264E-3</v>
      </c>
      <c r="O33" s="42">
        <f t="shared" si="5"/>
        <v>7.2442770211722518E-3</v>
      </c>
      <c r="P33" s="42">
        <f t="shared" si="5"/>
        <v>2.4308152580388764E-2</v>
      </c>
      <c r="Q33" s="42">
        <f t="shared" si="5"/>
        <v>-6.3879210220534333E-3</v>
      </c>
      <c r="R33" s="42">
        <f t="shared" si="5"/>
        <v>6.3879210220534333E-3</v>
      </c>
      <c r="S33" s="42">
        <f t="shared" si="5"/>
        <v>-1.3176144244113175E-2</v>
      </c>
      <c r="T33" s="42">
        <f t="shared" si="5"/>
        <v>-1.0402219140090097E-2</v>
      </c>
      <c r="U33" s="42">
        <f t="shared" si="5"/>
        <v>1.5037593984970954E-2</v>
      </c>
      <c r="V33" s="42">
        <f t="shared" si="5"/>
        <v>-6.2413314840199519E-3</v>
      </c>
      <c r="W33" s="42">
        <f t="shared" si="5"/>
        <v>-8.3217753120976568E-3</v>
      </c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1"/>
    </row>
    <row r="34" spans="1:3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264"/>
      <c r="K34" s="42"/>
      <c r="L34" s="42"/>
      <c r="M34" s="42"/>
      <c r="N34" s="42"/>
      <c r="O34" s="264"/>
      <c r="P34" s="42"/>
      <c r="Q34" s="42"/>
      <c r="R34" s="42"/>
      <c r="S34" s="42"/>
      <c r="T34" s="264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7" ht="33.75" customHeight="1" x14ac:dyDescent="0.25">
      <c r="A35" s="41"/>
      <c r="B35" s="42"/>
      <c r="C35" s="42"/>
      <c r="D35" s="42"/>
      <c r="E35" s="42"/>
      <c r="F35" s="42"/>
      <c r="G35" s="42"/>
      <c r="H35" s="42"/>
      <c r="I35" s="42"/>
      <c r="J35" s="264"/>
      <c r="K35" s="264"/>
      <c r="L35" s="264"/>
      <c r="M35" s="264"/>
      <c r="N35" s="264"/>
      <c r="O35" s="264"/>
      <c r="P35" s="42"/>
      <c r="Q35" s="42"/>
      <c r="R35" s="42"/>
      <c r="S35" s="42"/>
      <c r="T35" s="264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1"/>
    </row>
    <row r="36" spans="1:37" s="2" customFormat="1" ht="33.75" customHeight="1" thickBot="1" x14ac:dyDescent="0.3">
      <c r="B36" s="43"/>
      <c r="C36" s="350"/>
      <c r="D36" s="350"/>
      <c r="E36" s="350"/>
      <c r="F36" s="350"/>
      <c r="G36" s="350"/>
      <c r="H36" s="318"/>
      <c r="I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3"/>
    </row>
    <row r="37" spans="1:37" ht="33.75" customHeight="1" thickBot="1" x14ac:dyDescent="0.3">
      <c r="A37" s="69" t="s">
        <v>16</v>
      </c>
      <c r="B37" s="980" t="s">
        <v>17</v>
      </c>
      <c r="C37" s="972"/>
      <c r="D37" s="972"/>
      <c r="E37" s="972"/>
      <c r="F37" s="972"/>
      <c r="G37" s="972"/>
      <c r="H37" s="990"/>
      <c r="I37" s="977" t="s">
        <v>9</v>
      </c>
      <c r="J37" s="47"/>
      <c r="N37" s="426" t="s">
        <v>18</v>
      </c>
      <c r="O37" s="980" t="s">
        <v>17</v>
      </c>
      <c r="P37" s="972"/>
      <c r="Q37" s="972"/>
      <c r="R37" s="972"/>
      <c r="S37" s="990"/>
      <c r="T37" s="977" t="s">
        <v>9</v>
      </c>
      <c r="U37" s="269"/>
      <c r="W37" s="45"/>
      <c r="X37" s="45"/>
      <c r="Y37" s="46"/>
      <c r="Z37" s="3"/>
      <c r="AA37" s="45"/>
      <c r="AB37" s="45"/>
      <c r="AC37" s="45"/>
      <c r="AD37" s="3"/>
    </row>
    <row r="38" spans="1:37" ht="33.75" customHeight="1" thickBot="1" x14ac:dyDescent="0.3">
      <c r="A38" s="170" t="s">
        <v>34</v>
      </c>
      <c r="B38" s="141"/>
      <c r="C38" s="118"/>
      <c r="D38" s="118"/>
      <c r="E38" s="118"/>
      <c r="F38" s="118"/>
      <c r="G38" s="118"/>
      <c r="H38" s="119"/>
      <c r="I38" s="978"/>
      <c r="J38" s="47"/>
      <c r="K38" s="47"/>
      <c r="L38" s="47"/>
      <c r="M38" s="47"/>
      <c r="N38" s="428" t="s">
        <v>33</v>
      </c>
      <c r="O38" s="168">
        <v>1</v>
      </c>
      <c r="P38" s="249">
        <v>2</v>
      </c>
      <c r="Q38" s="249">
        <v>3</v>
      </c>
      <c r="R38" s="249"/>
      <c r="S38" s="250"/>
      <c r="T38" s="979"/>
      <c r="U38" s="2"/>
      <c r="W38" s="47"/>
      <c r="X38" s="47"/>
      <c r="Y38" s="3"/>
      <c r="Z38" s="46"/>
      <c r="AA38" s="3"/>
      <c r="AB38" s="45"/>
      <c r="AC38" s="45"/>
      <c r="AD38" s="45"/>
    </row>
    <row r="39" spans="1:37" ht="33.75" customHeight="1" thickBot="1" x14ac:dyDescent="0.3">
      <c r="A39" s="170" t="s">
        <v>10</v>
      </c>
      <c r="B39" s="11">
        <v>1</v>
      </c>
      <c r="C39" s="16">
        <v>2</v>
      </c>
      <c r="D39" s="16">
        <v>3</v>
      </c>
      <c r="E39" s="16">
        <v>4</v>
      </c>
      <c r="F39" s="16">
        <v>5</v>
      </c>
      <c r="G39" s="16">
        <v>6</v>
      </c>
      <c r="H39" s="17" t="s">
        <v>99</v>
      </c>
      <c r="I39" s="979"/>
      <c r="J39" s="47"/>
      <c r="K39" s="47"/>
      <c r="L39" s="47"/>
      <c r="M39" s="47"/>
      <c r="N39" s="427" t="s">
        <v>10</v>
      </c>
      <c r="O39" s="114">
        <v>1</v>
      </c>
      <c r="P39" s="114">
        <v>2</v>
      </c>
      <c r="Q39" s="114">
        <v>3</v>
      </c>
      <c r="R39" s="114">
        <v>4</v>
      </c>
      <c r="S39" s="114">
        <v>5</v>
      </c>
      <c r="T39" s="278"/>
      <c r="U39" s="270"/>
      <c r="W39" s="47"/>
      <c r="X39" s="47"/>
      <c r="Y39" s="48"/>
      <c r="Z39" s="48"/>
      <c r="AA39" s="2"/>
      <c r="AB39" s="2"/>
      <c r="AC39" s="2"/>
      <c r="AD39" s="2"/>
    </row>
    <row r="40" spans="1:37" ht="33.75" customHeight="1" x14ac:dyDescent="0.25">
      <c r="A40" s="171" t="s">
        <v>32</v>
      </c>
      <c r="B40" s="18">
        <v>32.9</v>
      </c>
      <c r="C40" s="19">
        <v>83.1</v>
      </c>
      <c r="D40" s="19">
        <v>51.6</v>
      </c>
      <c r="E40" s="19">
        <v>37.1</v>
      </c>
      <c r="F40" s="19">
        <v>81.7</v>
      </c>
      <c r="G40" s="19">
        <v>44.2</v>
      </c>
      <c r="H40" s="20">
        <v>5.6</v>
      </c>
      <c r="I40" s="374">
        <f>SUM(B40:H40)</f>
        <v>336.2</v>
      </c>
      <c r="J40" s="988"/>
      <c r="K40" s="989"/>
      <c r="L40" s="989"/>
      <c r="M40" s="989"/>
      <c r="N40" s="171" t="s">
        <v>53</v>
      </c>
      <c r="O40" s="19">
        <v>10.199999999999999</v>
      </c>
      <c r="P40" s="19">
        <v>15.4</v>
      </c>
      <c r="Q40" s="19">
        <v>7.8</v>
      </c>
      <c r="R40" s="19"/>
      <c r="S40" s="19"/>
      <c r="T40" s="98">
        <f>SUM(O40:Q40)</f>
        <v>33.4</v>
      </c>
      <c r="U40" s="271"/>
      <c r="V40" s="302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71" t="s">
        <v>24</v>
      </c>
      <c r="B41" s="18">
        <v>32.9</v>
      </c>
      <c r="C41" s="19">
        <v>83.1</v>
      </c>
      <c r="D41" s="19">
        <v>51.6</v>
      </c>
      <c r="E41" s="19">
        <v>37.1</v>
      </c>
      <c r="F41" s="19">
        <v>81.7</v>
      </c>
      <c r="G41" s="19">
        <v>44.2</v>
      </c>
      <c r="H41" s="20">
        <v>5.6</v>
      </c>
      <c r="I41" s="374">
        <f>SUM(B41:H41)</f>
        <v>336.2</v>
      </c>
      <c r="J41" s="988"/>
      <c r="K41" s="989"/>
      <c r="L41" s="989"/>
      <c r="M41" s="989"/>
      <c r="N41" s="171" t="s">
        <v>24</v>
      </c>
      <c r="O41" s="19">
        <v>10.199999999999999</v>
      </c>
      <c r="P41" s="19">
        <v>15.4</v>
      </c>
      <c r="Q41" s="19">
        <v>7.8</v>
      </c>
      <c r="R41" s="19"/>
      <c r="S41" s="19"/>
      <c r="T41" s="98">
        <f>SUM(O41:Q41)</f>
        <v>33.4</v>
      </c>
      <c r="U41" s="271"/>
      <c r="V41" s="302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71" t="s">
        <v>20</v>
      </c>
      <c r="B42" s="18">
        <v>35.200000000000003</v>
      </c>
      <c r="C42" s="19">
        <v>91.5</v>
      </c>
      <c r="D42" s="19">
        <v>57.2</v>
      </c>
      <c r="E42" s="19">
        <v>40.700000000000003</v>
      </c>
      <c r="F42" s="19">
        <v>89.2</v>
      </c>
      <c r="G42" s="19">
        <v>53.8</v>
      </c>
      <c r="H42" s="20">
        <v>2.7</v>
      </c>
      <c r="I42" s="374">
        <f t="shared" ref="I42:I46" si="6">SUM(B42:H42)</f>
        <v>370.3</v>
      </c>
      <c r="J42" s="988"/>
      <c r="K42" s="989"/>
      <c r="L42" s="989"/>
      <c r="M42" s="989"/>
      <c r="N42" s="171" t="s">
        <v>20</v>
      </c>
      <c r="O42" s="19">
        <v>10.5</v>
      </c>
      <c r="P42" s="19">
        <v>16</v>
      </c>
      <c r="Q42" s="19">
        <v>8.1</v>
      </c>
      <c r="R42" s="19"/>
      <c r="S42" s="19"/>
      <c r="T42" s="98">
        <f>SUM(O42:Q42)</f>
        <v>34.6</v>
      </c>
      <c r="U42" s="271"/>
      <c r="V42" s="302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71" t="s">
        <v>28</v>
      </c>
      <c r="B43" s="18">
        <v>35.299999999999997</v>
      </c>
      <c r="C43" s="19">
        <v>91.6</v>
      </c>
      <c r="D43" s="19">
        <v>57.2</v>
      </c>
      <c r="E43" s="19">
        <v>40.700000000000003</v>
      </c>
      <c r="F43" s="19">
        <v>89.2</v>
      </c>
      <c r="G43" s="19">
        <v>53.9</v>
      </c>
      <c r="H43" s="20">
        <v>2.7</v>
      </c>
      <c r="I43" s="374">
        <f t="shared" si="6"/>
        <v>370.59999999999997</v>
      </c>
      <c r="J43" s="988"/>
      <c r="K43" s="989"/>
      <c r="L43" s="989"/>
      <c r="M43" s="989"/>
      <c r="N43" s="171" t="s">
        <v>28</v>
      </c>
      <c r="O43" s="19">
        <v>10.5</v>
      </c>
      <c r="P43" s="19">
        <v>16.100000000000001</v>
      </c>
      <c r="Q43" s="19">
        <v>8.1</v>
      </c>
      <c r="R43" s="19"/>
      <c r="S43" s="19"/>
      <c r="T43" s="98">
        <f>SUM(O43:Q43)</f>
        <v>34.700000000000003</v>
      </c>
      <c r="U43" s="271"/>
      <c r="V43" s="302"/>
      <c r="W43" s="2"/>
      <c r="X43" s="49"/>
      <c r="Y43" s="48"/>
      <c r="Z43" s="48"/>
      <c r="AA43" s="2"/>
      <c r="AB43" s="2"/>
      <c r="AC43" s="2"/>
      <c r="AD43" s="2"/>
    </row>
    <row r="44" spans="1:37" ht="33.75" customHeight="1" x14ac:dyDescent="0.25">
      <c r="A44" s="171" t="s">
        <v>21</v>
      </c>
      <c r="B44" s="18">
        <v>35.299999999999997</v>
      </c>
      <c r="C44" s="19">
        <v>91.6</v>
      </c>
      <c r="D44" s="19">
        <v>57.2</v>
      </c>
      <c r="E44" s="19">
        <v>40.700000000000003</v>
      </c>
      <c r="F44" s="19">
        <v>89.2</v>
      </c>
      <c r="G44" s="19">
        <v>53.9</v>
      </c>
      <c r="H44" s="20">
        <v>2.7</v>
      </c>
      <c r="I44" s="374">
        <f t="shared" si="6"/>
        <v>370.59999999999997</v>
      </c>
      <c r="J44" s="988"/>
      <c r="K44" s="989"/>
      <c r="L44" s="989"/>
      <c r="M44" s="989"/>
      <c r="N44" s="171" t="s">
        <v>21</v>
      </c>
      <c r="O44" s="19">
        <v>10.5</v>
      </c>
      <c r="P44" s="19">
        <v>16.100000000000001</v>
      </c>
      <c r="Q44" s="19">
        <v>8.1</v>
      </c>
      <c r="R44" s="19"/>
      <c r="S44" s="19"/>
      <c r="T44" s="98">
        <f>SUM(O44:Q44)</f>
        <v>34.700000000000003</v>
      </c>
      <c r="U44" s="271"/>
      <c r="V44" s="302"/>
      <c r="W44" s="2"/>
      <c r="X44" s="49"/>
      <c r="Y44" s="48"/>
      <c r="Z44" s="48"/>
      <c r="AA44" s="2"/>
      <c r="AB44" s="2"/>
      <c r="AC44" s="2"/>
      <c r="AD44" s="2"/>
    </row>
    <row r="45" spans="1:37" ht="33.75" customHeight="1" x14ac:dyDescent="0.25">
      <c r="A45" s="171" t="s">
        <v>22</v>
      </c>
      <c r="B45" s="18">
        <v>89.6</v>
      </c>
      <c r="C45" s="19">
        <v>87.4</v>
      </c>
      <c r="D45" s="19">
        <v>25.2</v>
      </c>
      <c r="E45" s="19">
        <v>84.7</v>
      </c>
      <c r="F45" s="19">
        <v>83.9</v>
      </c>
      <c r="G45" s="19"/>
      <c r="H45" s="20"/>
      <c r="I45" s="374">
        <f t="shared" si="6"/>
        <v>370.79999999999995</v>
      </c>
      <c r="J45" s="988"/>
      <c r="K45" s="989"/>
      <c r="L45" s="989"/>
      <c r="M45" s="989"/>
      <c r="N45" s="171" t="s">
        <v>22</v>
      </c>
      <c r="O45" s="19">
        <v>8</v>
      </c>
      <c r="P45" s="19">
        <v>8.1</v>
      </c>
      <c r="Q45" s="19">
        <v>2.5</v>
      </c>
      <c r="R45" s="19">
        <v>8.1</v>
      </c>
      <c r="S45" s="19">
        <v>8.1</v>
      </c>
      <c r="T45" s="98">
        <f>SUM(O45:S45)</f>
        <v>34.800000000000004</v>
      </c>
      <c r="U45" s="271"/>
      <c r="V45" s="302"/>
      <c r="W45" s="2"/>
      <c r="X45" s="49"/>
      <c r="Y45" s="48"/>
      <c r="Z45" s="48"/>
      <c r="AA45" s="2"/>
      <c r="AB45" s="2"/>
      <c r="AC45" s="2"/>
      <c r="AD45" s="2"/>
    </row>
    <row r="46" spans="1:37" ht="33.75" customHeight="1" thickBot="1" x14ac:dyDescent="0.3">
      <c r="A46" s="285" t="s">
        <v>32</v>
      </c>
      <c r="B46" s="130">
        <v>89.6</v>
      </c>
      <c r="C46" s="124">
        <v>87.4</v>
      </c>
      <c r="D46" s="124">
        <v>25.2</v>
      </c>
      <c r="E46" s="124">
        <v>84.7</v>
      </c>
      <c r="F46" s="124">
        <v>83.9</v>
      </c>
      <c r="G46" s="124"/>
      <c r="H46" s="132"/>
      <c r="I46" s="374">
        <f t="shared" si="6"/>
        <v>370.79999999999995</v>
      </c>
      <c r="J46" s="988"/>
      <c r="K46" s="989"/>
      <c r="L46" s="989"/>
      <c r="M46" s="989"/>
      <c r="N46" s="285" t="s">
        <v>23</v>
      </c>
      <c r="O46" s="124">
        <v>8</v>
      </c>
      <c r="P46" s="124">
        <v>8.1</v>
      </c>
      <c r="Q46" s="124">
        <v>2.5</v>
      </c>
      <c r="R46" s="124">
        <v>8.1</v>
      </c>
      <c r="S46" s="124">
        <v>8.1</v>
      </c>
      <c r="T46" s="98">
        <f>SUM(O46:S46)</f>
        <v>34.800000000000004</v>
      </c>
      <c r="U46" s="271"/>
      <c r="V46" s="302"/>
      <c r="W46" s="2"/>
      <c r="X46" s="49"/>
      <c r="Y46" s="48"/>
      <c r="Z46" s="48"/>
      <c r="AA46" s="48"/>
      <c r="AB46" s="48"/>
      <c r="AC46" s="2"/>
      <c r="AD46" s="2"/>
      <c r="AE46" s="2"/>
      <c r="AF46" s="2"/>
    </row>
    <row r="47" spans="1:37" ht="33.75" customHeight="1" x14ac:dyDescent="0.25">
      <c r="A47" s="290" t="s">
        <v>9</v>
      </c>
      <c r="B47" s="131">
        <f>SUM(B40:B46)</f>
        <v>350.80000000000007</v>
      </c>
      <c r="C47" s="128">
        <f t="shared" ref="C47:H47" si="7">SUM(C40:C46)</f>
        <v>615.69999999999993</v>
      </c>
      <c r="D47" s="128">
        <f t="shared" si="7"/>
        <v>325.2</v>
      </c>
      <c r="E47" s="128">
        <f t="shared" si="7"/>
        <v>365.7</v>
      </c>
      <c r="F47" s="128">
        <f t="shared" si="7"/>
        <v>598.79999999999995</v>
      </c>
      <c r="G47" s="128">
        <f t="shared" si="7"/>
        <v>250</v>
      </c>
      <c r="H47" s="129">
        <f t="shared" si="7"/>
        <v>19.299999999999997</v>
      </c>
      <c r="I47" s="265">
        <f>SUM(B47:H47)</f>
        <v>2525.5</v>
      </c>
      <c r="J47" s="988"/>
      <c r="K47" s="989"/>
      <c r="L47" s="989"/>
      <c r="M47" s="989"/>
      <c r="N47" s="290" t="s">
        <v>9</v>
      </c>
      <c r="O47" s="133">
        <f>SUM(O40:O46)</f>
        <v>67.900000000000006</v>
      </c>
      <c r="P47" s="134">
        <f>SUM(P40:P46)</f>
        <v>95.199999999999989</v>
      </c>
      <c r="Q47" s="134">
        <f>SUM(Q40:Q46)</f>
        <v>44.9</v>
      </c>
      <c r="R47" s="134">
        <f t="shared" ref="R47:S47" si="8">SUM(R40:R46)</f>
        <v>16.2</v>
      </c>
      <c r="S47" s="134">
        <f t="shared" si="8"/>
        <v>16.2</v>
      </c>
      <c r="T47" s="265">
        <f>SUM(T40:T46)</f>
        <v>240.40000000000003</v>
      </c>
      <c r="U47" s="272"/>
      <c r="W47" s="49"/>
      <c r="X47" s="49"/>
      <c r="Y47" s="2"/>
      <c r="Z47" s="2"/>
      <c r="AA47" s="2"/>
      <c r="AB47" s="2"/>
      <c r="AC47" s="2"/>
      <c r="AD47" s="2"/>
      <c r="AE47" s="2"/>
      <c r="AF47" s="2"/>
    </row>
    <row r="48" spans="1:37" ht="33.75" customHeight="1" x14ac:dyDescent="0.25">
      <c r="A48" s="192" t="s">
        <v>11</v>
      </c>
      <c r="B48" s="23">
        <v>130</v>
      </c>
      <c r="C48" s="24">
        <v>127</v>
      </c>
      <c r="D48" s="24">
        <v>127</v>
      </c>
      <c r="E48" s="24">
        <v>123.5</v>
      </c>
      <c r="F48" s="24">
        <v>122.5</v>
      </c>
      <c r="G48" s="416"/>
      <c r="H48" s="25"/>
      <c r="I48" s="137">
        <f>+((I47/I49)/7)*1000</f>
        <v>126.10475857592249</v>
      </c>
      <c r="J48" s="988"/>
      <c r="K48" s="989"/>
      <c r="L48" s="989"/>
      <c r="M48" s="989"/>
      <c r="N48" s="273" t="s">
        <v>11</v>
      </c>
      <c r="O48" s="23">
        <v>136</v>
      </c>
      <c r="P48" s="24">
        <v>137</v>
      </c>
      <c r="Q48" s="24">
        <v>136</v>
      </c>
      <c r="R48" s="24">
        <v>137</v>
      </c>
      <c r="S48" s="25">
        <v>137</v>
      </c>
      <c r="T48" s="137">
        <f>+((T47/T49)/7)*1000</f>
        <v>139.60511033681769</v>
      </c>
      <c r="U48" s="2"/>
      <c r="W48" s="50"/>
      <c r="X48" s="50"/>
    </row>
    <row r="49" spans="1:49" ht="33.75" customHeight="1" x14ac:dyDescent="0.25">
      <c r="A49" s="193" t="s">
        <v>12</v>
      </c>
      <c r="B49" s="26">
        <v>667</v>
      </c>
      <c r="C49" s="27">
        <v>668</v>
      </c>
      <c r="D49" s="27">
        <v>192</v>
      </c>
      <c r="E49" s="27">
        <v>667</v>
      </c>
      <c r="F49" s="27">
        <v>667</v>
      </c>
      <c r="G49" s="275"/>
      <c r="H49" s="276"/>
      <c r="I49" s="395">
        <f>SUM(B49:H49)</f>
        <v>2861</v>
      </c>
      <c r="J49" s="988"/>
      <c r="K49" s="989"/>
      <c r="L49" s="989"/>
      <c r="M49" s="989"/>
      <c r="N49" s="193" t="s">
        <v>12</v>
      </c>
      <c r="O49" s="257">
        <v>57</v>
      </c>
      <c r="P49" s="275">
        <v>57</v>
      </c>
      <c r="Q49" s="275">
        <v>17</v>
      </c>
      <c r="R49" s="275">
        <v>57</v>
      </c>
      <c r="S49" s="276">
        <v>58</v>
      </c>
      <c r="T49" s="254">
        <f>SUM(O49:S49)</f>
        <v>246</v>
      </c>
      <c r="U49" s="2"/>
      <c r="W49" s="52"/>
      <c r="X49" s="52"/>
    </row>
    <row r="50" spans="1:49" ht="33.75" customHeight="1" x14ac:dyDescent="0.25">
      <c r="A50" s="194" t="s">
        <v>13</v>
      </c>
      <c r="B50" s="30">
        <f>((((F48*7)*B49)/1000)-(B40+B41))/5</f>
        <v>101.23049999999999</v>
      </c>
      <c r="C50" s="31">
        <f>((((E48*7)*C49)/1000)-(C40+C41))/5</f>
        <v>82.257199999999997</v>
      </c>
      <c r="D50" s="31">
        <f t="shared" ref="D50:H50" si="9">((((D48*7)*D49)/1000)-(D40+D41))/5</f>
        <v>13.497599999999997</v>
      </c>
      <c r="E50" s="31">
        <f>((((C48*7)*E49)/1000)-(E40+E41))/5</f>
        <v>103.75259999999999</v>
      </c>
      <c r="F50" s="31">
        <f>((((B48*7)*F49)/1000)-(F40+F41))/5</f>
        <v>88.714000000000013</v>
      </c>
      <c r="G50" s="31" t="e">
        <f>((((#REF!*7)*G49)/1000)-(G40+G41))/5</f>
        <v>#REF!</v>
      </c>
      <c r="H50" s="32">
        <f t="shared" si="9"/>
        <v>-2.2399999999999998</v>
      </c>
      <c r="I50" s="139">
        <f>((I47*1000)/I49)/7</f>
        <v>126.1047585759225</v>
      </c>
      <c r="J50" s="988"/>
      <c r="K50" s="989"/>
      <c r="L50" s="989"/>
      <c r="M50" s="989"/>
      <c r="N50" s="194" t="s">
        <v>13</v>
      </c>
      <c r="O50" s="30">
        <f>((((O48*7)*O49)/1000)-(O40+O41))/5</f>
        <v>6.772800000000001</v>
      </c>
      <c r="P50" s="31">
        <f>((((P48*7)*P49)/1000)-(P40+P41))/5</f>
        <v>4.7725999999999988</v>
      </c>
      <c r="Q50" s="31">
        <f>((((Q48*7)*Q49)/1000)-(Q40+Q41))/5</f>
        <v>0.11680000000000028</v>
      </c>
      <c r="R50" s="31"/>
      <c r="S50" s="32"/>
      <c r="T50" s="274">
        <f>((T47*1000)/T49)/7</f>
        <v>139.60511033681766</v>
      </c>
      <c r="U50" s="43"/>
      <c r="W50" s="52"/>
      <c r="X50" s="52"/>
    </row>
    <row r="51" spans="1:49" ht="33.75" customHeight="1" x14ac:dyDescent="0.25">
      <c r="A51" s="185" t="s">
        <v>14</v>
      </c>
      <c r="B51" s="279">
        <f>((B49*F48)*7)/1000</f>
        <v>571.95249999999999</v>
      </c>
      <c r="C51" s="280">
        <f>((C49*E48)*7)/1000</f>
        <v>577.48599999999999</v>
      </c>
      <c r="D51" s="280">
        <f t="shared" ref="D51:H51" si="10">((D49*D48)*7)/1000</f>
        <v>170.68799999999999</v>
      </c>
      <c r="E51" s="280">
        <f>((E49*C48)*7)/1000</f>
        <v>592.96299999999997</v>
      </c>
      <c r="F51" s="280">
        <f>((F49*B48)*7)/1000</f>
        <v>606.97</v>
      </c>
      <c r="G51" s="280" t="e">
        <f>((G49*#REF!)*7)/1000</f>
        <v>#REF!</v>
      </c>
      <c r="H51" s="282">
        <f t="shared" si="10"/>
        <v>0</v>
      </c>
      <c r="I51" s="112"/>
      <c r="J51" s="988"/>
      <c r="K51" s="989"/>
      <c r="L51" s="989"/>
      <c r="M51" s="989"/>
      <c r="N51" s="185" t="s">
        <v>14</v>
      </c>
      <c r="O51" s="279">
        <f>((O49*O48)*7)/1000</f>
        <v>54.264000000000003</v>
      </c>
      <c r="P51" s="280">
        <f>((P49*P48)*7)/1000</f>
        <v>54.662999999999997</v>
      </c>
      <c r="Q51" s="280">
        <f>((Q49*Q48)*7)/1000</f>
        <v>16.184000000000001</v>
      </c>
      <c r="R51" s="280"/>
      <c r="S51" s="282"/>
      <c r="T51" s="36"/>
      <c r="U51" s="41"/>
    </row>
    <row r="52" spans="1:49" ht="33.75" customHeight="1" thickBot="1" x14ac:dyDescent="0.3">
      <c r="A52" s="195" t="s">
        <v>15</v>
      </c>
      <c r="B52" s="37">
        <f t="shared" ref="B52:H52" si="11">+(B47/B49)/7*1000</f>
        <v>75.133861640608288</v>
      </c>
      <c r="C52" s="38">
        <f t="shared" si="11"/>
        <v>131.67236954662104</v>
      </c>
      <c r="D52" s="38">
        <f t="shared" si="11"/>
        <v>241.96428571428569</v>
      </c>
      <c r="E52" s="38">
        <f t="shared" si="11"/>
        <v>78.325123152709352</v>
      </c>
      <c r="F52" s="38">
        <f t="shared" si="11"/>
        <v>128.2501606339687</v>
      </c>
      <c r="G52" s="38" t="e">
        <f t="shared" si="11"/>
        <v>#DIV/0!</v>
      </c>
      <c r="H52" s="39" t="e">
        <f t="shared" si="11"/>
        <v>#DIV/0!</v>
      </c>
      <c r="I52" s="140"/>
      <c r="J52" s="988"/>
      <c r="K52" s="989"/>
      <c r="L52" s="989"/>
      <c r="M52" s="989"/>
      <c r="N52" s="195" t="s">
        <v>15</v>
      </c>
      <c r="O52" s="37">
        <f>+(O47/O49)/7*1000</f>
        <v>170.17543859649126</v>
      </c>
      <c r="P52" s="38">
        <f>+(P47/P49)/7*1000</f>
        <v>238.59649122807016</v>
      </c>
      <c r="Q52" s="38">
        <f>+(Q47/Q49)/7*1000</f>
        <v>377.31092436974791</v>
      </c>
      <c r="R52" s="38"/>
      <c r="S52" s="39"/>
      <c r="T52" s="259"/>
      <c r="U52" s="42"/>
      <c r="W52" s="42"/>
      <c r="X52" s="42"/>
    </row>
    <row r="53" spans="1:49" ht="33.75" customHeight="1" x14ac:dyDescent="0.25">
      <c r="A53" s="41"/>
      <c r="B53" s="43">
        <f>B51-B47</f>
        <v>221.15249999999992</v>
      </c>
      <c r="C53" s="43">
        <f t="shared" ref="C53:H54" si="12">C51-C47</f>
        <v>-38.213999999999942</v>
      </c>
      <c r="D53" s="43">
        <f t="shared" si="12"/>
        <v>-154.512</v>
      </c>
      <c r="E53" s="43">
        <f t="shared" si="12"/>
        <v>227.26299999999998</v>
      </c>
      <c r="F53" s="43">
        <f t="shared" si="12"/>
        <v>8.1700000000000728</v>
      </c>
      <c r="G53" s="43" t="e">
        <f t="shared" si="12"/>
        <v>#REF!</v>
      </c>
      <c r="H53" s="43">
        <f t="shared" si="12"/>
        <v>-19.299999999999997</v>
      </c>
      <c r="I53" s="41"/>
      <c r="J53" s="41"/>
      <c r="K53" s="41"/>
      <c r="L53" s="41"/>
      <c r="M53" s="41"/>
      <c r="N53" s="42"/>
      <c r="O53" s="42">
        <f t="shared" ref="O53:Q54" si="13">O51-O47</f>
        <v>-13.636000000000003</v>
      </c>
      <c r="P53" s="42">
        <f t="shared" si="13"/>
        <v>-40.536999999999992</v>
      </c>
      <c r="Q53" s="42">
        <f t="shared" si="13"/>
        <v>-28.715999999999998</v>
      </c>
      <c r="R53" s="42">
        <f t="shared" ref="R53:S53" si="14">R51-R47</f>
        <v>-16.2</v>
      </c>
      <c r="S53" s="42">
        <f t="shared" si="14"/>
        <v>-16.2</v>
      </c>
      <c r="V53" s="42"/>
      <c r="W53" s="42"/>
      <c r="X53" s="2"/>
      <c r="Y53" s="2"/>
      <c r="Z53" s="2"/>
      <c r="AA53" s="2"/>
      <c r="AB53" s="2"/>
    </row>
    <row r="54" spans="1:49" ht="33.75" customHeight="1" x14ac:dyDescent="0.25">
      <c r="A54" s="41"/>
      <c r="B54" s="42">
        <f>B52-F48</f>
        <v>-47.366138359391712</v>
      </c>
      <c r="C54" s="42">
        <f>C52-E48</f>
        <v>8.1723695466210415</v>
      </c>
      <c r="D54" s="42">
        <f t="shared" ref="D54" si="15">D52-D48</f>
        <v>114.96428571428569</v>
      </c>
      <c r="E54" s="42">
        <f>E52-C48</f>
        <v>-48.674876847290648</v>
      </c>
      <c r="F54" s="42">
        <f>F52-B48</f>
        <v>-1.7498393660312956</v>
      </c>
      <c r="G54" s="42" t="e">
        <f>G52-#REF!</f>
        <v>#DIV/0!</v>
      </c>
      <c r="H54" s="42" t="e">
        <f t="shared" si="12"/>
        <v>#DIV/0!</v>
      </c>
      <c r="I54" s="41"/>
      <c r="J54" s="41"/>
      <c r="K54" s="41"/>
      <c r="L54" s="41"/>
      <c r="M54" s="42"/>
      <c r="N54" s="42"/>
      <c r="O54" s="42">
        <f t="shared" si="13"/>
        <v>34.175438596491261</v>
      </c>
      <c r="P54" s="42">
        <f t="shared" si="13"/>
        <v>101.59649122807016</v>
      </c>
      <c r="Q54" s="42">
        <f t="shared" si="13"/>
        <v>241.31092436974791</v>
      </c>
      <c r="R54" s="42">
        <f t="shared" ref="R54:S54" si="16">R52-R48</f>
        <v>-137</v>
      </c>
      <c r="S54" s="42">
        <f t="shared" si="16"/>
        <v>-137</v>
      </c>
      <c r="V54" s="43"/>
      <c r="W54" s="43"/>
      <c r="X54" s="2"/>
      <c r="Y54" s="2"/>
      <c r="Z54" s="2"/>
      <c r="AA54" s="2"/>
      <c r="AE54" s="3"/>
    </row>
    <row r="55" spans="1:49" ht="33.75" customHeight="1" x14ac:dyDescent="0.25">
      <c r="A55" s="41"/>
      <c r="B55" s="287"/>
      <c r="C55" s="287"/>
      <c r="D55" s="287"/>
      <c r="E55" s="287"/>
      <c r="F55" s="287"/>
      <c r="G55" s="264"/>
      <c r="H55" s="41"/>
      <c r="I55" s="41"/>
      <c r="J55" s="41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2"/>
      <c r="X55" s="43"/>
      <c r="Y55" s="43"/>
      <c r="Z55" s="43"/>
      <c r="AA55" s="2"/>
      <c r="AB55" s="2"/>
      <c r="AC55" s="2"/>
      <c r="AD55" s="2"/>
      <c r="AH55" s="3"/>
    </row>
    <row r="56" spans="1:49" ht="33.75" customHeight="1" thickBot="1" x14ac:dyDescent="0.3">
      <c r="A56" s="53"/>
      <c r="B56" s="284"/>
      <c r="C56" s="284"/>
      <c r="D56" s="284"/>
      <c r="E56" s="284"/>
      <c r="F56" s="284"/>
      <c r="G56" s="284"/>
      <c r="H56" s="54"/>
      <c r="I56" s="54"/>
      <c r="J56" s="54"/>
      <c r="K56" s="54"/>
      <c r="L56" s="54"/>
      <c r="M56" s="54"/>
      <c r="N56" s="54"/>
      <c r="O56" s="958"/>
      <c r="P56" s="958"/>
      <c r="Q56" s="283"/>
      <c r="R56" s="283"/>
      <c r="S56" s="283"/>
      <c r="T56" s="54"/>
      <c r="U56" s="55"/>
      <c r="Z56" s="43"/>
      <c r="AA56" s="43"/>
      <c r="AB56" s="43"/>
      <c r="AC56" s="2"/>
      <c r="AD56" s="2"/>
      <c r="AE56" s="2"/>
      <c r="AF56" s="2"/>
      <c r="AH56" s="2"/>
      <c r="AI56" s="2"/>
      <c r="AJ56" s="2"/>
    </row>
    <row r="57" spans="1:49" ht="33.75" customHeight="1" x14ac:dyDescent="0.25">
      <c r="A57" s="359" t="s">
        <v>19</v>
      </c>
      <c r="B57" s="986" t="s">
        <v>8</v>
      </c>
      <c r="C57" s="956"/>
      <c r="D57" s="956"/>
      <c r="E57" s="956"/>
      <c r="F57" s="956"/>
      <c r="G57" s="986" t="s">
        <v>30</v>
      </c>
      <c r="H57" s="956"/>
      <c r="I57" s="956"/>
      <c r="J57" s="956"/>
      <c r="K57" s="987"/>
      <c r="L57" s="986" t="s">
        <v>29</v>
      </c>
      <c r="M57" s="956"/>
      <c r="N57" s="956"/>
      <c r="O57" s="956"/>
      <c r="P57" s="956"/>
      <c r="Q57" s="994" t="s">
        <v>31</v>
      </c>
      <c r="R57" s="995"/>
      <c r="S57" s="995"/>
      <c r="T57" s="995"/>
      <c r="U57" s="996"/>
      <c r="V57" s="992" t="s">
        <v>9</v>
      </c>
      <c r="AE57" s="43"/>
      <c r="AF57" s="43"/>
      <c r="AG57" s="43"/>
      <c r="AH57" s="2"/>
      <c r="AI57" s="2"/>
      <c r="AJ57" s="2"/>
      <c r="AK57" s="2"/>
      <c r="AM57" s="2"/>
      <c r="AN57" s="2"/>
      <c r="AO57" s="2"/>
    </row>
    <row r="58" spans="1:49" ht="33.75" customHeight="1" thickBot="1" x14ac:dyDescent="0.3">
      <c r="A58" s="170" t="s">
        <v>34</v>
      </c>
      <c r="B58" s="360"/>
      <c r="C58" s="361"/>
      <c r="D58" s="361"/>
      <c r="E58" s="361"/>
      <c r="F58" s="361"/>
      <c r="G58" s="360"/>
      <c r="H58" s="361"/>
      <c r="I58" s="361"/>
      <c r="J58" s="361"/>
      <c r="K58" s="361"/>
      <c r="L58" s="360"/>
      <c r="M58" s="361"/>
      <c r="N58" s="361"/>
      <c r="O58" s="361"/>
      <c r="P58" s="396"/>
      <c r="Q58" s="360"/>
      <c r="R58" s="361"/>
      <c r="S58" s="361"/>
      <c r="T58" s="361"/>
      <c r="U58" s="397"/>
      <c r="V58" s="993"/>
      <c r="AC58" s="45"/>
      <c r="AD58" s="45"/>
      <c r="AE58" s="45"/>
      <c r="AF58" s="45"/>
      <c r="AG58" s="57"/>
      <c r="AH58" s="57"/>
      <c r="AI58" s="57"/>
      <c r="AJ58" s="57"/>
      <c r="AK58" s="45"/>
      <c r="AL58" s="45"/>
      <c r="AM58" s="58"/>
      <c r="AN58" s="58"/>
      <c r="AO58" s="58"/>
      <c r="AP58" s="2"/>
      <c r="AQ58" s="2"/>
      <c r="AR58" s="2"/>
      <c r="AS58" s="2"/>
      <c r="AU58" s="2"/>
      <c r="AV58" s="2"/>
      <c r="AW58" s="2"/>
    </row>
    <row r="59" spans="1:49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188">
        <v>1</v>
      </c>
      <c r="H59" s="168">
        <v>2</v>
      </c>
      <c r="I59" s="168">
        <v>3</v>
      </c>
      <c r="J59" s="168">
        <v>4</v>
      </c>
      <c r="K59" s="168">
        <v>5</v>
      </c>
      <c r="L59" s="188">
        <v>1</v>
      </c>
      <c r="M59" s="168">
        <v>2</v>
      </c>
      <c r="N59" s="168">
        <v>3</v>
      </c>
      <c r="O59" s="168">
        <v>4</v>
      </c>
      <c r="P59" s="413">
        <v>5</v>
      </c>
      <c r="Q59" s="188">
        <v>1</v>
      </c>
      <c r="R59" s="168">
        <v>2</v>
      </c>
      <c r="S59" s="168">
        <v>3</v>
      </c>
      <c r="T59" s="168">
        <v>4</v>
      </c>
      <c r="U59" s="414">
        <v>5</v>
      </c>
      <c r="V59" s="126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57"/>
      <c r="AH59" s="57"/>
      <c r="AI59" s="57"/>
      <c r="AJ59" s="57"/>
      <c r="AK59" s="45"/>
      <c r="AL59" s="45"/>
      <c r="AM59" s="58"/>
      <c r="AN59" s="58"/>
      <c r="AO59" s="58"/>
      <c r="AP59" s="2"/>
      <c r="AQ59" s="2"/>
      <c r="AR59" s="2"/>
      <c r="AS59" s="2"/>
      <c r="AT59" s="2"/>
      <c r="AU59" s="2"/>
      <c r="AV59" s="2"/>
      <c r="AW59" s="2"/>
    </row>
    <row r="60" spans="1:49" ht="33.75" customHeight="1" x14ac:dyDescent="0.25">
      <c r="A60" s="171" t="s">
        <v>53</v>
      </c>
      <c r="B60" s="133">
        <v>7.7</v>
      </c>
      <c r="C60" s="134">
        <v>7.7</v>
      </c>
      <c r="D60" s="134">
        <v>2.4</v>
      </c>
      <c r="E60" s="134">
        <v>7.7</v>
      </c>
      <c r="F60" s="134">
        <v>7.7</v>
      </c>
      <c r="G60" s="133">
        <v>7.7</v>
      </c>
      <c r="H60" s="134">
        <v>7.7</v>
      </c>
      <c r="I60" s="134">
        <v>2.4</v>
      </c>
      <c r="J60" s="134">
        <v>7.7</v>
      </c>
      <c r="K60" s="134">
        <v>7.7</v>
      </c>
      <c r="L60" s="133">
        <v>6.4</v>
      </c>
      <c r="M60" s="134">
        <v>6.4</v>
      </c>
      <c r="N60" s="134">
        <v>2.4</v>
      </c>
      <c r="O60" s="134">
        <v>6.4</v>
      </c>
      <c r="P60" s="134">
        <v>6.4</v>
      </c>
      <c r="Q60" s="133">
        <v>6.6</v>
      </c>
      <c r="R60" s="134">
        <v>6.6</v>
      </c>
      <c r="S60" s="134">
        <v>2.4</v>
      </c>
      <c r="T60" s="134">
        <v>6.6</v>
      </c>
      <c r="U60" s="156">
        <v>6.6</v>
      </c>
      <c r="V60" s="412">
        <f t="shared" ref="V60:V67" si="17">SUM(B60:U60)</f>
        <v>123.20000000000002</v>
      </c>
      <c r="W60" s="42"/>
      <c r="X60" s="302"/>
      <c r="Y60" s="42"/>
      <c r="Z60" s="42"/>
      <c r="AA60" s="42"/>
      <c r="AB60" s="42"/>
      <c r="AC60" s="2"/>
      <c r="AD60" s="45"/>
      <c r="AE60" s="45"/>
      <c r="AF60" s="45"/>
      <c r="AG60" s="57"/>
      <c r="AH60" s="57"/>
      <c r="AI60" s="57"/>
      <c r="AJ60" s="57"/>
      <c r="AK60" s="45"/>
      <c r="AL60" s="45"/>
      <c r="AM60" s="58"/>
      <c r="AN60" s="58"/>
      <c r="AO60" s="58"/>
      <c r="AP60" s="2"/>
      <c r="AQ60" s="2"/>
      <c r="AR60" s="2"/>
      <c r="AS60" s="2"/>
      <c r="AT60" s="2"/>
      <c r="AU60" s="2"/>
      <c r="AV60" s="2"/>
      <c r="AW60" s="2"/>
    </row>
    <row r="61" spans="1:49" ht="33.75" customHeight="1" x14ac:dyDescent="0.25">
      <c r="A61" s="171" t="s">
        <v>24</v>
      </c>
      <c r="B61" s="18">
        <v>7.7</v>
      </c>
      <c r="C61" s="19">
        <v>7.7</v>
      </c>
      <c r="D61" s="19">
        <v>2.4</v>
      </c>
      <c r="E61" s="19">
        <v>7.7</v>
      </c>
      <c r="F61" s="19">
        <v>7.7</v>
      </c>
      <c r="G61" s="18">
        <v>7.7</v>
      </c>
      <c r="H61" s="19">
        <v>7.7</v>
      </c>
      <c r="I61" s="19">
        <v>2.4</v>
      </c>
      <c r="J61" s="19">
        <v>7.7</v>
      </c>
      <c r="K61" s="19">
        <v>7.7</v>
      </c>
      <c r="L61" s="18">
        <v>6.4</v>
      </c>
      <c r="M61" s="19">
        <v>6.4</v>
      </c>
      <c r="N61" s="19">
        <v>2.4</v>
      </c>
      <c r="O61" s="19">
        <v>6.4</v>
      </c>
      <c r="P61" s="19">
        <v>6.4</v>
      </c>
      <c r="Q61" s="18">
        <v>6.6</v>
      </c>
      <c r="R61" s="19">
        <v>6.6</v>
      </c>
      <c r="S61" s="19">
        <v>2.4</v>
      </c>
      <c r="T61" s="19">
        <v>6.6</v>
      </c>
      <c r="U61" s="20">
        <v>6.6</v>
      </c>
      <c r="V61" s="412">
        <f t="shared" si="17"/>
        <v>123.20000000000002</v>
      </c>
      <c r="W61" s="42"/>
      <c r="X61" s="302"/>
      <c r="Y61" s="42"/>
      <c r="Z61" s="42"/>
      <c r="AA61" s="42"/>
      <c r="AB61" s="42"/>
      <c r="AC61" s="2"/>
      <c r="AD61" s="45"/>
      <c r="AE61" s="45"/>
      <c r="AF61" s="45"/>
      <c r="AG61" s="57"/>
      <c r="AH61" s="57"/>
      <c r="AI61" s="57"/>
      <c r="AJ61" s="57"/>
      <c r="AK61" s="45"/>
      <c r="AL61" s="45"/>
      <c r="AM61" s="58"/>
      <c r="AN61" s="58"/>
      <c r="AO61" s="58"/>
      <c r="AP61" s="2"/>
      <c r="AQ61" s="2"/>
      <c r="AR61" s="2"/>
      <c r="AS61" s="2"/>
      <c r="AT61" s="2"/>
      <c r="AU61" s="2"/>
      <c r="AV61" s="2"/>
      <c r="AW61" s="2"/>
    </row>
    <row r="62" spans="1:49" ht="33.75" customHeight="1" x14ac:dyDescent="0.25">
      <c r="A62" s="171" t="s">
        <v>20</v>
      </c>
      <c r="B62" s="18">
        <v>8.1</v>
      </c>
      <c r="C62" s="19">
        <v>8.1</v>
      </c>
      <c r="D62" s="19">
        <v>2.5</v>
      </c>
      <c r="E62" s="19">
        <v>8.1</v>
      </c>
      <c r="F62" s="19">
        <v>8.1</v>
      </c>
      <c r="G62" s="18">
        <v>8.1</v>
      </c>
      <c r="H62" s="19">
        <v>8.1</v>
      </c>
      <c r="I62" s="19">
        <v>2.5</v>
      </c>
      <c r="J62" s="19">
        <v>8.1</v>
      </c>
      <c r="K62" s="19">
        <v>8.1</v>
      </c>
      <c r="L62" s="18">
        <v>6.6</v>
      </c>
      <c r="M62" s="19">
        <v>6.6</v>
      </c>
      <c r="N62" s="19">
        <v>2.5</v>
      </c>
      <c r="O62" s="19">
        <v>6.6</v>
      </c>
      <c r="P62" s="19">
        <v>6.6</v>
      </c>
      <c r="Q62" s="18">
        <v>7</v>
      </c>
      <c r="R62" s="19">
        <v>7</v>
      </c>
      <c r="S62" s="19">
        <v>2.5</v>
      </c>
      <c r="T62" s="19">
        <v>7</v>
      </c>
      <c r="U62" s="20">
        <v>7</v>
      </c>
      <c r="V62" s="412">
        <f t="shared" si="17"/>
        <v>129.19999999999999</v>
      </c>
      <c r="W62" s="42"/>
      <c r="X62" s="302"/>
      <c r="Y62" s="42"/>
      <c r="Z62" s="42"/>
      <c r="AA62" s="42"/>
      <c r="AB62" s="42"/>
      <c r="AC62" s="2"/>
      <c r="AD62" s="45"/>
      <c r="AE62" s="45"/>
      <c r="AF62" s="45"/>
      <c r="AG62" s="57"/>
      <c r="AH62" s="57"/>
      <c r="AI62" s="57"/>
      <c r="AJ62" s="57"/>
      <c r="AK62" s="45"/>
      <c r="AL62" s="45"/>
      <c r="AM62" s="58"/>
      <c r="AN62" s="58"/>
      <c r="AO62" s="58"/>
      <c r="AP62" s="2"/>
      <c r="AQ62" s="2"/>
      <c r="AR62" s="2"/>
      <c r="AS62" s="2"/>
      <c r="AT62" s="2"/>
      <c r="AU62" s="2"/>
      <c r="AV62" s="2"/>
      <c r="AW62" s="2"/>
    </row>
    <row r="63" spans="1:49" ht="33.75" customHeight="1" x14ac:dyDescent="0.25">
      <c r="A63" s="171" t="s">
        <v>28</v>
      </c>
      <c r="B63" s="18">
        <v>8.1</v>
      </c>
      <c r="C63" s="19">
        <v>8.1</v>
      </c>
      <c r="D63" s="19">
        <v>2.6</v>
      </c>
      <c r="E63" s="19">
        <v>8.1</v>
      </c>
      <c r="F63" s="19">
        <v>8.1</v>
      </c>
      <c r="G63" s="18">
        <v>8.1</v>
      </c>
      <c r="H63" s="19">
        <v>8.1</v>
      </c>
      <c r="I63" s="19">
        <v>2.6</v>
      </c>
      <c r="J63" s="19">
        <v>8.1</v>
      </c>
      <c r="K63" s="19">
        <v>8.1</v>
      </c>
      <c r="L63" s="18">
        <v>6.7</v>
      </c>
      <c r="M63" s="19">
        <v>6.7</v>
      </c>
      <c r="N63" s="19">
        <v>2.6</v>
      </c>
      <c r="O63" s="19">
        <v>6.7</v>
      </c>
      <c r="P63" s="19">
        <v>6.7</v>
      </c>
      <c r="Q63" s="18">
        <v>7</v>
      </c>
      <c r="R63" s="19">
        <v>7</v>
      </c>
      <c r="S63" s="19">
        <v>2.6</v>
      </c>
      <c r="T63" s="19">
        <v>7</v>
      </c>
      <c r="U63" s="20">
        <v>7</v>
      </c>
      <c r="V63" s="412">
        <f t="shared" si="17"/>
        <v>130</v>
      </c>
      <c r="W63" s="42"/>
      <c r="X63" s="302"/>
      <c r="Y63" s="42"/>
      <c r="Z63" s="42"/>
      <c r="AA63" s="42"/>
      <c r="AB63" s="42"/>
      <c r="AC63" s="2"/>
      <c r="AD63" s="45"/>
      <c r="AE63" s="45"/>
      <c r="AF63" s="45"/>
      <c r="AG63" s="57"/>
      <c r="AH63" s="57"/>
      <c r="AI63" s="57"/>
      <c r="AJ63" s="57"/>
      <c r="AK63" s="45"/>
      <c r="AL63" s="45"/>
      <c r="AM63" s="58"/>
      <c r="AN63" s="58"/>
      <c r="AO63" s="58"/>
      <c r="AP63" s="3"/>
      <c r="AQ63" s="3"/>
      <c r="AR63" s="2"/>
      <c r="AS63" s="2"/>
      <c r="AT63" s="2"/>
      <c r="AU63" s="2"/>
      <c r="AV63" s="2"/>
      <c r="AW63" s="2"/>
    </row>
    <row r="64" spans="1:49" ht="33.75" customHeight="1" x14ac:dyDescent="0.25">
      <c r="A64" s="171" t="s">
        <v>21</v>
      </c>
      <c r="B64" s="18">
        <v>8.1</v>
      </c>
      <c r="C64" s="19">
        <v>8.1</v>
      </c>
      <c r="D64" s="19">
        <v>2.6</v>
      </c>
      <c r="E64" s="19">
        <v>8.1</v>
      </c>
      <c r="F64" s="19">
        <v>8.1</v>
      </c>
      <c r="G64" s="18">
        <v>8.1</v>
      </c>
      <c r="H64" s="19">
        <v>8.1</v>
      </c>
      <c r="I64" s="19">
        <v>2.6</v>
      </c>
      <c r="J64" s="19">
        <v>8.1</v>
      </c>
      <c r="K64" s="19">
        <v>8.1</v>
      </c>
      <c r="L64" s="18">
        <v>6.7</v>
      </c>
      <c r="M64" s="19">
        <v>6.7</v>
      </c>
      <c r="N64" s="19">
        <v>2.6</v>
      </c>
      <c r="O64" s="19">
        <v>6.7</v>
      </c>
      <c r="P64" s="19">
        <v>6.7</v>
      </c>
      <c r="Q64" s="18">
        <v>7</v>
      </c>
      <c r="R64" s="19">
        <v>7</v>
      </c>
      <c r="S64" s="19">
        <v>2.6</v>
      </c>
      <c r="T64" s="19">
        <v>7</v>
      </c>
      <c r="U64" s="20">
        <v>7</v>
      </c>
      <c r="V64" s="412">
        <f t="shared" si="17"/>
        <v>130</v>
      </c>
      <c r="W64" s="42"/>
      <c r="X64" s="302"/>
      <c r="Y64" s="42"/>
      <c r="Z64" s="42"/>
      <c r="AA64" s="42"/>
      <c r="AB64" s="42"/>
      <c r="AC64" s="2"/>
      <c r="AD64" s="45"/>
      <c r="AE64" s="45"/>
      <c r="AF64" s="45"/>
      <c r="AG64" s="57"/>
      <c r="AH64" s="57"/>
      <c r="AI64" s="57"/>
      <c r="AJ64" s="57"/>
      <c r="AK64" s="45"/>
      <c r="AL64" s="45"/>
      <c r="AM64" s="58"/>
      <c r="AN64" s="58"/>
      <c r="AO64" s="58"/>
      <c r="AP64" s="3"/>
      <c r="AQ64" s="3"/>
      <c r="AR64" s="2"/>
      <c r="AS64" s="2"/>
      <c r="AT64" s="2"/>
      <c r="AU64" s="2"/>
      <c r="AV64" s="2"/>
      <c r="AW64" s="2"/>
    </row>
    <row r="65" spans="1:49" ht="33.75" customHeight="1" x14ac:dyDescent="0.25">
      <c r="A65" s="171" t="s">
        <v>22</v>
      </c>
      <c r="B65" s="18">
        <v>8.1999999999999993</v>
      </c>
      <c r="C65" s="19">
        <v>8.1999999999999993</v>
      </c>
      <c r="D65" s="19">
        <v>2.6</v>
      </c>
      <c r="E65" s="19">
        <v>8.1999999999999993</v>
      </c>
      <c r="F65" s="19">
        <v>8.1999999999999993</v>
      </c>
      <c r="G65" s="18">
        <v>8.1999999999999993</v>
      </c>
      <c r="H65" s="19">
        <v>8.1999999999999993</v>
      </c>
      <c r="I65" s="19">
        <v>2.6</v>
      </c>
      <c r="J65" s="19">
        <v>8.1999999999999993</v>
      </c>
      <c r="K65" s="19">
        <v>8.1999999999999993</v>
      </c>
      <c r="L65" s="18">
        <v>6.7</v>
      </c>
      <c r="M65" s="19">
        <v>6.7</v>
      </c>
      <c r="N65" s="19">
        <v>2.6</v>
      </c>
      <c r="O65" s="19">
        <v>6.7</v>
      </c>
      <c r="P65" s="19">
        <v>6.7</v>
      </c>
      <c r="Q65" s="18">
        <v>7</v>
      </c>
      <c r="R65" s="19">
        <v>7</v>
      </c>
      <c r="S65" s="19">
        <v>2.6</v>
      </c>
      <c r="T65" s="19">
        <v>7</v>
      </c>
      <c r="U65" s="20">
        <v>7</v>
      </c>
      <c r="V65" s="412">
        <f t="shared" si="17"/>
        <v>130.80000000000001</v>
      </c>
      <c r="W65" s="42"/>
      <c r="X65" s="302"/>
      <c r="Y65" s="42"/>
      <c r="Z65" s="42"/>
      <c r="AA65" s="42"/>
      <c r="AB65" s="42"/>
      <c r="AC65" s="2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3"/>
      <c r="AQ65" s="3"/>
      <c r="AT65" s="2"/>
      <c r="AU65" s="2"/>
      <c r="AV65" s="2"/>
      <c r="AW65" s="2"/>
    </row>
    <row r="66" spans="1:49" ht="33.75" customHeight="1" thickBot="1" x14ac:dyDescent="0.3">
      <c r="A66" s="171" t="s">
        <v>23</v>
      </c>
      <c r="B66" s="153">
        <v>8.1999999999999993</v>
      </c>
      <c r="C66" s="154">
        <v>8.1999999999999993</v>
      </c>
      <c r="D66" s="154">
        <v>2.6</v>
      </c>
      <c r="E66" s="154">
        <v>8.1999999999999993</v>
      </c>
      <c r="F66" s="154">
        <v>8.1999999999999993</v>
      </c>
      <c r="G66" s="153">
        <v>8.1999999999999993</v>
      </c>
      <c r="H66" s="154">
        <v>8.1999999999999993</v>
      </c>
      <c r="I66" s="154">
        <v>2.6</v>
      </c>
      <c r="J66" s="154">
        <v>8.1999999999999993</v>
      </c>
      <c r="K66" s="154">
        <v>8.1999999999999993</v>
      </c>
      <c r="L66" s="18">
        <v>6.7</v>
      </c>
      <c r="M66" s="154">
        <v>6.7</v>
      </c>
      <c r="N66" s="154">
        <v>2.6</v>
      </c>
      <c r="O66" s="154">
        <v>6.7</v>
      </c>
      <c r="P66" s="154">
        <v>6.7</v>
      </c>
      <c r="Q66" s="153">
        <v>7</v>
      </c>
      <c r="R66" s="154">
        <v>7</v>
      </c>
      <c r="S66" s="154">
        <v>2.6</v>
      </c>
      <c r="T66" s="154">
        <v>7</v>
      </c>
      <c r="U66" s="182">
        <v>7</v>
      </c>
      <c r="V66" s="412">
        <f>SUM(B66:U66)</f>
        <v>130.80000000000001</v>
      </c>
      <c r="W66" s="42"/>
      <c r="X66" s="302"/>
      <c r="Y66" s="42"/>
      <c r="Z66" s="42"/>
      <c r="AA66" s="42"/>
      <c r="AB66" s="42"/>
      <c r="AC66" s="2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3"/>
      <c r="AQ66" s="3"/>
      <c r="AT66" s="2"/>
      <c r="AU66" s="2"/>
      <c r="AV66" s="2"/>
      <c r="AW66" s="2"/>
    </row>
    <row r="67" spans="1:49" ht="33.75" customHeight="1" thickBot="1" x14ac:dyDescent="0.3">
      <c r="A67" s="170" t="s">
        <v>9</v>
      </c>
      <c r="B67" s="354">
        <f t="shared" ref="B67:U67" si="18">SUM(B60:B66)</f>
        <v>56.100000000000009</v>
      </c>
      <c r="C67" s="355">
        <f t="shared" si="18"/>
        <v>56.100000000000009</v>
      </c>
      <c r="D67" s="355">
        <f t="shared" si="18"/>
        <v>17.7</v>
      </c>
      <c r="E67" s="355">
        <f t="shared" si="18"/>
        <v>56.100000000000009</v>
      </c>
      <c r="F67" s="356">
        <f t="shared" si="18"/>
        <v>56.100000000000009</v>
      </c>
      <c r="G67" s="354">
        <f t="shared" si="18"/>
        <v>56.100000000000009</v>
      </c>
      <c r="H67" s="355">
        <f t="shared" si="18"/>
        <v>56.100000000000009</v>
      </c>
      <c r="I67" s="355">
        <f t="shared" si="18"/>
        <v>17.7</v>
      </c>
      <c r="J67" s="355">
        <f t="shared" si="18"/>
        <v>56.100000000000009</v>
      </c>
      <c r="K67" s="355">
        <f t="shared" si="18"/>
        <v>56.100000000000009</v>
      </c>
      <c r="L67" s="354">
        <f t="shared" si="18"/>
        <v>46.2</v>
      </c>
      <c r="M67" s="355">
        <f t="shared" si="18"/>
        <v>46.2</v>
      </c>
      <c r="N67" s="355">
        <f t="shared" si="18"/>
        <v>17.7</v>
      </c>
      <c r="O67" s="355">
        <f t="shared" si="18"/>
        <v>46.2</v>
      </c>
      <c r="P67" s="356">
        <f t="shared" si="18"/>
        <v>46.2</v>
      </c>
      <c r="Q67" s="354">
        <f t="shared" si="18"/>
        <v>48.2</v>
      </c>
      <c r="R67" s="355">
        <f t="shared" si="18"/>
        <v>48.2</v>
      </c>
      <c r="S67" s="355">
        <f t="shared" si="18"/>
        <v>17.7</v>
      </c>
      <c r="T67" s="355">
        <f t="shared" si="18"/>
        <v>48.2</v>
      </c>
      <c r="U67" s="411">
        <f t="shared" si="18"/>
        <v>48.2</v>
      </c>
      <c r="V67" s="376">
        <f t="shared" si="17"/>
        <v>897.2000000000005</v>
      </c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3"/>
      <c r="AQ67" s="3"/>
      <c r="AR67" s="3"/>
      <c r="AS67" s="3"/>
      <c r="AT67" s="2"/>
      <c r="AU67" s="2"/>
      <c r="AV67" s="2"/>
      <c r="AW67" s="2"/>
    </row>
    <row r="68" spans="1:49" ht="33.75" customHeight="1" x14ac:dyDescent="0.25">
      <c r="A68" s="192" t="s">
        <v>11</v>
      </c>
      <c r="B68" s="357">
        <v>140.5</v>
      </c>
      <c r="C68" s="358">
        <v>140.5</v>
      </c>
      <c r="D68" s="358">
        <v>140.5</v>
      </c>
      <c r="E68" s="358">
        <v>140.5</v>
      </c>
      <c r="F68" s="358">
        <v>140.5</v>
      </c>
      <c r="G68" s="357">
        <v>140.5</v>
      </c>
      <c r="H68" s="358">
        <v>140.5</v>
      </c>
      <c r="I68" s="358">
        <v>140.5</v>
      </c>
      <c r="J68" s="358">
        <v>140.5</v>
      </c>
      <c r="K68" s="358">
        <v>140.5</v>
      </c>
      <c r="L68" s="357">
        <v>140.5</v>
      </c>
      <c r="M68" s="358">
        <v>140.5</v>
      </c>
      <c r="N68" s="358">
        <v>140.5</v>
      </c>
      <c r="O68" s="358">
        <v>140.5</v>
      </c>
      <c r="P68" s="358">
        <v>140.5</v>
      </c>
      <c r="Q68" s="357">
        <v>140.5</v>
      </c>
      <c r="R68" s="358">
        <v>140.5</v>
      </c>
      <c r="S68" s="358">
        <v>140.5</v>
      </c>
      <c r="T68" s="358">
        <v>140.5</v>
      </c>
      <c r="U68" s="358">
        <v>140.5</v>
      </c>
      <c r="V68" s="296">
        <f>+((V67/V69)/7)*1000</f>
        <v>140.53884711779457</v>
      </c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3"/>
      <c r="AQ68" s="3"/>
      <c r="AR68" s="3"/>
      <c r="AS68" s="3"/>
      <c r="AT68" s="2"/>
      <c r="AU68" s="2"/>
      <c r="AV68" s="2"/>
      <c r="AW68" s="2"/>
    </row>
    <row r="69" spans="1:49" ht="33.75" customHeight="1" x14ac:dyDescent="0.25">
      <c r="A69" s="193" t="s">
        <v>12</v>
      </c>
      <c r="B69" s="257">
        <v>57</v>
      </c>
      <c r="C69" s="275">
        <v>57</v>
      </c>
      <c r="D69" s="275">
        <v>18</v>
      </c>
      <c r="E69" s="275">
        <v>57</v>
      </c>
      <c r="F69" s="275">
        <v>57</v>
      </c>
      <c r="G69" s="257">
        <v>57</v>
      </c>
      <c r="H69" s="275">
        <v>57</v>
      </c>
      <c r="I69" s="275">
        <v>18</v>
      </c>
      <c r="J69" s="275">
        <v>57</v>
      </c>
      <c r="K69" s="275">
        <v>57</v>
      </c>
      <c r="L69" s="257">
        <v>47</v>
      </c>
      <c r="M69" s="275">
        <v>47</v>
      </c>
      <c r="N69" s="275">
        <v>18</v>
      </c>
      <c r="O69" s="275">
        <v>47</v>
      </c>
      <c r="P69" s="275">
        <v>47</v>
      </c>
      <c r="Q69" s="257">
        <v>49</v>
      </c>
      <c r="R69" s="275">
        <v>49</v>
      </c>
      <c r="S69" s="275">
        <v>18</v>
      </c>
      <c r="T69" s="275">
        <v>49</v>
      </c>
      <c r="U69" s="275">
        <v>49</v>
      </c>
      <c r="V69" s="254">
        <f>SUM(B69:U69)</f>
        <v>912</v>
      </c>
      <c r="AC69" s="59"/>
      <c r="AG69" s="3"/>
      <c r="AH69" s="3"/>
      <c r="AI69" s="3"/>
      <c r="AJ69" s="3"/>
      <c r="AK69" s="3"/>
      <c r="AL69" s="3"/>
    </row>
    <row r="70" spans="1:49" ht="33.75" customHeight="1" x14ac:dyDescent="0.25">
      <c r="A70" s="194" t="s">
        <v>13</v>
      </c>
      <c r="B70" s="30">
        <f>((((B68*7)*B69)/1000)-(B60+B61))/5</f>
        <v>8.1318999999999999</v>
      </c>
      <c r="C70" s="31">
        <f t="shared" ref="C70:F70" si="19">((((C68*7)*C69)/1000)-(C60+C61))/5</f>
        <v>8.1318999999999999</v>
      </c>
      <c r="D70" s="31">
        <f t="shared" si="19"/>
        <v>2.5805999999999996</v>
      </c>
      <c r="E70" s="31">
        <f t="shared" si="19"/>
        <v>8.1318999999999999</v>
      </c>
      <c r="F70" s="31">
        <f t="shared" si="19"/>
        <v>8.1318999999999999</v>
      </c>
      <c r="G70" s="30">
        <f>((((G68*7)*G69)/1000)-(G60+G61))/5</f>
        <v>8.1318999999999999</v>
      </c>
      <c r="H70" s="31">
        <f t="shared" ref="H70:K70" si="20">((((H68*7)*H69)/1000)-(H60+H61))/5</f>
        <v>8.1318999999999999</v>
      </c>
      <c r="I70" s="31">
        <f t="shared" si="20"/>
        <v>2.5805999999999996</v>
      </c>
      <c r="J70" s="31">
        <f t="shared" si="20"/>
        <v>8.1318999999999999</v>
      </c>
      <c r="K70" s="31">
        <f t="shared" si="20"/>
        <v>8.1318999999999999</v>
      </c>
      <c r="L70" s="30">
        <f>((((L68*7)*L69)/1000)-(L60+L61))/5</f>
        <v>6.684899999999999</v>
      </c>
      <c r="M70" s="31">
        <f t="shared" ref="M70:P70" si="21">((((M68*7)*M69)/1000)-(M60+M61))/5</f>
        <v>6.684899999999999</v>
      </c>
      <c r="N70" s="31">
        <f t="shared" si="21"/>
        <v>2.5805999999999996</v>
      </c>
      <c r="O70" s="31">
        <f t="shared" si="21"/>
        <v>6.684899999999999</v>
      </c>
      <c r="P70" s="31">
        <f t="shared" si="21"/>
        <v>6.684899999999999</v>
      </c>
      <c r="Q70" s="30">
        <f>((((Q68*7)*Q69)/1000)-(Q60+Q61))/5</f>
        <v>6.9983000000000004</v>
      </c>
      <c r="R70" s="31">
        <f t="shared" ref="R70:U70" si="22">((((R68*7)*R69)/1000)-(R60+R61))/5</f>
        <v>6.9983000000000004</v>
      </c>
      <c r="S70" s="31">
        <f t="shared" si="22"/>
        <v>2.5805999999999996</v>
      </c>
      <c r="T70" s="31">
        <f t="shared" si="22"/>
        <v>6.9983000000000004</v>
      </c>
      <c r="U70" s="31">
        <f t="shared" si="22"/>
        <v>6.9983000000000004</v>
      </c>
      <c r="V70" s="139">
        <f>((V67*100)/V69)/7</f>
        <v>14.053884711779457</v>
      </c>
      <c r="AG70" s="3"/>
      <c r="AH70" s="3"/>
      <c r="AI70" s="3"/>
      <c r="AJ70" s="3"/>
      <c r="AK70" s="3"/>
      <c r="AL70" s="3"/>
    </row>
    <row r="71" spans="1:49" ht="33.75" customHeight="1" x14ac:dyDescent="0.25">
      <c r="A71" s="185" t="s">
        <v>14</v>
      </c>
      <c r="B71" s="279">
        <f t="shared" ref="B71:U71" si="23">((B69*B68)*7)/1000</f>
        <v>56.0595</v>
      </c>
      <c r="C71" s="280">
        <f t="shared" si="23"/>
        <v>56.0595</v>
      </c>
      <c r="D71" s="280">
        <f t="shared" si="23"/>
        <v>17.702999999999999</v>
      </c>
      <c r="E71" s="280">
        <f t="shared" si="23"/>
        <v>56.0595</v>
      </c>
      <c r="F71" s="280">
        <f t="shared" si="23"/>
        <v>56.0595</v>
      </c>
      <c r="G71" s="279">
        <f t="shared" si="23"/>
        <v>56.0595</v>
      </c>
      <c r="H71" s="280">
        <f t="shared" si="23"/>
        <v>56.0595</v>
      </c>
      <c r="I71" s="280">
        <f t="shared" si="23"/>
        <v>17.702999999999999</v>
      </c>
      <c r="J71" s="280">
        <f t="shared" si="23"/>
        <v>56.0595</v>
      </c>
      <c r="K71" s="280">
        <f t="shared" si="23"/>
        <v>56.0595</v>
      </c>
      <c r="L71" s="279">
        <f t="shared" si="23"/>
        <v>46.224499999999999</v>
      </c>
      <c r="M71" s="280">
        <f t="shared" si="23"/>
        <v>46.224499999999999</v>
      </c>
      <c r="N71" s="280">
        <f t="shared" si="23"/>
        <v>17.702999999999999</v>
      </c>
      <c r="O71" s="280">
        <f t="shared" si="23"/>
        <v>46.224499999999999</v>
      </c>
      <c r="P71" s="280">
        <f t="shared" si="23"/>
        <v>46.224499999999999</v>
      </c>
      <c r="Q71" s="279">
        <f t="shared" si="23"/>
        <v>48.191499999999998</v>
      </c>
      <c r="R71" s="280">
        <f t="shared" si="23"/>
        <v>48.191499999999998</v>
      </c>
      <c r="S71" s="280">
        <f t="shared" si="23"/>
        <v>17.702999999999999</v>
      </c>
      <c r="T71" s="280">
        <f t="shared" si="23"/>
        <v>48.191499999999998</v>
      </c>
      <c r="U71" s="280">
        <f t="shared" si="23"/>
        <v>48.191499999999998</v>
      </c>
      <c r="V71" s="112"/>
      <c r="W71" s="41"/>
      <c r="X71" s="41"/>
      <c r="Y71" s="41"/>
      <c r="Z71" s="41"/>
      <c r="AA71" s="41"/>
      <c r="AB71" s="41"/>
      <c r="AL71" s="3"/>
    </row>
    <row r="72" spans="1:49" ht="33.75" customHeight="1" thickBot="1" x14ac:dyDescent="0.3">
      <c r="A72" s="195" t="s">
        <v>15</v>
      </c>
      <c r="B72" s="37">
        <f t="shared" ref="B72:U72" si="24">+(B67/B69)/7*1000</f>
        <v>140.60150375939853</v>
      </c>
      <c r="C72" s="38">
        <f t="shared" si="24"/>
        <v>140.60150375939853</v>
      </c>
      <c r="D72" s="38">
        <f t="shared" si="24"/>
        <v>140.47619047619048</v>
      </c>
      <c r="E72" s="38">
        <f t="shared" si="24"/>
        <v>140.60150375939853</v>
      </c>
      <c r="F72" s="38">
        <f t="shared" si="24"/>
        <v>140.60150375939853</v>
      </c>
      <c r="G72" s="37">
        <f t="shared" si="24"/>
        <v>140.60150375939853</v>
      </c>
      <c r="H72" s="38">
        <f t="shared" si="24"/>
        <v>140.60150375939853</v>
      </c>
      <c r="I72" s="38">
        <f t="shared" si="24"/>
        <v>140.47619047619048</v>
      </c>
      <c r="J72" s="38">
        <f t="shared" si="24"/>
        <v>140.60150375939853</v>
      </c>
      <c r="K72" s="38">
        <f t="shared" si="24"/>
        <v>140.60150375939853</v>
      </c>
      <c r="L72" s="37">
        <f t="shared" si="24"/>
        <v>140.42553191489364</v>
      </c>
      <c r="M72" s="38">
        <f t="shared" si="24"/>
        <v>140.42553191489364</v>
      </c>
      <c r="N72" s="38">
        <f t="shared" si="24"/>
        <v>140.47619047619048</v>
      </c>
      <c r="O72" s="38">
        <f t="shared" si="24"/>
        <v>140.42553191489364</v>
      </c>
      <c r="P72" s="38">
        <f t="shared" si="24"/>
        <v>140.42553191489364</v>
      </c>
      <c r="Q72" s="37">
        <f t="shared" si="24"/>
        <v>140.52478134110788</v>
      </c>
      <c r="R72" s="38">
        <f t="shared" si="24"/>
        <v>140.52478134110788</v>
      </c>
      <c r="S72" s="38">
        <f t="shared" si="24"/>
        <v>140.47619047619048</v>
      </c>
      <c r="T72" s="38">
        <f t="shared" si="24"/>
        <v>140.52478134110788</v>
      </c>
      <c r="U72" s="38">
        <f t="shared" si="24"/>
        <v>140.52478134110788</v>
      </c>
      <c r="V72" s="40"/>
      <c r="AL72" s="3"/>
    </row>
    <row r="73" spans="1:49" ht="33.75" customHeight="1" x14ac:dyDescent="0.25">
      <c r="B73" s="43">
        <f>B71-B67</f>
        <v>-4.050000000000864E-2</v>
      </c>
      <c r="C73" s="43">
        <f t="shared" ref="C73:F73" si="25">C71-C67</f>
        <v>-4.050000000000864E-2</v>
      </c>
      <c r="D73" s="43">
        <f t="shared" si="25"/>
        <v>3.0000000000001137E-3</v>
      </c>
      <c r="E73" s="43">
        <f t="shared" si="25"/>
        <v>-4.050000000000864E-2</v>
      </c>
      <c r="F73" s="43">
        <f t="shared" si="25"/>
        <v>-4.050000000000864E-2</v>
      </c>
      <c r="G73" s="43">
        <f>G71-G67</f>
        <v>-4.050000000000864E-2</v>
      </c>
      <c r="H73" s="43">
        <f t="shared" ref="H73:K74" si="26">H71-H67</f>
        <v>-4.050000000000864E-2</v>
      </c>
      <c r="I73" s="43">
        <f t="shared" si="26"/>
        <v>3.0000000000001137E-3</v>
      </c>
      <c r="J73" s="43">
        <f t="shared" si="26"/>
        <v>-4.050000000000864E-2</v>
      </c>
      <c r="K73" s="43">
        <f t="shared" si="26"/>
        <v>-4.050000000000864E-2</v>
      </c>
      <c r="L73" s="43">
        <f>L71-L67</f>
        <v>2.4499999999996191E-2</v>
      </c>
      <c r="M73" s="43">
        <f t="shared" ref="M73:P73" si="27">M71-M67</f>
        <v>2.4499999999996191E-2</v>
      </c>
      <c r="N73" s="43">
        <f t="shared" si="27"/>
        <v>3.0000000000001137E-3</v>
      </c>
      <c r="O73" s="43">
        <f t="shared" si="27"/>
        <v>2.4499999999996191E-2</v>
      </c>
      <c r="P73" s="43">
        <f t="shared" si="27"/>
        <v>2.4499999999996191E-2</v>
      </c>
      <c r="Q73" s="43">
        <f>Q71-Q67</f>
        <v>-8.5000000000050591E-3</v>
      </c>
      <c r="R73" s="43">
        <f t="shared" ref="R73:U73" si="28">R71-R67</f>
        <v>-8.5000000000050591E-3</v>
      </c>
      <c r="S73" s="43">
        <f t="shared" si="28"/>
        <v>3.0000000000001137E-3</v>
      </c>
      <c r="T73" s="43">
        <f t="shared" si="28"/>
        <v>-8.5000000000050591E-3</v>
      </c>
      <c r="U73" s="43">
        <f t="shared" si="28"/>
        <v>-8.5000000000050591E-3</v>
      </c>
    </row>
    <row r="74" spans="1:49" ht="33.75" customHeight="1" x14ac:dyDescent="0.25">
      <c r="B74" s="42">
        <f t="shared" ref="B74:U74" si="29">B72-B68</f>
        <v>0.10150375939852552</v>
      </c>
      <c r="C74" s="42">
        <f t="shared" si="29"/>
        <v>0.10150375939852552</v>
      </c>
      <c r="D74" s="42">
        <f t="shared" si="29"/>
        <v>-2.3809523809518396E-2</v>
      </c>
      <c r="E74" s="42">
        <f t="shared" si="29"/>
        <v>0.10150375939852552</v>
      </c>
      <c r="F74" s="42">
        <f t="shared" si="29"/>
        <v>0.10150375939852552</v>
      </c>
      <c r="G74" s="42">
        <f t="shared" si="29"/>
        <v>0.10150375939852552</v>
      </c>
      <c r="H74" s="42">
        <f t="shared" si="29"/>
        <v>0.10150375939852552</v>
      </c>
      <c r="I74" s="42">
        <f t="shared" si="29"/>
        <v>-2.3809523809518396E-2</v>
      </c>
      <c r="J74" s="42">
        <f t="shared" si="29"/>
        <v>0.10150375939852552</v>
      </c>
      <c r="K74" s="42">
        <f t="shared" si="26"/>
        <v>0.10150375939852552</v>
      </c>
      <c r="L74" s="42">
        <f t="shared" si="29"/>
        <v>-7.4468085106360604E-2</v>
      </c>
      <c r="M74" s="42">
        <f t="shared" si="29"/>
        <v>-7.4468085106360604E-2</v>
      </c>
      <c r="N74" s="42">
        <f t="shared" si="29"/>
        <v>-2.3809523809518396E-2</v>
      </c>
      <c r="O74" s="42">
        <f t="shared" si="29"/>
        <v>-7.4468085106360604E-2</v>
      </c>
      <c r="P74" s="42">
        <f t="shared" si="29"/>
        <v>-7.4468085106360604E-2</v>
      </c>
      <c r="Q74" s="42">
        <f t="shared" si="29"/>
        <v>2.4781341107882326E-2</v>
      </c>
      <c r="R74" s="42">
        <f t="shared" si="29"/>
        <v>2.4781341107882326E-2</v>
      </c>
      <c r="S74" s="42">
        <f t="shared" si="29"/>
        <v>-2.3809523809518396E-2</v>
      </c>
      <c r="T74" s="42">
        <f t="shared" si="29"/>
        <v>2.4781341107882326E-2</v>
      </c>
      <c r="U74" s="42">
        <f t="shared" si="29"/>
        <v>2.4781341107882326E-2</v>
      </c>
      <c r="V74" s="45"/>
      <c r="W74" s="45"/>
      <c r="X74" s="45"/>
      <c r="Y74" s="45"/>
      <c r="Z74" s="45"/>
      <c r="AA74" s="45"/>
      <c r="AB74" s="45"/>
      <c r="AC74" s="52"/>
    </row>
    <row r="75" spans="1:49" ht="33.75" customHeight="1" x14ac:dyDescent="0.25">
      <c r="B75" s="287"/>
      <c r="C75" s="287"/>
      <c r="D75" s="287"/>
      <c r="E75" s="287"/>
      <c r="F75" s="287"/>
    </row>
    <row r="76" spans="1:49" ht="33.75" customHeight="1" x14ac:dyDescent="0.25">
      <c r="A76" s="45"/>
      <c r="B76" s="283"/>
      <c r="C76" s="283"/>
      <c r="D76" s="283"/>
      <c r="E76" s="283"/>
      <c r="F76" s="283"/>
      <c r="G76" s="58"/>
      <c r="H76" s="45"/>
      <c r="I76" s="45"/>
      <c r="J76" s="45"/>
      <c r="K76" s="45"/>
      <c r="L76" s="45"/>
      <c r="M76" s="45"/>
      <c r="N76" s="45"/>
      <c r="O76" s="45"/>
    </row>
    <row r="77" spans="1:49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49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49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49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9">
    <mergeCell ref="V57:V58"/>
    <mergeCell ref="B37:H37"/>
    <mergeCell ref="I37:I39"/>
    <mergeCell ref="T37:T38"/>
    <mergeCell ref="J40:M52"/>
    <mergeCell ref="O37:S37"/>
    <mergeCell ref="O56:P56"/>
    <mergeCell ref="B57:F57"/>
    <mergeCell ref="G57:K57"/>
    <mergeCell ref="L57:P57"/>
    <mergeCell ref="Q57:U57"/>
    <mergeCell ref="A3:C3"/>
    <mergeCell ref="E9:G9"/>
    <mergeCell ref="W9:X9"/>
    <mergeCell ref="O11:P11"/>
    <mergeCell ref="N16:R16"/>
    <mergeCell ref="S16:X16"/>
    <mergeCell ref="H16:M16"/>
    <mergeCell ref="B16:G16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W244"/>
  <sheetViews>
    <sheetView zoomScale="25" zoomScaleNormal="25" workbookViewId="0">
      <selection activeCell="H25" sqref="H25"/>
    </sheetView>
  </sheetViews>
  <sheetFormatPr baseColWidth="10" defaultRowHeight="15" x14ac:dyDescent="0.25"/>
  <cols>
    <col min="1" max="1" width="52.42578125" style="14" bestFit="1" customWidth="1"/>
    <col min="2" max="18" width="26.42578125" style="14" customWidth="1"/>
    <col min="19" max="19" width="33.140625" style="14" customWidth="1"/>
    <col min="20" max="24" width="26.42578125" style="14" customWidth="1"/>
    <col min="25" max="25" width="24.85546875" style="14" bestFit="1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 t="s">
        <v>97</v>
      </c>
      <c r="P11" s="965"/>
      <c r="Q11" s="6"/>
      <c r="R11" s="6"/>
      <c r="S11" s="6"/>
      <c r="T11" s="1"/>
      <c r="U11" s="1"/>
      <c r="V11" s="1" t="s">
        <v>6</v>
      </c>
      <c r="W11" s="95" t="s">
        <v>98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9"/>
      <c r="H16" s="962" t="s">
        <v>30</v>
      </c>
      <c r="I16" s="963"/>
      <c r="J16" s="963"/>
      <c r="K16" s="963"/>
      <c r="L16" s="963"/>
      <c r="M16" s="964"/>
      <c r="N16" s="968" t="s">
        <v>29</v>
      </c>
      <c r="O16" s="968"/>
      <c r="P16" s="968"/>
      <c r="Q16" s="968"/>
      <c r="R16" s="969"/>
      <c r="S16" s="962" t="s">
        <v>31</v>
      </c>
      <c r="T16" s="963"/>
      <c r="U16" s="963"/>
      <c r="V16" s="963"/>
      <c r="W16" s="963"/>
      <c r="X16" s="964"/>
    </row>
    <row r="17" spans="1:35" ht="39.950000000000003" customHeight="1" thickBot="1" x14ac:dyDescent="0.3">
      <c r="A17" s="170" t="s">
        <v>34</v>
      </c>
      <c r="B17" s="425"/>
      <c r="C17" s="168"/>
      <c r="D17" s="168"/>
      <c r="E17" s="168"/>
      <c r="F17" s="168"/>
      <c r="G17" s="204"/>
      <c r="H17" s="188"/>
      <c r="I17" s="168"/>
      <c r="J17" s="168"/>
      <c r="K17" s="168"/>
      <c r="L17" s="168"/>
      <c r="M17" s="169"/>
      <c r="N17" s="202"/>
      <c r="O17" s="174"/>
      <c r="P17" s="174"/>
      <c r="Q17" s="174"/>
      <c r="R17" s="203"/>
      <c r="S17" s="186"/>
      <c r="T17" s="174"/>
      <c r="U17" s="174"/>
      <c r="V17" s="174"/>
      <c r="W17" s="175"/>
      <c r="X17" s="261" t="s">
        <v>9</v>
      </c>
      <c r="AB17" s="15"/>
      <c r="AC17" s="15"/>
    </row>
    <row r="18" spans="1:35" ht="39.950000000000003" customHeight="1" x14ac:dyDescent="0.25">
      <c r="A18" s="170" t="s">
        <v>10</v>
      </c>
      <c r="B18" s="424" t="s">
        <v>100</v>
      </c>
      <c r="C18" s="114">
        <v>1</v>
      </c>
      <c r="D18" s="114">
        <v>2</v>
      </c>
      <c r="E18" s="114">
        <v>3</v>
      </c>
      <c r="F18" s="114">
        <v>4</v>
      </c>
      <c r="G18" s="116">
        <v>5</v>
      </c>
      <c r="H18" s="331" t="s">
        <v>100</v>
      </c>
      <c r="I18" s="114">
        <v>1</v>
      </c>
      <c r="J18" s="114">
        <v>2</v>
      </c>
      <c r="K18" s="114">
        <v>3</v>
      </c>
      <c r="L18" s="114">
        <v>4</v>
      </c>
      <c r="M18" s="332">
        <v>5</v>
      </c>
      <c r="N18" s="202">
        <v>1</v>
      </c>
      <c r="O18" s="174">
        <v>2</v>
      </c>
      <c r="P18" s="174">
        <v>3</v>
      </c>
      <c r="Q18" s="174">
        <v>4</v>
      </c>
      <c r="R18" s="203">
        <v>5</v>
      </c>
      <c r="S18" s="186">
        <v>1</v>
      </c>
      <c r="T18" s="174">
        <v>2</v>
      </c>
      <c r="U18" s="174">
        <v>3</v>
      </c>
      <c r="V18" s="174">
        <v>4</v>
      </c>
      <c r="W18" s="175">
        <v>5</v>
      </c>
      <c r="X18" s="126"/>
      <c r="AB18" s="2"/>
      <c r="AC18" s="15"/>
    </row>
    <row r="19" spans="1:35" ht="39.950000000000003" customHeight="1" x14ac:dyDescent="0.25">
      <c r="A19" s="171" t="s">
        <v>53</v>
      </c>
      <c r="B19" s="419"/>
      <c r="C19" s="19">
        <v>71.599999999999994</v>
      </c>
      <c r="D19" s="19">
        <v>71.5</v>
      </c>
      <c r="E19" s="19">
        <v>23.3</v>
      </c>
      <c r="F19" s="19">
        <v>73</v>
      </c>
      <c r="G19" s="108">
        <v>73.8</v>
      </c>
      <c r="H19" s="18"/>
      <c r="I19" s="19">
        <v>71</v>
      </c>
      <c r="J19" s="19">
        <v>72.5</v>
      </c>
      <c r="K19" s="19">
        <v>24</v>
      </c>
      <c r="L19" s="19">
        <v>71.900000000000006</v>
      </c>
      <c r="M19" s="20">
        <v>70.900000000000006</v>
      </c>
      <c r="N19" s="61">
        <v>61.6</v>
      </c>
      <c r="O19" s="19">
        <v>59.2</v>
      </c>
      <c r="P19" s="19">
        <v>23.6</v>
      </c>
      <c r="Q19" s="19">
        <v>59.3</v>
      </c>
      <c r="R19" s="20">
        <v>59</v>
      </c>
      <c r="S19" s="18">
        <v>64.599999999999994</v>
      </c>
      <c r="T19" s="19">
        <v>63.6</v>
      </c>
      <c r="U19" s="19">
        <v>23</v>
      </c>
      <c r="V19" s="19">
        <v>61.8</v>
      </c>
      <c r="W19" s="20">
        <v>62.3</v>
      </c>
      <c r="X19" s="209">
        <f>SUM(B19:W19)</f>
        <v>1161.5</v>
      </c>
      <c r="Y19" s="301"/>
      <c r="Z19" s="302"/>
      <c r="AB19" s="2"/>
      <c r="AC19" s="15"/>
    </row>
    <row r="20" spans="1:35" ht="39.950000000000003" customHeight="1" x14ac:dyDescent="0.25">
      <c r="A20" s="171" t="s">
        <v>24</v>
      </c>
      <c r="B20" s="419"/>
      <c r="C20" s="19">
        <v>71.599999999999994</v>
      </c>
      <c r="D20" s="19">
        <v>71.5</v>
      </c>
      <c r="E20" s="19">
        <v>23.3</v>
      </c>
      <c r="F20" s="19">
        <v>73</v>
      </c>
      <c r="G20" s="108">
        <v>73.8</v>
      </c>
      <c r="H20" s="18"/>
      <c r="I20" s="19">
        <v>71</v>
      </c>
      <c r="J20" s="19">
        <v>72.5</v>
      </c>
      <c r="K20" s="19">
        <v>24</v>
      </c>
      <c r="L20" s="19">
        <v>71.900000000000006</v>
      </c>
      <c r="M20" s="20">
        <v>70.900000000000006</v>
      </c>
      <c r="N20" s="61">
        <v>61.6</v>
      </c>
      <c r="O20" s="19">
        <v>59.2</v>
      </c>
      <c r="P20" s="19">
        <v>23.6</v>
      </c>
      <c r="Q20" s="19">
        <v>59.3</v>
      </c>
      <c r="R20" s="20">
        <v>59</v>
      </c>
      <c r="S20" s="18">
        <v>64.599999999999994</v>
      </c>
      <c r="T20" s="19">
        <v>63.6</v>
      </c>
      <c r="U20" s="19">
        <v>23</v>
      </c>
      <c r="V20" s="19">
        <v>61.8</v>
      </c>
      <c r="W20" s="20">
        <v>62.3</v>
      </c>
      <c r="X20" s="209">
        <f>SUM(C20:W20)</f>
        <v>1161.5</v>
      </c>
      <c r="Y20" s="301"/>
      <c r="Z20" s="302"/>
      <c r="AB20" s="2"/>
      <c r="AC20" s="15"/>
    </row>
    <row r="21" spans="1:35" ht="39.75" customHeight="1" x14ac:dyDescent="0.25">
      <c r="A21" s="171" t="s">
        <v>20</v>
      </c>
      <c r="B21" s="419"/>
      <c r="C21" s="327">
        <v>75.7</v>
      </c>
      <c r="D21" s="327">
        <v>79.099999999999994</v>
      </c>
      <c r="E21" s="327">
        <v>24.6</v>
      </c>
      <c r="F21" s="327">
        <v>77.2</v>
      </c>
      <c r="G21" s="328">
        <v>77.7</v>
      </c>
      <c r="H21" s="326"/>
      <c r="I21" s="327">
        <v>74.7</v>
      </c>
      <c r="J21" s="327">
        <v>76.2</v>
      </c>
      <c r="K21" s="327">
        <v>25.2</v>
      </c>
      <c r="L21" s="327">
        <v>76</v>
      </c>
      <c r="M21" s="329">
        <v>74.5</v>
      </c>
      <c r="N21" s="330">
        <v>64.7</v>
      </c>
      <c r="O21" s="327">
        <v>62.6</v>
      </c>
      <c r="P21" s="327">
        <v>24.6</v>
      </c>
      <c r="Q21" s="327">
        <v>62.7</v>
      </c>
      <c r="R21" s="329">
        <v>62.1</v>
      </c>
      <c r="S21" s="326">
        <v>67.5</v>
      </c>
      <c r="T21" s="327">
        <v>66.400000000000006</v>
      </c>
      <c r="U21" s="327">
        <v>24.3</v>
      </c>
      <c r="V21" s="327">
        <v>65</v>
      </c>
      <c r="W21" s="329">
        <v>65.900000000000006</v>
      </c>
      <c r="X21" s="209">
        <f>SUM(C21:W21)</f>
        <v>1226.7000000000003</v>
      </c>
      <c r="Y21" s="301"/>
      <c r="Z21" s="302"/>
      <c r="AB21" s="2"/>
      <c r="AC21" s="15"/>
    </row>
    <row r="22" spans="1:35" ht="39.950000000000003" customHeight="1" x14ac:dyDescent="0.25">
      <c r="A22" s="171" t="s">
        <v>28</v>
      </c>
      <c r="B22" s="419"/>
      <c r="C22" s="327">
        <v>75.7</v>
      </c>
      <c r="D22" s="327">
        <v>79.099999999999994</v>
      </c>
      <c r="E22" s="327">
        <v>24.7</v>
      </c>
      <c r="F22" s="327">
        <v>77.2</v>
      </c>
      <c r="G22" s="328">
        <v>77.7</v>
      </c>
      <c r="H22" s="326"/>
      <c r="I22" s="327">
        <v>74.7</v>
      </c>
      <c r="J22" s="327">
        <v>76.2</v>
      </c>
      <c r="K22" s="327">
        <v>25.2</v>
      </c>
      <c r="L22" s="327">
        <v>76</v>
      </c>
      <c r="M22" s="329">
        <v>74.599999999999994</v>
      </c>
      <c r="N22" s="330">
        <v>64.7</v>
      </c>
      <c r="O22" s="327">
        <v>62.6</v>
      </c>
      <c r="P22" s="327">
        <v>24.6</v>
      </c>
      <c r="Q22" s="327">
        <v>62.7</v>
      </c>
      <c r="R22" s="329">
        <v>62.1</v>
      </c>
      <c r="S22" s="326">
        <v>67.5</v>
      </c>
      <c r="T22" s="327">
        <v>66.5</v>
      </c>
      <c r="U22" s="327">
        <v>24.3</v>
      </c>
      <c r="V22" s="327">
        <v>65</v>
      </c>
      <c r="W22" s="329">
        <v>65.900000000000006</v>
      </c>
      <c r="X22" s="209">
        <f>SUM(C22:W22)</f>
        <v>1227.0000000000002</v>
      </c>
      <c r="Y22" s="301"/>
      <c r="Z22" s="302"/>
      <c r="AB22" s="2"/>
      <c r="AC22" s="15"/>
    </row>
    <row r="23" spans="1:35" ht="39.950000000000003" customHeight="1" x14ac:dyDescent="0.25">
      <c r="A23" s="171" t="s">
        <v>21</v>
      </c>
      <c r="B23" s="419"/>
      <c r="C23" s="327">
        <v>75.7</v>
      </c>
      <c r="D23" s="327">
        <v>79.099999999999994</v>
      </c>
      <c r="E23" s="327">
        <v>24.7</v>
      </c>
      <c r="F23" s="327">
        <v>77.2</v>
      </c>
      <c r="G23" s="328">
        <v>77.8</v>
      </c>
      <c r="H23" s="326"/>
      <c r="I23" s="327">
        <v>74.7</v>
      </c>
      <c r="J23" s="327">
        <v>76.2</v>
      </c>
      <c r="K23" s="327">
        <v>25.2</v>
      </c>
      <c r="L23" s="327">
        <v>76</v>
      </c>
      <c r="M23" s="329">
        <v>74.599999999999994</v>
      </c>
      <c r="N23" s="330">
        <v>64.7</v>
      </c>
      <c r="O23" s="327">
        <v>62.6</v>
      </c>
      <c r="P23" s="327">
        <v>24.7</v>
      </c>
      <c r="Q23" s="327">
        <v>62.7</v>
      </c>
      <c r="R23" s="329">
        <v>62.2</v>
      </c>
      <c r="S23" s="326">
        <v>67.5</v>
      </c>
      <c r="T23" s="327">
        <v>66.5</v>
      </c>
      <c r="U23" s="327">
        <v>24.3</v>
      </c>
      <c r="V23" s="327">
        <v>65</v>
      </c>
      <c r="W23" s="329">
        <v>65.900000000000006</v>
      </c>
      <c r="X23" s="209">
        <f>SUM(C23:W23)</f>
        <v>1227.3000000000002</v>
      </c>
      <c r="Y23" s="301"/>
      <c r="Z23" s="302"/>
      <c r="AB23" s="2"/>
      <c r="AC23" s="15"/>
    </row>
    <row r="24" spans="1:35" ht="39.950000000000003" customHeight="1" x14ac:dyDescent="0.25">
      <c r="A24" s="171" t="s">
        <v>22</v>
      </c>
      <c r="B24" s="419"/>
      <c r="C24" s="327">
        <v>75.7</v>
      </c>
      <c r="D24" s="327">
        <v>79.099999999999994</v>
      </c>
      <c r="E24" s="327">
        <v>24.7</v>
      </c>
      <c r="F24" s="327">
        <v>77.3</v>
      </c>
      <c r="G24" s="328">
        <v>77.8</v>
      </c>
      <c r="H24" s="326"/>
      <c r="I24" s="327">
        <v>74.7</v>
      </c>
      <c r="J24" s="327">
        <v>76.2</v>
      </c>
      <c r="K24" s="327">
        <v>25.2</v>
      </c>
      <c r="L24" s="327">
        <v>76</v>
      </c>
      <c r="M24" s="329">
        <v>74.599999999999994</v>
      </c>
      <c r="N24" s="330">
        <v>64.8</v>
      </c>
      <c r="O24" s="327">
        <v>62.6</v>
      </c>
      <c r="P24" s="327">
        <v>24.7</v>
      </c>
      <c r="Q24" s="327">
        <v>62.7</v>
      </c>
      <c r="R24" s="329">
        <v>62.2</v>
      </c>
      <c r="S24" s="326">
        <v>67.5</v>
      </c>
      <c r="T24" s="327">
        <v>66.5</v>
      </c>
      <c r="U24" s="327">
        <v>24.3</v>
      </c>
      <c r="V24" s="327">
        <v>65.099999999999994</v>
      </c>
      <c r="W24" s="329">
        <v>65.900000000000006</v>
      </c>
      <c r="X24" s="209">
        <f>SUM(C24:W24)</f>
        <v>1227.6000000000001</v>
      </c>
      <c r="Y24" s="301"/>
      <c r="Z24" s="302"/>
      <c r="AB24" s="2"/>
      <c r="AC24" s="15"/>
    </row>
    <row r="25" spans="1:35" ht="39.950000000000003" customHeight="1" thickBot="1" x14ac:dyDescent="0.3">
      <c r="A25" s="285" t="s">
        <v>23</v>
      </c>
      <c r="B25" s="429">
        <v>263.10000000000002</v>
      </c>
      <c r="C25" s="399">
        <v>15.2</v>
      </c>
      <c r="D25" s="399">
        <v>17.5</v>
      </c>
      <c r="E25" s="399">
        <v>5.0999999999999996</v>
      </c>
      <c r="F25" s="399">
        <v>16.600000000000001</v>
      </c>
      <c r="G25" s="405">
        <v>17.2</v>
      </c>
      <c r="H25" s="398">
        <v>261.8</v>
      </c>
      <c r="I25" s="399">
        <v>14.2</v>
      </c>
      <c r="J25" s="399">
        <v>15.7</v>
      </c>
      <c r="K25" s="399">
        <v>5.6</v>
      </c>
      <c r="L25" s="399">
        <v>15.4</v>
      </c>
      <c r="M25" s="401">
        <v>14.2</v>
      </c>
      <c r="N25" s="330">
        <v>64.8</v>
      </c>
      <c r="O25" s="327">
        <v>62.6</v>
      </c>
      <c r="P25" s="327">
        <v>24.7</v>
      </c>
      <c r="Q25" s="327">
        <v>62.8</v>
      </c>
      <c r="R25" s="329">
        <v>62.2</v>
      </c>
      <c r="S25" s="326">
        <v>67.599999999999994</v>
      </c>
      <c r="T25" s="327">
        <v>66.5</v>
      </c>
      <c r="U25" s="327">
        <v>24.4</v>
      </c>
      <c r="V25" s="327">
        <v>65.099999999999994</v>
      </c>
      <c r="W25" s="329">
        <v>66</v>
      </c>
      <c r="X25" s="376">
        <f>SUM(B25:W25)</f>
        <v>1228.3000000000002</v>
      </c>
      <c r="Y25" s="301"/>
      <c r="Z25" s="302"/>
      <c r="AB25" s="2"/>
    </row>
    <row r="26" spans="1:35" ht="41.45" customHeight="1" x14ac:dyDescent="0.25">
      <c r="A26" s="268" t="s">
        <v>9</v>
      </c>
      <c r="B26" s="421"/>
      <c r="C26" s="128">
        <f>SUM(C19:C25)</f>
        <v>461.19999999999993</v>
      </c>
      <c r="D26" s="128">
        <f t="shared" ref="D26:W26" si="0">SUM(D19:D25)</f>
        <v>476.9</v>
      </c>
      <c r="E26" s="128">
        <f t="shared" si="0"/>
        <v>150.4</v>
      </c>
      <c r="F26" s="128">
        <f t="shared" si="0"/>
        <v>471.5</v>
      </c>
      <c r="G26" s="205">
        <f t="shared" si="0"/>
        <v>475.8</v>
      </c>
      <c r="H26" s="131"/>
      <c r="I26" s="128">
        <f t="shared" si="0"/>
        <v>454.99999999999994</v>
      </c>
      <c r="J26" s="128">
        <f t="shared" si="0"/>
        <v>465.49999999999994</v>
      </c>
      <c r="K26" s="128">
        <f t="shared" si="0"/>
        <v>154.4</v>
      </c>
      <c r="L26" s="128">
        <f t="shared" si="0"/>
        <v>463.2</v>
      </c>
      <c r="M26" s="129">
        <f t="shared" si="0"/>
        <v>454.3</v>
      </c>
      <c r="N26" s="127">
        <f t="shared" si="0"/>
        <v>446.90000000000003</v>
      </c>
      <c r="O26" s="128">
        <f t="shared" si="0"/>
        <v>431.40000000000003</v>
      </c>
      <c r="P26" s="128">
        <f t="shared" si="0"/>
        <v>170.5</v>
      </c>
      <c r="Q26" s="128">
        <f t="shared" si="0"/>
        <v>432.2</v>
      </c>
      <c r="R26" s="205">
        <f t="shared" si="0"/>
        <v>428.79999999999995</v>
      </c>
      <c r="S26" s="131">
        <f t="shared" si="0"/>
        <v>466.79999999999995</v>
      </c>
      <c r="T26" s="128">
        <f t="shared" si="0"/>
        <v>459.6</v>
      </c>
      <c r="U26" s="128">
        <f t="shared" si="0"/>
        <v>167.6</v>
      </c>
      <c r="V26" s="128">
        <f t="shared" si="0"/>
        <v>448.80000000000007</v>
      </c>
      <c r="W26" s="129">
        <f t="shared" si="0"/>
        <v>454.19999999999993</v>
      </c>
      <c r="X26" s="375">
        <f>SUM(X19,X20,X21,X22,X23,X24,X25)</f>
        <v>8459.9000000000015</v>
      </c>
      <c r="Y26" s="301"/>
    </row>
    <row r="27" spans="1:35" s="2" customFormat="1" ht="36.75" customHeight="1" x14ac:dyDescent="0.25">
      <c r="A27" s="192" t="s">
        <v>11</v>
      </c>
      <c r="B27" s="23"/>
      <c r="C27" s="24">
        <v>125.5</v>
      </c>
      <c r="D27" s="24">
        <v>129.5</v>
      </c>
      <c r="E27" s="24">
        <v>126.5</v>
      </c>
      <c r="F27" s="24">
        <v>128</v>
      </c>
      <c r="G27" s="228">
        <v>129</v>
      </c>
      <c r="H27" s="23"/>
      <c r="I27" s="24">
        <v>124</v>
      </c>
      <c r="J27" s="24">
        <v>126.5</v>
      </c>
      <c r="K27" s="24">
        <v>129.5</v>
      </c>
      <c r="L27" s="24">
        <v>126</v>
      </c>
      <c r="M27" s="25">
        <v>124</v>
      </c>
      <c r="N27" s="63">
        <v>129.5</v>
      </c>
      <c r="O27" s="24">
        <v>125</v>
      </c>
      <c r="P27" s="24">
        <v>127.5</v>
      </c>
      <c r="Q27" s="24">
        <v>125.5</v>
      </c>
      <c r="R27" s="228">
        <v>124.5</v>
      </c>
      <c r="S27" s="23">
        <v>129.5</v>
      </c>
      <c r="T27" s="24">
        <v>127.5</v>
      </c>
      <c r="U27" s="24">
        <v>126</v>
      </c>
      <c r="V27" s="24">
        <v>124.5</v>
      </c>
      <c r="W27" s="25">
        <v>126</v>
      </c>
      <c r="X27" s="99">
        <f>(((X26*1000)/7)/X28)</f>
        <v>126.60351381281617</v>
      </c>
    </row>
    <row r="28" spans="1:35" s="2" customFormat="1" ht="33" customHeight="1" x14ac:dyDescent="0.25">
      <c r="A28" s="193" t="s">
        <v>12</v>
      </c>
      <c r="B28" s="257"/>
      <c r="C28" s="27">
        <v>594</v>
      </c>
      <c r="D28" s="27">
        <v>594</v>
      </c>
      <c r="E28" s="27">
        <v>192</v>
      </c>
      <c r="F28" s="27">
        <v>594</v>
      </c>
      <c r="G28" s="183">
        <v>594</v>
      </c>
      <c r="H28" s="26"/>
      <c r="I28" s="27">
        <v>594</v>
      </c>
      <c r="J28" s="27">
        <v>594</v>
      </c>
      <c r="K28" s="275">
        <v>192</v>
      </c>
      <c r="L28" s="27">
        <v>594</v>
      </c>
      <c r="M28" s="28">
        <v>593</v>
      </c>
      <c r="N28" s="64">
        <v>493</v>
      </c>
      <c r="O28" s="27">
        <v>493</v>
      </c>
      <c r="P28" s="27">
        <v>191</v>
      </c>
      <c r="Q28" s="27">
        <v>492</v>
      </c>
      <c r="R28" s="275">
        <v>492</v>
      </c>
      <c r="S28" s="27">
        <v>515</v>
      </c>
      <c r="T28" s="27">
        <v>515</v>
      </c>
      <c r="U28" s="27">
        <v>190</v>
      </c>
      <c r="V28" s="27">
        <v>515</v>
      </c>
      <c r="W28" s="27">
        <v>515</v>
      </c>
      <c r="X28" s="29">
        <f>SUM(C28:W28)</f>
        <v>9546</v>
      </c>
      <c r="Y28" s="402"/>
    </row>
    <row r="29" spans="1:35" s="2" customFormat="1" ht="33" customHeight="1" x14ac:dyDescent="0.25">
      <c r="A29" s="194" t="s">
        <v>13</v>
      </c>
      <c r="B29" s="422"/>
      <c r="C29" s="31">
        <f>((((C27*7)*C28)/1000)-(C19+C20))/5</f>
        <v>75.725799999999992</v>
      </c>
      <c r="D29" s="31">
        <f t="shared" ref="D29:W29" si="1">((((D27*7)*D28)/1000)-(D19+D20))/5</f>
        <v>79.092200000000005</v>
      </c>
      <c r="E29" s="31">
        <f t="shared" si="1"/>
        <v>24.683199999999999</v>
      </c>
      <c r="F29" s="31">
        <f t="shared" si="1"/>
        <v>77.244800000000012</v>
      </c>
      <c r="G29" s="163">
        <f t="shared" si="1"/>
        <v>77.756399999999985</v>
      </c>
      <c r="H29" s="30"/>
      <c r="I29" s="31">
        <f t="shared" si="1"/>
        <v>74.718400000000003</v>
      </c>
      <c r="J29" s="31">
        <f t="shared" si="1"/>
        <v>76.197399999999988</v>
      </c>
      <c r="K29" s="31">
        <f t="shared" si="1"/>
        <v>25.209600000000002</v>
      </c>
      <c r="L29" s="31">
        <f t="shared" si="1"/>
        <v>76.021600000000007</v>
      </c>
      <c r="M29" s="32">
        <f t="shared" si="1"/>
        <v>74.584800000000001</v>
      </c>
      <c r="N29" s="65">
        <f t="shared" si="1"/>
        <v>64.740899999999996</v>
      </c>
      <c r="O29" s="30">
        <f t="shared" si="1"/>
        <v>62.595000000000006</v>
      </c>
      <c r="P29" s="30">
        <f t="shared" si="1"/>
        <v>24.653500000000001</v>
      </c>
      <c r="Q29" s="30">
        <f t="shared" si="1"/>
        <v>62.724399999999989</v>
      </c>
      <c r="R29" s="30">
        <f t="shared" si="1"/>
        <v>62.155600000000007</v>
      </c>
      <c r="S29" s="30">
        <f t="shared" si="1"/>
        <v>67.529500000000013</v>
      </c>
      <c r="T29" s="30">
        <f t="shared" si="1"/>
        <v>66.487499999999997</v>
      </c>
      <c r="U29" s="30">
        <f t="shared" si="1"/>
        <v>24.316000000000003</v>
      </c>
      <c r="V29" s="30">
        <f t="shared" si="1"/>
        <v>65.044499999999999</v>
      </c>
      <c r="W29" s="286">
        <f t="shared" si="1"/>
        <v>65.926000000000002</v>
      </c>
      <c r="X29" s="33"/>
    </row>
    <row r="30" spans="1:35" ht="33.75" customHeight="1" x14ac:dyDescent="0.25">
      <c r="A30" s="185" t="s">
        <v>14</v>
      </c>
      <c r="B30" s="34"/>
      <c r="C30" s="280">
        <f t="shared" ref="C30:W30" si="2">((C28*C27)*7)/1000</f>
        <v>521.82899999999995</v>
      </c>
      <c r="D30" s="280">
        <f t="shared" si="2"/>
        <v>538.46100000000001</v>
      </c>
      <c r="E30" s="280">
        <f t="shared" si="2"/>
        <v>170.01599999999999</v>
      </c>
      <c r="F30" s="280">
        <f t="shared" si="2"/>
        <v>532.22400000000005</v>
      </c>
      <c r="G30" s="281">
        <f t="shared" si="2"/>
        <v>536.38199999999995</v>
      </c>
      <c r="H30" s="279"/>
      <c r="I30" s="280">
        <f t="shared" si="2"/>
        <v>515.59199999999998</v>
      </c>
      <c r="J30" s="280">
        <f t="shared" si="2"/>
        <v>525.98699999999997</v>
      </c>
      <c r="K30" s="280">
        <f t="shared" si="2"/>
        <v>174.048</v>
      </c>
      <c r="L30" s="280">
        <f t="shared" si="2"/>
        <v>523.90800000000002</v>
      </c>
      <c r="M30" s="282">
        <f t="shared" si="2"/>
        <v>514.72400000000005</v>
      </c>
      <c r="N30" s="325">
        <f t="shared" si="2"/>
        <v>446.90449999999998</v>
      </c>
      <c r="O30" s="280">
        <f t="shared" si="2"/>
        <v>431.375</v>
      </c>
      <c r="P30" s="280">
        <f t="shared" si="2"/>
        <v>170.4675</v>
      </c>
      <c r="Q30" s="280">
        <f t="shared" si="2"/>
        <v>432.22199999999998</v>
      </c>
      <c r="R30" s="281">
        <f t="shared" si="2"/>
        <v>428.77800000000002</v>
      </c>
      <c r="S30" s="279">
        <f t="shared" si="2"/>
        <v>466.84750000000003</v>
      </c>
      <c r="T30" s="280">
        <f t="shared" si="2"/>
        <v>459.63749999999999</v>
      </c>
      <c r="U30" s="280">
        <f t="shared" si="2"/>
        <v>167.58</v>
      </c>
      <c r="V30" s="280">
        <f t="shared" si="2"/>
        <v>448.82249999999999</v>
      </c>
      <c r="W30" s="282">
        <f t="shared" si="2"/>
        <v>454.23</v>
      </c>
      <c r="X30" s="36"/>
    </row>
    <row r="31" spans="1:35" ht="33.75" customHeight="1" thickBot="1" x14ac:dyDescent="0.3">
      <c r="A31" s="195" t="s">
        <v>15</v>
      </c>
      <c r="B31" s="423"/>
      <c r="C31" s="38">
        <f>+(C26/C28)/7*1000</f>
        <v>110.9187109187109</v>
      </c>
      <c r="D31" s="38">
        <f t="shared" ref="D31:W31" si="3">+(D26/D28)/7*1000</f>
        <v>114.69456469456469</v>
      </c>
      <c r="E31" s="38">
        <f t="shared" si="3"/>
        <v>111.90476190476191</v>
      </c>
      <c r="F31" s="38">
        <f t="shared" si="3"/>
        <v>113.3958633958634</v>
      </c>
      <c r="G31" s="207">
        <f t="shared" si="3"/>
        <v>114.43001443001444</v>
      </c>
      <c r="H31" s="37"/>
      <c r="I31" s="38">
        <f t="shared" si="3"/>
        <v>109.42760942760941</v>
      </c>
      <c r="J31" s="38">
        <f t="shared" si="3"/>
        <v>111.95286195286194</v>
      </c>
      <c r="K31" s="38">
        <f t="shared" si="3"/>
        <v>114.88095238095239</v>
      </c>
      <c r="L31" s="38">
        <f t="shared" si="3"/>
        <v>111.39971139971141</v>
      </c>
      <c r="M31" s="39">
        <f t="shared" si="3"/>
        <v>109.4435075885329</v>
      </c>
      <c r="N31" s="67">
        <f t="shared" si="3"/>
        <v>129.49869603013619</v>
      </c>
      <c r="O31" s="38">
        <f t="shared" si="3"/>
        <v>125.00724427702117</v>
      </c>
      <c r="P31" s="38">
        <f t="shared" si="3"/>
        <v>127.52430815258039</v>
      </c>
      <c r="Q31" s="38">
        <f t="shared" si="3"/>
        <v>125.49361207897795</v>
      </c>
      <c r="R31" s="207">
        <f t="shared" si="3"/>
        <v>124.50638792102205</v>
      </c>
      <c r="S31" s="37">
        <f t="shared" si="3"/>
        <v>129.48682385575589</v>
      </c>
      <c r="T31" s="38">
        <f t="shared" si="3"/>
        <v>127.48959778085991</v>
      </c>
      <c r="U31" s="38">
        <f t="shared" si="3"/>
        <v>126.01503759398497</v>
      </c>
      <c r="V31" s="38">
        <f t="shared" si="3"/>
        <v>124.49375866851598</v>
      </c>
      <c r="W31" s="39">
        <f t="shared" si="3"/>
        <v>125.9916782246879</v>
      </c>
      <c r="X31" s="40"/>
    </row>
    <row r="32" spans="1:35" ht="33.75" customHeight="1" x14ac:dyDescent="0.25">
      <c r="A32" s="41"/>
      <c r="B32" s="41"/>
      <c r="C32" s="42">
        <f>C30-C26</f>
        <v>60.629000000000019</v>
      </c>
      <c r="D32" s="42">
        <f t="shared" ref="D32:W33" si="4">D30-D26</f>
        <v>61.561000000000035</v>
      </c>
      <c r="E32" s="42">
        <f t="shared" si="4"/>
        <v>19.615999999999985</v>
      </c>
      <c r="F32" s="42">
        <f t="shared" si="4"/>
        <v>60.724000000000046</v>
      </c>
      <c r="G32" s="42">
        <f t="shared" si="4"/>
        <v>60.581999999999937</v>
      </c>
      <c r="H32" s="42"/>
      <c r="I32" s="42">
        <f t="shared" si="4"/>
        <v>60.592000000000041</v>
      </c>
      <c r="J32" s="42">
        <f t="shared" si="4"/>
        <v>60.487000000000023</v>
      </c>
      <c r="K32" s="42">
        <f t="shared" si="4"/>
        <v>19.647999999999996</v>
      </c>
      <c r="L32" s="42">
        <f t="shared" si="4"/>
        <v>60.708000000000027</v>
      </c>
      <c r="M32" s="42">
        <f t="shared" si="4"/>
        <v>60.424000000000035</v>
      </c>
      <c r="N32" s="42">
        <f t="shared" si="4"/>
        <v>4.4999999999504325E-3</v>
      </c>
      <c r="O32" s="42">
        <f t="shared" si="4"/>
        <v>-2.5000000000034106E-2</v>
      </c>
      <c r="P32" s="42">
        <f t="shared" si="4"/>
        <v>-3.2499999999998863E-2</v>
      </c>
      <c r="Q32" s="42">
        <f t="shared" si="4"/>
        <v>2.199999999999136E-2</v>
      </c>
      <c r="R32" s="42">
        <f t="shared" si="4"/>
        <v>-2.1999999999934516E-2</v>
      </c>
      <c r="S32" s="42">
        <f t="shared" si="4"/>
        <v>4.7500000000070486E-2</v>
      </c>
      <c r="T32" s="42">
        <f t="shared" si="4"/>
        <v>3.7499999999965894E-2</v>
      </c>
      <c r="U32" s="42">
        <f t="shared" si="4"/>
        <v>-1.999999999998181E-2</v>
      </c>
      <c r="V32" s="42">
        <f t="shared" si="4"/>
        <v>2.2499999999922693E-2</v>
      </c>
      <c r="W32" s="42">
        <f t="shared" si="4"/>
        <v>3.0000000000086402E-2</v>
      </c>
      <c r="X32" s="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</row>
    <row r="33" spans="1:37" ht="33.75" customHeight="1" x14ac:dyDescent="0.25">
      <c r="A33" s="41"/>
      <c r="B33" s="41"/>
      <c r="C33" s="42">
        <f>C31-C27</f>
        <v>-14.5812890812891</v>
      </c>
      <c r="D33" s="42">
        <f t="shared" si="4"/>
        <v>-14.80543530543531</v>
      </c>
      <c r="E33" s="42">
        <f t="shared" si="4"/>
        <v>-14.595238095238088</v>
      </c>
      <c r="F33" s="42">
        <f t="shared" si="4"/>
        <v>-14.604136604136599</v>
      </c>
      <c r="G33" s="42">
        <f t="shared" si="4"/>
        <v>-14.569985569985562</v>
      </c>
      <c r="H33" s="42"/>
      <c r="I33" s="42">
        <f t="shared" si="4"/>
        <v>-14.572390572390589</v>
      </c>
      <c r="J33" s="42">
        <f t="shared" si="4"/>
        <v>-14.547138047138063</v>
      </c>
      <c r="K33" s="42">
        <f t="shared" si="4"/>
        <v>-14.619047619047606</v>
      </c>
      <c r="L33" s="42">
        <f t="shared" si="4"/>
        <v>-14.600288600288593</v>
      </c>
      <c r="M33" s="42">
        <f t="shared" si="4"/>
        <v>-14.556492411467104</v>
      </c>
      <c r="N33" s="42">
        <f t="shared" si="4"/>
        <v>-1.3039698638124264E-3</v>
      </c>
      <c r="O33" s="42">
        <f t="shared" si="4"/>
        <v>7.2442770211722518E-3</v>
      </c>
      <c r="P33" s="42">
        <f t="shared" si="4"/>
        <v>2.4308152580388764E-2</v>
      </c>
      <c r="Q33" s="42">
        <f t="shared" si="4"/>
        <v>-6.3879210220534333E-3</v>
      </c>
      <c r="R33" s="42">
        <f t="shared" si="4"/>
        <v>6.3879210220534333E-3</v>
      </c>
      <c r="S33" s="42">
        <f t="shared" si="4"/>
        <v>-1.3176144244113175E-2</v>
      </c>
      <c r="T33" s="42">
        <f t="shared" si="4"/>
        <v>-1.0402219140090097E-2</v>
      </c>
      <c r="U33" s="42">
        <f t="shared" si="4"/>
        <v>1.5037593984970954E-2</v>
      </c>
      <c r="V33" s="42">
        <f t="shared" si="4"/>
        <v>-6.2413314840199519E-3</v>
      </c>
      <c r="W33" s="42">
        <f t="shared" si="4"/>
        <v>-8.3217753120976568E-3</v>
      </c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1"/>
    </row>
    <row r="34" spans="1:3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264"/>
      <c r="K34" s="42"/>
      <c r="L34" s="42"/>
      <c r="M34" s="42"/>
      <c r="N34" s="42"/>
      <c r="O34" s="264"/>
      <c r="P34" s="42"/>
      <c r="Q34" s="42"/>
      <c r="R34" s="42"/>
      <c r="S34" s="42"/>
      <c r="T34" s="264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7" ht="33.75" customHeight="1" x14ac:dyDescent="0.25">
      <c r="A35" s="41"/>
      <c r="B35" s="42"/>
      <c r="C35" s="42"/>
      <c r="D35" s="42"/>
      <c r="E35" s="42"/>
      <c r="F35" s="42"/>
      <c r="G35" s="42"/>
      <c r="H35" s="42"/>
      <c r="I35" s="42"/>
      <c r="J35" s="264"/>
      <c r="K35" s="264"/>
      <c r="L35" s="264"/>
      <c r="M35" s="264"/>
      <c r="N35" s="264"/>
      <c r="O35" s="264"/>
      <c r="P35" s="42"/>
      <c r="Q35" s="42"/>
      <c r="R35" s="42"/>
      <c r="S35" s="42"/>
      <c r="T35" s="264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1"/>
    </row>
    <row r="36" spans="1:37" s="2" customFormat="1" ht="33.75" customHeight="1" thickBot="1" x14ac:dyDescent="0.3">
      <c r="B36" s="43"/>
      <c r="C36" s="350"/>
      <c r="D36" s="350"/>
      <c r="E36" s="350"/>
      <c r="F36" s="350"/>
      <c r="G36" s="350"/>
      <c r="H36" s="318"/>
      <c r="I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3"/>
    </row>
    <row r="37" spans="1:37" ht="33.75" customHeight="1" thickBot="1" x14ac:dyDescent="0.3">
      <c r="A37" s="69" t="s">
        <v>16</v>
      </c>
      <c r="B37" s="980" t="s">
        <v>17</v>
      </c>
      <c r="C37" s="972"/>
      <c r="D37" s="972"/>
      <c r="E37" s="972"/>
      <c r="F37" s="972"/>
      <c r="G37" s="972"/>
      <c r="H37" s="990"/>
      <c r="I37" s="977" t="s">
        <v>9</v>
      </c>
      <c r="J37" s="47"/>
      <c r="N37" s="426" t="s">
        <v>18</v>
      </c>
      <c r="O37" s="980" t="s">
        <v>17</v>
      </c>
      <c r="P37" s="972"/>
      <c r="Q37" s="972"/>
      <c r="R37" s="972"/>
      <c r="S37" s="990"/>
      <c r="T37" s="977" t="s">
        <v>9</v>
      </c>
      <c r="U37" s="269"/>
      <c r="W37" s="45"/>
      <c r="X37" s="45"/>
      <c r="Y37" s="46"/>
      <c r="Z37" s="3"/>
      <c r="AA37" s="45"/>
      <c r="AB37" s="45"/>
      <c r="AC37" s="45"/>
      <c r="AD37" s="3"/>
    </row>
    <row r="38" spans="1:37" ht="33.75" customHeight="1" thickBot="1" x14ac:dyDescent="0.3">
      <c r="A38" s="170" t="s">
        <v>34</v>
      </c>
      <c r="B38" s="141"/>
      <c r="C38" s="118"/>
      <c r="D38" s="118"/>
      <c r="E38" s="118"/>
      <c r="F38" s="118"/>
      <c r="G38" s="118"/>
      <c r="H38" s="119"/>
      <c r="I38" s="978"/>
      <c r="J38" s="47"/>
      <c r="K38" s="47"/>
      <c r="L38" s="47"/>
      <c r="M38" s="47"/>
      <c r="N38" s="428" t="s">
        <v>33</v>
      </c>
      <c r="O38" s="168">
        <v>1</v>
      </c>
      <c r="P38" s="249">
        <v>2</v>
      </c>
      <c r="Q38" s="249">
        <v>3</v>
      </c>
      <c r="R38" s="249"/>
      <c r="S38" s="250"/>
      <c r="T38" s="979"/>
      <c r="U38" s="2"/>
      <c r="W38" s="47"/>
      <c r="X38" s="47"/>
      <c r="Y38" s="3"/>
      <c r="Z38" s="46"/>
      <c r="AA38" s="3"/>
      <c r="AB38" s="45"/>
      <c r="AC38" s="45"/>
      <c r="AD38" s="45"/>
    </row>
    <row r="39" spans="1:37" ht="33.75" customHeight="1" thickBot="1" x14ac:dyDescent="0.3">
      <c r="A39" s="170" t="s">
        <v>10</v>
      </c>
      <c r="B39" s="11">
        <v>1</v>
      </c>
      <c r="C39" s="16">
        <v>2</v>
      </c>
      <c r="D39" s="16">
        <v>3</v>
      </c>
      <c r="E39" s="16">
        <v>4</v>
      </c>
      <c r="F39" s="16">
        <v>5</v>
      </c>
      <c r="G39" s="16">
        <v>6</v>
      </c>
      <c r="H39" s="17" t="s">
        <v>99</v>
      </c>
      <c r="I39" s="979"/>
      <c r="J39" s="47"/>
      <c r="K39" s="47"/>
      <c r="L39" s="47"/>
      <c r="M39" s="47"/>
      <c r="N39" s="427" t="s">
        <v>10</v>
      </c>
      <c r="O39" s="114">
        <v>1</v>
      </c>
      <c r="P39" s="114">
        <v>2</v>
      </c>
      <c r="Q39" s="114">
        <v>3</v>
      </c>
      <c r="R39" s="114">
        <v>4</v>
      </c>
      <c r="S39" s="114">
        <v>5</v>
      </c>
      <c r="T39" s="278"/>
      <c r="U39" s="270"/>
      <c r="W39" s="47"/>
      <c r="X39" s="47"/>
      <c r="Y39" s="48"/>
      <c r="Z39" s="48"/>
      <c r="AA39" s="2"/>
      <c r="AB39" s="2"/>
      <c r="AC39" s="2"/>
      <c r="AD39" s="2"/>
    </row>
    <row r="40" spans="1:37" ht="33.75" customHeight="1" x14ac:dyDescent="0.25">
      <c r="A40" s="171" t="s">
        <v>32</v>
      </c>
      <c r="B40" s="18">
        <v>32.9</v>
      </c>
      <c r="C40" s="19">
        <v>83.1</v>
      </c>
      <c r="D40" s="19">
        <v>51.6</v>
      </c>
      <c r="E40" s="19">
        <v>37.1</v>
      </c>
      <c r="F40" s="19">
        <v>81.7</v>
      </c>
      <c r="G40" s="19">
        <v>44.2</v>
      </c>
      <c r="H40" s="20">
        <v>5.6</v>
      </c>
      <c r="I40" s="374">
        <f>SUM(B40:H40)</f>
        <v>336.2</v>
      </c>
      <c r="J40" s="988"/>
      <c r="K40" s="989"/>
      <c r="L40" s="989"/>
      <c r="M40" s="989"/>
      <c r="N40" s="171" t="s">
        <v>53</v>
      </c>
      <c r="O40" s="19">
        <v>10.199999999999999</v>
      </c>
      <c r="P40" s="19">
        <v>15.4</v>
      </c>
      <c r="Q40" s="19">
        <v>7.8</v>
      </c>
      <c r="R40" s="19"/>
      <c r="S40" s="19"/>
      <c r="T40" s="98">
        <f>SUM(O40:Q40)</f>
        <v>33.4</v>
      </c>
      <c r="U40" s="271"/>
      <c r="V40" s="302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71" t="s">
        <v>24</v>
      </c>
      <c r="B41" s="18">
        <v>32.9</v>
      </c>
      <c r="C41" s="19">
        <v>83.1</v>
      </c>
      <c r="D41" s="19">
        <v>51.6</v>
      </c>
      <c r="E41" s="19">
        <v>37.1</v>
      </c>
      <c r="F41" s="19">
        <v>81.7</v>
      </c>
      <c r="G41" s="19">
        <v>44.2</v>
      </c>
      <c r="H41" s="20">
        <v>5.6</v>
      </c>
      <c r="I41" s="374">
        <f>SUM(B41:H41)</f>
        <v>336.2</v>
      </c>
      <c r="J41" s="988"/>
      <c r="K41" s="989"/>
      <c r="L41" s="989"/>
      <c r="M41" s="989"/>
      <c r="N41" s="171" t="s">
        <v>24</v>
      </c>
      <c r="O41" s="19">
        <v>10.199999999999999</v>
      </c>
      <c r="P41" s="19">
        <v>15.4</v>
      </c>
      <c r="Q41" s="19">
        <v>7.8</v>
      </c>
      <c r="R41" s="19"/>
      <c r="S41" s="19"/>
      <c r="T41" s="98">
        <f>SUM(O41:Q41)</f>
        <v>33.4</v>
      </c>
      <c r="U41" s="271"/>
      <c r="V41" s="302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71" t="s">
        <v>20</v>
      </c>
      <c r="B42" s="18">
        <v>35.200000000000003</v>
      </c>
      <c r="C42" s="19">
        <v>91.5</v>
      </c>
      <c r="D42" s="19">
        <v>57.2</v>
      </c>
      <c r="E42" s="19">
        <v>40.700000000000003</v>
      </c>
      <c r="F42" s="19">
        <v>89.2</v>
      </c>
      <c r="G42" s="19">
        <v>53.8</v>
      </c>
      <c r="H42" s="20">
        <v>2.7</v>
      </c>
      <c r="I42" s="374">
        <f t="shared" ref="I42:I46" si="5">SUM(B42:H42)</f>
        <v>370.3</v>
      </c>
      <c r="J42" s="988"/>
      <c r="K42" s="989"/>
      <c r="L42" s="989"/>
      <c r="M42" s="989"/>
      <c r="N42" s="171" t="s">
        <v>20</v>
      </c>
      <c r="O42" s="19">
        <v>10.5</v>
      </c>
      <c r="P42" s="19">
        <v>16</v>
      </c>
      <c r="Q42" s="19">
        <v>8.1</v>
      </c>
      <c r="R42" s="19"/>
      <c r="S42" s="19"/>
      <c r="T42" s="98">
        <f>SUM(O42:Q42)</f>
        <v>34.6</v>
      </c>
      <c r="U42" s="271"/>
      <c r="V42" s="302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71" t="s">
        <v>28</v>
      </c>
      <c r="B43" s="18">
        <v>35.299999999999997</v>
      </c>
      <c r="C43" s="19">
        <v>91.6</v>
      </c>
      <c r="D43" s="19">
        <v>57.2</v>
      </c>
      <c r="E43" s="19">
        <v>40.700000000000003</v>
      </c>
      <c r="F43" s="19">
        <v>89.2</v>
      </c>
      <c r="G43" s="19">
        <v>53.9</v>
      </c>
      <c r="H43" s="20">
        <v>2.7</v>
      </c>
      <c r="I43" s="374">
        <f t="shared" si="5"/>
        <v>370.59999999999997</v>
      </c>
      <c r="J43" s="988"/>
      <c r="K43" s="989"/>
      <c r="L43" s="989"/>
      <c r="M43" s="989"/>
      <c r="N43" s="171" t="s">
        <v>28</v>
      </c>
      <c r="O43" s="19">
        <v>10.5</v>
      </c>
      <c r="P43" s="19">
        <v>16.100000000000001</v>
      </c>
      <c r="Q43" s="19">
        <v>8.1</v>
      </c>
      <c r="R43" s="19"/>
      <c r="S43" s="19"/>
      <c r="T43" s="98">
        <f>SUM(O43:Q43)</f>
        <v>34.700000000000003</v>
      </c>
      <c r="U43" s="271"/>
      <c r="V43" s="302"/>
      <c r="W43" s="2"/>
      <c r="X43" s="49"/>
      <c r="Y43" s="48"/>
      <c r="Z43" s="48"/>
      <c r="AA43" s="2"/>
      <c r="AB43" s="2"/>
      <c r="AC43" s="2"/>
      <c r="AD43" s="2"/>
    </row>
    <row r="44" spans="1:37" ht="33.75" customHeight="1" x14ac:dyDescent="0.25">
      <c r="A44" s="171" t="s">
        <v>21</v>
      </c>
      <c r="B44" s="18">
        <v>35.299999999999997</v>
      </c>
      <c r="C44" s="19">
        <v>91.6</v>
      </c>
      <c r="D44" s="19">
        <v>57.2</v>
      </c>
      <c r="E44" s="19">
        <v>40.700000000000003</v>
      </c>
      <c r="F44" s="19">
        <v>89.2</v>
      </c>
      <c r="G44" s="19">
        <v>53.9</v>
      </c>
      <c r="H44" s="20">
        <v>2.7</v>
      </c>
      <c r="I44" s="374">
        <f t="shared" si="5"/>
        <v>370.59999999999997</v>
      </c>
      <c r="J44" s="988"/>
      <c r="K44" s="989"/>
      <c r="L44" s="989"/>
      <c r="M44" s="989"/>
      <c r="N44" s="171" t="s">
        <v>21</v>
      </c>
      <c r="O44" s="19">
        <v>10.5</v>
      </c>
      <c r="P44" s="19">
        <v>16.100000000000001</v>
      </c>
      <c r="Q44" s="19">
        <v>8.1</v>
      </c>
      <c r="R44" s="19"/>
      <c r="S44" s="19"/>
      <c r="T44" s="98">
        <f>SUM(O44:Q44)</f>
        <v>34.700000000000003</v>
      </c>
      <c r="U44" s="271"/>
      <c r="V44" s="302"/>
      <c r="W44" s="2"/>
      <c r="X44" s="49"/>
      <c r="Y44" s="48"/>
      <c r="Z44" s="48"/>
      <c r="AA44" s="2"/>
      <c r="AB44" s="2"/>
      <c r="AC44" s="2"/>
      <c r="AD44" s="2"/>
    </row>
    <row r="45" spans="1:37" ht="33.75" customHeight="1" x14ac:dyDescent="0.25">
      <c r="A45" s="171" t="s">
        <v>22</v>
      </c>
      <c r="B45" s="18">
        <v>89.6</v>
      </c>
      <c r="C45" s="19">
        <v>87.4</v>
      </c>
      <c r="D45" s="19">
        <v>25.2</v>
      </c>
      <c r="E45" s="19">
        <v>84.7</v>
      </c>
      <c r="F45" s="19">
        <v>83.9</v>
      </c>
      <c r="G45" s="19"/>
      <c r="H45" s="20"/>
      <c r="I45" s="374">
        <f t="shared" si="5"/>
        <v>370.79999999999995</v>
      </c>
      <c r="J45" s="988"/>
      <c r="K45" s="989"/>
      <c r="L45" s="989"/>
      <c r="M45" s="989"/>
      <c r="N45" s="171" t="s">
        <v>22</v>
      </c>
      <c r="O45" s="19">
        <v>8</v>
      </c>
      <c r="P45" s="19">
        <v>8.1</v>
      </c>
      <c r="Q45" s="19">
        <v>2.5</v>
      </c>
      <c r="R45" s="19">
        <v>8.1</v>
      </c>
      <c r="S45" s="19">
        <v>8.1</v>
      </c>
      <c r="T45" s="98">
        <f>SUM(O45:S45)</f>
        <v>34.800000000000004</v>
      </c>
      <c r="U45" s="271"/>
      <c r="V45" s="302"/>
      <c r="W45" s="2"/>
      <c r="X45" s="49"/>
      <c r="Y45" s="48"/>
      <c r="Z45" s="48"/>
      <c r="AA45" s="2"/>
      <c r="AB45" s="2"/>
      <c r="AC45" s="2"/>
      <c r="AD45" s="2"/>
    </row>
    <row r="46" spans="1:37" ht="33.75" customHeight="1" thickBot="1" x14ac:dyDescent="0.3">
      <c r="A46" s="285" t="s">
        <v>32</v>
      </c>
      <c r="B46" s="130">
        <v>89.6</v>
      </c>
      <c r="C46" s="124">
        <v>87.4</v>
      </c>
      <c r="D46" s="124">
        <v>25.2</v>
      </c>
      <c r="E46" s="124">
        <v>84.7</v>
      </c>
      <c r="F46" s="124">
        <v>83.9</v>
      </c>
      <c r="G46" s="124"/>
      <c r="H46" s="132"/>
      <c r="I46" s="374">
        <f t="shared" si="5"/>
        <v>370.79999999999995</v>
      </c>
      <c r="J46" s="988"/>
      <c r="K46" s="989"/>
      <c r="L46" s="989"/>
      <c r="M46" s="989"/>
      <c r="N46" s="285" t="s">
        <v>23</v>
      </c>
      <c r="O46" s="124">
        <v>8</v>
      </c>
      <c r="P46" s="124">
        <v>8.1</v>
      </c>
      <c r="Q46" s="124">
        <v>2.5</v>
      </c>
      <c r="R46" s="124">
        <v>8.1</v>
      </c>
      <c r="S46" s="124">
        <v>8.1</v>
      </c>
      <c r="T46" s="98">
        <f>SUM(O46:S46)</f>
        <v>34.800000000000004</v>
      </c>
      <c r="U46" s="271"/>
      <c r="V46" s="302"/>
      <c r="W46" s="2"/>
      <c r="X46" s="49"/>
      <c r="Y46" s="48"/>
      <c r="Z46" s="48"/>
      <c r="AA46" s="48"/>
      <c r="AB46" s="48"/>
      <c r="AC46" s="2"/>
      <c r="AD46" s="2"/>
      <c r="AE46" s="2"/>
      <c r="AF46" s="2"/>
    </row>
    <row r="47" spans="1:37" ht="33.75" customHeight="1" x14ac:dyDescent="0.25">
      <c r="A47" s="290" t="s">
        <v>9</v>
      </c>
      <c r="B47" s="131">
        <f>SUM(B40:B46)</f>
        <v>350.80000000000007</v>
      </c>
      <c r="C47" s="128">
        <f t="shared" ref="C47:H47" si="6">SUM(C40:C46)</f>
        <v>615.69999999999993</v>
      </c>
      <c r="D47" s="128">
        <f t="shared" si="6"/>
        <v>325.2</v>
      </c>
      <c r="E47" s="128">
        <f t="shared" si="6"/>
        <v>365.7</v>
      </c>
      <c r="F47" s="128">
        <f t="shared" si="6"/>
        <v>598.79999999999995</v>
      </c>
      <c r="G47" s="128">
        <f t="shared" si="6"/>
        <v>250</v>
      </c>
      <c r="H47" s="129">
        <f t="shared" si="6"/>
        <v>19.299999999999997</v>
      </c>
      <c r="I47" s="265">
        <f>SUM(B47:H47)</f>
        <v>2525.5</v>
      </c>
      <c r="J47" s="988"/>
      <c r="K47" s="989"/>
      <c r="L47" s="989"/>
      <c r="M47" s="989"/>
      <c r="N47" s="290" t="s">
        <v>9</v>
      </c>
      <c r="O47" s="133">
        <f>SUM(O40:O46)</f>
        <v>67.900000000000006</v>
      </c>
      <c r="P47" s="134">
        <f>SUM(P40:P46)</f>
        <v>95.199999999999989</v>
      </c>
      <c r="Q47" s="134">
        <f>SUM(Q40:Q46)</f>
        <v>44.9</v>
      </c>
      <c r="R47" s="134">
        <f t="shared" ref="R47:S47" si="7">SUM(R40:R46)</f>
        <v>16.2</v>
      </c>
      <c r="S47" s="134">
        <f t="shared" si="7"/>
        <v>16.2</v>
      </c>
      <c r="T47" s="265">
        <f>SUM(T40:T46)</f>
        <v>240.40000000000003</v>
      </c>
      <c r="U47" s="272"/>
      <c r="W47" s="49"/>
      <c r="X47" s="49"/>
      <c r="Y47" s="2"/>
      <c r="Z47" s="2"/>
      <c r="AA47" s="2"/>
      <c r="AB47" s="2"/>
      <c r="AC47" s="2"/>
      <c r="AD47" s="2"/>
      <c r="AE47" s="2"/>
      <c r="AF47" s="2"/>
    </row>
    <row r="48" spans="1:37" ht="33.75" customHeight="1" x14ac:dyDescent="0.25">
      <c r="A48" s="192" t="s">
        <v>11</v>
      </c>
      <c r="B48" s="23">
        <v>130</v>
      </c>
      <c r="C48" s="24">
        <v>127</v>
      </c>
      <c r="D48" s="24">
        <v>127</v>
      </c>
      <c r="E48" s="24">
        <v>123.5</v>
      </c>
      <c r="F48" s="24">
        <v>122.5</v>
      </c>
      <c r="G48" s="416"/>
      <c r="H48" s="25"/>
      <c r="I48" s="137">
        <f>+((I47/I49)/7)*1000</f>
        <v>126.10475857592249</v>
      </c>
      <c r="J48" s="988"/>
      <c r="K48" s="989"/>
      <c r="L48" s="989"/>
      <c r="M48" s="989"/>
      <c r="N48" s="273" t="s">
        <v>11</v>
      </c>
      <c r="O48" s="23">
        <v>136</v>
      </c>
      <c r="P48" s="24">
        <v>137</v>
      </c>
      <c r="Q48" s="24">
        <v>136</v>
      </c>
      <c r="R48" s="24">
        <v>137</v>
      </c>
      <c r="S48" s="25">
        <v>137</v>
      </c>
      <c r="T48" s="137">
        <f>+((T47/T49)/7)*1000</f>
        <v>139.60511033681769</v>
      </c>
      <c r="U48" s="2"/>
      <c r="W48" s="50"/>
      <c r="X48" s="50"/>
    </row>
    <row r="49" spans="1:49" ht="33.75" customHeight="1" x14ac:dyDescent="0.25">
      <c r="A49" s="193" t="s">
        <v>12</v>
      </c>
      <c r="B49" s="26">
        <v>667</v>
      </c>
      <c r="C49" s="27">
        <v>668</v>
      </c>
      <c r="D49" s="27">
        <v>192</v>
      </c>
      <c r="E49" s="27">
        <v>667</v>
      </c>
      <c r="F49" s="27">
        <v>667</v>
      </c>
      <c r="G49" s="275"/>
      <c r="H49" s="276"/>
      <c r="I49" s="395">
        <f>SUM(B49:H49)</f>
        <v>2861</v>
      </c>
      <c r="J49" s="988"/>
      <c r="K49" s="989"/>
      <c r="L49" s="989"/>
      <c r="M49" s="989"/>
      <c r="N49" s="193" t="s">
        <v>12</v>
      </c>
      <c r="O49" s="257">
        <v>57</v>
      </c>
      <c r="P49" s="275">
        <v>57</v>
      </c>
      <c r="Q49" s="275">
        <v>17</v>
      </c>
      <c r="R49" s="275">
        <v>57</v>
      </c>
      <c r="S49" s="276">
        <v>58</v>
      </c>
      <c r="T49" s="254">
        <f>SUM(O49:S49)</f>
        <v>246</v>
      </c>
      <c r="U49" s="2"/>
      <c r="W49" s="52"/>
      <c r="X49" s="52"/>
    </row>
    <row r="50" spans="1:49" ht="33.75" customHeight="1" x14ac:dyDescent="0.25">
      <c r="A50" s="194" t="s">
        <v>13</v>
      </c>
      <c r="B50" s="30">
        <f>((((F48*7)*B49)/1000)-(B40+B41))/5</f>
        <v>101.23049999999999</v>
      </c>
      <c r="C50" s="31">
        <f>((((E48*7)*C49)/1000)-(C40+C41))/5</f>
        <v>82.257199999999997</v>
      </c>
      <c r="D50" s="31">
        <f t="shared" ref="D50:H50" si="8">((((D48*7)*D49)/1000)-(D40+D41))/5</f>
        <v>13.497599999999997</v>
      </c>
      <c r="E50" s="31">
        <f>((((C48*7)*E49)/1000)-(E40+E41))/5</f>
        <v>103.75259999999999</v>
      </c>
      <c r="F50" s="31">
        <f>((((B48*7)*F49)/1000)-(F40+F41))/5</f>
        <v>88.714000000000013</v>
      </c>
      <c r="G50" s="31" t="e">
        <f>((((#REF!*7)*G49)/1000)-(G40+G41))/5</f>
        <v>#REF!</v>
      </c>
      <c r="H50" s="32">
        <f t="shared" si="8"/>
        <v>-2.2399999999999998</v>
      </c>
      <c r="I50" s="139">
        <f>((I47*1000)/I49)/7</f>
        <v>126.1047585759225</v>
      </c>
      <c r="J50" s="988"/>
      <c r="K50" s="989"/>
      <c r="L50" s="989"/>
      <c r="M50" s="989"/>
      <c r="N50" s="194" t="s">
        <v>13</v>
      </c>
      <c r="O50" s="30">
        <f>((((O48*7)*O49)/1000)-(O40+O41))/5</f>
        <v>6.772800000000001</v>
      </c>
      <c r="P50" s="31">
        <f>((((P48*7)*P49)/1000)-(P40+P41))/5</f>
        <v>4.7725999999999988</v>
      </c>
      <c r="Q50" s="31">
        <f>((((Q48*7)*Q49)/1000)-(Q40+Q41))/5</f>
        <v>0.11680000000000028</v>
      </c>
      <c r="R50" s="31"/>
      <c r="S50" s="32"/>
      <c r="T50" s="274">
        <f>((T47*1000)/T49)/7</f>
        <v>139.60511033681766</v>
      </c>
      <c r="U50" s="43"/>
      <c r="W50" s="52"/>
      <c r="X50" s="52"/>
    </row>
    <row r="51" spans="1:49" ht="33.75" customHeight="1" x14ac:dyDescent="0.25">
      <c r="A51" s="185" t="s">
        <v>14</v>
      </c>
      <c r="B51" s="279">
        <f>((B49*F48)*7)/1000</f>
        <v>571.95249999999999</v>
      </c>
      <c r="C51" s="280">
        <f>((C49*E48)*7)/1000</f>
        <v>577.48599999999999</v>
      </c>
      <c r="D51" s="280">
        <f t="shared" ref="D51:H51" si="9">((D49*D48)*7)/1000</f>
        <v>170.68799999999999</v>
      </c>
      <c r="E51" s="280">
        <f>((E49*C48)*7)/1000</f>
        <v>592.96299999999997</v>
      </c>
      <c r="F51" s="280">
        <f>((F49*B48)*7)/1000</f>
        <v>606.97</v>
      </c>
      <c r="G51" s="280" t="e">
        <f>((G49*#REF!)*7)/1000</f>
        <v>#REF!</v>
      </c>
      <c r="H51" s="282">
        <f t="shared" si="9"/>
        <v>0</v>
      </c>
      <c r="I51" s="112"/>
      <c r="J51" s="988"/>
      <c r="K51" s="989"/>
      <c r="L51" s="989"/>
      <c r="M51" s="989"/>
      <c r="N51" s="185" t="s">
        <v>14</v>
      </c>
      <c r="O51" s="279">
        <f>((O49*O48)*7)/1000</f>
        <v>54.264000000000003</v>
      </c>
      <c r="P51" s="280">
        <f>((P49*P48)*7)/1000</f>
        <v>54.662999999999997</v>
      </c>
      <c r="Q51" s="280">
        <f>((Q49*Q48)*7)/1000</f>
        <v>16.184000000000001</v>
      </c>
      <c r="R51" s="280"/>
      <c r="S51" s="282"/>
      <c r="T51" s="36"/>
      <c r="U51" s="41"/>
    </row>
    <row r="52" spans="1:49" ht="33.75" customHeight="1" thickBot="1" x14ac:dyDescent="0.3">
      <c r="A52" s="195" t="s">
        <v>15</v>
      </c>
      <c r="B52" s="37">
        <f t="shared" ref="B52:H52" si="10">+(B47/B49)/7*1000</f>
        <v>75.133861640608288</v>
      </c>
      <c r="C52" s="38">
        <f t="shared" si="10"/>
        <v>131.67236954662104</v>
      </c>
      <c r="D52" s="38">
        <f t="shared" si="10"/>
        <v>241.96428571428569</v>
      </c>
      <c r="E52" s="38">
        <f t="shared" si="10"/>
        <v>78.325123152709352</v>
      </c>
      <c r="F52" s="38">
        <f t="shared" si="10"/>
        <v>128.2501606339687</v>
      </c>
      <c r="G52" s="38" t="e">
        <f t="shared" si="10"/>
        <v>#DIV/0!</v>
      </c>
      <c r="H52" s="39" t="e">
        <f t="shared" si="10"/>
        <v>#DIV/0!</v>
      </c>
      <c r="I52" s="140"/>
      <c r="J52" s="988"/>
      <c r="K52" s="989"/>
      <c r="L52" s="989"/>
      <c r="M52" s="989"/>
      <c r="N52" s="195" t="s">
        <v>15</v>
      </c>
      <c r="O52" s="37">
        <f>+(O47/O49)/7*1000</f>
        <v>170.17543859649126</v>
      </c>
      <c r="P52" s="38">
        <f>+(P47/P49)/7*1000</f>
        <v>238.59649122807016</v>
      </c>
      <c r="Q52" s="38">
        <f>+(Q47/Q49)/7*1000</f>
        <v>377.31092436974791</v>
      </c>
      <c r="R52" s="38"/>
      <c r="S52" s="39"/>
      <c r="T52" s="259"/>
      <c r="U52" s="42"/>
      <c r="W52" s="42"/>
      <c r="X52" s="42"/>
    </row>
    <row r="53" spans="1:49" ht="33.75" customHeight="1" x14ac:dyDescent="0.25">
      <c r="A53" s="41"/>
      <c r="B53" s="43">
        <f>B51-B47</f>
        <v>221.15249999999992</v>
      </c>
      <c r="C53" s="43">
        <f t="shared" ref="C53:H54" si="11">C51-C47</f>
        <v>-38.213999999999942</v>
      </c>
      <c r="D53" s="43">
        <f t="shared" si="11"/>
        <v>-154.512</v>
      </c>
      <c r="E53" s="43">
        <f t="shared" si="11"/>
        <v>227.26299999999998</v>
      </c>
      <c r="F53" s="43">
        <f t="shared" si="11"/>
        <v>8.1700000000000728</v>
      </c>
      <c r="G53" s="43" t="e">
        <f t="shared" si="11"/>
        <v>#REF!</v>
      </c>
      <c r="H53" s="43">
        <f t="shared" si="11"/>
        <v>-19.299999999999997</v>
      </c>
      <c r="I53" s="41"/>
      <c r="J53" s="41"/>
      <c r="K53" s="41"/>
      <c r="L53" s="41"/>
      <c r="M53" s="41"/>
      <c r="N53" s="42"/>
      <c r="O53" s="42">
        <f t="shared" ref="O53:S54" si="12">O51-O47</f>
        <v>-13.636000000000003</v>
      </c>
      <c r="P53" s="42">
        <f t="shared" si="12"/>
        <v>-40.536999999999992</v>
      </c>
      <c r="Q53" s="42">
        <f t="shared" si="12"/>
        <v>-28.715999999999998</v>
      </c>
      <c r="R53" s="42">
        <f t="shared" si="12"/>
        <v>-16.2</v>
      </c>
      <c r="S53" s="42">
        <f t="shared" si="12"/>
        <v>-16.2</v>
      </c>
      <c r="V53" s="42"/>
      <c r="W53" s="42"/>
      <c r="X53" s="2"/>
      <c r="Y53" s="2"/>
      <c r="Z53" s="2"/>
      <c r="AA53" s="2"/>
      <c r="AB53" s="2"/>
    </row>
    <row r="54" spans="1:49" ht="33.75" customHeight="1" x14ac:dyDescent="0.25">
      <c r="A54" s="41"/>
      <c r="B54" s="42">
        <f>B52-F48</f>
        <v>-47.366138359391712</v>
      </c>
      <c r="C54" s="42">
        <f>C52-E48</f>
        <v>8.1723695466210415</v>
      </c>
      <c r="D54" s="42">
        <f t="shared" si="11"/>
        <v>114.96428571428569</v>
      </c>
      <c r="E54" s="42">
        <f>E52-C48</f>
        <v>-48.674876847290648</v>
      </c>
      <c r="F54" s="42">
        <f>F52-B48</f>
        <v>-1.7498393660312956</v>
      </c>
      <c r="G54" s="42" t="e">
        <f>G52-#REF!</f>
        <v>#DIV/0!</v>
      </c>
      <c r="H54" s="42" t="e">
        <f t="shared" si="11"/>
        <v>#DIV/0!</v>
      </c>
      <c r="I54" s="41"/>
      <c r="J54" s="41"/>
      <c r="K54" s="41"/>
      <c r="L54" s="41"/>
      <c r="M54" s="42"/>
      <c r="N54" s="42"/>
      <c r="O54" s="42">
        <f t="shared" si="12"/>
        <v>34.175438596491261</v>
      </c>
      <c r="P54" s="42">
        <f t="shared" si="12"/>
        <v>101.59649122807016</v>
      </c>
      <c r="Q54" s="42">
        <f t="shared" si="12"/>
        <v>241.31092436974791</v>
      </c>
      <c r="R54" s="42">
        <f t="shared" si="12"/>
        <v>-137</v>
      </c>
      <c r="S54" s="42">
        <f t="shared" si="12"/>
        <v>-137</v>
      </c>
      <c r="V54" s="43"/>
      <c r="W54" s="43"/>
      <c r="X54" s="2"/>
      <c r="Y54" s="2"/>
      <c r="Z54" s="2"/>
      <c r="AA54" s="2"/>
      <c r="AE54" s="3"/>
    </row>
    <row r="55" spans="1:49" ht="33.75" customHeight="1" x14ac:dyDescent="0.25">
      <c r="A55" s="41" t="s">
        <v>102</v>
      </c>
      <c r="B55" s="264">
        <v>667</v>
      </c>
      <c r="C55" s="264">
        <v>667</v>
      </c>
      <c r="D55" s="264">
        <v>192</v>
      </c>
      <c r="E55" s="264">
        <v>668</v>
      </c>
      <c r="F55" s="264">
        <v>667</v>
      </c>
      <c r="G55" s="264"/>
      <c r="H55" s="41"/>
      <c r="I55" s="41"/>
      <c r="J55" s="41"/>
      <c r="K55" s="41"/>
      <c r="L55" s="41"/>
      <c r="M55" s="42"/>
      <c r="N55" s="41" t="s">
        <v>102</v>
      </c>
      <c r="O55" s="264">
        <v>57</v>
      </c>
      <c r="P55" s="264">
        <v>57</v>
      </c>
      <c r="Q55" s="264">
        <v>17</v>
      </c>
      <c r="R55" s="264">
        <v>57</v>
      </c>
      <c r="S55" s="264">
        <v>58</v>
      </c>
      <c r="T55" s="43"/>
      <c r="U55" s="43"/>
      <c r="V55" s="43"/>
      <c r="W55" s="2"/>
      <c r="X55" s="2"/>
      <c r="Y55" s="2"/>
      <c r="Z55" s="2"/>
      <c r="AD55" s="3"/>
    </row>
    <row r="56" spans="1:49" ht="33.75" customHeight="1" x14ac:dyDescent="0.25">
      <c r="A56" s="41" t="s">
        <v>103</v>
      </c>
      <c r="B56" s="42">
        <v>122.5</v>
      </c>
      <c r="C56" s="42">
        <v>123.5</v>
      </c>
      <c r="D56" s="42">
        <v>127</v>
      </c>
      <c r="E56" s="42">
        <v>127</v>
      </c>
      <c r="F56" s="42">
        <v>130</v>
      </c>
      <c r="G56" s="264"/>
      <c r="H56" s="41"/>
      <c r="I56" s="41"/>
      <c r="J56" s="41"/>
      <c r="K56" s="41"/>
      <c r="L56" s="41"/>
      <c r="M56" s="42"/>
      <c r="N56" s="41" t="s">
        <v>103</v>
      </c>
      <c r="O56" s="42">
        <v>136</v>
      </c>
      <c r="P56" s="42">
        <v>137</v>
      </c>
      <c r="Q56" s="42">
        <v>136</v>
      </c>
      <c r="R56" s="42">
        <v>137</v>
      </c>
      <c r="S56" s="42">
        <v>137</v>
      </c>
      <c r="T56" s="43"/>
      <c r="U56" s="43"/>
      <c r="V56" s="43"/>
      <c r="W56" s="2"/>
      <c r="X56" s="2"/>
      <c r="Y56" s="2"/>
      <c r="Z56" s="2"/>
      <c r="AD56" s="3"/>
    </row>
    <row r="57" spans="1:49" ht="33.75" customHeight="1" x14ac:dyDescent="0.25">
      <c r="A57" s="41" t="s">
        <v>104</v>
      </c>
      <c r="B57" s="42">
        <v>83.9</v>
      </c>
      <c r="C57" s="42">
        <v>84.7</v>
      </c>
      <c r="D57" s="42">
        <v>25.2</v>
      </c>
      <c r="E57" s="42">
        <v>87.4</v>
      </c>
      <c r="F57" s="42">
        <v>89.6</v>
      </c>
      <c r="G57" s="264"/>
      <c r="H57" s="41"/>
      <c r="I57" s="41"/>
      <c r="J57" s="41"/>
      <c r="K57" s="41"/>
      <c r="L57" s="41"/>
      <c r="M57" s="42"/>
      <c r="N57" s="41" t="s">
        <v>104</v>
      </c>
      <c r="O57" s="42">
        <v>8</v>
      </c>
      <c r="P57" s="42">
        <v>8.1</v>
      </c>
      <c r="Q57" s="42">
        <v>2.5</v>
      </c>
      <c r="R57" s="42">
        <v>8.1</v>
      </c>
      <c r="S57" s="42">
        <v>8.1</v>
      </c>
      <c r="T57" s="43"/>
      <c r="U57" s="43"/>
      <c r="V57" s="43"/>
      <c r="W57" s="2"/>
      <c r="X57" s="2"/>
      <c r="Y57" s="2"/>
      <c r="Z57" s="2"/>
      <c r="AD57" s="3"/>
    </row>
    <row r="58" spans="1:49" ht="33.75" customHeight="1" x14ac:dyDescent="0.25">
      <c r="A58" s="41"/>
      <c r="B58" s="287"/>
      <c r="C58" s="287"/>
      <c r="D58" s="287"/>
      <c r="E58" s="287"/>
      <c r="F58" s="287"/>
      <c r="G58" s="264"/>
      <c r="H58" s="41"/>
      <c r="I58" s="41"/>
      <c r="J58" s="41"/>
      <c r="K58" s="41"/>
      <c r="L58" s="41"/>
      <c r="M58" s="41"/>
      <c r="N58" s="41"/>
      <c r="O58" s="42"/>
      <c r="P58" s="42"/>
      <c r="Q58" s="42"/>
      <c r="R58" s="42"/>
      <c r="S58" s="42"/>
      <c r="T58" s="42"/>
      <c r="U58" s="42"/>
      <c r="V58" s="42"/>
      <c r="W58" s="42"/>
      <c r="X58" s="43"/>
      <c r="Y58" s="43"/>
      <c r="Z58" s="43"/>
      <c r="AA58" s="2"/>
      <c r="AB58" s="2"/>
      <c r="AC58" s="2"/>
      <c r="AD58" s="2"/>
      <c r="AH58" s="3"/>
    </row>
    <row r="59" spans="1:49" ht="33.75" customHeight="1" thickBot="1" x14ac:dyDescent="0.3">
      <c r="A59" s="53"/>
      <c r="B59" s="284"/>
      <c r="C59" s="284"/>
      <c r="D59" s="284"/>
      <c r="E59" s="284"/>
      <c r="F59" s="284"/>
      <c r="G59" s="284"/>
      <c r="H59" s="54"/>
      <c r="I59" s="54"/>
      <c r="J59" s="54"/>
      <c r="K59" s="54"/>
      <c r="L59" s="54"/>
      <c r="M59" s="54"/>
      <c r="N59" s="54"/>
      <c r="O59" s="958"/>
      <c r="P59" s="958"/>
      <c r="Q59" s="283"/>
      <c r="R59" s="283"/>
      <c r="S59" s="283"/>
      <c r="T59" s="54"/>
      <c r="U59" s="55"/>
      <c r="Z59" s="43"/>
      <c r="AA59" s="43"/>
      <c r="AB59" s="43"/>
      <c r="AC59" s="2"/>
      <c r="AD59" s="2"/>
      <c r="AE59" s="2"/>
      <c r="AF59" s="2"/>
      <c r="AH59" s="2"/>
      <c r="AI59" s="2"/>
      <c r="AJ59" s="2"/>
    </row>
    <row r="60" spans="1:49" ht="33.75" customHeight="1" x14ac:dyDescent="0.25">
      <c r="A60" s="359" t="s">
        <v>19</v>
      </c>
      <c r="B60" s="986" t="s">
        <v>8</v>
      </c>
      <c r="C60" s="956"/>
      <c r="D60" s="956"/>
      <c r="E60" s="956"/>
      <c r="F60" s="956"/>
      <c r="G60" s="986" t="s">
        <v>30</v>
      </c>
      <c r="H60" s="956"/>
      <c r="I60" s="956"/>
      <c r="J60" s="956"/>
      <c r="K60" s="987"/>
      <c r="L60" s="986" t="s">
        <v>29</v>
      </c>
      <c r="M60" s="956"/>
      <c r="N60" s="956"/>
      <c r="O60" s="956"/>
      <c r="P60" s="987"/>
      <c r="Q60" s="994" t="s">
        <v>31</v>
      </c>
      <c r="R60" s="995"/>
      <c r="S60" s="995"/>
      <c r="T60" s="995"/>
      <c r="U60" s="996"/>
      <c r="V60" s="992" t="s">
        <v>9</v>
      </c>
      <c r="AE60" s="43"/>
      <c r="AF60" s="43"/>
      <c r="AG60" s="43"/>
      <c r="AH60" s="2"/>
      <c r="AI60" s="2"/>
      <c r="AJ60" s="2"/>
      <c r="AK60" s="2"/>
      <c r="AM60" s="2"/>
      <c r="AN60" s="2"/>
      <c r="AO60" s="2"/>
    </row>
    <row r="61" spans="1:49" ht="33.75" customHeight="1" thickBot="1" x14ac:dyDescent="0.3">
      <c r="A61" s="170" t="s">
        <v>34</v>
      </c>
      <c r="B61" s="360"/>
      <c r="C61" s="361"/>
      <c r="D61" s="361"/>
      <c r="E61" s="361"/>
      <c r="F61" s="361"/>
      <c r="G61" s="360"/>
      <c r="H61" s="361"/>
      <c r="I61" s="361"/>
      <c r="J61" s="361"/>
      <c r="K61" s="361"/>
      <c r="L61" s="360"/>
      <c r="M61" s="361"/>
      <c r="N61" s="361"/>
      <c r="O61" s="361"/>
      <c r="P61" s="396"/>
      <c r="Q61" s="360"/>
      <c r="R61" s="361"/>
      <c r="S61" s="361"/>
      <c r="T61" s="361"/>
      <c r="U61" s="397"/>
      <c r="V61" s="993"/>
      <c r="AC61" s="45"/>
      <c r="AD61" s="45"/>
      <c r="AE61" s="45"/>
      <c r="AF61" s="45"/>
      <c r="AG61" s="57"/>
      <c r="AH61" s="57"/>
      <c r="AI61" s="57"/>
      <c r="AJ61" s="57"/>
      <c r="AK61" s="45"/>
      <c r="AL61" s="45"/>
      <c r="AM61" s="58"/>
      <c r="AN61" s="58"/>
      <c r="AO61" s="58"/>
      <c r="AP61" s="2"/>
      <c r="AQ61" s="2"/>
      <c r="AR61" s="2"/>
      <c r="AS61" s="2"/>
      <c r="AU61" s="2"/>
      <c r="AV61" s="2"/>
      <c r="AW61" s="2"/>
    </row>
    <row r="62" spans="1:49" ht="33.75" customHeight="1" thickBot="1" x14ac:dyDescent="0.3">
      <c r="A62" s="170" t="s">
        <v>10</v>
      </c>
      <c r="B62" s="188">
        <v>1</v>
      </c>
      <c r="C62" s="168">
        <v>2</v>
      </c>
      <c r="D62" s="168">
        <v>3</v>
      </c>
      <c r="E62" s="168">
        <v>4</v>
      </c>
      <c r="F62" s="413">
        <v>5</v>
      </c>
      <c r="G62" s="188">
        <v>1</v>
      </c>
      <c r="H62" s="168">
        <v>2</v>
      </c>
      <c r="I62" s="168">
        <v>3</v>
      </c>
      <c r="J62" s="168">
        <v>4</v>
      </c>
      <c r="K62" s="168">
        <v>5</v>
      </c>
      <c r="L62" s="188">
        <v>1</v>
      </c>
      <c r="M62" s="168">
        <v>2</v>
      </c>
      <c r="N62" s="168">
        <v>3</v>
      </c>
      <c r="O62" s="168">
        <v>4</v>
      </c>
      <c r="P62" s="413">
        <v>5</v>
      </c>
      <c r="Q62" s="188">
        <v>1</v>
      </c>
      <c r="R62" s="168">
        <v>2</v>
      </c>
      <c r="S62" s="168">
        <v>3</v>
      </c>
      <c r="T62" s="168">
        <v>4</v>
      </c>
      <c r="U62" s="414">
        <v>5</v>
      </c>
      <c r="V62" s="126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57"/>
      <c r="AH62" s="57"/>
      <c r="AI62" s="57"/>
      <c r="AJ62" s="57"/>
      <c r="AK62" s="45"/>
      <c r="AL62" s="45"/>
      <c r="AM62" s="58"/>
      <c r="AN62" s="58"/>
      <c r="AO62" s="58"/>
      <c r="AP62" s="2"/>
      <c r="AQ62" s="2"/>
      <c r="AR62" s="2"/>
      <c r="AS62" s="2"/>
      <c r="AT62" s="2"/>
      <c r="AU62" s="2"/>
      <c r="AV62" s="2"/>
      <c r="AW62" s="2"/>
    </row>
    <row r="63" spans="1:49" ht="33.75" customHeight="1" x14ac:dyDescent="0.25">
      <c r="A63" s="171" t="s">
        <v>53</v>
      </c>
      <c r="B63" s="133">
        <v>7.7</v>
      </c>
      <c r="C63" s="134">
        <v>7.7</v>
      </c>
      <c r="D63" s="134">
        <v>2.4</v>
      </c>
      <c r="E63" s="134">
        <v>7.7</v>
      </c>
      <c r="F63" s="134">
        <v>7.7</v>
      </c>
      <c r="G63" s="133">
        <v>7.7</v>
      </c>
      <c r="H63" s="134">
        <v>7.7</v>
      </c>
      <c r="I63" s="134">
        <v>2.4</v>
      </c>
      <c r="J63" s="134">
        <v>7.7</v>
      </c>
      <c r="K63" s="134">
        <v>7.7</v>
      </c>
      <c r="L63" s="133">
        <v>6.4</v>
      </c>
      <c r="M63" s="134">
        <v>6.4</v>
      </c>
      <c r="N63" s="134">
        <v>2.4</v>
      </c>
      <c r="O63" s="134">
        <v>6.4</v>
      </c>
      <c r="P63" s="134">
        <v>6.4</v>
      </c>
      <c r="Q63" s="133">
        <v>6.6</v>
      </c>
      <c r="R63" s="134">
        <v>6.6</v>
      </c>
      <c r="S63" s="134">
        <v>2.4</v>
      </c>
      <c r="T63" s="134">
        <v>6.6</v>
      </c>
      <c r="U63" s="156">
        <v>6.6</v>
      </c>
      <c r="V63" s="412">
        <f t="shared" ref="V63:V70" si="13">SUM(B63:U63)</f>
        <v>123.20000000000002</v>
      </c>
      <c r="W63" s="42"/>
      <c r="X63" s="302"/>
      <c r="Y63" s="42"/>
      <c r="Z63" s="42"/>
      <c r="AA63" s="42"/>
      <c r="AB63" s="42"/>
      <c r="AC63" s="2"/>
      <c r="AD63" s="45"/>
      <c r="AE63" s="45"/>
      <c r="AF63" s="45"/>
      <c r="AG63" s="57"/>
      <c r="AH63" s="57"/>
      <c r="AI63" s="57"/>
      <c r="AJ63" s="57"/>
      <c r="AK63" s="45"/>
      <c r="AL63" s="45"/>
      <c r="AM63" s="58"/>
      <c r="AN63" s="58"/>
      <c r="AO63" s="58"/>
      <c r="AP63" s="2"/>
      <c r="AQ63" s="2"/>
      <c r="AR63" s="2"/>
      <c r="AS63" s="2"/>
      <c r="AT63" s="2"/>
      <c r="AU63" s="2"/>
      <c r="AV63" s="2"/>
      <c r="AW63" s="2"/>
    </row>
    <row r="64" spans="1:49" ht="33.75" customHeight="1" x14ac:dyDescent="0.25">
      <c r="A64" s="171" t="s">
        <v>24</v>
      </c>
      <c r="B64" s="18">
        <v>7.7</v>
      </c>
      <c r="C64" s="19">
        <v>7.7</v>
      </c>
      <c r="D64" s="19">
        <v>2.4</v>
      </c>
      <c r="E64" s="19">
        <v>7.7</v>
      </c>
      <c r="F64" s="19">
        <v>7.7</v>
      </c>
      <c r="G64" s="18">
        <v>7.7</v>
      </c>
      <c r="H64" s="19">
        <v>7.7</v>
      </c>
      <c r="I64" s="19">
        <v>2.4</v>
      </c>
      <c r="J64" s="19">
        <v>7.7</v>
      </c>
      <c r="K64" s="19">
        <v>7.7</v>
      </c>
      <c r="L64" s="18">
        <v>6.4</v>
      </c>
      <c r="M64" s="19">
        <v>6.4</v>
      </c>
      <c r="N64" s="19">
        <v>2.4</v>
      </c>
      <c r="O64" s="19">
        <v>6.4</v>
      </c>
      <c r="P64" s="19">
        <v>6.4</v>
      </c>
      <c r="Q64" s="18">
        <v>6.6</v>
      </c>
      <c r="R64" s="19">
        <v>6.6</v>
      </c>
      <c r="S64" s="19">
        <v>2.4</v>
      </c>
      <c r="T64" s="19">
        <v>6.6</v>
      </c>
      <c r="U64" s="20">
        <v>6.6</v>
      </c>
      <c r="V64" s="412">
        <f t="shared" si="13"/>
        <v>123.20000000000002</v>
      </c>
      <c r="W64" s="42"/>
      <c r="X64" s="302"/>
      <c r="Y64" s="42"/>
      <c r="Z64" s="42"/>
      <c r="AA64" s="42"/>
      <c r="AB64" s="42"/>
      <c r="AC64" s="2"/>
      <c r="AD64" s="45"/>
      <c r="AE64" s="45"/>
      <c r="AF64" s="45"/>
      <c r="AG64" s="57"/>
      <c r="AH64" s="57"/>
      <c r="AI64" s="57"/>
      <c r="AJ64" s="57"/>
      <c r="AK64" s="45"/>
      <c r="AL64" s="45"/>
      <c r="AM64" s="58"/>
      <c r="AN64" s="58"/>
      <c r="AO64" s="58"/>
      <c r="AP64" s="2"/>
      <c r="AQ64" s="2"/>
      <c r="AR64" s="2"/>
      <c r="AS64" s="2"/>
      <c r="AT64" s="2"/>
      <c r="AU64" s="2"/>
      <c r="AV64" s="2"/>
      <c r="AW64" s="2"/>
    </row>
    <row r="65" spans="1:49" ht="33.75" customHeight="1" x14ac:dyDescent="0.25">
      <c r="A65" s="171" t="s">
        <v>20</v>
      </c>
      <c r="B65" s="18">
        <v>8.1</v>
      </c>
      <c r="C65" s="19">
        <v>8.1</v>
      </c>
      <c r="D65" s="19">
        <v>2.5</v>
      </c>
      <c r="E65" s="19">
        <v>8.1</v>
      </c>
      <c r="F65" s="19">
        <v>8.1</v>
      </c>
      <c r="G65" s="18">
        <v>8.1</v>
      </c>
      <c r="H65" s="19">
        <v>8.1</v>
      </c>
      <c r="I65" s="19">
        <v>2.5</v>
      </c>
      <c r="J65" s="19">
        <v>8.1</v>
      </c>
      <c r="K65" s="19">
        <v>8.1</v>
      </c>
      <c r="L65" s="18">
        <v>6.6</v>
      </c>
      <c r="M65" s="19">
        <v>6.6</v>
      </c>
      <c r="N65" s="19">
        <v>2.5</v>
      </c>
      <c r="O65" s="19">
        <v>6.6</v>
      </c>
      <c r="P65" s="19">
        <v>6.6</v>
      </c>
      <c r="Q65" s="18">
        <v>7</v>
      </c>
      <c r="R65" s="19">
        <v>7</v>
      </c>
      <c r="S65" s="19">
        <v>2.5</v>
      </c>
      <c r="T65" s="19">
        <v>7</v>
      </c>
      <c r="U65" s="20">
        <v>7</v>
      </c>
      <c r="V65" s="412">
        <f t="shared" si="13"/>
        <v>129.19999999999999</v>
      </c>
      <c r="W65" s="42"/>
      <c r="X65" s="302"/>
      <c r="Y65" s="42"/>
      <c r="Z65" s="42"/>
      <c r="AA65" s="42"/>
      <c r="AB65" s="42"/>
      <c r="AC65" s="2"/>
      <c r="AD65" s="45"/>
      <c r="AE65" s="45"/>
      <c r="AF65" s="45"/>
      <c r="AG65" s="57"/>
      <c r="AH65" s="57"/>
      <c r="AI65" s="57"/>
      <c r="AJ65" s="57"/>
      <c r="AK65" s="45"/>
      <c r="AL65" s="45"/>
      <c r="AM65" s="58"/>
      <c r="AN65" s="58"/>
      <c r="AO65" s="58"/>
      <c r="AP65" s="2"/>
      <c r="AQ65" s="2"/>
      <c r="AR65" s="2"/>
      <c r="AS65" s="2"/>
      <c r="AT65" s="2"/>
      <c r="AU65" s="2"/>
      <c r="AV65" s="2"/>
      <c r="AW65" s="2"/>
    </row>
    <row r="66" spans="1:49" ht="33.75" customHeight="1" x14ac:dyDescent="0.25">
      <c r="A66" s="171" t="s">
        <v>28</v>
      </c>
      <c r="B66" s="18">
        <v>8.1</v>
      </c>
      <c r="C66" s="19">
        <v>8.1</v>
      </c>
      <c r="D66" s="19">
        <v>2.6</v>
      </c>
      <c r="E66" s="19">
        <v>8.1</v>
      </c>
      <c r="F66" s="19">
        <v>8.1</v>
      </c>
      <c r="G66" s="18">
        <v>8.1</v>
      </c>
      <c r="H66" s="19">
        <v>8.1</v>
      </c>
      <c r="I66" s="19">
        <v>2.6</v>
      </c>
      <c r="J66" s="19">
        <v>8.1</v>
      </c>
      <c r="K66" s="19">
        <v>8.1</v>
      </c>
      <c r="L66" s="18">
        <v>6.7</v>
      </c>
      <c r="M66" s="19">
        <v>6.7</v>
      </c>
      <c r="N66" s="19">
        <v>2.6</v>
      </c>
      <c r="O66" s="19">
        <v>6.7</v>
      </c>
      <c r="P66" s="19">
        <v>6.7</v>
      </c>
      <c r="Q66" s="18">
        <v>7</v>
      </c>
      <c r="R66" s="19">
        <v>7</v>
      </c>
      <c r="S66" s="19">
        <v>2.6</v>
      </c>
      <c r="T66" s="19">
        <v>7</v>
      </c>
      <c r="U66" s="20">
        <v>7</v>
      </c>
      <c r="V66" s="412">
        <f t="shared" si="13"/>
        <v>130</v>
      </c>
      <c r="W66" s="42"/>
      <c r="X66" s="302"/>
      <c r="Y66" s="42"/>
      <c r="Z66" s="42"/>
      <c r="AA66" s="42"/>
      <c r="AB66" s="42"/>
      <c r="AC66" s="2"/>
      <c r="AD66" s="45"/>
      <c r="AE66" s="45"/>
      <c r="AF66" s="45"/>
      <c r="AG66" s="57"/>
      <c r="AH66" s="57"/>
      <c r="AI66" s="57"/>
      <c r="AJ66" s="57"/>
      <c r="AK66" s="45"/>
      <c r="AL66" s="45"/>
      <c r="AM66" s="58"/>
      <c r="AN66" s="58"/>
      <c r="AO66" s="58"/>
      <c r="AP66" s="3"/>
      <c r="AQ66" s="3"/>
      <c r="AR66" s="2"/>
      <c r="AS66" s="2"/>
      <c r="AT66" s="2"/>
      <c r="AU66" s="2"/>
      <c r="AV66" s="2"/>
      <c r="AW66" s="2"/>
    </row>
    <row r="67" spans="1:49" ht="33.75" customHeight="1" x14ac:dyDescent="0.25">
      <c r="A67" s="171" t="s">
        <v>21</v>
      </c>
      <c r="B67" s="18">
        <v>8.1</v>
      </c>
      <c r="C67" s="19">
        <v>8.1</v>
      </c>
      <c r="D67" s="19">
        <v>2.6</v>
      </c>
      <c r="E67" s="19">
        <v>8.1</v>
      </c>
      <c r="F67" s="19">
        <v>8.1</v>
      </c>
      <c r="G67" s="18">
        <v>8.1</v>
      </c>
      <c r="H67" s="19">
        <v>8.1</v>
      </c>
      <c r="I67" s="19">
        <v>2.6</v>
      </c>
      <c r="J67" s="19">
        <v>8.1</v>
      </c>
      <c r="K67" s="19">
        <v>8.1</v>
      </c>
      <c r="L67" s="18">
        <v>6.7</v>
      </c>
      <c r="M67" s="19">
        <v>6.7</v>
      </c>
      <c r="N67" s="19">
        <v>2.6</v>
      </c>
      <c r="O67" s="19">
        <v>6.7</v>
      </c>
      <c r="P67" s="19">
        <v>6.7</v>
      </c>
      <c r="Q67" s="18">
        <v>7</v>
      </c>
      <c r="R67" s="19">
        <v>7</v>
      </c>
      <c r="S67" s="19">
        <v>2.6</v>
      </c>
      <c r="T67" s="19">
        <v>7</v>
      </c>
      <c r="U67" s="20">
        <v>7</v>
      </c>
      <c r="V67" s="412">
        <f t="shared" si="13"/>
        <v>130</v>
      </c>
      <c r="W67" s="42"/>
      <c r="X67" s="302"/>
      <c r="Y67" s="42"/>
      <c r="Z67" s="42"/>
      <c r="AA67" s="42"/>
      <c r="AB67" s="42"/>
      <c r="AC67" s="2"/>
      <c r="AD67" s="45"/>
      <c r="AE67" s="45"/>
      <c r="AF67" s="45"/>
      <c r="AG67" s="57"/>
      <c r="AH67" s="57"/>
      <c r="AI67" s="57"/>
      <c r="AJ67" s="57"/>
      <c r="AK67" s="45"/>
      <c r="AL67" s="45"/>
      <c r="AM67" s="58"/>
      <c r="AN67" s="58"/>
      <c r="AO67" s="58"/>
      <c r="AP67" s="3"/>
      <c r="AQ67" s="3"/>
      <c r="AR67" s="2"/>
      <c r="AS67" s="2"/>
      <c r="AT67" s="2"/>
      <c r="AU67" s="2"/>
      <c r="AV67" s="2"/>
      <c r="AW67" s="2"/>
    </row>
    <row r="68" spans="1:49" ht="33.75" customHeight="1" x14ac:dyDescent="0.25">
      <c r="A68" s="171" t="s">
        <v>22</v>
      </c>
      <c r="B68" s="18">
        <v>8.1999999999999993</v>
      </c>
      <c r="C68" s="19">
        <v>8.1999999999999993</v>
      </c>
      <c r="D68" s="19">
        <v>2.6</v>
      </c>
      <c r="E68" s="19">
        <v>8.1999999999999993</v>
      </c>
      <c r="F68" s="19">
        <v>8.1999999999999993</v>
      </c>
      <c r="G68" s="18">
        <v>8.1999999999999993</v>
      </c>
      <c r="H68" s="19">
        <v>8.1999999999999993</v>
      </c>
      <c r="I68" s="19">
        <v>2.6</v>
      </c>
      <c r="J68" s="19">
        <v>8.1999999999999993</v>
      </c>
      <c r="K68" s="19">
        <v>8.1999999999999993</v>
      </c>
      <c r="L68" s="18">
        <v>6.7</v>
      </c>
      <c r="M68" s="19">
        <v>6.7</v>
      </c>
      <c r="N68" s="19">
        <v>2.6</v>
      </c>
      <c r="O68" s="19">
        <v>6.7</v>
      </c>
      <c r="P68" s="19">
        <v>6.7</v>
      </c>
      <c r="Q68" s="18">
        <v>7</v>
      </c>
      <c r="R68" s="19">
        <v>7</v>
      </c>
      <c r="S68" s="19">
        <v>2.6</v>
      </c>
      <c r="T68" s="19">
        <v>7</v>
      </c>
      <c r="U68" s="20">
        <v>7</v>
      </c>
      <c r="V68" s="412">
        <f t="shared" si="13"/>
        <v>130.80000000000001</v>
      </c>
      <c r="W68" s="42"/>
      <c r="X68" s="302"/>
      <c r="Y68" s="42"/>
      <c r="Z68" s="42"/>
      <c r="AA68" s="42"/>
      <c r="AB68" s="42"/>
      <c r="AC68" s="2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3"/>
      <c r="AQ68" s="3"/>
      <c r="AT68" s="2"/>
      <c r="AU68" s="2"/>
      <c r="AV68" s="2"/>
      <c r="AW68" s="2"/>
    </row>
    <row r="69" spans="1:49" ht="33.75" customHeight="1" thickBot="1" x14ac:dyDescent="0.3">
      <c r="A69" s="171" t="s">
        <v>23</v>
      </c>
      <c r="B69" s="153">
        <v>8.1999999999999993</v>
      </c>
      <c r="C69" s="154">
        <v>8.1999999999999993</v>
      </c>
      <c r="D69" s="154">
        <v>2.6</v>
      </c>
      <c r="E69" s="154">
        <v>8.1999999999999993</v>
      </c>
      <c r="F69" s="154">
        <v>8.1999999999999993</v>
      </c>
      <c r="G69" s="153">
        <v>8.1999999999999993</v>
      </c>
      <c r="H69" s="154">
        <v>8.1999999999999993</v>
      </c>
      <c r="I69" s="154">
        <v>2.6</v>
      </c>
      <c r="J69" s="154">
        <v>8.1999999999999993</v>
      </c>
      <c r="K69" s="154">
        <v>8.1999999999999993</v>
      </c>
      <c r="L69" s="18">
        <v>6.7</v>
      </c>
      <c r="M69" s="154">
        <v>6.7</v>
      </c>
      <c r="N69" s="154">
        <v>2.6</v>
      </c>
      <c r="O69" s="154">
        <v>6.7</v>
      </c>
      <c r="P69" s="154">
        <v>6.7</v>
      </c>
      <c r="Q69" s="153">
        <v>7</v>
      </c>
      <c r="R69" s="154">
        <v>7</v>
      </c>
      <c r="S69" s="154">
        <v>2.6</v>
      </c>
      <c r="T69" s="154">
        <v>7</v>
      </c>
      <c r="U69" s="182">
        <v>7</v>
      </c>
      <c r="V69" s="412">
        <f>SUM(B69:U69)</f>
        <v>130.80000000000001</v>
      </c>
      <c r="W69" s="42"/>
      <c r="X69" s="302"/>
      <c r="Y69" s="42"/>
      <c r="Z69" s="42"/>
      <c r="AA69" s="42"/>
      <c r="AB69" s="42"/>
      <c r="AC69" s="2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3"/>
      <c r="AQ69" s="3"/>
      <c r="AT69" s="2"/>
      <c r="AU69" s="2"/>
      <c r="AV69" s="2"/>
      <c r="AW69" s="2"/>
    </row>
    <row r="70" spans="1:49" ht="33.75" customHeight="1" thickBot="1" x14ac:dyDescent="0.3">
      <c r="A70" s="170" t="s">
        <v>9</v>
      </c>
      <c r="B70" s="354">
        <f t="shared" ref="B70:U70" si="14">SUM(B63:B69)</f>
        <v>56.100000000000009</v>
      </c>
      <c r="C70" s="355">
        <f t="shared" si="14"/>
        <v>56.100000000000009</v>
      </c>
      <c r="D70" s="355">
        <f t="shared" si="14"/>
        <v>17.7</v>
      </c>
      <c r="E70" s="355">
        <f t="shared" si="14"/>
        <v>56.100000000000009</v>
      </c>
      <c r="F70" s="356">
        <f t="shared" si="14"/>
        <v>56.100000000000009</v>
      </c>
      <c r="G70" s="354">
        <f t="shared" si="14"/>
        <v>56.100000000000009</v>
      </c>
      <c r="H70" s="355">
        <f t="shared" si="14"/>
        <v>56.100000000000009</v>
      </c>
      <c r="I70" s="355">
        <f t="shared" si="14"/>
        <v>17.7</v>
      </c>
      <c r="J70" s="355">
        <f t="shared" si="14"/>
        <v>56.100000000000009</v>
      </c>
      <c r="K70" s="355">
        <f t="shared" si="14"/>
        <v>56.100000000000009</v>
      </c>
      <c r="L70" s="354">
        <f t="shared" si="14"/>
        <v>46.2</v>
      </c>
      <c r="M70" s="355">
        <f t="shared" si="14"/>
        <v>46.2</v>
      </c>
      <c r="N70" s="355">
        <f t="shared" si="14"/>
        <v>17.7</v>
      </c>
      <c r="O70" s="355">
        <f t="shared" si="14"/>
        <v>46.2</v>
      </c>
      <c r="P70" s="356">
        <f t="shared" si="14"/>
        <v>46.2</v>
      </c>
      <c r="Q70" s="354">
        <f t="shared" si="14"/>
        <v>48.2</v>
      </c>
      <c r="R70" s="355">
        <f t="shared" si="14"/>
        <v>48.2</v>
      </c>
      <c r="S70" s="355">
        <f t="shared" si="14"/>
        <v>17.7</v>
      </c>
      <c r="T70" s="355">
        <f t="shared" si="14"/>
        <v>48.2</v>
      </c>
      <c r="U70" s="411">
        <f t="shared" si="14"/>
        <v>48.2</v>
      </c>
      <c r="V70" s="376">
        <f t="shared" si="13"/>
        <v>897.2000000000005</v>
      </c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3"/>
      <c r="AQ70" s="3"/>
      <c r="AR70" s="3"/>
      <c r="AS70" s="3"/>
      <c r="AT70" s="2"/>
      <c r="AU70" s="2"/>
      <c r="AV70" s="2"/>
      <c r="AW70" s="2"/>
    </row>
    <row r="71" spans="1:49" ht="33.75" customHeight="1" x14ac:dyDescent="0.25">
      <c r="A71" s="192" t="s">
        <v>11</v>
      </c>
      <c r="B71" s="357">
        <v>140.5</v>
      </c>
      <c r="C71" s="358">
        <v>140.5</v>
      </c>
      <c r="D71" s="358">
        <v>140.5</v>
      </c>
      <c r="E71" s="358">
        <v>140.5</v>
      </c>
      <c r="F71" s="358">
        <v>140.5</v>
      </c>
      <c r="G71" s="357">
        <v>140.5</v>
      </c>
      <c r="H71" s="358">
        <v>140.5</v>
      </c>
      <c r="I71" s="358">
        <v>140.5</v>
      </c>
      <c r="J71" s="358">
        <v>140.5</v>
      </c>
      <c r="K71" s="358">
        <v>140.5</v>
      </c>
      <c r="L71" s="357">
        <v>140.5</v>
      </c>
      <c r="M71" s="358">
        <v>140.5</v>
      </c>
      <c r="N71" s="358">
        <v>140.5</v>
      </c>
      <c r="O71" s="358">
        <v>140.5</v>
      </c>
      <c r="P71" s="358">
        <v>140.5</v>
      </c>
      <c r="Q71" s="357">
        <v>140.5</v>
      </c>
      <c r="R71" s="358">
        <v>140.5</v>
      </c>
      <c r="S71" s="358">
        <v>140.5</v>
      </c>
      <c r="T71" s="358">
        <v>140.5</v>
      </c>
      <c r="U71" s="358">
        <v>140.5</v>
      </c>
      <c r="V71" s="296">
        <f>+((V70/V72)/7)*1000</f>
        <v>140.53884711779457</v>
      </c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3"/>
      <c r="AQ71" s="3"/>
      <c r="AR71" s="3"/>
      <c r="AS71" s="3"/>
      <c r="AT71" s="2"/>
      <c r="AU71" s="2"/>
      <c r="AV71" s="2"/>
      <c r="AW71" s="2"/>
    </row>
    <row r="72" spans="1:49" ht="33.75" customHeight="1" x14ac:dyDescent="0.25">
      <c r="A72" s="193" t="s">
        <v>12</v>
      </c>
      <c r="B72" s="257">
        <v>57</v>
      </c>
      <c r="C72" s="275">
        <v>57</v>
      </c>
      <c r="D72" s="275">
        <v>18</v>
      </c>
      <c r="E72" s="275">
        <v>57</v>
      </c>
      <c r="F72" s="275">
        <v>57</v>
      </c>
      <c r="G72" s="257">
        <v>57</v>
      </c>
      <c r="H72" s="275">
        <v>57</v>
      </c>
      <c r="I72" s="275">
        <v>18</v>
      </c>
      <c r="J72" s="275">
        <v>57</v>
      </c>
      <c r="K72" s="275">
        <v>57</v>
      </c>
      <c r="L72" s="257">
        <v>47</v>
      </c>
      <c r="M72" s="275">
        <v>47</v>
      </c>
      <c r="N72" s="275">
        <v>18</v>
      </c>
      <c r="O72" s="275">
        <v>47</v>
      </c>
      <c r="P72" s="275">
        <v>47</v>
      </c>
      <c r="Q72" s="257">
        <v>49</v>
      </c>
      <c r="R72" s="275">
        <v>49</v>
      </c>
      <c r="S72" s="275">
        <v>18</v>
      </c>
      <c r="T72" s="275">
        <v>49</v>
      </c>
      <c r="U72" s="275">
        <v>49</v>
      </c>
      <c r="V72" s="254">
        <f>SUM(B72:U72)</f>
        <v>912</v>
      </c>
      <c r="AC72" s="59"/>
      <c r="AG72" s="3"/>
      <c r="AH72" s="3"/>
      <c r="AI72" s="3"/>
      <c r="AJ72" s="3"/>
      <c r="AK72" s="3"/>
      <c r="AL72" s="3"/>
    </row>
    <row r="73" spans="1:49" ht="33.75" customHeight="1" x14ac:dyDescent="0.25">
      <c r="A73" s="194" t="s">
        <v>13</v>
      </c>
      <c r="B73" s="30">
        <f>((((B71*7)*B72)/1000)-(B63+B64))/5</f>
        <v>8.1318999999999999</v>
      </c>
      <c r="C73" s="31">
        <f t="shared" ref="C73:F73" si="15">((((C71*7)*C72)/1000)-(C63+C64))/5</f>
        <v>8.1318999999999999</v>
      </c>
      <c r="D73" s="31">
        <f t="shared" si="15"/>
        <v>2.5805999999999996</v>
      </c>
      <c r="E73" s="31">
        <f t="shared" si="15"/>
        <v>8.1318999999999999</v>
      </c>
      <c r="F73" s="31">
        <f t="shared" si="15"/>
        <v>8.1318999999999999</v>
      </c>
      <c r="G73" s="30">
        <f>((((G71*7)*G72)/1000)-(G63+G64))/5</f>
        <v>8.1318999999999999</v>
      </c>
      <c r="H73" s="31">
        <f t="shared" ref="H73:K73" si="16">((((H71*7)*H72)/1000)-(H63+H64))/5</f>
        <v>8.1318999999999999</v>
      </c>
      <c r="I73" s="31">
        <f t="shared" si="16"/>
        <v>2.5805999999999996</v>
      </c>
      <c r="J73" s="31">
        <f t="shared" si="16"/>
        <v>8.1318999999999999</v>
      </c>
      <c r="K73" s="31">
        <f t="shared" si="16"/>
        <v>8.1318999999999999</v>
      </c>
      <c r="L73" s="30">
        <f>((((L71*7)*L72)/1000)-(L63+L64))/5</f>
        <v>6.684899999999999</v>
      </c>
      <c r="M73" s="31">
        <f t="shared" ref="M73:P73" si="17">((((M71*7)*M72)/1000)-(M63+M64))/5</f>
        <v>6.684899999999999</v>
      </c>
      <c r="N73" s="31">
        <f t="shared" si="17"/>
        <v>2.5805999999999996</v>
      </c>
      <c r="O73" s="31">
        <f t="shared" si="17"/>
        <v>6.684899999999999</v>
      </c>
      <c r="P73" s="31">
        <f t="shared" si="17"/>
        <v>6.684899999999999</v>
      </c>
      <c r="Q73" s="30">
        <f>((((Q71*7)*Q72)/1000)-(Q63+Q64))/5</f>
        <v>6.9983000000000004</v>
      </c>
      <c r="R73" s="31">
        <f t="shared" ref="R73:U73" si="18">((((R71*7)*R72)/1000)-(R63+R64))/5</f>
        <v>6.9983000000000004</v>
      </c>
      <c r="S73" s="31">
        <f t="shared" si="18"/>
        <v>2.5805999999999996</v>
      </c>
      <c r="T73" s="31">
        <f t="shared" si="18"/>
        <v>6.9983000000000004</v>
      </c>
      <c r="U73" s="31">
        <f t="shared" si="18"/>
        <v>6.9983000000000004</v>
      </c>
      <c r="V73" s="139">
        <f>((V70*100)/V72)/7</f>
        <v>14.053884711779457</v>
      </c>
      <c r="AG73" s="3"/>
      <c r="AH73" s="3"/>
      <c r="AI73" s="3"/>
      <c r="AJ73" s="3"/>
      <c r="AK73" s="3"/>
      <c r="AL73" s="3"/>
    </row>
    <row r="74" spans="1:49" ht="33.75" customHeight="1" x14ac:dyDescent="0.25">
      <c r="A74" s="185" t="s">
        <v>14</v>
      </c>
      <c r="B74" s="279">
        <f t="shared" ref="B74:U74" si="19">((B72*B71)*7)/1000</f>
        <v>56.0595</v>
      </c>
      <c r="C74" s="280">
        <f t="shared" si="19"/>
        <v>56.0595</v>
      </c>
      <c r="D74" s="280">
        <f t="shared" si="19"/>
        <v>17.702999999999999</v>
      </c>
      <c r="E74" s="280">
        <f t="shared" si="19"/>
        <v>56.0595</v>
      </c>
      <c r="F74" s="280">
        <f t="shared" si="19"/>
        <v>56.0595</v>
      </c>
      <c r="G74" s="279">
        <f t="shared" si="19"/>
        <v>56.0595</v>
      </c>
      <c r="H74" s="280">
        <f t="shared" si="19"/>
        <v>56.0595</v>
      </c>
      <c r="I74" s="280">
        <f t="shared" si="19"/>
        <v>17.702999999999999</v>
      </c>
      <c r="J74" s="280">
        <f t="shared" si="19"/>
        <v>56.0595</v>
      </c>
      <c r="K74" s="280">
        <f t="shared" si="19"/>
        <v>56.0595</v>
      </c>
      <c r="L74" s="279">
        <f t="shared" si="19"/>
        <v>46.224499999999999</v>
      </c>
      <c r="M74" s="280">
        <f t="shared" si="19"/>
        <v>46.224499999999999</v>
      </c>
      <c r="N74" s="280">
        <f t="shared" si="19"/>
        <v>17.702999999999999</v>
      </c>
      <c r="O74" s="280">
        <f t="shared" si="19"/>
        <v>46.224499999999999</v>
      </c>
      <c r="P74" s="280">
        <f t="shared" si="19"/>
        <v>46.224499999999999</v>
      </c>
      <c r="Q74" s="279">
        <f t="shared" si="19"/>
        <v>48.191499999999998</v>
      </c>
      <c r="R74" s="280">
        <f t="shared" si="19"/>
        <v>48.191499999999998</v>
      </c>
      <c r="S74" s="280">
        <f t="shared" si="19"/>
        <v>17.702999999999999</v>
      </c>
      <c r="T74" s="280">
        <f t="shared" si="19"/>
        <v>48.191499999999998</v>
      </c>
      <c r="U74" s="280">
        <f t="shared" si="19"/>
        <v>48.191499999999998</v>
      </c>
      <c r="V74" s="112"/>
      <c r="W74" s="41"/>
      <c r="X74" s="41"/>
      <c r="Y74" s="41"/>
      <c r="Z74" s="41"/>
      <c r="AA74" s="41"/>
      <c r="AB74" s="41"/>
      <c r="AL74" s="3"/>
    </row>
    <row r="75" spans="1:49" ht="33.75" customHeight="1" thickBot="1" x14ac:dyDescent="0.3">
      <c r="A75" s="195" t="s">
        <v>15</v>
      </c>
      <c r="B75" s="37">
        <f t="shared" ref="B75:U75" si="20">+(B70/B72)/7*1000</f>
        <v>140.60150375939853</v>
      </c>
      <c r="C75" s="38">
        <f t="shared" si="20"/>
        <v>140.60150375939853</v>
      </c>
      <c r="D75" s="38">
        <f t="shared" si="20"/>
        <v>140.47619047619048</v>
      </c>
      <c r="E75" s="38">
        <f t="shared" si="20"/>
        <v>140.60150375939853</v>
      </c>
      <c r="F75" s="38">
        <f t="shared" si="20"/>
        <v>140.60150375939853</v>
      </c>
      <c r="G75" s="37">
        <f t="shared" si="20"/>
        <v>140.60150375939853</v>
      </c>
      <c r="H75" s="38">
        <f t="shared" si="20"/>
        <v>140.60150375939853</v>
      </c>
      <c r="I75" s="38">
        <f t="shared" si="20"/>
        <v>140.47619047619048</v>
      </c>
      <c r="J75" s="38">
        <f t="shared" si="20"/>
        <v>140.60150375939853</v>
      </c>
      <c r="K75" s="38">
        <f t="shared" si="20"/>
        <v>140.60150375939853</v>
      </c>
      <c r="L75" s="37">
        <f t="shared" si="20"/>
        <v>140.42553191489364</v>
      </c>
      <c r="M75" s="38">
        <f t="shared" si="20"/>
        <v>140.42553191489364</v>
      </c>
      <c r="N75" s="38">
        <f t="shared" si="20"/>
        <v>140.47619047619048</v>
      </c>
      <c r="O75" s="38">
        <f t="shared" si="20"/>
        <v>140.42553191489364</v>
      </c>
      <c r="P75" s="38">
        <f t="shared" si="20"/>
        <v>140.42553191489364</v>
      </c>
      <c r="Q75" s="37">
        <f t="shared" si="20"/>
        <v>140.52478134110788</v>
      </c>
      <c r="R75" s="38">
        <f t="shared" si="20"/>
        <v>140.52478134110788</v>
      </c>
      <c r="S75" s="38">
        <f t="shared" si="20"/>
        <v>140.47619047619048</v>
      </c>
      <c r="T75" s="38">
        <f t="shared" si="20"/>
        <v>140.52478134110788</v>
      </c>
      <c r="U75" s="38">
        <f t="shared" si="20"/>
        <v>140.52478134110788</v>
      </c>
      <c r="V75" s="40"/>
      <c r="AL75" s="3"/>
    </row>
    <row r="76" spans="1:49" ht="33.75" customHeight="1" x14ac:dyDescent="0.25">
      <c r="B76" s="43">
        <f>B74-B70</f>
        <v>-4.050000000000864E-2</v>
      </c>
      <c r="C76" s="43">
        <f t="shared" ref="C76:F76" si="21">C74-C70</f>
        <v>-4.050000000000864E-2</v>
      </c>
      <c r="D76" s="43">
        <f t="shared" si="21"/>
        <v>3.0000000000001137E-3</v>
      </c>
      <c r="E76" s="43">
        <f t="shared" si="21"/>
        <v>-4.050000000000864E-2</v>
      </c>
      <c r="F76" s="43">
        <f t="shared" si="21"/>
        <v>-4.050000000000864E-2</v>
      </c>
      <c r="G76" s="43">
        <f>G74-G70</f>
        <v>-4.050000000000864E-2</v>
      </c>
      <c r="H76" s="43">
        <f t="shared" ref="H76:K77" si="22">H74-H70</f>
        <v>-4.050000000000864E-2</v>
      </c>
      <c r="I76" s="43">
        <f t="shared" si="22"/>
        <v>3.0000000000001137E-3</v>
      </c>
      <c r="J76" s="43">
        <f t="shared" si="22"/>
        <v>-4.050000000000864E-2</v>
      </c>
      <c r="K76" s="43">
        <f t="shared" si="22"/>
        <v>-4.050000000000864E-2</v>
      </c>
      <c r="L76" s="43">
        <f>L74-L70</f>
        <v>2.4499999999996191E-2</v>
      </c>
      <c r="M76" s="43">
        <f t="shared" ref="M76:P76" si="23">M74-M70</f>
        <v>2.4499999999996191E-2</v>
      </c>
      <c r="N76" s="43">
        <f t="shared" si="23"/>
        <v>3.0000000000001137E-3</v>
      </c>
      <c r="O76" s="43">
        <f t="shared" si="23"/>
        <v>2.4499999999996191E-2</v>
      </c>
      <c r="P76" s="43">
        <f t="shared" si="23"/>
        <v>2.4499999999996191E-2</v>
      </c>
      <c r="Q76" s="43">
        <f>Q74-Q70</f>
        <v>-8.5000000000050591E-3</v>
      </c>
      <c r="R76" s="43">
        <f t="shared" ref="R76:U76" si="24">R74-R70</f>
        <v>-8.5000000000050591E-3</v>
      </c>
      <c r="S76" s="43">
        <f t="shared" si="24"/>
        <v>3.0000000000001137E-3</v>
      </c>
      <c r="T76" s="43">
        <f t="shared" si="24"/>
        <v>-8.5000000000050591E-3</v>
      </c>
      <c r="U76" s="43">
        <f t="shared" si="24"/>
        <v>-8.5000000000050591E-3</v>
      </c>
    </row>
    <row r="77" spans="1:49" ht="33.75" customHeight="1" x14ac:dyDescent="0.25">
      <c r="B77" s="42">
        <f t="shared" ref="B77:U77" si="25">B75-B71</f>
        <v>0.10150375939852552</v>
      </c>
      <c r="C77" s="42">
        <f t="shared" si="25"/>
        <v>0.10150375939852552</v>
      </c>
      <c r="D77" s="42">
        <f t="shared" si="25"/>
        <v>-2.3809523809518396E-2</v>
      </c>
      <c r="E77" s="42">
        <f t="shared" si="25"/>
        <v>0.10150375939852552</v>
      </c>
      <c r="F77" s="42">
        <f t="shared" si="25"/>
        <v>0.10150375939852552</v>
      </c>
      <c r="G77" s="42">
        <f t="shared" si="25"/>
        <v>0.10150375939852552</v>
      </c>
      <c r="H77" s="42">
        <f t="shared" si="25"/>
        <v>0.10150375939852552</v>
      </c>
      <c r="I77" s="42">
        <f t="shared" si="25"/>
        <v>-2.3809523809518396E-2</v>
      </c>
      <c r="J77" s="42">
        <f t="shared" si="25"/>
        <v>0.10150375939852552</v>
      </c>
      <c r="K77" s="42">
        <f t="shared" si="22"/>
        <v>0.10150375939852552</v>
      </c>
      <c r="L77" s="42">
        <f t="shared" si="25"/>
        <v>-7.4468085106360604E-2</v>
      </c>
      <c r="M77" s="42">
        <f t="shared" si="25"/>
        <v>-7.4468085106360604E-2</v>
      </c>
      <c r="N77" s="42">
        <f t="shared" si="25"/>
        <v>-2.3809523809518396E-2</v>
      </c>
      <c r="O77" s="42">
        <f t="shared" si="25"/>
        <v>-7.4468085106360604E-2</v>
      </c>
      <c r="P77" s="42">
        <f t="shared" si="25"/>
        <v>-7.4468085106360604E-2</v>
      </c>
      <c r="Q77" s="42">
        <f t="shared" si="25"/>
        <v>2.4781341107882326E-2</v>
      </c>
      <c r="R77" s="42">
        <f t="shared" si="25"/>
        <v>2.4781341107882326E-2</v>
      </c>
      <c r="S77" s="42">
        <f t="shared" si="25"/>
        <v>-2.3809523809518396E-2</v>
      </c>
      <c r="T77" s="42">
        <f t="shared" si="25"/>
        <v>2.4781341107882326E-2</v>
      </c>
      <c r="U77" s="42">
        <f t="shared" si="25"/>
        <v>2.4781341107882326E-2</v>
      </c>
      <c r="V77" s="45"/>
      <c r="W77" s="45"/>
      <c r="X77" s="45"/>
      <c r="Y77" s="45"/>
      <c r="Z77" s="45"/>
      <c r="AA77" s="45"/>
      <c r="AB77" s="45"/>
      <c r="AC77" s="52"/>
    </row>
    <row r="78" spans="1:49" ht="33.75" customHeight="1" x14ac:dyDescent="0.25">
      <c r="B78" s="287"/>
      <c r="C78" s="287"/>
      <c r="D78" s="287"/>
      <c r="E78" s="287"/>
      <c r="F78" s="287"/>
    </row>
    <row r="79" spans="1:49" ht="33.75" customHeight="1" x14ac:dyDescent="0.25">
      <c r="A79" s="45"/>
      <c r="B79" s="283"/>
      <c r="C79" s="283"/>
      <c r="D79" s="283"/>
      <c r="E79" s="283"/>
      <c r="F79" s="283"/>
      <c r="G79" s="58"/>
      <c r="H79" s="45"/>
      <c r="I79" s="45"/>
      <c r="J79" s="45"/>
      <c r="K79" s="45"/>
      <c r="L79" s="45"/>
      <c r="M79" s="45"/>
      <c r="N79" s="45"/>
      <c r="O79" s="45"/>
    </row>
    <row r="80" spans="1:49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9">
    <mergeCell ref="B60:F60"/>
    <mergeCell ref="G60:K60"/>
    <mergeCell ref="L60:P60"/>
    <mergeCell ref="Q60:U60"/>
    <mergeCell ref="V60:V61"/>
    <mergeCell ref="O59:P59"/>
    <mergeCell ref="A3:C3"/>
    <mergeCell ref="E9:G9"/>
    <mergeCell ref="W9:X9"/>
    <mergeCell ref="O11:P11"/>
    <mergeCell ref="B16:G16"/>
    <mergeCell ref="H16:M16"/>
    <mergeCell ref="N16:R16"/>
    <mergeCell ref="S16:X16"/>
    <mergeCell ref="B37:H37"/>
    <mergeCell ref="I37:I39"/>
    <mergeCell ref="O37:S37"/>
    <mergeCell ref="T37:T38"/>
    <mergeCell ref="J40:M52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W244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18" width="26.42578125" style="14" customWidth="1"/>
    <col min="19" max="19" width="33.140625" style="14" customWidth="1"/>
    <col min="20" max="24" width="26.42578125" style="14" customWidth="1"/>
    <col min="25" max="25" width="24.85546875" style="14" bestFit="1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 t="s">
        <v>105</v>
      </c>
      <c r="P11" s="965"/>
      <c r="Q11" s="6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37" ht="39.950000000000003" customHeight="1" thickBot="1" x14ac:dyDescent="0.3">
      <c r="A17" s="170" t="s">
        <v>34</v>
      </c>
      <c r="B17" s="425"/>
      <c r="C17" s="168"/>
      <c r="D17" s="168"/>
      <c r="E17" s="168"/>
      <c r="F17" s="168"/>
      <c r="G17" s="204"/>
      <c r="H17" s="997" t="s">
        <v>109</v>
      </c>
      <c r="I17" s="188"/>
      <c r="J17" s="168"/>
      <c r="K17" s="168"/>
      <c r="L17" s="168"/>
      <c r="M17" s="168"/>
      <c r="N17" s="169"/>
      <c r="O17" s="997" t="s">
        <v>109</v>
      </c>
      <c r="P17" s="202"/>
      <c r="Q17" s="174"/>
      <c r="R17" s="174"/>
      <c r="S17" s="174"/>
      <c r="T17" s="203"/>
      <c r="U17" s="186"/>
      <c r="V17" s="174"/>
      <c r="W17" s="174"/>
      <c r="X17" s="174"/>
      <c r="Y17" s="175"/>
      <c r="Z17" s="261" t="s">
        <v>9</v>
      </c>
      <c r="AD17" s="15"/>
      <c r="AE17" s="15"/>
    </row>
    <row r="18" spans="1:37" ht="39.950000000000003" customHeight="1" thickBot="1" x14ac:dyDescent="0.3">
      <c r="A18" s="170" t="s">
        <v>10</v>
      </c>
      <c r="B18" s="425" t="s">
        <v>100</v>
      </c>
      <c r="C18" s="168">
        <v>1</v>
      </c>
      <c r="D18" s="168">
        <v>2</v>
      </c>
      <c r="E18" s="168">
        <v>3</v>
      </c>
      <c r="F18" s="168">
        <v>4</v>
      </c>
      <c r="G18" s="204">
        <v>5</v>
      </c>
      <c r="H18" s="998"/>
      <c r="I18" s="386" t="s">
        <v>100</v>
      </c>
      <c r="J18" s="438">
        <v>1</v>
      </c>
      <c r="K18" s="438">
        <v>2</v>
      </c>
      <c r="L18" s="438">
        <v>3</v>
      </c>
      <c r="M18" s="438">
        <v>4</v>
      </c>
      <c r="N18" s="439">
        <v>5</v>
      </c>
      <c r="O18" s="998"/>
      <c r="P18" s="202">
        <v>1</v>
      </c>
      <c r="Q18" s="174">
        <v>2</v>
      </c>
      <c r="R18" s="174">
        <v>3</v>
      </c>
      <c r="S18" s="174">
        <v>4</v>
      </c>
      <c r="T18" s="203">
        <v>5</v>
      </c>
      <c r="U18" s="186">
        <v>1</v>
      </c>
      <c r="V18" s="174">
        <v>2</v>
      </c>
      <c r="W18" s="174">
        <v>3</v>
      </c>
      <c r="X18" s="174">
        <v>4</v>
      </c>
      <c r="Y18" s="175">
        <v>5</v>
      </c>
      <c r="Z18" s="126"/>
      <c r="AD18" s="2"/>
      <c r="AE18" s="15"/>
    </row>
    <row r="19" spans="1:37" ht="39.950000000000003" customHeight="1" x14ac:dyDescent="0.25">
      <c r="A19" s="171" t="s">
        <v>53</v>
      </c>
      <c r="B19" s="433">
        <v>263.10000000000002</v>
      </c>
      <c r="C19" s="180">
        <v>15.2</v>
      </c>
      <c r="D19" s="180">
        <v>17.5</v>
      </c>
      <c r="E19" s="180">
        <v>5.0999999999999996</v>
      </c>
      <c r="F19" s="180">
        <v>16.600000000000001</v>
      </c>
      <c r="G19" s="190">
        <v>17.2</v>
      </c>
      <c r="H19" s="437">
        <f>SUM(B19:G19)</f>
        <v>334.70000000000005</v>
      </c>
      <c r="I19" s="179">
        <v>261.8</v>
      </c>
      <c r="J19" s="180">
        <v>14.2</v>
      </c>
      <c r="K19" s="180">
        <v>15.7</v>
      </c>
      <c r="L19" s="180">
        <v>5.6</v>
      </c>
      <c r="M19" s="180">
        <v>15.4</v>
      </c>
      <c r="N19" s="181">
        <v>14.2</v>
      </c>
      <c r="O19" s="437">
        <f>SUM(I19:N19)</f>
        <v>326.89999999999998</v>
      </c>
      <c r="P19" s="61">
        <v>64.8</v>
      </c>
      <c r="Q19" s="19">
        <v>62.6</v>
      </c>
      <c r="R19" s="19">
        <v>24.7</v>
      </c>
      <c r="S19" s="19">
        <v>62.8</v>
      </c>
      <c r="T19" s="20">
        <v>62.2</v>
      </c>
      <c r="U19" s="18">
        <v>67.599999999999994</v>
      </c>
      <c r="V19" s="19">
        <v>66.5</v>
      </c>
      <c r="W19" s="19">
        <v>24.4</v>
      </c>
      <c r="X19" s="19">
        <v>65.099999999999994</v>
      </c>
      <c r="Y19" s="20">
        <v>66</v>
      </c>
      <c r="Z19" s="209">
        <f>SUM(H19,O19,P19:Y19)</f>
        <v>1228.3000000000002</v>
      </c>
      <c r="AA19" s="301"/>
      <c r="AB19" s="302"/>
      <c r="AD19" s="2"/>
      <c r="AE19" s="15"/>
    </row>
    <row r="20" spans="1:37" ht="39.950000000000003" customHeight="1" x14ac:dyDescent="0.25">
      <c r="A20" s="171" t="s">
        <v>24</v>
      </c>
      <c r="B20" s="419">
        <v>263.10000000000002</v>
      </c>
      <c r="C20" s="19">
        <v>15.2</v>
      </c>
      <c r="D20" s="19">
        <v>17.5</v>
      </c>
      <c r="E20" s="19">
        <v>5.0999999999999996</v>
      </c>
      <c r="F20" s="19">
        <v>16.600000000000001</v>
      </c>
      <c r="G20" s="108">
        <v>17.2</v>
      </c>
      <c r="H20" s="434">
        <f>SUM(B20:G20)</f>
        <v>334.70000000000005</v>
      </c>
      <c r="I20" s="18">
        <v>261.8</v>
      </c>
      <c r="J20" s="19">
        <v>14.2</v>
      </c>
      <c r="K20" s="19">
        <v>15.7</v>
      </c>
      <c r="L20" s="19">
        <v>5.6</v>
      </c>
      <c r="M20" s="19">
        <v>15.4</v>
      </c>
      <c r="N20" s="20">
        <v>14.2</v>
      </c>
      <c r="O20" s="434">
        <f>SUM(I20:N20)</f>
        <v>326.89999999999998</v>
      </c>
      <c r="P20" s="61">
        <v>64.8</v>
      </c>
      <c r="Q20" s="19">
        <v>62.6</v>
      </c>
      <c r="R20" s="19">
        <v>24.7</v>
      </c>
      <c r="S20" s="19">
        <v>62.8</v>
      </c>
      <c r="T20" s="20">
        <v>62.2</v>
      </c>
      <c r="U20" s="18">
        <v>67.599999999999994</v>
      </c>
      <c r="V20" s="19">
        <v>66.5</v>
      </c>
      <c r="W20" s="19">
        <v>24.4</v>
      </c>
      <c r="X20" s="19">
        <v>65.099999999999994</v>
      </c>
      <c r="Y20" s="20">
        <v>66</v>
      </c>
      <c r="Z20" s="209">
        <f t="shared" ref="Z20:Z25" si="0">SUM(H20,O20,P20:Y20)</f>
        <v>1228.3000000000002</v>
      </c>
      <c r="AA20" s="301"/>
      <c r="AB20" s="302"/>
      <c r="AD20" s="2"/>
      <c r="AE20" s="15"/>
    </row>
    <row r="21" spans="1:37" ht="39.75" customHeight="1" x14ac:dyDescent="0.25">
      <c r="A21" s="171" t="s">
        <v>20</v>
      </c>
      <c r="B21" s="419">
        <v>256.5</v>
      </c>
      <c r="C21" s="327">
        <v>18</v>
      </c>
      <c r="D21" s="327">
        <v>20</v>
      </c>
      <c r="E21" s="327">
        <v>5.8</v>
      </c>
      <c r="F21" s="327">
        <v>19.100000000000001</v>
      </c>
      <c r="G21" s="328">
        <v>19.7</v>
      </c>
      <c r="H21" s="434">
        <f t="shared" ref="H21:H25" si="1">SUM(B21:G21)</f>
        <v>339.1</v>
      </c>
      <c r="I21" s="326">
        <v>256.5</v>
      </c>
      <c r="J21" s="327">
        <v>17.600000000000001</v>
      </c>
      <c r="K21" s="327">
        <v>18.7</v>
      </c>
      <c r="L21" s="327">
        <v>6.5</v>
      </c>
      <c r="M21" s="327">
        <v>17.899999999999999</v>
      </c>
      <c r="N21" s="329">
        <v>17.5</v>
      </c>
      <c r="O21" s="435">
        <f t="shared" ref="O21:O25" si="2">SUM(I21:N21)</f>
        <v>334.7</v>
      </c>
      <c r="P21" s="330">
        <v>65.5</v>
      </c>
      <c r="Q21" s="327">
        <v>63.8</v>
      </c>
      <c r="R21" s="327">
        <v>25</v>
      </c>
      <c r="S21" s="327">
        <v>64</v>
      </c>
      <c r="T21" s="329">
        <v>63.6</v>
      </c>
      <c r="U21" s="326">
        <v>68.5</v>
      </c>
      <c r="V21" s="327">
        <v>67.8</v>
      </c>
      <c r="W21" s="327">
        <v>24.9</v>
      </c>
      <c r="X21" s="327">
        <v>66.599999999999994</v>
      </c>
      <c r="Y21" s="329">
        <v>66.900000000000006</v>
      </c>
      <c r="Z21" s="209">
        <f t="shared" si="0"/>
        <v>1250.3999999999999</v>
      </c>
      <c r="AA21" s="301"/>
      <c r="AB21" s="302"/>
      <c r="AD21" s="2"/>
      <c r="AE21" s="15"/>
    </row>
    <row r="22" spans="1:37" ht="39.950000000000003" customHeight="1" x14ac:dyDescent="0.25">
      <c r="A22" s="171" t="s">
        <v>28</v>
      </c>
      <c r="B22" s="419">
        <v>256.5</v>
      </c>
      <c r="C22" s="327">
        <v>18</v>
      </c>
      <c r="D22" s="327">
        <v>20</v>
      </c>
      <c r="E22" s="327">
        <v>5.8</v>
      </c>
      <c r="F22" s="327">
        <v>19.100000000000001</v>
      </c>
      <c r="G22" s="328">
        <v>19.7</v>
      </c>
      <c r="H22" s="434">
        <f t="shared" si="1"/>
        <v>339.1</v>
      </c>
      <c r="I22" s="326">
        <v>256.5</v>
      </c>
      <c r="J22" s="327">
        <v>17.600000000000001</v>
      </c>
      <c r="K22" s="327">
        <v>18.7</v>
      </c>
      <c r="L22" s="327">
        <v>6.5</v>
      </c>
      <c r="M22" s="327">
        <v>18</v>
      </c>
      <c r="N22" s="329">
        <v>17.5</v>
      </c>
      <c r="O22" s="435">
        <f t="shared" si="2"/>
        <v>334.8</v>
      </c>
      <c r="P22" s="330">
        <v>65.5</v>
      </c>
      <c r="Q22" s="327">
        <v>63.8</v>
      </c>
      <c r="R22" s="327">
        <v>25</v>
      </c>
      <c r="S22" s="327">
        <v>64.099999999999994</v>
      </c>
      <c r="T22" s="329">
        <v>63.6</v>
      </c>
      <c r="U22" s="326">
        <v>68.5</v>
      </c>
      <c r="V22" s="327">
        <v>67.8</v>
      </c>
      <c r="W22" s="327">
        <v>24.9</v>
      </c>
      <c r="X22" s="327">
        <v>66.599999999999994</v>
      </c>
      <c r="Y22" s="329">
        <v>66.900000000000006</v>
      </c>
      <c r="Z22" s="209">
        <f t="shared" si="0"/>
        <v>1250.6000000000001</v>
      </c>
      <c r="AA22" s="301"/>
      <c r="AB22" s="302"/>
      <c r="AD22" s="2"/>
      <c r="AE22" s="15"/>
    </row>
    <row r="23" spans="1:37" ht="39.950000000000003" customHeight="1" x14ac:dyDescent="0.25">
      <c r="A23" s="171" t="s">
        <v>21</v>
      </c>
      <c r="B23" s="419">
        <v>256.5</v>
      </c>
      <c r="C23" s="327">
        <v>18</v>
      </c>
      <c r="D23" s="327">
        <v>20</v>
      </c>
      <c r="E23" s="327">
        <v>5.8</v>
      </c>
      <c r="F23" s="327">
        <v>19.100000000000001</v>
      </c>
      <c r="G23" s="328">
        <v>19.7</v>
      </c>
      <c r="H23" s="434">
        <f t="shared" si="1"/>
        <v>339.1</v>
      </c>
      <c r="I23" s="326">
        <v>256.5</v>
      </c>
      <c r="J23" s="327">
        <v>17.600000000000001</v>
      </c>
      <c r="K23" s="327">
        <v>18.7</v>
      </c>
      <c r="L23" s="327">
        <v>6.5</v>
      </c>
      <c r="M23" s="327">
        <v>18</v>
      </c>
      <c r="N23" s="329">
        <v>17.5</v>
      </c>
      <c r="O23" s="435">
        <f t="shared" si="2"/>
        <v>334.8</v>
      </c>
      <c r="P23" s="330">
        <v>65.5</v>
      </c>
      <c r="Q23" s="327">
        <v>63.8</v>
      </c>
      <c r="R23" s="327">
        <v>25</v>
      </c>
      <c r="S23" s="327">
        <v>64.099999999999994</v>
      </c>
      <c r="T23" s="329">
        <v>63.6</v>
      </c>
      <c r="U23" s="326">
        <v>68.5</v>
      </c>
      <c r="V23" s="327">
        <v>67.900000000000006</v>
      </c>
      <c r="W23" s="327">
        <v>25</v>
      </c>
      <c r="X23" s="327">
        <v>66.599999999999994</v>
      </c>
      <c r="Y23" s="329">
        <v>67</v>
      </c>
      <c r="Z23" s="209">
        <f t="shared" si="0"/>
        <v>1250.9000000000001</v>
      </c>
      <c r="AA23" s="301"/>
      <c r="AB23" s="302"/>
      <c r="AD23" s="2"/>
      <c r="AE23" s="15"/>
    </row>
    <row r="24" spans="1:37" ht="39.950000000000003" customHeight="1" x14ac:dyDescent="0.25">
      <c r="A24" s="171" t="s">
        <v>22</v>
      </c>
      <c r="B24" s="419">
        <v>256.5</v>
      </c>
      <c r="C24" s="327">
        <v>18</v>
      </c>
      <c r="D24" s="327">
        <v>20</v>
      </c>
      <c r="E24" s="327">
        <v>5.9</v>
      </c>
      <c r="F24" s="327">
        <v>19.100000000000001</v>
      </c>
      <c r="G24" s="328">
        <v>19.7</v>
      </c>
      <c r="H24" s="434">
        <f t="shared" si="1"/>
        <v>339.2</v>
      </c>
      <c r="I24" s="326">
        <v>256.5</v>
      </c>
      <c r="J24" s="327">
        <v>17.600000000000001</v>
      </c>
      <c r="K24" s="327">
        <v>18.7</v>
      </c>
      <c r="L24" s="327">
        <v>6.5</v>
      </c>
      <c r="M24" s="327">
        <v>18</v>
      </c>
      <c r="N24" s="329">
        <v>17.5</v>
      </c>
      <c r="O24" s="435">
        <f t="shared" si="2"/>
        <v>334.8</v>
      </c>
      <c r="P24" s="330">
        <v>65.599999999999994</v>
      </c>
      <c r="Q24" s="327">
        <v>63.8</v>
      </c>
      <c r="R24" s="327">
        <v>25</v>
      </c>
      <c r="S24" s="327">
        <v>64.099999999999994</v>
      </c>
      <c r="T24" s="329">
        <v>63.7</v>
      </c>
      <c r="U24" s="326">
        <v>68.5</v>
      </c>
      <c r="V24" s="327">
        <v>67.900000000000006</v>
      </c>
      <c r="W24" s="327">
        <v>25</v>
      </c>
      <c r="X24" s="327">
        <v>66.599999999999994</v>
      </c>
      <c r="Y24" s="329">
        <v>67</v>
      </c>
      <c r="Z24" s="209">
        <f t="shared" si="0"/>
        <v>1251.2</v>
      </c>
      <c r="AA24" s="301"/>
      <c r="AB24" s="302"/>
      <c r="AD24" s="2"/>
      <c r="AE24" s="15"/>
    </row>
    <row r="25" spans="1:37" ht="39.950000000000003" customHeight="1" thickBot="1" x14ac:dyDescent="0.3">
      <c r="A25" s="285" t="s">
        <v>23</v>
      </c>
      <c r="B25" s="419">
        <v>256.5</v>
      </c>
      <c r="C25" s="327">
        <v>18</v>
      </c>
      <c r="D25" s="327">
        <v>20</v>
      </c>
      <c r="E25" s="327">
        <v>5.9</v>
      </c>
      <c r="F25" s="327">
        <v>19.100000000000001</v>
      </c>
      <c r="G25" s="328">
        <v>19.7</v>
      </c>
      <c r="H25" s="434">
        <f t="shared" si="1"/>
        <v>339.2</v>
      </c>
      <c r="I25" s="326">
        <v>256.5</v>
      </c>
      <c r="J25" s="327">
        <v>17.600000000000001</v>
      </c>
      <c r="K25" s="327">
        <v>18.7</v>
      </c>
      <c r="L25" s="327">
        <v>6.5</v>
      </c>
      <c r="M25" s="327">
        <v>18</v>
      </c>
      <c r="N25" s="329">
        <v>17.5</v>
      </c>
      <c r="O25" s="435">
        <f t="shared" si="2"/>
        <v>334.8</v>
      </c>
      <c r="P25" s="330">
        <v>65.599999999999994</v>
      </c>
      <c r="Q25" s="327">
        <v>63.9</v>
      </c>
      <c r="R25" s="327">
        <v>25.1</v>
      </c>
      <c r="S25" s="327">
        <v>64.099999999999994</v>
      </c>
      <c r="T25" s="329">
        <v>63.7</v>
      </c>
      <c r="U25" s="326">
        <v>68.5</v>
      </c>
      <c r="V25" s="327">
        <v>67.900000000000006</v>
      </c>
      <c r="W25" s="327">
        <v>25</v>
      </c>
      <c r="X25" s="327">
        <v>66.599999999999994</v>
      </c>
      <c r="Y25" s="329">
        <v>67</v>
      </c>
      <c r="Z25" s="209">
        <f t="shared" si="0"/>
        <v>1251.4000000000001</v>
      </c>
      <c r="AA25" s="301"/>
      <c r="AB25" s="302"/>
      <c r="AD25" s="2"/>
    </row>
    <row r="26" spans="1:37" ht="41.45" customHeight="1" thickBot="1" x14ac:dyDescent="0.3">
      <c r="A26" s="268" t="s">
        <v>9</v>
      </c>
      <c r="B26" s="421"/>
      <c r="C26" s="128">
        <f>SUM(C19:C25)</f>
        <v>120.4</v>
      </c>
      <c r="D26" s="128">
        <f t="shared" ref="D26:Y26" si="3">SUM(D19:D25)</f>
        <v>135</v>
      </c>
      <c r="E26" s="128">
        <f t="shared" si="3"/>
        <v>39.4</v>
      </c>
      <c r="F26" s="128">
        <f t="shared" si="3"/>
        <v>128.69999999999999</v>
      </c>
      <c r="G26" s="205">
        <f t="shared" si="3"/>
        <v>132.9</v>
      </c>
      <c r="H26" s="436">
        <f>SUM(H19:H25)</f>
        <v>2365.1000000000004</v>
      </c>
      <c r="I26" s="131"/>
      <c r="J26" s="128">
        <f t="shared" si="3"/>
        <v>116.4</v>
      </c>
      <c r="K26" s="128">
        <f t="shared" si="3"/>
        <v>124.9</v>
      </c>
      <c r="L26" s="128">
        <f t="shared" si="3"/>
        <v>43.7</v>
      </c>
      <c r="M26" s="128">
        <f t="shared" si="3"/>
        <v>120.7</v>
      </c>
      <c r="N26" s="129">
        <f t="shared" si="3"/>
        <v>115.9</v>
      </c>
      <c r="O26" s="436">
        <f>SUM(O19:O25)</f>
        <v>2327.6999999999998</v>
      </c>
      <c r="P26" s="127">
        <f t="shared" si="3"/>
        <v>457.30000000000007</v>
      </c>
      <c r="Q26" s="128">
        <f t="shared" si="3"/>
        <v>444.3</v>
      </c>
      <c r="R26" s="128">
        <f t="shared" si="3"/>
        <v>174.5</v>
      </c>
      <c r="S26" s="128">
        <f t="shared" si="3"/>
        <v>446</v>
      </c>
      <c r="T26" s="205">
        <f t="shared" si="3"/>
        <v>442.59999999999997</v>
      </c>
      <c r="U26" s="131">
        <f t="shared" si="3"/>
        <v>477.7</v>
      </c>
      <c r="V26" s="128">
        <f t="shared" si="3"/>
        <v>472.29999999999995</v>
      </c>
      <c r="W26" s="128">
        <f t="shared" si="3"/>
        <v>173.6</v>
      </c>
      <c r="X26" s="128">
        <f t="shared" si="3"/>
        <v>463.20000000000005</v>
      </c>
      <c r="Y26" s="129">
        <f t="shared" si="3"/>
        <v>466.8</v>
      </c>
      <c r="Z26" s="375">
        <f>SUM(Z19,Z20,Z21,Z22,Z23,Z24,Z25)</f>
        <v>8711.1</v>
      </c>
      <c r="AA26" s="301"/>
    </row>
    <row r="27" spans="1:37" s="2" customFormat="1" ht="36.75" customHeight="1" x14ac:dyDescent="0.25">
      <c r="A27" s="192" t="s">
        <v>11</v>
      </c>
      <c r="B27" s="23"/>
      <c r="C27" s="24">
        <v>129</v>
      </c>
      <c r="D27" s="24">
        <v>132.5</v>
      </c>
      <c r="E27" s="24">
        <v>129.5</v>
      </c>
      <c r="F27" s="24">
        <v>131</v>
      </c>
      <c r="G27" s="24">
        <v>132</v>
      </c>
      <c r="H27" s="440"/>
      <c r="I27" s="23"/>
      <c r="J27" s="24">
        <v>128</v>
      </c>
      <c r="K27" s="24">
        <v>130</v>
      </c>
      <c r="L27" s="24">
        <v>132.5</v>
      </c>
      <c r="M27" s="24">
        <v>129</v>
      </c>
      <c r="N27" s="24">
        <v>128</v>
      </c>
      <c r="O27" s="440"/>
      <c r="P27" s="63">
        <v>132.5</v>
      </c>
      <c r="Q27" s="24">
        <v>129</v>
      </c>
      <c r="R27" s="24">
        <v>130.5</v>
      </c>
      <c r="S27" s="24">
        <v>129.5</v>
      </c>
      <c r="T27" s="228">
        <v>128.5</v>
      </c>
      <c r="U27" s="23">
        <v>132.5</v>
      </c>
      <c r="V27" s="24">
        <v>131</v>
      </c>
      <c r="W27" s="24">
        <v>130.5</v>
      </c>
      <c r="X27" s="24">
        <v>128.5</v>
      </c>
      <c r="Y27" s="25">
        <v>129.5</v>
      </c>
      <c r="Z27" s="99">
        <f>(((Z26*1000)/7)/Z28)</f>
        <v>130.44474393530996</v>
      </c>
    </row>
    <row r="28" spans="1:37" s="2" customFormat="1" ht="33" customHeight="1" x14ac:dyDescent="0.25">
      <c r="A28" s="193" t="s">
        <v>12</v>
      </c>
      <c r="B28" s="257"/>
      <c r="C28" s="27">
        <v>593</v>
      </c>
      <c r="D28" s="27">
        <v>594</v>
      </c>
      <c r="E28" s="27">
        <v>191</v>
      </c>
      <c r="F28" s="27">
        <v>594</v>
      </c>
      <c r="G28" s="27">
        <v>593</v>
      </c>
      <c r="H28" s="441"/>
      <c r="I28" s="26"/>
      <c r="J28" s="27">
        <v>594</v>
      </c>
      <c r="K28" s="27">
        <v>594</v>
      </c>
      <c r="L28" s="275">
        <v>192</v>
      </c>
      <c r="M28" s="27">
        <v>594</v>
      </c>
      <c r="N28" s="27">
        <v>591</v>
      </c>
      <c r="O28" s="441"/>
      <c r="P28" s="64">
        <v>493</v>
      </c>
      <c r="Q28" s="27">
        <v>492</v>
      </c>
      <c r="R28" s="27">
        <v>191</v>
      </c>
      <c r="S28" s="27">
        <v>492</v>
      </c>
      <c r="T28" s="275">
        <v>492</v>
      </c>
      <c r="U28" s="27">
        <v>515</v>
      </c>
      <c r="V28" s="27">
        <v>515</v>
      </c>
      <c r="W28" s="27">
        <v>190</v>
      </c>
      <c r="X28" s="27">
        <v>515</v>
      </c>
      <c r="Y28" s="27">
        <v>515</v>
      </c>
      <c r="Z28" s="29">
        <f>SUM(C28:Y28)</f>
        <v>9540</v>
      </c>
      <c r="AA28" s="402"/>
    </row>
    <row r="29" spans="1:37" s="2" customFormat="1" ht="33" customHeight="1" x14ac:dyDescent="0.25">
      <c r="A29" s="444" t="s">
        <v>13</v>
      </c>
      <c r="B29" s="445"/>
      <c r="C29" s="31">
        <f>((((C34*7)*C28)/1000)-(C19+C20))/5</f>
        <v>17.995800000000003</v>
      </c>
      <c r="D29" s="31">
        <f t="shared" ref="D29:G29" si="4">((((D34*7)*D28)/1000)-(D19+D20))/5</f>
        <v>20.026999999999997</v>
      </c>
      <c r="E29" s="31">
        <f t="shared" si="4"/>
        <v>5.8483000000000001</v>
      </c>
      <c r="F29" s="31">
        <f t="shared" si="4"/>
        <v>19.139599999999998</v>
      </c>
      <c r="G29" s="31">
        <f t="shared" si="4"/>
        <v>19.686399999999999</v>
      </c>
      <c r="H29" s="442"/>
      <c r="I29" s="30"/>
      <c r="J29" s="31">
        <f>((((J34*7)*J28)/1000)-(J19+J20))/5</f>
        <v>17.604800000000001</v>
      </c>
      <c r="K29" s="31">
        <f t="shared" ref="K29:N29" si="5">((((K34*7)*K28)/1000)-(K19+K20))/5</f>
        <v>18.667999999999999</v>
      </c>
      <c r="L29" s="31">
        <f t="shared" si="5"/>
        <v>6.4960000000000004</v>
      </c>
      <c r="M29" s="31">
        <f t="shared" si="5"/>
        <v>17.956399999999999</v>
      </c>
      <c r="N29" s="31">
        <f t="shared" si="5"/>
        <v>17.487200000000001</v>
      </c>
      <c r="O29" s="442"/>
      <c r="P29" s="65">
        <f t="shared" ref="P29:Y29" si="6">((((P27*7)*P28)/1000)-(P19+P20))/5</f>
        <v>65.531500000000008</v>
      </c>
      <c r="Q29" s="30">
        <f t="shared" si="6"/>
        <v>63.815200000000004</v>
      </c>
      <c r="R29" s="30">
        <f t="shared" si="6"/>
        <v>25.015699999999999</v>
      </c>
      <c r="S29" s="30">
        <f t="shared" si="6"/>
        <v>64.079599999999999</v>
      </c>
      <c r="T29" s="30">
        <f t="shared" si="6"/>
        <v>63.630800000000001</v>
      </c>
      <c r="U29" s="30">
        <f t="shared" si="6"/>
        <v>68.492500000000007</v>
      </c>
      <c r="V29" s="30">
        <f t="shared" si="6"/>
        <v>67.850999999999999</v>
      </c>
      <c r="W29" s="30">
        <f t="shared" si="6"/>
        <v>24.952999999999999</v>
      </c>
      <c r="X29" s="30">
        <f t="shared" si="6"/>
        <v>66.608500000000006</v>
      </c>
      <c r="Y29" s="286">
        <f t="shared" si="6"/>
        <v>66.969500000000011</v>
      </c>
      <c r="Z29" s="33"/>
    </row>
    <row r="30" spans="1:37" ht="33.75" customHeight="1" x14ac:dyDescent="0.25">
      <c r="A30" s="185" t="s">
        <v>14</v>
      </c>
      <c r="B30" s="34"/>
      <c r="C30" s="280">
        <f>((C28*C31)*7)/1000</f>
        <v>120.4</v>
      </c>
      <c r="D30" s="280">
        <f t="shared" ref="D30:G30" si="7">((D28*D31)*7)/1000</f>
        <v>134.99999999999997</v>
      </c>
      <c r="E30" s="280">
        <f>((E28*E31)*7)/1000</f>
        <v>39.4</v>
      </c>
      <c r="F30" s="280">
        <f t="shared" si="7"/>
        <v>128.69999999999996</v>
      </c>
      <c r="G30" s="280">
        <f t="shared" si="7"/>
        <v>132.9</v>
      </c>
      <c r="H30" s="443"/>
      <c r="I30" s="279"/>
      <c r="J30" s="280">
        <f>((J28*J31)*7)/1000</f>
        <v>116.4</v>
      </c>
      <c r="K30" s="280">
        <f t="shared" ref="K30" si="8">((K28*K31)*7)/1000</f>
        <v>124.89999999999999</v>
      </c>
      <c r="L30" s="280">
        <f t="shared" ref="L30" si="9">((L28*L31)*7)/1000</f>
        <v>43.7</v>
      </c>
      <c r="M30" s="280">
        <f t="shared" ref="M30" si="10">((M28*M31)*7)/1000</f>
        <v>120.70000000000002</v>
      </c>
      <c r="N30" s="280">
        <f t="shared" ref="N30" si="11">((N28*N31)*7)/1000</f>
        <v>115.90000000000002</v>
      </c>
      <c r="O30" s="443"/>
      <c r="P30" s="325">
        <f t="shared" ref="P30:Y30" si="12">((P28*P27)*7)/1000</f>
        <v>457.25749999999999</v>
      </c>
      <c r="Q30" s="280">
        <f t="shared" si="12"/>
        <v>444.27600000000001</v>
      </c>
      <c r="R30" s="280">
        <f t="shared" si="12"/>
        <v>174.4785</v>
      </c>
      <c r="S30" s="280">
        <f t="shared" si="12"/>
        <v>445.99799999999999</v>
      </c>
      <c r="T30" s="281">
        <f t="shared" si="12"/>
        <v>442.55399999999997</v>
      </c>
      <c r="U30" s="279">
        <f t="shared" si="12"/>
        <v>477.66250000000002</v>
      </c>
      <c r="V30" s="280">
        <f t="shared" si="12"/>
        <v>472.255</v>
      </c>
      <c r="W30" s="280">
        <f t="shared" si="12"/>
        <v>173.565</v>
      </c>
      <c r="X30" s="280">
        <f t="shared" si="12"/>
        <v>463.24250000000001</v>
      </c>
      <c r="Y30" s="282">
        <f t="shared" si="12"/>
        <v>466.84750000000003</v>
      </c>
      <c r="Z30" s="36"/>
    </row>
    <row r="31" spans="1:37" ht="33.75" customHeight="1" thickBot="1" x14ac:dyDescent="0.3">
      <c r="A31" s="195" t="s">
        <v>15</v>
      </c>
      <c r="B31" s="423"/>
      <c r="C31" s="38">
        <f>+(C26/C28)/7*1000</f>
        <v>29.005059021922428</v>
      </c>
      <c r="D31" s="38">
        <f t="shared" ref="D31:Y31" si="13">+(D26/D28)/7*1000</f>
        <v>32.467532467532465</v>
      </c>
      <c r="E31" s="38">
        <f t="shared" si="13"/>
        <v>29.468960359012716</v>
      </c>
      <c r="F31" s="38">
        <f t="shared" si="13"/>
        <v>30.952380952380949</v>
      </c>
      <c r="G31" s="38">
        <f t="shared" si="13"/>
        <v>32.016381594796435</v>
      </c>
      <c r="H31" s="259"/>
      <c r="I31" s="37"/>
      <c r="J31" s="38">
        <f t="shared" si="13"/>
        <v>27.994227994227995</v>
      </c>
      <c r="K31" s="38">
        <f t="shared" si="13"/>
        <v>30.038480038480039</v>
      </c>
      <c r="L31" s="38">
        <f t="shared" si="13"/>
        <v>32.514880952380956</v>
      </c>
      <c r="M31" s="38">
        <f t="shared" si="13"/>
        <v>29.028379028379032</v>
      </c>
      <c r="N31" s="38">
        <f t="shared" si="13"/>
        <v>28.015470147449843</v>
      </c>
      <c r="O31" s="259"/>
      <c r="P31" s="67">
        <f t="shared" si="13"/>
        <v>132.512315270936</v>
      </c>
      <c r="Q31" s="38">
        <f t="shared" si="13"/>
        <v>129.00696864111498</v>
      </c>
      <c r="R31" s="38">
        <f t="shared" si="13"/>
        <v>130.51608077786091</v>
      </c>
      <c r="S31" s="38">
        <f t="shared" si="13"/>
        <v>129.5005807200929</v>
      </c>
      <c r="T31" s="207">
        <f t="shared" si="13"/>
        <v>128.51335656213706</v>
      </c>
      <c r="U31" s="37">
        <f t="shared" si="13"/>
        <v>132.51040221914008</v>
      </c>
      <c r="V31" s="38">
        <f t="shared" si="13"/>
        <v>131.0124826629681</v>
      </c>
      <c r="W31" s="38">
        <f t="shared" si="13"/>
        <v>130.52631578947367</v>
      </c>
      <c r="X31" s="38">
        <f t="shared" si="13"/>
        <v>128.48821081830792</v>
      </c>
      <c r="Y31" s="39">
        <f t="shared" si="13"/>
        <v>129.48682385575589</v>
      </c>
      <c r="Z31" s="40"/>
    </row>
    <row r="32" spans="1:37" ht="33.75" customHeight="1" x14ac:dyDescent="0.25">
      <c r="A32" s="41"/>
      <c r="B32" s="41"/>
      <c r="C32" s="42">
        <f>C30-C26</f>
        <v>0</v>
      </c>
      <c r="D32" s="42">
        <f t="shared" ref="D32:Y33" si="14">D30-D26</f>
        <v>0</v>
      </c>
      <c r="E32" s="42">
        <f t="shared" si="14"/>
        <v>0</v>
      </c>
      <c r="F32" s="42">
        <f t="shared" si="14"/>
        <v>0</v>
      </c>
      <c r="G32" s="42">
        <f t="shared" si="14"/>
        <v>0</v>
      </c>
      <c r="H32" s="42"/>
      <c r="I32" s="42"/>
      <c r="J32" s="42">
        <f t="shared" si="14"/>
        <v>0</v>
      </c>
      <c r="K32" s="42">
        <f t="shared" si="14"/>
        <v>0</v>
      </c>
      <c r="L32" s="42">
        <f t="shared" si="14"/>
        <v>0</v>
      </c>
      <c r="M32" s="42">
        <f t="shared" si="14"/>
        <v>0</v>
      </c>
      <c r="N32" s="42">
        <f t="shared" si="14"/>
        <v>0</v>
      </c>
      <c r="O32" s="42"/>
      <c r="P32" s="42">
        <f t="shared" si="14"/>
        <v>-4.2500000000075033E-2</v>
      </c>
      <c r="Q32" s="42">
        <f t="shared" si="14"/>
        <v>-2.4000000000000909E-2</v>
      </c>
      <c r="R32" s="42">
        <f t="shared" si="14"/>
        <v>-2.1500000000003183E-2</v>
      </c>
      <c r="S32" s="42">
        <f t="shared" si="14"/>
        <v>-2.0000000000095497E-3</v>
      </c>
      <c r="T32" s="42">
        <f t="shared" si="14"/>
        <v>-4.5999999999992269E-2</v>
      </c>
      <c r="U32" s="42">
        <f t="shared" si="14"/>
        <v>-3.7499999999965894E-2</v>
      </c>
      <c r="V32" s="42">
        <f t="shared" si="14"/>
        <v>-4.4999999999959073E-2</v>
      </c>
      <c r="W32" s="42">
        <f t="shared" si="14"/>
        <v>-3.4999999999996589E-2</v>
      </c>
      <c r="X32" s="42">
        <f t="shared" si="14"/>
        <v>4.2499999999961346E-2</v>
      </c>
      <c r="Y32" s="42">
        <f t="shared" si="14"/>
        <v>4.7500000000013642E-2</v>
      </c>
      <c r="Z32" s="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</row>
    <row r="33" spans="1:38" ht="33.75" customHeight="1" x14ac:dyDescent="0.25">
      <c r="A33" s="41"/>
      <c r="B33" s="41"/>
      <c r="C33" s="42">
        <f>C31-C34</f>
        <v>5.0590219224275756E-3</v>
      </c>
      <c r="D33" s="42">
        <f t="shared" ref="D33:G33" si="15">D31-D34</f>
        <v>-3.246753246753542E-2</v>
      </c>
      <c r="E33" s="42">
        <f t="shared" si="15"/>
        <v>-3.10396409872844E-2</v>
      </c>
      <c r="F33" s="42">
        <f t="shared" si="15"/>
        <v>-4.7619047619051003E-2</v>
      </c>
      <c r="G33" s="42">
        <f t="shared" si="15"/>
        <v>1.6381594796435195E-2</v>
      </c>
      <c r="H33" s="42"/>
      <c r="I33" s="42"/>
      <c r="J33" s="42">
        <f t="shared" ref="J33" si="16">J31-J34</f>
        <v>-5.7720057720054285E-3</v>
      </c>
      <c r="K33" s="42">
        <f t="shared" ref="K33" si="17">K31-K34</f>
        <v>3.8480038480038559E-2</v>
      </c>
      <c r="L33" s="42">
        <f t="shared" ref="L33" si="18">L31-L34</f>
        <v>1.4880952380956103E-2</v>
      </c>
      <c r="M33" s="42">
        <f t="shared" ref="M33" si="19">M31-M34</f>
        <v>2.8379028379031723E-2</v>
      </c>
      <c r="N33" s="42">
        <f t="shared" ref="N33" si="20">N31-N34</f>
        <v>1.5470147449843097E-2</v>
      </c>
      <c r="O33" s="42"/>
      <c r="P33" s="42">
        <f t="shared" si="14"/>
        <v>1.2315270935999933E-2</v>
      </c>
      <c r="Q33" s="42">
        <f t="shared" si="14"/>
        <v>6.9686411149803007E-3</v>
      </c>
      <c r="R33" s="42">
        <f t="shared" si="14"/>
        <v>1.6080777860906892E-2</v>
      </c>
      <c r="S33" s="42">
        <f t="shared" si="14"/>
        <v>5.8072009289844573E-4</v>
      </c>
      <c r="T33" s="42">
        <f t="shared" si="14"/>
        <v>1.3356562137062156E-2</v>
      </c>
      <c r="U33" s="42">
        <f t="shared" si="14"/>
        <v>1.0402219140075886E-2</v>
      </c>
      <c r="V33" s="42">
        <f t="shared" si="14"/>
        <v>1.2482662968096747E-2</v>
      </c>
      <c r="W33" s="42">
        <f t="shared" si="14"/>
        <v>2.6315789473670748E-2</v>
      </c>
      <c r="X33" s="42">
        <f t="shared" si="14"/>
        <v>-1.1789181692080319E-2</v>
      </c>
      <c r="Y33" s="42">
        <f t="shared" si="14"/>
        <v>-1.3176144244113175E-2</v>
      </c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41"/>
      <c r="C34" s="42">
        <f>C27-$B$35</f>
        <v>29</v>
      </c>
      <c r="D34" s="42">
        <f t="shared" ref="D34:N34" si="21">D27-$B$35</f>
        <v>32.5</v>
      </c>
      <c r="E34" s="42">
        <f t="shared" si="21"/>
        <v>29.5</v>
      </c>
      <c r="F34" s="42">
        <f t="shared" si="21"/>
        <v>31</v>
      </c>
      <c r="G34" s="42">
        <f t="shared" si="21"/>
        <v>32</v>
      </c>
      <c r="H34" s="42"/>
      <c r="I34" s="42"/>
      <c r="J34" s="42">
        <f t="shared" si="21"/>
        <v>28</v>
      </c>
      <c r="K34" s="42">
        <f t="shared" si="21"/>
        <v>30</v>
      </c>
      <c r="L34" s="42">
        <f t="shared" si="21"/>
        <v>32.5</v>
      </c>
      <c r="M34" s="42">
        <f t="shared" si="21"/>
        <v>29</v>
      </c>
      <c r="N34" s="42">
        <f t="shared" si="21"/>
        <v>28</v>
      </c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1"/>
    </row>
    <row r="35" spans="1:38" ht="33.75" customHeight="1" x14ac:dyDescent="0.25">
      <c r="A35" s="41"/>
      <c r="B35" s="430">
        <v>100</v>
      </c>
      <c r="C35" s="431">
        <f>(B35*D35)/1000</f>
        <v>256.5</v>
      </c>
      <c r="D35" s="432">
        <f>SUM(C28:G28)</f>
        <v>2565</v>
      </c>
      <c r="E35" s="42"/>
      <c r="F35" s="42"/>
      <c r="G35" s="42"/>
      <c r="H35" s="42"/>
      <c r="I35" s="430">
        <v>100</v>
      </c>
      <c r="J35" s="431">
        <f>(I35*K35)/1000</f>
        <v>256.5</v>
      </c>
      <c r="K35" s="432">
        <f>SUM(J28:N28)</f>
        <v>2565</v>
      </c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30" t="s">
        <v>106</v>
      </c>
      <c r="C36" s="431" t="s">
        <v>107</v>
      </c>
      <c r="D36" s="431" t="s">
        <v>108</v>
      </c>
      <c r="E36" s="42"/>
      <c r="F36" s="42"/>
      <c r="G36" s="42"/>
      <c r="H36" s="42"/>
      <c r="I36" s="430" t="s">
        <v>106</v>
      </c>
      <c r="J36" s="431" t="s">
        <v>107</v>
      </c>
      <c r="K36" s="431" t="s">
        <v>108</v>
      </c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264"/>
      <c r="L37" s="42"/>
      <c r="M37" s="42"/>
      <c r="N37" s="42"/>
      <c r="O37" s="42"/>
      <c r="P37" s="264"/>
      <c r="Q37" s="42"/>
      <c r="R37" s="42"/>
      <c r="S37" s="42"/>
      <c r="T37" s="42"/>
      <c r="U37" s="264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1"/>
    </row>
    <row r="38" spans="1:38" ht="33.75" customHeight="1" x14ac:dyDescent="0.25">
      <c r="A38" s="41"/>
      <c r="B38" s="42"/>
      <c r="C38" s="42"/>
      <c r="D38" s="42"/>
      <c r="E38" s="42"/>
      <c r="F38" s="42"/>
      <c r="G38" s="42"/>
      <c r="H38" s="42"/>
      <c r="I38" s="42"/>
      <c r="J38" s="264"/>
      <c r="K38" s="264"/>
      <c r="L38" s="264"/>
      <c r="M38" s="264"/>
      <c r="N38" s="264"/>
      <c r="O38" s="264"/>
      <c r="P38" s="42"/>
      <c r="Q38" s="42"/>
      <c r="R38" s="42"/>
      <c r="S38" s="42"/>
      <c r="T38" s="264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1"/>
    </row>
    <row r="39" spans="1:38" s="2" customFormat="1" ht="33.75" customHeight="1" thickBot="1" x14ac:dyDescent="0.3">
      <c r="B39" s="43"/>
      <c r="C39" s="350"/>
      <c r="D39" s="350"/>
      <c r="E39" s="350"/>
      <c r="F39" s="350"/>
      <c r="G39" s="350"/>
      <c r="H39" s="318"/>
      <c r="I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3"/>
    </row>
    <row r="40" spans="1:38" ht="33.75" customHeight="1" thickBot="1" x14ac:dyDescent="0.3">
      <c r="A40" s="69" t="s">
        <v>16</v>
      </c>
      <c r="B40" s="973" t="s">
        <v>17</v>
      </c>
      <c r="C40" s="974"/>
      <c r="D40" s="974"/>
      <c r="E40" s="974"/>
      <c r="F40" s="991"/>
      <c r="G40" s="977" t="s">
        <v>9</v>
      </c>
      <c r="H40" s="47"/>
      <c r="L40" s="426" t="s">
        <v>18</v>
      </c>
      <c r="M40" s="980" t="s">
        <v>17</v>
      </c>
      <c r="N40" s="972"/>
      <c r="O40" s="972"/>
      <c r="P40" s="972"/>
      <c r="Q40" s="990"/>
      <c r="R40" s="977" t="s">
        <v>9</v>
      </c>
      <c r="S40" s="269"/>
      <c r="U40" s="45"/>
      <c r="V40" s="45"/>
      <c r="W40" s="46"/>
      <c r="X40" s="3"/>
      <c r="Y40" s="45"/>
      <c r="Z40" s="45"/>
      <c r="AA40" s="45"/>
      <c r="AB40" s="3"/>
    </row>
    <row r="41" spans="1:38" ht="33.75" customHeight="1" thickBot="1" x14ac:dyDescent="0.3">
      <c r="A41" s="170" t="s">
        <v>34</v>
      </c>
      <c r="B41" s="141"/>
      <c r="C41" s="118"/>
      <c r="D41" s="118"/>
      <c r="E41" s="118"/>
      <c r="F41" s="118"/>
      <c r="G41" s="978"/>
      <c r="H41" s="47"/>
      <c r="I41" s="47"/>
      <c r="J41" s="47"/>
      <c r="K41" s="47"/>
      <c r="L41" s="428" t="s">
        <v>33</v>
      </c>
      <c r="M41" s="168">
        <v>1</v>
      </c>
      <c r="N41" s="249">
        <v>2</v>
      </c>
      <c r="O41" s="249">
        <v>3</v>
      </c>
      <c r="P41" s="249"/>
      <c r="Q41" s="250"/>
      <c r="R41" s="979"/>
      <c r="S41" s="2"/>
      <c r="U41" s="47"/>
      <c r="V41" s="47"/>
      <c r="W41" s="3"/>
      <c r="X41" s="46"/>
      <c r="Y41" s="3"/>
      <c r="Z41" s="45"/>
      <c r="AA41" s="45"/>
      <c r="AB41" s="45"/>
    </row>
    <row r="42" spans="1:38" ht="33.75" customHeight="1" thickBot="1" x14ac:dyDescent="0.3">
      <c r="A42" s="170" t="s">
        <v>10</v>
      </c>
      <c r="B42" s="11">
        <v>1</v>
      </c>
      <c r="C42" s="16">
        <v>2</v>
      </c>
      <c r="D42" s="16">
        <v>3</v>
      </c>
      <c r="E42" s="16">
        <v>4</v>
      </c>
      <c r="F42" s="16">
        <v>5</v>
      </c>
      <c r="G42" s="979"/>
      <c r="H42" s="47"/>
      <c r="I42" s="47"/>
      <c r="J42" s="47"/>
      <c r="K42" s="47"/>
      <c r="L42" s="427" t="s">
        <v>10</v>
      </c>
      <c r="M42" s="114">
        <v>1</v>
      </c>
      <c r="N42" s="114">
        <v>2</v>
      </c>
      <c r="O42" s="114">
        <v>3</v>
      </c>
      <c r="P42" s="114">
        <v>4</v>
      </c>
      <c r="Q42" s="114">
        <v>5</v>
      </c>
      <c r="R42" s="278"/>
      <c r="S42" s="270"/>
      <c r="U42" s="47"/>
      <c r="V42" s="47"/>
      <c r="W42" s="48"/>
      <c r="X42" s="48"/>
      <c r="Y42" s="2"/>
      <c r="Z42" s="2"/>
      <c r="AA42" s="2"/>
      <c r="AB42" s="2"/>
    </row>
    <row r="43" spans="1:38" ht="33.75" customHeight="1" x14ac:dyDescent="0.25">
      <c r="A43" s="171" t="s">
        <v>32</v>
      </c>
      <c r="B43" s="18">
        <v>89.6</v>
      </c>
      <c r="C43" s="19">
        <v>87.4</v>
      </c>
      <c r="D43" s="19">
        <v>25.2</v>
      </c>
      <c r="E43" s="19">
        <v>84.7</v>
      </c>
      <c r="F43" s="19">
        <v>83.9</v>
      </c>
      <c r="G43" s="374">
        <f t="shared" ref="G43:G50" si="22">SUM(B43:F43)</f>
        <v>370.79999999999995</v>
      </c>
      <c r="H43" s="988"/>
      <c r="I43" s="989"/>
      <c r="J43" s="989"/>
      <c r="K43" s="989"/>
      <c r="L43" s="171" t="s">
        <v>53</v>
      </c>
      <c r="M43" s="19">
        <v>8</v>
      </c>
      <c r="N43" s="19">
        <v>8.1</v>
      </c>
      <c r="O43" s="19">
        <v>2.5</v>
      </c>
      <c r="P43" s="19">
        <v>8.1</v>
      </c>
      <c r="Q43" s="19">
        <v>8.1</v>
      </c>
      <c r="R43" s="98">
        <f>SUM(M43:Q43)</f>
        <v>34.800000000000004</v>
      </c>
      <c r="S43" s="271"/>
      <c r="T43" s="302"/>
      <c r="U43" s="2"/>
      <c r="V43" s="49"/>
      <c r="W43" s="48"/>
      <c r="X43" s="48"/>
      <c r="Y43" s="2"/>
      <c r="Z43" s="2"/>
      <c r="AA43" s="2"/>
      <c r="AB43" s="2"/>
    </row>
    <row r="44" spans="1:38" ht="33.75" customHeight="1" x14ac:dyDescent="0.25">
      <c r="A44" s="171" t="s">
        <v>24</v>
      </c>
      <c r="B44" s="18">
        <v>89.6</v>
      </c>
      <c r="C44" s="19">
        <v>87.4</v>
      </c>
      <c r="D44" s="19">
        <v>25.2</v>
      </c>
      <c r="E44" s="19">
        <v>84.7</v>
      </c>
      <c r="F44" s="19">
        <v>83.9</v>
      </c>
      <c r="G44" s="374">
        <f t="shared" si="22"/>
        <v>370.79999999999995</v>
      </c>
      <c r="H44" s="988"/>
      <c r="I44" s="989"/>
      <c r="J44" s="989"/>
      <c r="K44" s="989"/>
      <c r="L44" s="171" t="s">
        <v>24</v>
      </c>
      <c r="M44" s="19">
        <v>8</v>
      </c>
      <c r="N44" s="19">
        <v>8.1</v>
      </c>
      <c r="O44" s="19">
        <v>2.5</v>
      </c>
      <c r="P44" s="19">
        <v>8.1</v>
      </c>
      <c r="Q44" s="19">
        <v>8.1</v>
      </c>
      <c r="R44" s="98">
        <f t="shared" ref="R44:R49" si="23">SUM(M44:Q44)</f>
        <v>34.800000000000004</v>
      </c>
      <c r="S44" s="271"/>
      <c r="T44" s="302"/>
      <c r="U44" s="2"/>
      <c r="V44" s="49"/>
      <c r="W44" s="48"/>
      <c r="X44" s="48"/>
      <c r="Y44" s="2"/>
      <c r="Z44" s="2"/>
      <c r="AA44" s="2"/>
      <c r="AB44" s="2"/>
    </row>
    <row r="45" spans="1:38" ht="33.75" customHeight="1" x14ac:dyDescent="0.25">
      <c r="A45" s="171" t="s">
        <v>20</v>
      </c>
      <c r="B45" s="18">
        <v>88.3</v>
      </c>
      <c r="C45" s="19">
        <v>86.6</v>
      </c>
      <c r="D45" s="19">
        <v>24.8</v>
      </c>
      <c r="E45" s="19">
        <v>84.2</v>
      </c>
      <c r="F45" s="19">
        <v>84.5</v>
      </c>
      <c r="G45" s="374">
        <f>SUM(B45:F45)</f>
        <v>368.4</v>
      </c>
      <c r="H45" s="988"/>
      <c r="I45" s="989"/>
      <c r="J45" s="989"/>
      <c r="K45" s="989"/>
      <c r="L45" s="171" t="s">
        <v>20</v>
      </c>
      <c r="M45" s="19">
        <v>8</v>
      </c>
      <c r="N45" s="19">
        <v>8</v>
      </c>
      <c r="O45" s="19">
        <v>2.2999999999999998</v>
      </c>
      <c r="P45" s="19">
        <v>8</v>
      </c>
      <c r="Q45" s="19">
        <v>8.1999999999999993</v>
      </c>
      <c r="R45" s="98">
        <f t="shared" si="23"/>
        <v>34.5</v>
      </c>
      <c r="S45" s="271"/>
      <c r="T45" s="302"/>
      <c r="U45" s="2"/>
      <c r="V45" s="49"/>
      <c r="W45" s="48"/>
      <c r="X45" s="48"/>
      <c r="Y45" s="2"/>
      <c r="Z45" s="2"/>
      <c r="AA45" s="2"/>
      <c r="AB45" s="2"/>
    </row>
    <row r="46" spans="1:38" ht="33.75" customHeight="1" x14ac:dyDescent="0.25">
      <c r="A46" s="171" t="s">
        <v>28</v>
      </c>
      <c r="B46" s="18">
        <v>88.3</v>
      </c>
      <c r="C46" s="19">
        <v>86.6</v>
      </c>
      <c r="D46" s="19">
        <v>24.8</v>
      </c>
      <c r="E46" s="19">
        <v>84.2</v>
      </c>
      <c r="F46" s="19">
        <v>84.5</v>
      </c>
      <c r="G46" s="374">
        <f t="shared" si="22"/>
        <v>368.4</v>
      </c>
      <c r="H46" s="988"/>
      <c r="I46" s="989"/>
      <c r="J46" s="989"/>
      <c r="K46" s="989"/>
      <c r="L46" s="171" t="s">
        <v>28</v>
      </c>
      <c r="M46" s="19">
        <v>8</v>
      </c>
      <c r="N46" s="19">
        <v>8</v>
      </c>
      <c r="O46" s="19">
        <v>2.2999999999999998</v>
      </c>
      <c r="P46" s="19">
        <v>8</v>
      </c>
      <c r="Q46" s="19">
        <v>8.1999999999999993</v>
      </c>
      <c r="R46" s="98">
        <f t="shared" si="23"/>
        <v>34.5</v>
      </c>
      <c r="S46" s="271"/>
      <c r="T46" s="302"/>
      <c r="U46" s="2"/>
      <c r="V46" s="49"/>
      <c r="W46" s="48"/>
      <c r="X46" s="48"/>
      <c r="Y46" s="2"/>
      <c r="Z46" s="2"/>
      <c r="AA46" s="2"/>
      <c r="AB46" s="2"/>
    </row>
    <row r="47" spans="1:38" ht="33.75" customHeight="1" x14ac:dyDescent="0.25">
      <c r="A47" s="171" t="s">
        <v>21</v>
      </c>
      <c r="B47" s="18">
        <v>88.4</v>
      </c>
      <c r="C47" s="19">
        <v>86.6</v>
      </c>
      <c r="D47" s="19">
        <v>24.9</v>
      </c>
      <c r="E47" s="19">
        <v>84.2</v>
      </c>
      <c r="F47" s="19">
        <v>84.6</v>
      </c>
      <c r="G47" s="374">
        <f t="shared" si="22"/>
        <v>368.70000000000005</v>
      </c>
      <c r="H47" s="988"/>
      <c r="I47" s="989"/>
      <c r="J47" s="989"/>
      <c r="K47" s="989"/>
      <c r="L47" s="171" t="s">
        <v>21</v>
      </c>
      <c r="M47" s="19">
        <v>8</v>
      </c>
      <c r="N47" s="19">
        <v>8.1</v>
      </c>
      <c r="O47" s="19">
        <v>2.2999999999999998</v>
      </c>
      <c r="P47" s="19">
        <v>8.1</v>
      </c>
      <c r="Q47" s="19">
        <v>8.1999999999999993</v>
      </c>
      <c r="R47" s="98">
        <f t="shared" si="23"/>
        <v>34.700000000000003</v>
      </c>
      <c r="S47" s="271"/>
      <c r="T47" s="302"/>
      <c r="U47" s="2"/>
      <c r="V47" s="49"/>
      <c r="W47" s="48"/>
      <c r="X47" s="48"/>
      <c r="Y47" s="2"/>
      <c r="Z47" s="2"/>
      <c r="AA47" s="2"/>
      <c r="AB47" s="2"/>
    </row>
    <row r="48" spans="1:38" ht="33.75" customHeight="1" x14ac:dyDescent="0.25">
      <c r="A48" s="171" t="s">
        <v>22</v>
      </c>
      <c r="B48" s="18">
        <v>88.4</v>
      </c>
      <c r="C48" s="19">
        <v>86.6</v>
      </c>
      <c r="D48" s="19">
        <v>24.9</v>
      </c>
      <c r="E48" s="19">
        <v>84.3</v>
      </c>
      <c r="F48" s="19">
        <v>84.6</v>
      </c>
      <c r="G48" s="374">
        <f t="shared" si="22"/>
        <v>368.79999999999995</v>
      </c>
      <c r="H48" s="988"/>
      <c r="I48" s="989"/>
      <c r="J48" s="989"/>
      <c r="K48" s="989"/>
      <c r="L48" s="171" t="s">
        <v>22</v>
      </c>
      <c r="M48" s="19">
        <v>8</v>
      </c>
      <c r="N48" s="19">
        <v>8.1</v>
      </c>
      <c r="O48" s="19">
        <v>2.4</v>
      </c>
      <c r="P48" s="19">
        <v>8.1</v>
      </c>
      <c r="Q48" s="19">
        <v>8.1999999999999993</v>
      </c>
      <c r="R48" s="98">
        <f t="shared" si="23"/>
        <v>34.799999999999997</v>
      </c>
      <c r="S48" s="271"/>
      <c r="T48" s="302"/>
      <c r="U48" s="2"/>
      <c r="V48" s="49"/>
      <c r="W48" s="48"/>
      <c r="X48" s="48"/>
      <c r="Y48" s="2"/>
      <c r="Z48" s="2"/>
      <c r="AA48" s="2"/>
      <c r="AB48" s="2"/>
    </row>
    <row r="49" spans="1:49" ht="33.75" customHeight="1" thickBot="1" x14ac:dyDescent="0.3">
      <c r="A49" s="285" t="s">
        <v>32</v>
      </c>
      <c r="B49" s="18">
        <v>88.4</v>
      </c>
      <c r="C49" s="19">
        <v>86.7</v>
      </c>
      <c r="D49" s="19">
        <v>24.9</v>
      </c>
      <c r="E49" s="19">
        <v>84.3</v>
      </c>
      <c r="F49" s="19">
        <v>84.6</v>
      </c>
      <c r="G49" s="374">
        <f t="shared" si="22"/>
        <v>368.9</v>
      </c>
      <c r="H49" s="988"/>
      <c r="I49" s="989"/>
      <c r="J49" s="989"/>
      <c r="K49" s="989"/>
      <c r="L49" s="285" t="s">
        <v>23</v>
      </c>
      <c r="M49" s="19">
        <v>8.1</v>
      </c>
      <c r="N49" s="19">
        <v>8.1</v>
      </c>
      <c r="O49" s="19">
        <v>2.4</v>
      </c>
      <c r="P49" s="19">
        <v>8.1</v>
      </c>
      <c r="Q49" s="19">
        <v>8.1999999999999993</v>
      </c>
      <c r="R49" s="98">
        <f t="shared" si="23"/>
        <v>34.899999999999991</v>
      </c>
      <c r="S49" s="271"/>
      <c r="T49" s="302"/>
      <c r="U49" s="2"/>
      <c r="V49" s="49"/>
      <c r="W49" s="48"/>
      <c r="X49" s="48"/>
      <c r="Y49" s="48"/>
      <c r="Z49" s="48"/>
      <c r="AA49" s="2"/>
      <c r="AB49" s="2"/>
      <c r="AC49" s="2"/>
      <c r="AD49" s="2"/>
    </row>
    <row r="50" spans="1:49" ht="33.75" customHeight="1" x14ac:dyDescent="0.25">
      <c r="A50" s="290" t="s">
        <v>9</v>
      </c>
      <c r="B50" s="131">
        <f>SUM(B43:B49)</f>
        <v>621</v>
      </c>
      <c r="C50" s="128">
        <f t="shared" ref="C50:F50" si="24">SUM(C43:C49)</f>
        <v>607.90000000000009</v>
      </c>
      <c r="D50" s="128">
        <f t="shared" si="24"/>
        <v>174.70000000000002</v>
      </c>
      <c r="E50" s="128">
        <f t="shared" si="24"/>
        <v>590.6</v>
      </c>
      <c r="F50" s="128">
        <f t="shared" si="24"/>
        <v>590.6</v>
      </c>
      <c r="G50" s="265">
        <f t="shared" si="22"/>
        <v>2584.8000000000002</v>
      </c>
      <c r="H50" s="988"/>
      <c r="I50" s="989"/>
      <c r="J50" s="989"/>
      <c r="K50" s="989"/>
      <c r="L50" s="290" t="s">
        <v>9</v>
      </c>
      <c r="M50" s="133">
        <f>SUM(M43:M49)</f>
        <v>56.1</v>
      </c>
      <c r="N50" s="134">
        <f>SUM(N43:N49)</f>
        <v>56.500000000000007</v>
      </c>
      <c r="O50" s="134">
        <f>SUM(O43:O49)</f>
        <v>16.7</v>
      </c>
      <c r="P50" s="134">
        <f t="shared" ref="P50:Q50" si="25">SUM(P43:P49)</f>
        <v>56.500000000000007</v>
      </c>
      <c r="Q50" s="134">
        <f t="shared" si="25"/>
        <v>57.2</v>
      </c>
      <c r="R50" s="265">
        <f>SUM(R43:R49)</f>
        <v>243</v>
      </c>
      <c r="S50" s="272"/>
      <c r="U50" s="49"/>
      <c r="V50" s="49"/>
      <c r="W50" s="2"/>
      <c r="X50" s="2"/>
      <c r="Y50" s="2"/>
      <c r="Z50" s="2"/>
      <c r="AA50" s="2"/>
      <c r="AB50" s="2"/>
      <c r="AC50" s="2"/>
      <c r="AD50" s="2"/>
    </row>
    <row r="51" spans="1:49" ht="33.75" customHeight="1" x14ac:dyDescent="0.25">
      <c r="A51" s="192" t="s">
        <v>11</v>
      </c>
      <c r="B51" s="23">
        <v>133</v>
      </c>
      <c r="C51" s="24">
        <v>130</v>
      </c>
      <c r="D51" s="24">
        <v>130</v>
      </c>
      <c r="E51" s="24">
        <v>126.5</v>
      </c>
      <c r="F51" s="24">
        <v>126.5</v>
      </c>
      <c r="G51" s="137">
        <f>+((G50/G52)/7)*1000</f>
        <v>129.06576122234983</v>
      </c>
      <c r="H51" s="988"/>
      <c r="I51" s="989"/>
      <c r="J51" s="989"/>
      <c r="K51" s="989"/>
      <c r="L51" s="273" t="s">
        <v>11</v>
      </c>
      <c r="M51" s="23">
        <v>140.5</v>
      </c>
      <c r="N51" s="24">
        <v>141.5</v>
      </c>
      <c r="O51" s="24">
        <v>140.5</v>
      </c>
      <c r="P51" s="24">
        <v>141.5</v>
      </c>
      <c r="Q51" s="25">
        <v>141</v>
      </c>
      <c r="R51" s="137">
        <f>+((R50/R52)/7)*1000</f>
        <v>141.11498257839722</v>
      </c>
      <c r="S51" s="2"/>
      <c r="U51" s="50"/>
      <c r="V51" s="50"/>
    </row>
    <row r="52" spans="1:49" ht="33.75" customHeight="1" x14ac:dyDescent="0.25">
      <c r="A52" s="193" t="s">
        <v>12</v>
      </c>
      <c r="B52" s="26">
        <v>667</v>
      </c>
      <c r="C52" s="27">
        <v>668</v>
      </c>
      <c r="D52" s="27">
        <v>192</v>
      </c>
      <c r="E52" s="27">
        <v>667</v>
      </c>
      <c r="F52" s="27">
        <v>667</v>
      </c>
      <c r="G52" s="395">
        <f>SUM(B52:F52)</f>
        <v>2861</v>
      </c>
      <c r="H52" s="988"/>
      <c r="I52" s="989"/>
      <c r="J52" s="989"/>
      <c r="K52" s="989"/>
      <c r="L52" s="193" t="s">
        <v>12</v>
      </c>
      <c r="M52" s="257">
        <v>57</v>
      </c>
      <c r="N52" s="275">
        <v>57</v>
      </c>
      <c r="O52" s="275">
        <v>17</v>
      </c>
      <c r="P52" s="275">
        <v>57</v>
      </c>
      <c r="Q52" s="276">
        <v>58</v>
      </c>
      <c r="R52" s="254">
        <f>SUM(M52:Q52)</f>
        <v>246</v>
      </c>
      <c r="S52" s="2"/>
      <c r="U52" s="52"/>
      <c r="V52" s="52"/>
    </row>
    <row r="53" spans="1:49" ht="33.75" customHeight="1" x14ac:dyDescent="0.25">
      <c r="A53" s="194" t="s">
        <v>13</v>
      </c>
      <c r="B53" s="30">
        <f>((((B51*7)*B52)/1000)-(B43+B44))/5</f>
        <v>88.355400000000003</v>
      </c>
      <c r="C53" s="31">
        <f>((((C51*7)*C52)/1000)-(C43+C44))/5</f>
        <v>86.616</v>
      </c>
      <c r="D53" s="31">
        <f>((((D51*7)*D52)/1000)-(D43+D44))/5</f>
        <v>24.863999999999997</v>
      </c>
      <c r="E53" s="31">
        <f>((((E51*7)*E52)/1000)-(E43+E44))/5</f>
        <v>84.245700000000014</v>
      </c>
      <c r="F53" s="31">
        <f>((((F51*7)*F52)/1000)-(F43+F44))/5</f>
        <v>84.565700000000007</v>
      </c>
      <c r="G53" s="139">
        <f>((G50*1000)/G52)/7</f>
        <v>129.06576122234983</v>
      </c>
      <c r="H53" s="988"/>
      <c r="I53" s="989"/>
      <c r="J53" s="989"/>
      <c r="K53" s="989"/>
      <c r="L53" s="194" t="s">
        <v>13</v>
      </c>
      <c r="M53" s="30">
        <f>((((M51*7)*M52)/1000)-(M43+M44))/5</f>
        <v>8.0119000000000007</v>
      </c>
      <c r="N53" s="31">
        <f>((((N51*7)*N52)/1000)-(N43+N44))/5</f>
        <v>8.0517000000000003</v>
      </c>
      <c r="O53" s="31">
        <f>((((O51*7)*O52)/1000)-(O43+O44))/5</f>
        <v>2.3439000000000001</v>
      </c>
      <c r="P53" s="31">
        <f t="shared" ref="P53:Q53" si="26">((((P51*7)*P52)/1000)-(P43+P44))/5</f>
        <v>8.0517000000000003</v>
      </c>
      <c r="Q53" s="32">
        <f t="shared" si="26"/>
        <v>8.2092000000000009</v>
      </c>
      <c r="R53" s="274">
        <f>((R50*1000)/R52)/7</f>
        <v>141.11498257839722</v>
      </c>
      <c r="S53" s="43"/>
      <c r="U53" s="52"/>
      <c r="V53" s="52"/>
    </row>
    <row r="54" spans="1:49" ht="33.75" customHeight="1" x14ac:dyDescent="0.25">
      <c r="A54" s="185" t="s">
        <v>14</v>
      </c>
      <c r="B54" s="279">
        <f>((B52*B51)*7)/1000</f>
        <v>620.97699999999998</v>
      </c>
      <c r="C54" s="280">
        <f>((C52*C51)*7)/1000</f>
        <v>607.88</v>
      </c>
      <c r="D54" s="280">
        <f>((D52*D51)*7)/1000</f>
        <v>174.72</v>
      </c>
      <c r="E54" s="280">
        <f>((E52*E51)*7)/1000</f>
        <v>590.62850000000003</v>
      </c>
      <c r="F54" s="280">
        <f>((F52*F51)*7)/1000</f>
        <v>590.62850000000003</v>
      </c>
      <c r="G54" s="112"/>
      <c r="H54" s="988"/>
      <c r="I54" s="989"/>
      <c r="J54" s="989"/>
      <c r="K54" s="989"/>
      <c r="L54" s="185" t="s">
        <v>14</v>
      </c>
      <c r="M54" s="279">
        <f>((M52*M51)*7)/1000</f>
        <v>56.0595</v>
      </c>
      <c r="N54" s="280">
        <f>((N52*N51)*7)/1000</f>
        <v>56.458500000000001</v>
      </c>
      <c r="O54" s="280">
        <f>((O52*O51)*7)/1000</f>
        <v>16.7195</v>
      </c>
      <c r="P54" s="280">
        <f t="shared" ref="P54:Q54" si="27">((P52*P51)*7)/1000</f>
        <v>56.458500000000001</v>
      </c>
      <c r="Q54" s="282">
        <f t="shared" si="27"/>
        <v>57.246000000000002</v>
      </c>
      <c r="R54" s="36"/>
      <c r="S54" s="41"/>
    </row>
    <row r="55" spans="1:49" ht="33.75" customHeight="1" thickBot="1" x14ac:dyDescent="0.3">
      <c r="A55" s="195" t="s">
        <v>15</v>
      </c>
      <c r="B55" s="37">
        <f t="shared" ref="B55:E55" si="28">+(B50/B52)/7*1000</f>
        <v>133.00492610837438</v>
      </c>
      <c r="C55" s="38">
        <f t="shared" si="28"/>
        <v>130.0042771599658</v>
      </c>
      <c r="D55" s="38">
        <f t="shared" si="28"/>
        <v>129.98511904761907</v>
      </c>
      <c r="E55" s="38">
        <f t="shared" si="28"/>
        <v>126.49389590918828</v>
      </c>
      <c r="F55" s="38">
        <f>+(F50/F52)/7*1000</f>
        <v>126.49389590918828</v>
      </c>
      <c r="G55" s="140"/>
      <c r="H55" s="988"/>
      <c r="I55" s="989"/>
      <c r="J55" s="989"/>
      <c r="K55" s="989"/>
      <c r="L55" s="195" t="s">
        <v>15</v>
      </c>
      <c r="M55" s="37">
        <f>+(M50/M52)/7*1000</f>
        <v>140.6015037593985</v>
      </c>
      <c r="N55" s="38">
        <f>+(N50/N52)/7*1000</f>
        <v>141.60401002506268</v>
      </c>
      <c r="O55" s="38">
        <f>+(O50/O52)/7*1000</f>
        <v>140.33613445378151</v>
      </c>
      <c r="P55" s="38">
        <f t="shared" ref="P55:Q55" si="29">+(P50/P52)/7*1000</f>
        <v>141.60401002506268</v>
      </c>
      <c r="Q55" s="39">
        <f t="shared" si="29"/>
        <v>140.88669950738915</v>
      </c>
      <c r="R55" s="259"/>
      <c r="S55" s="42"/>
      <c r="U55" s="42"/>
      <c r="V55" s="42"/>
    </row>
    <row r="56" spans="1:49" ht="33.75" customHeight="1" x14ac:dyDescent="0.25">
      <c r="A56" s="41"/>
      <c r="B56" s="43">
        <f>B54-B50</f>
        <v>-2.3000000000024556E-2</v>
      </c>
      <c r="C56" s="43">
        <f t="shared" ref="C56:F57" si="30">C54-C50</f>
        <v>-2.0000000000095497E-2</v>
      </c>
      <c r="D56" s="43">
        <f t="shared" si="30"/>
        <v>1.999999999998181E-2</v>
      </c>
      <c r="E56" s="43">
        <f t="shared" si="30"/>
        <v>2.8500000000008185E-2</v>
      </c>
      <c r="F56" s="43">
        <f t="shared" si="30"/>
        <v>2.8500000000008185E-2</v>
      </c>
      <c r="G56" s="41"/>
      <c r="H56" s="41"/>
      <c r="I56" s="41"/>
      <c r="J56" s="41"/>
      <c r="K56" s="41"/>
      <c r="L56" s="42"/>
      <c r="M56" s="42">
        <f>M54-M50</f>
        <v>-4.0500000000001535E-2</v>
      </c>
      <c r="N56" s="42">
        <f t="shared" ref="M56:Q57" si="31">N54-N50</f>
        <v>-4.150000000000631E-2</v>
      </c>
      <c r="O56" s="42">
        <f t="shared" si="31"/>
        <v>1.9500000000000739E-2</v>
      </c>
      <c r="P56" s="42">
        <f t="shared" si="31"/>
        <v>-4.150000000000631E-2</v>
      </c>
      <c r="Q56" s="42">
        <f t="shared" si="31"/>
        <v>4.5999999999999375E-2</v>
      </c>
      <c r="T56" s="42"/>
      <c r="U56" s="42"/>
      <c r="V56" s="2"/>
      <c r="W56" s="2"/>
      <c r="X56" s="2"/>
      <c r="Y56" s="2"/>
      <c r="Z56" s="2"/>
    </row>
    <row r="57" spans="1:49" ht="33.75" customHeight="1" x14ac:dyDescent="0.25">
      <c r="A57" s="41"/>
      <c r="B57" s="42">
        <f>B55-B51</f>
        <v>4.926108374377236E-3</v>
      </c>
      <c r="C57" s="42">
        <f>C55-C51</f>
        <v>4.277159965795363E-3</v>
      </c>
      <c r="D57" s="42">
        <f t="shared" si="30"/>
        <v>-1.4880952380934787E-2</v>
      </c>
      <c r="E57" s="42">
        <f>E55-E51</f>
        <v>-6.1040908117178105E-3</v>
      </c>
      <c r="F57" s="42">
        <f>F55-F51</f>
        <v>-6.1040908117178105E-3</v>
      </c>
      <c r="G57" s="41"/>
      <c r="H57" s="41"/>
      <c r="I57" s="41"/>
      <c r="J57" s="41"/>
      <c r="K57" s="42"/>
      <c r="L57" s="42"/>
      <c r="M57" s="42">
        <f t="shared" si="31"/>
        <v>0.1015037593984971</v>
      </c>
      <c r="N57" s="42">
        <f t="shared" si="31"/>
        <v>0.10401002506267787</v>
      </c>
      <c r="O57" s="42">
        <f t="shared" si="31"/>
        <v>-0.16386554621848859</v>
      </c>
      <c r="P57" s="42">
        <f t="shared" si="31"/>
        <v>0.10401002506267787</v>
      </c>
      <c r="Q57" s="42">
        <f t="shared" si="31"/>
        <v>-0.11330049261084696</v>
      </c>
      <c r="T57" s="43"/>
      <c r="U57" s="43"/>
      <c r="V57" s="2"/>
      <c r="W57" s="2"/>
      <c r="X57" s="2"/>
      <c r="Y57" s="2"/>
      <c r="AC57" s="3"/>
    </row>
    <row r="58" spans="1:49" ht="33.75" customHeight="1" x14ac:dyDescent="0.25">
      <c r="A58" s="41"/>
      <c r="B58" s="287"/>
      <c r="C58" s="287"/>
      <c r="D58" s="287"/>
      <c r="E58" s="287"/>
      <c r="F58" s="287"/>
      <c r="G58" s="264"/>
      <c r="H58" s="41"/>
      <c r="I58" s="41"/>
      <c r="J58" s="41"/>
      <c r="K58" s="41"/>
      <c r="L58" s="41"/>
      <c r="M58" s="41"/>
      <c r="N58" s="41"/>
      <c r="O58" s="42"/>
      <c r="P58" s="42"/>
      <c r="Q58" s="42"/>
      <c r="R58" s="42"/>
      <c r="S58" s="42"/>
      <c r="T58" s="42"/>
      <c r="U58" s="42"/>
      <c r="V58" s="42"/>
      <c r="W58" s="42"/>
      <c r="X58" s="43"/>
      <c r="Y58" s="43"/>
      <c r="Z58" s="43"/>
      <c r="AA58" s="2"/>
      <c r="AB58" s="2"/>
      <c r="AC58" s="2"/>
      <c r="AD58" s="2"/>
      <c r="AH58" s="3"/>
    </row>
    <row r="59" spans="1:49" ht="33.75" customHeight="1" thickBot="1" x14ac:dyDescent="0.3">
      <c r="A59" s="53"/>
      <c r="B59" s="284"/>
      <c r="C59" s="284"/>
      <c r="D59" s="284"/>
      <c r="E59" s="284"/>
      <c r="F59" s="284"/>
      <c r="G59" s="284"/>
      <c r="H59" s="54"/>
      <c r="I59" s="54"/>
      <c r="J59" s="54"/>
      <c r="K59" s="54"/>
      <c r="L59" s="54"/>
      <c r="M59" s="54"/>
      <c r="N59" s="54"/>
      <c r="O59" s="958"/>
      <c r="P59" s="958"/>
      <c r="Q59" s="283"/>
      <c r="R59" s="283"/>
      <c r="S59" s="283"/>
      <c r="T59" s="54"/>
      <c r="U59" s="55"/>
      <c r="Z59" s="43"/>
      <c r="AA59" s="43"/>
      <c r="AB59" s="43"/>
      <c r="AC59" s="2"/>
      <c r="AD59" s="2"/>
      <c r="AE59" s="2"/>
      <c r="AF59" s="2"/>
      <c r="AH59" s="2"/>
      <c r="AI59" s="2"/>
      <c r="AJ59" s="2"/>
    </row>
    <row r="60" spans="1:49" ht="33.75" customHeight="1" x14ac:dyDescent="0.25">
      <c r="A60" s="359" t="s">
        <v>19</v>
      </c>
      <c r="B60" s="986" t="s">
        <v>8</v>
      </c>
      <c r="C60" s="956"/>
      <c r="D60" s="956"/>
      <c r="E60" s="956"/>
      <c r="F60" s="956"/>
      <c r="G60" s="986" t="s">
        <v>30</v>
      </c>
      <c r="H60" s="956"/>
      <c r="I60" s="956"/>
      <c r="J60" s="956"/>
      <c r="K60" s="987"/>
      <c r="L60" s="986" t="s">
        <v>29</v>
      </c>
      <c r="M60" s="956"/>
      <c r="N60" s="956"/>
      <c r="O60" s="956"/>
      <c r="P60" s="987"/>
      <c r="Q60" s="994" t="s">
        <v>31</v>
      </c>
      <c r="R60" s="995"/>
      <c r="S60" s="995"/>
      <c r="T60" s="995"/>
      <c r="U60" s="996"/>
      <c r="V60" s="992" t="s">
        <v>9</v>
      </c>
      <c r="AE60" s="43"/>
      <c r="AF60" s="43"/>
      <c r="AG60" s="43"/>
      <c r="AH60" s="2"/>
      <c r="AI60" s="2"/>
      <c r="AJ60" s="2"/>
      <c r="AK60" s="2"/>
      <c r="AM60" s="2"/>
      <c r="AN60" s="2"/>
      <c r="AO60" s="2"/>
    </row>
    <row r="61" spans="1:49" ht="33.75" customHeight="1" thickBot="1" x14ac:dyDescent="0.3">
      <c r="A61" s="170" t="s">
        <v>34</v>
      </c>
      <c r="B61" s="360"/>
      <c r="C61" s="361"/>
      <c r="D61" s="361"/>
      <c r="E61" s="361"/>
      <c r="F61" s="361"/>
      <c r="G61" s="360"/>
      <c r="H61" s="361"/>
      <c r="I61" s="361"/>
      <c r="J61" s="361"/>
      <c r="K61" s="361"/>
      <c r="L61" s="360"/>
      <c r="M61" s="361"/>
      <c r="N61" s="361"/>
      <c r="O61" s="361"/>
      <c r="P61" s="396"/>
      <c r="Q61" s="360"/>
      <c r="R61" s="361"/>
      <c r="S61" s="361"/>
      <c r="T61" s="361"/>
      <c r="U61" s="397"/>
      <c r="V61" s="993"/>
      <c r="AC61" s="45"/>
      <c r="AD61" s="45"/>
      <c r="AE61" s="45"/>
      <c r="AF61" s="45"/>
      <c r="AG61" s="57"/>
      <c r="AH61" s="57"/>
      <c r="AI61" s="57"/>
      <c r="AJ61" s="57"/>
      <c r="AK61" s="45"/>
      <c r="AL61" s="45"/>
      <c r="AM61" s="58"/>
      <c r="AN61" s="58"/>
      <c r="AO61" s="58"/>
      <c r="AP61" s="2"/>
      <c r="AQ61" s="2"/>
      <c r="AR61" s="2"/>
      <c r="AS61" s="2"/>
      <c r="AU61" s="2"/>
      <c r="AV61" s="2"/>
      <c r="AW61" s="2"/>
    </row>
    <row r="62" spans="1:49" ht="33.75" customHeight="1" thickBot="1" x14ac:dyDescent="0.3">
      <c r="A62" s="170" t="s">
        <v>10</v>
      </c>
      <c r="B62" s="188">
        <v>1</v>
      </c>
      <c r="C62" s="168">
        <v>2</v>
      </c>
      <c r="D62" s="168">
        <v>3</v>
      </c>
      <c r="E62" s="168">
        <v>4</v>
      </c>
      <c r="F62" s="413">
        <v>5</v>
      </c>
      <c r="G62" s="188">
        <v>1</v>
      </c>
      <c r="H62" s="168">
        <v>2</v>
      </c>
      <c r="I62" s="168">
        <v>3</v>
      </c>
      <c r="J62" s="168">
        <v>4</v>
      </c>
      <c r="K62" s="168">
        <v>5</v>
      </c>
      <c r="L62" s="188">
        <v>1</v>
      </c>
      <c r="M62" s="168">
        <v>2</v>
      </c>
      <c r="N62" s="168">
        <v>3</v>
      </c>
      <c r="O62" s="168">
        <v>4</v>
      </c>
      <c r="P62" s="413">
        <v>5</v>
      </c>
      <c r="Q62" s="188">
        <v>1</v>
      </c>
      <c r="R62" s="168">
        <v>2</v>
      </c>
      <c r="S62" s="168">
        <v>3</v>
      </c>
      <c r="T62" s="168">
        <v>4</v>
      </c>
      <c r="U62" s="414">
        <v>5</v>
      </c>
      <c r="V62" s="126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57"/>
      <c r="AH62" s="57"/>
      <c r="AI62" s="57"/>
      <c r="AJ62" s="57"/>
      <c r="AK62" s="45"/>
      <c r="AL62" s="45"/>
      <c r="AM62" s="58"/>
      <c r="AN62" s="58"/>
      <c r="AO62" s="58"/>
      <c r="AP62" s="2"/>
      <c r="AQ62" s="2"/>
      <c r="AR62" s="2"/>
      <c r="AS62" s="2"/>
      <c r="AT62" s="2"/>
      <c r="AU62" s="2"/>
      <c r="AV62" s="2"/>
      <c r="AW62" s="2"/>
    </row>
    <row r="63" spans="1:49" ht="33.75" customHeight="1" x14ac:dyDescent="0.25">
      <c r="A63" s="171" t="s">
        <v>53</v>
      </c>
      <c r="B63" s="133">
        <v>8.1999999999999993</v>
      </c>
      <c r="C63" s="134">
        <v>8.1999999999999993</v>
      </c>
      <c r="D63" s="134">
        <v>2.6</v>
      </c>
      <c r="E63" s="134">
        <v>8.1999999999999993</v>
      </c>
      <c r="F63" s="134">
        <v>8.1999999999999993</v>
      </c>
      <c r="G63" s="133">
        <v>8.1999999999999993</v>
      </c>
      <c r="H63" s="134">
        <v>8.1999999999999993</v>
      </c>
      <c r="I63" s="134">
        <v>2.6</v>
      </c>
      <c r="J63" s="134">
        <v>8.1999999999999993</v>
      </c>
      <c r="K63" s="134">
        <v>8.1999999999999993</v>
      </c>
      <c r="L63" s="133">
        <v>6.7</v>
      </c>
      <c r="M63" s="134">
        <v>6.7</v>
      </c>
      <c r="N63" s="134">
        <v>2.6</v>
      </c>
      <c r="O63" s="134">
        <v>6.7</v>
      </c>
      <c r="P63" s="156">
        <v>6.7</v>
      </c>
      <c r="Q63" s="133">
        <v>7</v>
      </c>
      <c r="R63" s="134">
        <v>7</v>
      </c>
      <c r="S63" s="134">
        <v>2.6</v>
      </c>
      <c r="T63" s="134">
        <v>7</v>
      </c>
      <c r="U63" s="156">
        <v>7</v>
      </c>
      <c r="V63" s="412">
        <f t="shared" ref="V63:V70" si="32">SUM(B63:U63)</f>
        <v>130.80000000000001</v>
      </c>
      <c r="W63" s="42"/>
      <c r="X63" s="302"/>
      <c r="Y63" s="42"/>
      <c r="Z63" s="42"/>
      <c r="AA63" s="42"/>
      <c r="AB63" s="42"/>
      <c r="AC63" s="2"/>
      <c r="AD63" s="45"/>
      <c r="AE63" s="45"/>
      <c r="AF63" s="45"/>
      <c r="AG63" s="57"/>
      <c r="AH63" s="57"/>
      <c r="AI63" s="57"/>
      <c r="AJ63" s="57"/>
      <c r="AK63" s="45"/>
      <c r="AL63" s="45"/>
      <c r="AM63" s="58"/>
      <c r="AN63" s="58"/>
      <c r="AO63" s="58"/>
      <c r="AP63" s="2"/>
      <c r="AQ63" s="2"/>
      <c r="AR63" s="2"/>
      <c r="AS63" s="2"/>
      <c r="AT63" s="2"/>
      <c r="AU63" s="2"/>
      <c r="AV63" s="2"/>
      <c r="AW63" s="2"/>
    </row>
    <row r="64" spans="1:49" ht="33.75" customHeight="1" x14ac:dyDescent="0.25">
      <c r="A64" s="171" t="s">
        <v>24</v>
      </c>
      <c r="B64" s="18">
        <v>8.1999999999999993</v>
      </c>
      <c r="C64" s="19">
        <v>8.1999999999999993</v>
      </c>
      <c r="D64" s="19">
        <v>2.6</v>
      </c>
      <c r="E64" s="19">
        <v>8.1999999999999993</v>
      </c>
      <c r="F64" s="19">
        <v>8.1999999999999993</v>
      </c>
      <c r="G64" s="18">
        <v>8.1999999999999993</v>
      </c>
      <c r="H64" s="19">
        <v>8.1999999999999993</v>
      </c>
      <c r="I64" s="19">
        <v>2.6</v>
      </c>
      <c r="J64" s="19">
        <v>8.1999999999999993</v>
      </c>
      <c r="K64" s="19">
        <v>8.1999999999999993</v>
      </c>
      <c r="L64" s="446">
        <v>6.7</v>
      </c>
      <c r="M64" s="19">
        <v>6.7</v>
      </c>
      <c r="N64" s="19">
        <v>2.6</v>
      </c>
      <c r="O64" s="19">
        <v>6.7</v>
      </c>
      <c r="P64" s="20">
        <v>6.7</v>
      </c>
      <c r="Q64" s="18">
        <v>7</v>
      </c>
      <c r="R64" s="19">
        <v>7</v>
      </c>
      <c r="S64" s="19">
        <v>2.6</v>
      </c>
      <c r="T64" s="19">
        <v>7</v>
      </c>
      <c r="U64" s="20">
        <v>7</v>
      </c>
      <c r="V64" s="412">
        <f t="shared" si="32"/>
        <v>130.80000000000001</v>
      </c>
      <c r="W64" s="42"/>
      <c r="X64" s="302"/>
      <c r="Y64" s="42"/>
      <c r="Z64" s="42"/>
      <c r="AA64" s="42"/>
      <c r="AB64" s="42"/>
      <c r="AC64" s="2"/>
      <c r="AD64" s="45"/>
      <c r="AE64" s="45"/>
      <c r="AF64" s="45"/>
      <c r="AG64" s="57"/>
      <c r="AH64" s="57"/>
      <c r="AI64" s="57"/>
      <c r="AJ64" s="57"/>
      <c r="AK64" s="45"/>
      <c r="AL64" s="45"/>
      <c r="AM64" s="58"/>
      <c r="AN64" s="58"/>
      <c r="AO64" s="58"/>
      <c r="AP64" s="2"/>
      <c r="AQ64" s="2"/>
      <c r="AR64" s="2"/>
      <c r="AS64" s="2"/>
      <c r="AT64" s="2"/>
      <c r="AU64" s="2"/>
      <c r="AV64" s="2"/>
      <c r="AW64" s="2"/>
    </row>
    <row r="65" spans="1:49" ht="33.75" customHeight="1" x14ac:dyDescent="0.25">
      <c r="A65" s="171" t="s">
        <v>20</v>
      </c>
      <c r="B65" s="18">
        <v>8.1999999999999993</v>
      </c>
      <c r="C65" s="19">
        <v>8.1999999999999993</v>
      </c>
      <c r="D65" s="19">
        <v>2.2999999999999998</v>
      </c>
      <c r="E65" s="19">
        <v>8.1999999999999993</v>
      </c>
      <c r="F65" s="19">
        <v>8.1999999999999993</v>
      </c>
      <c r="G65" s="18">
        <v>8.1999999999999993</v>
      </c>
      <c r="H65" s="19">
        <v>8.1999999999999993</v>
      </c>
      <c r="I65" s="19">
        <v>2.6</v>
      </c>
      <c r="J65" s="19">
        <v>8.1999999999999993</v>
      </c>
      <c r="K65" s="19">
        <v>8.1999999999999993</v>
      </c>
      <c r="L65" s="446">
        <v>6.8</v>
      </c>
      <c r="M65" s="19">
        <v>6.8</v>
      </c>
      <c r="N65" s="19">
        <v>2.5</v>
      </c>
      <c r="O65" s="19">
        <v>6.8</v>
      </c>
      <c r="P65" s="20">
        <v>6.8</v>
      </c>
      <c r="Q65" s="18">
        <v>7.1</v>
      </c>
      <c r="R65" s="19">
        <v>7.1</v>
      </c>
      <c r="S65" s="19">
        <v>2.6</v>
      </c>
      <c r="T65" s="19">
        <v>7.1</v>
      </c>
      <c r="U65" s="20">
        <v>7.1</v>
      </c>
      <c r="V65" s="412">
        <f t="shared" si="32"/>
        <v>131.19999999999996</v>
      </c>
      <c r="W65" s="42"/>
      <c r="X65" s="302"/>
      <c r="Y65" s="42"/>
      <c r="Z65" s="42"/>
      <c r="AA65" s="42"/>
      <c r="AB65" s="42"/>
      <c r="AC65" s="2"/>
      <c r="AD65" s="45"/>
      <c r="AE65" s="45"/>
      <c r="AF65" s="45"/>
      <c r="AG65" s="57"/>
      <c r="AH65" s="57"/>
      <c r="AI65" s="57"/>
      <c r="AJ65" s="57"/>
      <c r="AK65" s="45"/>
      <c r="AL65" s="45"/>
      <c r="AM65" s="58"/>
      <c r="AN65" s="58"/>
      <c r="AO65" s="58"/>
      <c r="AP65" s="2"/>
      <c r="AQ65" s="2"/>
      <c r="AR65" s="2"/>
      <c r="AS65" s="2"/>
      <c r="AT65" s="2"/>
      <c r="AU65" s="2"/>
      <c r="AV65" s="2"/>
      <c r="AW65" s="2"/>
    </row>
    <row r="66" spans="1:49" ht="33.75" customHeight="1" x14ac:dyDescent="0.25">
      <c r="A66" s="171" t="s">
        <v>28</v>
      </c>
      <c r="B66" s="18">
        <v>8.1999999999999993</v>
      </c>
      <c r="C66" s="19">
        <v>8.1999999999999993</v>
      </c>
      <c r="D66" s="19">
        <v>2.4</v>
      </c>
      <c r="E66" s="19">
        <v>8.1999999999999993</v>
      </c>
      <c r="F66" s="19">
        <v>8.1999999999999993</v>
      </c>
      <c r="G66" s="18">
        <v>8.1999999999999993</v>
      </c>
      <c r="H66" s="19">
        <v>8.1999999999999993</v>
      </c>
      <c r="I66" s="19">
        <v>2.6</v>
      </c>
      <c r="J66" s="19">
        <v>8.1999999999999993</v>
      </c>
      <c r="K66" s="19">
        <v>8.1999999999999993</v>
      </c>
      <c r="L66" s="446">
        <v>6.8</v>
      </c>
      <c r="M66" s="19">
        <v>6.8</v>
      </c>
      <c r="N66" s="19">
        <v>2.6</v>
      </c>
      <c r="O66" s="19">
        <v>6.8</v>
      </c>
      <c r="P66" s="20">
        <v>6.8</v>
      </c>
      <c r="Q66" s="18">
        <v>7.1</v>
      </c>
      <c r="R66" s="19">
        <v>7.1</v>
      </c>
      <c r="S66" s="19">
        <v>2.6</v>
      </c>
      <c r="T66" s="19">
        <v>7.1</v>
      </c>
      <c r="U66" s="20">
        <v>7.1</v>
      </c>
      <c r="V66" s="412">
        <f t="shared" si="32"/>
        <v>131.39999999999995</v>
      </c>
      <c r="W66" s="42"/>
      <c r="X66" s="302"/>
      <c r="Y66" s="42"/>
      <c r="Z66" s="42"/>
      <c r="AA66" s="42"/>
      <c r="AB66" s="42"/>
      <c r="AC66" s="2"/>
      <c r="AD66" s="45"/>
      <c r="AE66" s="45"/>
      <c r="AF66" s="45"/>
      <c r="AG66" s="57"/>
      <c r="AH66" s="57"/>
      <c r="AI66" s="57"/>
      <c r="AJ66" s="57"/>
      <c r="AK66" s="45"/>
      <c r="AL66" s="45"/>
      <c r="AM66" s="58"/>
      <c r="AN66" s="58"/>
      <c r="AO66" s="58"/>
      <c r="AP66" s="3"/>
      <c r="AQ66" s="3"/>
      <c r="AR66" s="2"/>
      <c r="AS66" s="2"/>
      <c r="AT66" s="2"/>
      <c r="AU66" s="2"/>
      <c r="AV66" s="2"/>
      <c r="AW66" s="2"/>
    </row>
    <row r="67" spans="1:49" ht="33.75" customHeight="1" x14ac:dyDescent="0.25">
      <c r="A67" s="171" t="s">
        <v>21</v>
      </c>
      <c r="B67" s="18">
        <v>8.1999999999999993</v>
      </c>
      <c r="C67" s="19">
        <v>8.3000000000000007</v>
      </c>
      <c r="D67" s="19">
        <v>2.4</v>
      </c>
      <c r="E67" s="19">
        <v>8.3000000000000007</v>
      </c>
      <c r="F67" s="19">
        <v>8.3000000000000007</v>
      </c>
      <c r="G67" s="18">
        <v>8.1999999999999993</v>
      </c>
      <c r="H67" s="19">
        <v>8.3000000000000007</v>
      </c>
      <c r="I67" s="19">
        <v>2.6</v>
      </c>
      <c r="J67" s="19">
        <v>8.3000000000000007</v>
      </c>
      <c r="K67" s="19">
        <v>8.1999999999999993</v>
      </c>
      <c r="L67" s="446">
        <v>6.8</v>
      </c>
      <c r="M67" s="19">
        <v>6.8</v>
      </c>
      <c r="N67" s="19">
        <v>2.6</v>
      </c>
      <c r="O67" s="19">
        <v>6.8</v>
      </c>
      <c r="P67" s="20">
        <v>6.8</v>
      </c>
      <c r="Q67" s="18">
        <v>7.1</v>
      </c>
      <c r="R67" s="19">
        <v>7.1</v>
      </c>
      <c r="S67" s="19">
        <v>2.6</v>
      </c>
      <c r="T67" s="19">
        <v>7.1</v>
      </c>
      <c r="U67" s="20">
        <v>7.1</v>
      </c>
      <c r="V67" s="412">
        <f t="shared" si="32"/>
        <v>131.89999999999998</v>
      </c>
      <c r="W67" s="42"/>
      <c r="X67" s="302"/>
      <c r="Y67" s="42"/>
      <c r="Z67" s="42"/>
      <c r="AA67" s="42"/>
      <c r="AB67" s="42"/>
      <c r="AC67" s="2"/>
      <c r="AD67" s="45"/>
      <c r="AE67" s="45"/>
      <c r="AF67" s="45"/>
      <c r="AG67" s="57"/>
      <c r="AH67" s="57"/>
      <c r="AI67" s="57"/>
      <c r="AJ67" s="57"/>
      <c r="AK67" s="45"/>
      <c r="AL67" s="45"/>
      <c r="AM67" s="58"/>
      <c r="AN67" s="58"/>
      <c r="AO67" s="58"/>
      <c r="AP67" s="3"/>
      <c r="AQ67" s="3"/>
      <c r="AR67" s="2"/>
      <c r="AS67" s="2"/>
      <c r="AT67" s="2"/>
      <c r="AU67" s="2"/>
      <c r="AV67" s="2"/>
      <c r="AW67" s="2"/>
    </row>
    <row r="68" spans="1:49" ht="33.75" customHeight="1" x14ac:dyDescent="0.25">
      <c r="A68" s="171" t="s">
        <v>22</v>
      </c>
      <c r="B68" s="18">
        <v>8.1999999999999993</v>
      </c>
      <c r="C68" s="19">
        <v>8.3000000000000007</v>
      </c>
      <c r="D68" s="19">
        <v>2.4</v>
      </c>
      <c r="E68" s="19">
        <v>8.3000000000000007</v>
      </c>
      <c r="F68" s="19">
        <v>8.3000000000000007</v>
      </c>
      <c r="G68" s="18">
        <v>8.1999999999999993</v>
      </c>
      <c r="H68" s="19">
        <v>8.3000000000000007</v>
      </c>
      <c r="I68" s="19">
        <v>2.6</v>
      </c>
      <c r="J68" s="19">
        <v>8.3000000000000007</v>
      </c>
      <c r="K68" s="19">
        <v>8.1999999999999993</v>
      </c>
      <c r="L68" s="446">
        <v>6.8</v>
      </c>
      <c r="M68" s="19">
        <v>6.8</v>
      </c>
      <c r="N68" s="19">
        <v>2.6</v>
      </c>
      <c r="O68" s="19">
        <v>6.8</v>
      </c>
      <c r="P68" s="20">
        <v>6.8</v>
      </c>
      <c r="Q68" s="18">
        <v>7.1</v>
      </c>
      <c r="R68" s="19">
        <v>7.1</v>
      </c>
      <c r="S68" s="19">
        <v>2.6</v>
      </c>
      <c r="T68" s="19">
        <v>7.1</v>
      </c>
      <c r="U68" s="20">
        <v>7.1</v>
      </c>
      <c r="V68" s="412">
        <f t="shared" si="32"/>
        <v>131.89999999999998</v>
      </c>
      <c r="W68" s="42"/>
      <c r="X68" s="302"/>
      <c r="Y68" s="42"/>
      <c r="Z68" s="42"/>
      <c r="AA68" s="42"/>
      <c r="AB68" s="42"/>
      <c r="AC68" s="2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3"/>
      <c r="AQ68" s="3"/>
      <c r="AT68" s="2"/>
      <c r="AU68" s="2"/>
      <c r="AV68" s="2"/>
      <c r="AW68" s="2"/>
    </row>
    <row r="69" spans="1:49" ht="33.75" customHeight="1" thickBot="1" x14ac:dyDescent="0.3">
      <c r="A69" s="171" t="s">
        <v>23</v>
      </c>
      <c r="B69" s="130">
        <v>8.3000000000000007</v>
      </c>
      <c r="C69" s="124">
        <v>8.3000000000000007</v>
      </c>
      <c r="D69" s="124">
        <v>2.4</v>
      </c>
      <c r="E69" s="124">
        <v>8.3000000000000007</v>
      </c>
      <c r="F69" s="124">
        <v>8.3000000000000007</v>
      </c>
      <c r="G69" s="130">
        <v>8.3000000000000007</v>
      </c>
      <c r="H69" s="124">
        <v>8.3000000000000007</v>
      </c>
      <c r="I69" s="124">
        <v>2.6</v>
      </c>
      <c r="J69" s="124">
        <v>8.3000000000000007</v>
      </c>
      <c r="K69" s="124">
        <v>8.3000000000000007</v>
      </c>
      <c r="L69" s="447">
        <v>6.8</v>
      </c>
      <c r="M69" s="124">
        <v>6.9</v>
      </c>
      <c r="N69" s="124">
        <v>2.6</v>
      </c>
      <c r="O69" s="124">
        <v>6.9</v>
      </c>
      <c r="P69" s="132">
        <v>6.9</v>
      </c>
      <c r="Q69" s="130">
        <v>7.2</v>
      </c>
      <c r="R69" s="124">
        <v>7.2</v>
      </c>
      <c r="S69" s="124">
        <v>2.6</v>
      </c>
      <c r="T69" s="124">
        <v>7.2</v>
      </c>
      <c r="U69" s="132">
        <v>7.2</v>
      </c>
      <c r="V69" s="412">
        <f>SUM(B69:U69)</f>
        <v>132.9</v>
      </c>
      <c r="W69" s="42"/>
      <c r="X69" s="302"/>
      <c r="Y69" s="42"/>
      <c r="Z69" s="42"/>
      <c r="AA69" s="42"/>
      <c r="AB69" s="42"/>
      <c r="AC69" s="2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3"/>
      <c r="AQ69" s="3"/>
      <c r="AT69" s="2"/>
      <c r="AU69" s="2"/>
      <c r="AV69" s="2"/>
      <c r="AW69" s="2"/>
    </row>
    <row r="70" spans="1:49" ht="33.75" customHeight="1" thickBot="1" x14ac:dyDescent="0.3">
      <c r="A70" s="170" t="s">
        <v>9</v>
      </c>
      <c r="B70" s="297">
        <f t="shared" ref="B70:U70" si="33">SUM(B63:B69)</f>
        <v>57.5</v>
      </c>
      <c r="C70" s="298">
        <f t="shared" si="33"/>
        <v>57.699999999999989</v>
      </c>
      <c r="D70" s="298">
        <f t="shared" si="33"/>
        <v>17.100000000000001</v>
      </c>
      <c r="E70" s="298">
        <f t="shared" si="33"/>
        <v>57.699999999999989</v>
      </c>
      <c r="F70" s="299">
        <f t="shared" si="33"/>
        <v>57.699999999999989</v>
      </c>
      <c r="G70" s="297">
        <f t="shared" si="33"/>
        <v>57.5</v>
      </c>
      <c r="H70" s="298">
        <f t="shared" si="33"/>
        <v>57.699999999999989</v>
      </c>
      <c r="I70" s="298">
        <f t="shared" si="33"/>
        <v>18.2</v>
      </c>
      <c r="J70" s="298">
        <f t="shared" si="33"/>
        <v>57.699999999999989</v>
      </c>
      <c r="K70" s="298">
        <f t="shared" si="33"/>
        <v>57.5</v>
      </c>
      <c r="L70" s="297">
        <f t="shared" si="33"/>
        <v>47.399999999999991</v>
      </c>
      <c r="M70" s="298">
        <f t="shared" si="33"/>
        <v>47.499999999999993</v>
      </c>
      <c r="N70" s="298">
        <f t="shared" si="33"/>
        <v>18.100000000000001</v>
      </c>
      <c r="O70" s="298">
        <f t="shared" si="33"/>
        <v>47.499999999999993</v>
      </c>
      <c r="P70" s="299">
        <f t="shared" si="33"/>
        <v>47.499999999999993</v>
      </c>
      <c r="Q70" s="297">
        <f t="shared" si="33"/>
        <v>49.600000000000009</v>
      </c>
      <c r="R70" s="298">
        <f t="shared" si="33"/>
        <v>49.600000000000009</v>
      </c>
      <c r="S70" s="298">
        <f t="shared" si="33"/>
        <v>18.2</v>
      </c>
      <c r="T70" s="298">
        <f t="shared" si="33"/>
        <v>49.600000000000009</v>
      </c>
      <c r="U70" s="448">
        <f t="shared" si="33"/>
        <v>49.600000000000009</v>
      </c>
      <c r="V70" s="449">
        <f t="shared" si="32"/>
        <v>920.90000000000009</v>
      </c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3"/>
      <c r="AQ70" s="3"/>
      <c r="AR70" s="3"/>
      <c r="AS70" s="3"/>
      <c r="AT70" s="2"/>
      <c r="AU70" s="2"/>
      <c r="AV70" s="2"/>
      <c r="AW70" s="2"/>
    </row>
    <row r="71" spans="1:49" ht="33.75" customHeight="1" x14ac:dyDescent="0.25">
      <c r="A71" s="192" t="s">
        <v>11</v>
      </c>
      <c r="B71" s="357">
        <v>144</v>
      </c>
      <c r="C71" s="358">
        <v>144.5</v>
      </c>
      <c r="D71" s="358">
        <v>144</v>
      </c>
      <c r="E71" s="358">
        <v>144.5</v>
      </c>
      <c r="F71" s="358">
        <v>144.5</v>
      </c>
      <c r="G71" s="357">
        <v>144</v>
      </c>
      <c r="H71" s="358">
        <v>144.5</v>
      </c>
      <c r="I71" s="358">
        <v>144.5</v>
      </c>
      <c r="J71" s="358">
        <v>144.5</v>
      </c>
      <c r="K71" s="358">
        <v>144</v>
      </c>
      <c r="L71" s="357">
        <v>144</v>
      </c>
      <c r="M71" s="358">
        <v>144.5</v>
      </c>
      <c r="N71" s="358">
        <v>144</v>
      </c>
      <c r="O71" s="358">
        <v>144.5</v>
      </c>
      <c r="P71" s="358">
        <v>144.5</v>
      </c>
      <c r="Q71" s="357">
        <v>144.5</v>
      </c>
      <c r="R71" s="358">
        <v>144.5</v>
      </c>
      <c r="S71" s="358">
        <v>144.5</v>
      </c>
      <c r="T71" s="358">
        <v>144.5</v>
      </c>
      <c r="U71" s="358">
        <v>144.5</v>
      </c>
      <c r="V71" s="296">
        <f>+((V70/V72)/7)*1000</f>
        <v>144.40959698917987</v>
      </c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3"/>
      <c r="AQ71" s="3"/>
      <c r="AR71" s="3"/>
      <c r="AS71" s="3"/>
      <c r="AT71" s="2"/>
      <c r="AU71" s="2"/>
      <c r="AV71" s="2"/>
      <c r="AW71" s="2"/>
    </row>
    <row r="72" spans="1:49" ht="33.75" customHeight="1" x14ac:dyDescent="0.25">
      <c r="A72" s="193" t="s">
        <v>12</v>
      </c>
      <c r="B72" s="257">
        <v>57</v>
      </c>
      <c r="C72" s="275">
        <v>57</v>
      </c>
      <c r="D72" s="275">
        <v>17</v>
      </c>
      <c r="E72" s="275">
        <v>57</v>
      </c>
      <c r="F72" s="275">
        <v>57</v>
      </c>
      <c r="G72" s="257">
        <v>57</v>
      </c>
      <c r="H72" s="275">
        <v>57</v>
      </c>
      <c r="I72" s="275">
        <v>18</v>
      </c>
      <c r="J72" s="275">
        <v>57</v>
      </c>
      <c r="K72" s="275">
        <v>57</v>
      </c>
      <c r="L72" s="257">
        <v>47</v>
      </c>
      <c r="M72" s="275">
        <v>47</v>
      </c>
      <c r="N72" s="275">
        <v>18</v>
      </c>
      <c r="O72" s="275">
        <v>47</v>
      </c>
      <c r="P72" s="275">
        <v>47</v>
      </c>
      <c r="Q72" s="257">
        <v>49</v>
      </c>
      <c r="R72" s="275">
        <v>49</v>
      </c>
      <c r="S72" s="275">
        <v>18</v>
      </c>
      <c r="T72" s="275">
        <v>49</v>
      </c>
      <c r="U72" s="275">
        <v>49</v>
      </c>
      <c r="V72" s="254">
        <f>SUM(B72:U72)</f>
        <v>911</v>
      </c>
      <c r="AC72" s="59"/>
      <c r="AG72" s="3"/>
      <c r="AH72" s="3"/>
      <c r="AI72" s="3"/>
      <c r="AJ72" s="3"/>
      <c r="AK72" s="3"/>
      <c r="AL72" s="3"/>
    </row>
    <row r="73" spans="1:49" ht="33.75" customHeight="1" x14ac:dyDescent="0.25">
      <c r="A73" s="194" t="s">
        <v>13</v>
      </c>
      <c r="B73" s="30">
        <f>((((B71*7)*B72)/1000)-(B63+B64))/5</f>
        <v>8.2112000000000016</v>
      </c>
      <c r="C73" s="31">
        <f t="shared" ref="C73:F73" si="34">((((C71*7)*C72)/1000)-(C63+C64))/5</f>
        <v>8.251100000000001</v>
      </c>
      <c r="D73" s="31">
        <f t="shared" si="34"/>
        <v>2.3872</v>
      </c>
      <c r="E73" s="31">
        <f t="shared" si="34"/>
        <v>8.251100000000001</v>
      </c>
      <c r="F73" s="31">
        <f t="shared" si="34"/>
        <v>8.251100000000001</v>
      </c>
      <c r="G73" s="30">
        <f>((((G71*7)*G72)/1000)-(G63+G64))/5</f>
        <v>8.2112000000000016</v>
      </c>
      <c r="H73" s="31">
        <f t="shared" ref="H73:K73" si="35">((((H71*7)*H72)/1000)-(H63+H64))/5</f>
        <v>8.251100000000001</v>
      </c>
      <c r="I73" s="31">
        <f t="shared" si="35"/>
        <v>2.6014000000000004</v>
      </c>
      <c r="J73" s="31">
        <f t="shared" si="35"/>
        <v>8.251100000000001</v>
      </c>
      <c r="K73" s="31">
        <f t="shared" si="35"/>
        <v>8.2112000000000016</v>
      </c>
      <c r="L73" s="30">
        <f>((((L71*7)*L72)/1000)-(L63+L64))/5</f>
        <v>6.7951999999999995</v>
      </c>
      <c r="M73" s="31">
        <f t="shared" ref="M73:P73" si="36">((((M71*7)*M72)/1000)-(M63+M64))/5</f>
        <v>6.8281000000000009</v>
      </c>
      <c r="N73" s="31">
        <f t="shared" si="36"/>
        <v>2.5888</v>
      </c>
      <c r="O73" s="31">
        <f t="shared" si="36"/>
        <v>6.8281000000000009</v>
      </c>
      <c r="P73" s="31">
        <f t="shared" si="36"/>
        <v>6.8281000000000009</v>
      </c>
      <c r="Q73" s="30">
        <f>((((Q71*7)*Q72)/1000)-(Q63+Q64))/5</f>
        <v>7.1126999999999994</v>
      </c>
      <c r="R73" s="31">
        <f t="shared" ref="R73:U73" si="37">((((R71*7)*R72)/1000)-(R63+R64))/5</f>
        <v>7.1126999999999994</v>
      </c>
      <c r="S73" s="31">
        <f t="shared" si="37"/>
        <v>2.6014000000000004</v>
      </c>
      <c r="T73" s="31">
        <f t="shared" si="37"/>
        <v>7.1126999999999994</v>
      </c>
      <c r="U73" s="31">
        <f t="shared" si="37"/>
        <v>7.1126999999999994</v>
      </c>
      <c r="V73" s="139">
        <f>((V70*100)/V72)/7</f>
        <v>14.44095969891799</v>
      </c>
      <c r="AG73" s="3"/>
      <c r="AH73" s="3"/>
      <c r="AI73" s="3"/>
      <c r="AJ73" s="3"/>
      <c r="AK73" s="3"/>
      <c r="AL73" s="3"/>
    </row>
    <row r="74" spans="1:49" ht="33.75" customHeight="1" x14ac:dyDescent="0.25">
      <c r="A74" s="185" t="s">
        <v>14</v>
      </c>
      <c r="B74" s="279">
        <f t="shared" ref="B74:U74" si="38">((B72*B71)*7)/1000</f>
        <v>57.456000000000003</v>
      </c>
      <c r="C74" s="280">
        <f t="shared" si="38"/>
        <v>57.655500000000004</v>
      </c>
      <c r="D74" s="280">
        <f t="shared" si="38"/>
        <v>17.135999999999999</v>
      </c>
      <c r="E74" s="280">
        <f t="shared" si="38"/>
        <v>57.655500000000004</v>
      </c>
      <c r="F74" s="280">
        <f t="shared" si="38"/>
        <v>57.655500000000004</v>
      </c>
      <c r="G74" s="279">
        <f t="shared" si="38"/>
        <v>57.456000000000003</v>
      </c>
      <c r="H74" s="280">
        <f t="shared" si="38"/>
        <v>57.655500000000004</v>
      </c>
      <c r="I74" s="280">
        <f t="shared" si="38"/>
        <v>18.207000000000001</v>
      </c>
      <c r="J74" s="280">
        <f t="shared" si="38"/>
        <v>57.655500000000004</v>
      </c>
      <c r="K74" s="280">
        <f t="shared" si="38"/>
        <v>57.456000000000003</v>
      </c>
      <c r="L74" s="279">
        <f t="shared" si="38"/>
        <v>47.375999999999998</v>
      </c>
      <c r="M74" s="280">
        <f t="shared" si="38"/>
        <v>47.540500000000002</v>
      </c>
      <c r="N74" s="280">
        <f t="shared" si="38"/>
        <v>18.143999999999998</v>
      </c>
      <c r="O74" s="280">
        <f t="shared" si="38"/>
        <v>47.540500000000002</v>
      </c>
      <c r="P74" s="280">
        <f t="shared" si="38"/>
        <v>47.540500000000002</v>
      </c>
      <c r="Q74" s="279">
        <f t="shared" si="38"/>
        <v>49.563499999999998</v>
      </c>
      <c r="R74" s="280">
        <f t="shared" si="38"/>
        <v>49.563499999999998</v>
      </c>
      <c r="S74" s="280">
        <f t="shared" si="38"/>
        <v>18.207000000000001</v>
      </c>
      <c r="T74" s="280">
        <f t="shared" si="38"/>
        <v>49.563499999999998</v>
      </c>
      <c r="U74" s="280">
        <f t="shared" si="38"/>
        <v>49.563499999999998</v>
      </c>
      <c r="V74" s="112"/>
      <c r="W74" s="41"/>
      <c r="X74" s="41"/>
      <c r="Y74" s="41"/>
      <c r="Z74" s="41"/>
      <c r="AA74" s="41"/>
      <c r="AB74" s="41"/>
      <c r="AL74" s="3"/>
    </row>
    <row r="75" spans="1:49" ht="33.75" customHeight="1" thickBot="1" x14ac:dyDescent="0.3">
      <c r="A75" s="195" t="s">
        <v>15</v>
      </c>
      <c r="B75" s="37">
        <f t="shared" ref="B75:U75" si="39">+(B70/B72)/7*1000</f>
        <v>144.11027568922304</v>
      </c>
      <c r="C75" s="38">
        <f t="shared" si="39"/>
        <v>144.61152882205511</v>
      </c>
      <c r="D75" s="38">
        <f t="shared" si="39"/>
        <v>143.69747899159663</v>
      </c>
      <c r="E75" s="38">
        <f t="shared" si="39"/>
        <v>144.61152882205511</v>
      </c>
      <c r="F75" s="38">
        <f t="shared" si="39"/>
        <v>144.61152882205511</v>
      </c>
      <c r="G75" s="37">
        <f t="shared" si="39"/>
        <v>144.11027568922304</v>
      </c>
      <c r="H75" s="38">
        <f t="shared" si="39"/>
        <v>144.61152882205511</v>
      </c>
      <c r="I75" s="38">
        <f t="shared" si="39"/>
        <v>144.44444444444443</v>
      </c>
      <c r="J75" s="38">
        <f t="shared" si="39"/>
        <v>144.61152882205511</v>
      </c>
      <c r="K75" s="38">
        <f t="shared" si="39"/>
        <v>144.11027568922304</v>
      </c>
      <c r="L75" s="37">
        <f t="shared" si="39"/>
        <v>144.07294832826744</v>
      </c>
      <c r="M75" s="38">
        <f t="shared" si="39"/>
        <v>144.37689969604861</v>
      </c>
      <c r="N75" s="38">
        <f t="shared" si="39"/>
        <v>143.65079365079364</v>
      </c>
      <c r="O75" s="38">
        <f t="shared" si="39"/>
        <v>144.37689969604861</v>
      </c>
      <c r="P75" s="38">
        <f t="shared" si="39"/>
        <v>144.37689969604861</v>
      </c>
      <c r="Q75" s="37">
        <f t="shared" si="39"/>
        <v>144.60641399416912</v>
      </c>
      <c r="R75" s="38">
        <f t="shared" si="39"/>
        <v>144.60641399416912</v>
      </c>
      <c r="S75" s="38">
        <f t="shared" si="39"/>
        <v>144.44444444444443</v>
      </c>
      <c r="T75" s="38">
        <f t="shared" si="39"/>
        <v>144.60641399416912</v>
      </c>
      <c r="U75" s="38">
        <f t="shared" si="39"/>
        <v>144.60641399416912</v>
      </c>
      <c r="V75" s="40"/>
      <c r="AL75" s="3"/>
    </row>
    <row r="76" spans="1:49" ht="33.75" customHeight="1" x14ac:dyDescent="0.25">
      <c r="B76" s="43">
        <f>B74-B70</f>
        <v>-4.399999999999693E-2</v>
      </c>
      <c r="C76" s="43">
        <f t="shared" ref="C76:F76" si="40">C74-C70</f>
        <v>-4.4499999999985107E-2</v>
      </c>
      <c r="D76" s="43">
        <f t="shared" si="40"/>
        <v>3.5999999999997812E-2</v>
      </c>
      <c r="E76" s="43">
        <f t="shared" si="40"/>
        <v>-4.4499999999985107E-2</v>
      </c>
      <c r="F76" s="43">
        <f t="shared" si="40"/>
        <v>-4.4499999999985107E-2</v>
      </c>
      <c r="G76" s="43">
        <f>G74-G70</f>
        <v>-4.399999999999693E-2</v>
      </c>
      <c r="H76" s="43">
        <f t="shared" ref="H76:K77" si="41">H74-H70</f>
        <v>-4.4499999999985107E-2</v>
      </c>
      <c r="I76" s="43">
        <f t="shared" si="41"/>
        <v>7.0000000000014495E-3</v>
      </c>
      <c r="J76" s="43">
        <f t="shared" si="41"/>
        <v>-4.4499999999985107E-2</v>
      </c>
      <c r="K76" s="43">
        <f t="shared" si="41"/>
        <v>-4.399999999999693E-2</v>
      </c>
      <c r="L76" s="43">
        <f>L74-L70</f>
        <v>-2.3999999999993804E-2</v>
      </c>
      <c r="M76" s="43">
        <f t="shared" ref="M76:P76" si="42">M74-M70</f>
        <v>4.050000000000864E-2</v>
      </c>
      <c r="N76" s="43">
        <f t="shared" si="42"/>
        <v>4.399999999999693E-2</v>
      </c>
      <c r="O76" s="43">
        <f t="shared" si="42"/>
        <v>4.050000000000864E-2</v>
      </c>
      <c r="P76" s="43">
        <f t="shared" si="42"/>
        <v>4.050000000000864E-2</v>
      </c>
      <c r="Q76" s="43">
        <f>Q74-Q70</f>
        <v>-3.6500000000010857E-2</v>
      </c>
      <c r="R76" s="43">
        <f t="shared" ref="R76:U76" si="43">R74-R70</f>
        <v>-3.6500000000010857E-2</v>
      </c>
      <c r="S76" s="43">
        <f t="shared" si="43"/>
        <v>7.0000000000014495E-3</v>
      </c>
      <c r="T76" s="43">
        <f t="shared" si="43"/>
        <v>-3.6500000000010857E-2</v>
      </c>
      <c r="U76" s="43">
        <f t="shared" si="43"/>
        <v>-3.6500000000010857E-2</v>
      </c>
    </row>
    <row r="77" spans="1:49" ht="33.75" customHeight="1" x14ac:dyDescent="0.25">
      <c r="B77" s="42">
        <f t="shared" ref="B77:U77" si="44">B75-B71</f>
        <v>0.11027568922304454</v>
      </c>
      <c r="C77" s="42">
        <f t="shared" si="44"/>
        <v>0.1115288220551065</v>
      </c>
      <c r="D77" s="42">
        <f t="shared" si="44"/>
        <v>-0.30252100840337448</v>
      </c>
      <c r="E77" s="42">
        <f t="shared" si="44"/>
        <v>0.1115288220551065</v>
      </c>
      <c r="F77" s="42">
        <f t="shared" si="44"/>
        <v>0.1115288220551065</v>
      </c>
      <c r="G77" s="42">
        <f t="shared" si="44"/>
        <v>0.11027568922304454</v>
      </c>
      <c r="H77" s="42">
        <f t="shared" si="44"/>
        <v>0.1115288220551065</v>
      </c>
      <c r="I77" s="42">
        <f t="shared" si="44"/>
        <v>-5.5555555555571345E-2</v>
      </c>
      <c r="J77" s="42">
        <f t="shared" si="44"/>
        <v>0.1115288220551065</v>
      </c>
      <c r="K77" s="42">
        <f t="shared" si="41"/>
        <v>0.11027568922304454</v>
      </c>
      <c r="L77" s="42">
        <f t="shared" si="44"/>
        <v>7.2948328267443685E-2</v>
      </c>
      <c r="M77" s="42">
        <f t="shared" si="44"/>
        <v>-0.12310030395138938</v>
      </c>
      <c r="N77" s="42">
        <f t="shared" si="44"/>
        <v>-0.34920634920635507</v>
      </c>
      <c r="O77" s="42">
        <f t="shared" si="44"/>
        <v>-0.12310030395138938</v>
      </c>
      <c r="P77" s="42">
        <f t="shared" si="44"/>
        <v>-0.12310030395138938</v>
      </c>
      <c r="Q77" s="42">
        <f t="shared" si="44"/>
        <v>0.10641399416911668</v>
      </c>
      <c r="R77" s="42">
        <f t="shared" si="44"/>
        <v>0.10641399416911668</v>
      </c>
      <c r="S77" s="42">
        <f t="shared" si="44"/>
        <v>-5.5555555555571345E-2</v>
      </c>
      <c r="T77" s="42">
        <f t="shared" si="44"/>
        <v>0.10641399416911668</v>
      </c>
      <c r="U77" s="42">
        <f t="shared" si="44"/>
        <v>0.10641399416911668</v>
      </c>
      <c r="V77" s="45"/>
      <c r="W77" s="45"/>
      <c r="X77" s="45"/>
      <c r="Y77" s="45"/>
      <c r="Z77" s="45"/>
      <c r="AA77" s="45"/>
      <c r="AB77" s="45"/>
      <c r="AC77" s="52"/>
    </row>
    <row r="78" spans="1:49" ht="33.75" customHeight="1" x14ac:dyDescent="0.25">
      <c r="B78" s="287"/>
      <c r="C78" s="287"/>
      <c r="D78" s="287"/>
      <c r="E78" s="287"/>
      <c r="F78" s="287"/>
    </row>
    <row r="79" spans="1:49" ht="33.75" customHeight="1" x14ac:dyDescent="0.25">
      <c r="A79" s="45"/>
      <c r="B79" s="283"/>
      <c r="C79" s="283"/>
      <c r="D79" s="283"/>
      <c r="E79" s="283"/>
      <c r="F79" s="283"/>
      <c r="G79" s="58"/>
      <c r="H79" s="45"/>
      <c r="I79" s="45"/>
      <c r="J79" s="45"/>
      <c r="K79" s="45"/>
      <c r="L79" s="45"/>
      <c r="M79" s="45"/>
      <c r="N79" s="45"/>
      <c r="O79" s="45"/>
    </row>
    <row r="80" spans="1:49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21">
    <mergeCell ref="O59:P59"/>
    <mergeCell ref="A3:C3"/>
    <mergeCell ref="E9:G9"/>
    <mergeCell ref="W9:X9"/>
    <mergeCell ref="O11:P11"/>
    <mergeCell ref="U16:Y16"/>
    <mergeCell ref="P16:T16"/>
    <mergeCell ref="I16:O16"/>
    <mergeCell ref="B16:H16"/>
    <mergeCell ref="H17:H18"/>
    <mergeCell ref="O17:O18"/>
    <mergeCell ref="B40:F40"/>
    <mergeCell ref="G40:G42"/>
    <mergeCell ref="M40:Q40"/>
    <mergeCell ref="R40:R41"/>
    <mergeCell ref="H43:K55"/>
    <mergeCell ref="B60:F60"/>
    <mergeCell ref="G60:K60"/>
    <mergeCell ref="L60:P60"/>
    <mergeCell ref="Q60:U60"/>
    <mergeCell ref="V60:V61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W244"/>
  <sheetViews>
    <sheetView zoomScale="25" zoomScaleNormal="25" workbookViewId="0">
      <selection activeCell="H23" sqref="H23"/>
    </sheetView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5" width="23.5703125" style="14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 t="s">
        <v>110</v>
      </c>
      <c r="P11" s="965"/>
      <c r="Q11" s="6"/>
      <c r="R11" s="6"/>
      <c r="S11" s="6"/>
      <c r="T11" s="1"/>
      <c r="U11" s="1"/>
      <c r="V11" s="1" t="s">
        <v>6</v>
      </c>
      <c r="W11" s="95">
        <v>45515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37" ht="39.950000000000003" customHeight="1" thickBot="1" x14ac:dyDescent="0.3">
      <c r="A17" s="170" t="s">
        <v>34</v>
      </c>
      <c r="B17" s="425"/>
      <c r="C17" s="168"/>
      <c r="D17" s="168"/>
      <c r="E17" s="168"/>
      <c r="F17" s="168"/>
      <c r="G17" s="204"/>
      <c r="H17" s="997" t="s">
        <v>109</v>
      </c>
      <c r="I17" s="188"/>
      <c r="J17" s="168"/>
      <c r="K17" s="168"/>
      <c r="L17" s="168"/>
      <c r="M17" s="168"/>
      <c r="N17" s="169"/>
      <c r="O17" s="997" t="s">
        <v>109</v>
      </c>
      <c r="P17" s="202"/>
      <c r="Q17" s="174"/>
      <c r="R17" s="174"/>
      <c r="S17" s="174"/>
      <c r="T17" s="203"/>
      <c r="U17" s="186"/>
      <c r="V17" s="174"/>
      <c r="W17" s="174"/>
      <c r="X17" s="174"/>
      <c r="Y17" s="175"/>
      <c r="Z17" s="261" t="s">
        <v>9</v>
      </c>
      <c r="AD17" s="15"/>
      <c r="AE17" s="15"/>
    </row>
    <row r="18" spans="1:37" ht="39.950000000000003" customHeight="1" thickBot="1" x14ac:dyDescent="0.3">
      <c r="A18" s="170" t="s">
        <v>10</v>
      </c>
      <c r="B18" s="425" t="s">
        <v>100</v>
      </c>
      <c r="C18" s="168">
        <v>1</v>
      </c>
      <c r="D18" s="168">
        <v>2</v>
      </c>
      <c r="E18" s="168">
        <v>3</v>
      </c>
      <c r="F18" s="168">
        <v>4</v>
      </c>
      <c r="G18" s="204">
        <v>5</v>
      </c>
      <c r="H18" s="998"/>
      <c r="I18" s="386" t="s">
        <v>100</v>
      </c>
      <c r="J18" s="438">
        <v>1</v>
      </c>
      <c r="K18" s="438">
        <v>2</v>
      </c>
      <c r="L18" s="438">
        <v>3</v>
      </c>
      <c r="M18" s="438">
        <v>4</v>
      </c>
      <c r="N18" s="439">
        <v>5</v>
      </c>
      <c r="O18" s="998"/>
      <c r="P18" s="202">
        <v>1</v>
      </c>
      <c r="Q18" s="174">
        <v>2</v>
      </c>
      <c r="R18" s="174">
        <v>3</v>
      </c>
      <c r="S18" s="174">
        <v>4</v>
      </c>
      <c r="T18" s="203">
        <v>5</v>
      </c>
      <c r="U18" s="186">
        <v>1</v>
      </c>
      <c r="V18" s="174">
        <v>2</v>
      </c>
      <c r="W18" s="174">
        <v>3</v>
      </c>
      <c r="X18" s="174">
        <v>4</v>
      </c>
      <c r="Y18" s="175">
        <v>5</v>
      </c>
      <c r="Z18" s="126"/>
      <c r="AD18" s="2"/>
      <c r="AE18" s="15"/>
    </row>
    <row r="19" spans="1:37" ht="39.950000000000003" customHeight="1" x14ac:dyDescent="0.25">
      <c r="A19" s="171" t="s">
        <v>53</v>
      </c>
      <c r="B19" s="453">
        <v>256.5</v>
      </c>
      <c r="C19" s="180">
        <v>18</v>
      </c>
      <c r="D19" s="180">
        <v>20</v>
      </c>
      <c r="E19" s="180">
        <v>5.9</v>
      </c>
      <c r="F19" s="180">
        <v>19.100000000000001</v>
      </c>
      <c r="G19" s="190">
        <v>19.7</v>
      </c>
      <c r="H19" s="437">
        <f>SUM(B19:G19)</f>
        <v>339.2</v>
      </c>
      <c r="I19" s="179">
        <v>256.5</v>
      </c>
      <c r="J19" s="180">
        <v>17.600000000000001</v>
      </c>
      <c r="K19" s="180">
        <v>18.7</v>
      </c>
      <c r="L19" s="180">
        <v>6.5</v>
      </c>
      <c r="M19" s="180">
        <v>18</v>
      </c>
      <c r="N19" s="181">
        <v>17.5</v>
      </c>
      <c r="O19" s="437">
        <f>SUM(I19:N19)</f>
        <v>334.8</v>
      </c>
      <c r="P19" s="61">
        <v>65.599999999999994</v>
      </c>
      <c r="Q19" s="19">
        <v>63.9</v>
      </c>
      <c r="R19" s="19">
        <v>25.1</v>
      </c>
      <c r="S19" s="19">
        <v>64.099999999999994</v>
      </c>
      <c r="T19" s="20">
        <v>63.7</v>
      </c>
      <c r="U19" s="18">
        <v>68.5</v>
      </c>
      <c r="V19" s="19">
        <v>67.900000000000006</v>
      </c>
      <c r="W19" s="19">
        <v>25</v>
      </c>
      <c r="X19" s="19">
        <v>66.599999999999994</v>
      </c>
      <c r="Y19" s="20">
        <v>67</v>
      </c>
      <c r="Z19" s="209">
        <f>SUM(H19,O19,P19:Y19)</f>
        <v>1251.4000000000001</v>
      </c>
      <c r="AA19" s="301"/>
      <c r="AB19" s="302"/>
      <c r="AD19" s="2"/>
      <c r="AE19" s="15"/>
    </row>
    <row r="20" spans="1:37" ht="39.950000000000003" customHeight="1" x14ac:dyDescent="0.25">
      <c r="A20" s="171" t="s">
        <v>24</v>
      </c>
      <c r="B20" s="454">
        <v>256.5</v>
      </c>
      <c r="C20" s="19">
        <v>18</v>
      </c>
      <c r="D20" s="19">
        <v>20</v>
      </c>
      <c r="E20" s="19">
        <v>5.9</v>
      </c>
      <c r="F20" s="19">
        <v>19.100000000000001</v>
      </c>
      <c r="G20" s="108">
        <v>19.7</v>
      </c>
      <c r="H20" s="437">
        <f t="shared" ref="H20:H25" si="0">SUM(B20:G20)</f>
        <v>339.2</v>
      </c>
      <c r="I20" s="18">
        <v>256.5</v>
      </c>
      <c r="J20" s="19">
        <v>17.600000000000001</v>
      </c>
      <c r="K20" s="19">
        <v>18.7</v>
      </c>
      <c r="L20" s="19">
        <v>6.5</v>
      </c>
      <c r="M20" s="19">
        <v>18</v>
      </c>
      <c r="N20" s="20">
        <v>17.5</v>
      </c>
      <c r="O20" s="437">
        <f t="shared" ref="O20:O25" si="1">SUM(I20:N20)</f>
        <v>334.8</v>
      </c>
      <c r="P20" s="61">
        <v>65.599999999999994</v>
      </c>
      <c r="Q20" s="19">
        <v>63.9</v>
      </c>
      <c r="R20" s="19">
        <v>25.1</v>
      </c>
      <c r="S20" s="19">
        <v>64.099999999999994</v>
      </c>
      <c r="T20" s="20">
        <v>63.7</v>
      </c>
      <c r="U20" s="18">
        <v>68.5</v>
      </c>
      <c r="V20" s="19">
        <v>67.900000000000006</v>
      </c>
      <c r="W20" s="19">
        <v>25</v>
      </c>
      <c r="X20" s="19">
        <v>66.599999999999994</v>
      </c>
      <c r="Y20" s="20">
        <v>67</v>
      </c>
      <c r="Z20" s="209">
        <f t="shared" ref="Z20:Z25" si="2">SUM(H20,O20,P20:Y20)</f>
        <v>1251.4000000000001</v>
      </c>
      <c r="AA20" s="301"/>
      <c r="AB20" s="302"/>
      <c r="AD20" s="2"/>
      <c r="AE20" s="15"/>
    </row>
    <row r="21" spans="1:37" ht="39.75" customHeight="1" x14ac:dyDescent="0.25">
      <c r="A21" s="171" t="s">
        <v>20</v>
      </c>
      <c r="B21" s="454">
        <v>268.89999999999998</v>
      </c>
      <c r="C21" s="327">
        <v>16</v>
      </c>
      <c r="D21" s="327">
        <v>17.2</v>
      </c>
      <c r="E21" s="327">
        <v>5.0999999999999996</v>
      </c>
      <c r="F21" s="327">
        <v>16.600000000000001</v>
      </c>
      <c r="G21" s="328">
        <v>17.2</v>
      </c>
      <c r="H21" s="437">
        <f>SUM(B21:G21)</f>
        <v>341</v>
      </c>
      <c r="I21" s="326">
        <v>269</v>
      </c>
      <c r="J21" s="455">
        <v>15.1</v>
      </c>
      <c r="K21" s="327">
        <v>16.600000000000001</v>
      </c>
      <c r="L21" s="327">
        <v>5.5</v>
      </c>
      <c r="M21" s="327">
        <v>16</v>
      </c>
      <c r="N21" s="329">
        <v>15.3</v>
      </c>
      <c r="O21" s="437">
        <f>SUM(I21:N21)</f>
        <v>337.50000000000006</v>
      </c>
      <c r="P21" s="330">
        <v>66.2</v>
      </c>
      <c r="Q21" s="327">
        <v>65.2</v>
      </c>
      <c r="R21" s="327">
        <v>25.2</v>
      </c>
      <c r="S21" s="327">
        <v>66</v>
      </c>
      <c r="T21" s="329">
        <v>65.400000000000006</v>
      </c>
      <c r="U21" s="326">
        <v>69.2</v>
      </c>
      <c r="V21" s="327">
        <v>69.5</v>
      </c>
      <c r="W21" s="327">
        <v>25.6</v>
      </c>
      <c r="X21" s="327">
        <v>68.7</v>
      </c>
      <c r="Y21" s="329">
        <v>69.099999999999994</v>
      </c>
      <c r="Z21" s="209">
        <f>SUM(H21,O21,P21:Y21)</f>
        <v>1268.5999999999999</v>
      </c>
      <c r="AA21" s="301"/>
      <c r="AB21" s="302"/>
      <c r="AD21" s="2"/>
      <c r="AE21" s="15"/>
    </row>
    <row r="22" spans="1:37" ht="39.950000000000003" customHeight="1" x14ac:dyDescent="0.25">
      <c r="A22" s="171" t="s">
        <v>28</v>
      </c>
      <c r="B22" s="454">
        <v>268.89999999999998</v>
      </c>
      <c r="C22" s="327">
        <v>16</v>
      </c>
      <c r="D22" s="327">
        <v>17.2</v>
      </c>
      <c r="E22" s="327">
        <v>5.0999999999999996</v>
      </c>
      <c r="F22" s="327">
        <v>16.600000000000001</v>
      </c>
      <c r="G22" s="328">
        <v>17.2</v>
      </c>
      <c r="H22" s="437">
        <f t="shared" si="0"/>
        <v>341</v>
      </c>
      <c r="I22" s="326">
        <v>269</v>
      </c>
      <c r="J22" s="327">
        <v>15.1</v>
      </c>
      <c r="K22" s="327">
        <v>16.600000000000001</v>
      </c>
      <c r="L22" s="327">
        <v>5.5</v>
      </c>
      <c r="M22" s="327">
        <v>16</v>
      </c>
      <c r="N22" s="329">
        <v>15.3</v>
      </c>
      <c r="O22" s="437">
        <f t="shared" si="1"/>
        <v>337.50000000000006</v>
      </c>
      <c r="P22" s="330">
        <v>66.2</v>
      </c>
      <c r="Q22" s="327">
        <v>65.2</v>
      </c>
      <c r="R22" s="327">
        <v>25.2</v>
      </c>
      <c r="S22" s="327">
        <v>66</v>
      </c>
      <c r="T22" s="329">
        <v>65.400000000000006</v>
      </c>
      <c r="U22" s="326">
        <v>69.2</v>
      </c>
      <c r="V22" s="327">
        <v>69.5</v>
      </c>
      <c r="W22" s="327">
        <v>25.6</v>
      </c>
      <c r="X22" s="327">
        <v>68.7</v>
      </c>
      <c r="Y22" s="329">
        <v>69.099999999999994</v>
      </c>
      <c r="Z22" s="209">
        <f t="shared" si="2"/>
        <v>1268.5999999999999</v>
      </c>
      <c r="AA22" s="301"/>
      <c r="AB22" s="302"/>
      <c r="AD22" s="2"/>
      <c r="AE22" s="15"/>
    </row>
    <row r="23" spans="1:37" ht="39.950000000000003" customHeight="1" x14ac:dyDescent="0.25">
      <c r="A23" s="171" t="s">
        <v>21</v>
      </c>
      <c r="B23" s="454">
        <v>268.89999999999998</v>
      </c>
      <c r="C23" s="455">
        <v>17.3</v>
      </c>
      <c r="D23" s="455">
        <v>18.399999999999999</v>
      </c>
      <c r="E23" s="327">
        <v>5</v>
      </c>
      <c r="F23" s="455">
        <v>17.8</v>
      </c>
      <c r="G23" s="328">
        <v>17.2</v>
      </c>
      <c r="H23" s="437">
        <f t="shared" si="0"/>
        <v>344.59999999999997</v>
      </c>
      <c r="I23" s="326">
        <v>269</v>
      </c>
      <c r="J23" s="327">
        <v>15.1</v>
      </c>
      <c r="K23" s="455">
        <v>17.899999999999999</v>
      </c>
      <c r="L23" s="327">
        <v>5.5</v>
      </c>
      <c r="M23" s="327">
        <v>16</v>
      </c>
      <c r="N23" s="329">
        <v>15.3</v>
      </c>
      <c r="O23" s="437">
        <f t="shared" si="1"/>
        <v>338.8</v>
      </c>
      <c r="P23" s="330">
        <v>66.2</v>
      </c>
      <c r="Q23" s="327">
        <v>65.2</v>
      </c>
      <c r="R23" s="327">
        <v>25</v>
      </c>
      <c r="S23" s="327">
        <v>66</v>
      </c>
      <c r="T23" s="329">
        <v>65.400000000000006</v>
      </c>
      <c r="U23" s="326">
        <v>69.2</v>
      </c>
      <c r="V23" s="327">
        <v>69.5</v>
      </c>
      <c r="W23" s="327">
        <v>25.6</v>
      </c>
      <c r="X23" s="327">
        <v>68.7</v>
      </c>
      <c r="Y23" s="329">
        <v>68.900000000000006</v>
      </c>
      <c r="Z23" s="209">
        <f t="shared" si="2"/>
        <v>1273.1000000000001</v>
      </c>
      <c r="AA23" s="301"/>
      <c r="AB23" s="302"/>
      <c r="AD23" s="2"/>
      <c r="AE23" s="15"/>
    </row>
    <row r="24" spans="1:37" ht="39.950000000000003" customHeight="1" x14ac:dyDescent="0.25">
      <c r="A24" s="171" t="s">
        <v>22</v>
      </c>
      <c r="B24" s="454">
        <v>268.89999999999998</v>
      </c>
      <c r="C24" s="327">
        <v>17.3</v>
      </c>
      <c r="D24" s="327">
        <v>18.399999999999999</v>
      </c>
      <c r="E24" s="327">
        <v>5</v>
      </c>
      <c r="F24" s="327">
        <v>17.8</v>
      </c>
      <c r="G24" s="456">
        <v>18.399999999999999</v>
      </c>
      <c r="H24" s="437">
        <f t="shared" si="0"/>
        <v>345.79999999999995</v>
      </c>
      <c r="I24" s="326">
        <v>269</v>
      </c>
      <c r="J24" s="327">
        <v>15.1</v>
      </c>
      <c r="K24" s="327">
        <v>17.899999999999999</v>
      </c>
      <c r="L24" s="327">
        <v>5.5</v>
      </c>
      <c r="M24" s="327">
        <v>16</v>
      </c>
      <c r="N24" s="457">
        <v>16.600000000000001</v>
      </c>
      <c r="O24" s="437">
        <f t="shared" si="1"/>
        <v>340.1</v>
      </c>
      <c r="P24" s="330">
        <v>66.2</v>
      </c>
      <c r="Q24" s="327">
        <v>65.2</v>
      </c>
      <c r="R24" s="455">
        <v>25.5</v>
      </c>
      <c r="S24" s="327">
        <v>66</v>
      </c>
      <c r="T24" s="457">
        <v>66.8</v>
      </c>
      <c r="U24" s="326">
        <v>69.2</v>
      </c>
      <c r="V24" s="455">
        <v>70.8</v>
      </c>
      <c r="W24" s="327">
        <v>25.6</v>
      </c>
      <c r="X24" s="327">
        <v>68.5</v>
      </c>
      <c r="Y24" s="457">
        <v>70.3</v>
      </c>
      <c r="Z24" s="209">
        <f t="shared" si="2"/>
        <v>1279.9999999999998</v>
      </c>
      <c r="AA24" s="301"/>
      <c r="AB24" s="302"/>
      <c r="AD24" s="2"/>
      <c r="AE24" s="15"/>
    </row>
    <row r="25" spans="1:37" ht="39.950000000000003" customHeight="1" thickBot="1" x14ac:dyDescent="0.3">
      <c r="A25" s="285" t="s">
        <v>23</v>
      </c>
      <c r="B25" s="454">
        <v>268.89999999999998</v>
      </c>
      <c r="C25" s="327">
        <v>17.3</v>
      </c>
      <c r="D25" s="327">
        <v>18.399999999999999</v>
      </c>
      <c r="E25" s="455">
        <v>5.4</v>
      </c>
      <c r="F25" s="327">
        <v>17.8</v>
      </c>
      <c r="G25" s="328">
        <v>18.399999999999999</v>
      </c>
      <c r="H25" s="437">
        <f t="shared" si="0"/>
        <v>346.19999999999993</v>
      </c>
      <c r="I25" s="326">
        <v>269</v>
      </c>
      <c r="J25" s="327">
        <v>15.1</v>
      </c>
      <c r="K25" s="327">
        <v>17.899999999999999</v>
      </c>
      <c r="L25" s="327">
        <v>5.5</v>
      </c>
      <c r="M25" s="455">
        <v>17.2</v>
      </c>
      <c r="N25" s="329">
        <v>16.600000000000001</v>
      </c>
      <c r="O25" s="437">
        <f t="shared" si="1"/>
        <v>341.3</v>
      </c>
      <c r="P25" s="471">
        <v>67.599999999999994</v>
      </c>
      <c r="Q25" s="455">
        <v>66.599999999999994</v>
      </c>
      <c r="R25" s="327">
        <v>25.5</v>
      </c>
      <c r="S25" s="455">
        <v>67.3</v>
      </c>
      <c r="T25" s="329">
        <v>66.8</v>
      </c>
      <c r="U25" s="473">
        <v>70.599999999999994</v>
      </c>
      <c r="V25" s="327">
        <v>70.8</v>
      </c>
      <c r="W25" s="327">
        <v>25.6</v>
      </c>
      <c r="X25" s="455">
        <v>70</v>
      </c>
      <c r="Y25" s="329">
        <v>70.3</v>
      </c>
      <c r="Z25" s="209">
        <f t="shared" si="2"/>
        <v>1288.5999999999997</v>
      </c>
      <c r="AA25" s="472" t="s">
        <v>111</v>
      </c>
      <c r="AB25" s="302"/>
      <c r="AD25" s="2"/>
    </row>
    <row r="26" spans="1:37" ht="41.45" customHeight="1" thickBot="1" x14ac:dyDescent="0.3">
      <c r="A26" s="268" t="s">
        <v>9</v>
      </c>
      <c r="B26" s="421"/>
      <c r="C26" s="128">
        <f>SUM(C19:C25)</f>
        <v>119.89999999999999</v>
      </c>
      <c r="D26" s="128">
        <f t="shared" ref="D26:Y26" si="3">SUM(D19:D25)</f>
        <v>129.60000000000002</v>
      </c>
      <c r="E26" s="128">
        <f t="shared" si="3"/>
        <v>37.4</v>
      </c>
      <c r="F26" s="128">
        <f t="shared" si="3"/>
        <v>124.8</v>
      </c>
      <c r="G26" s="205">
        <f t="shared" si="3"/>
        <v>127.80000000000001</v>
      </c>
      <c r="H26" s="436">
        <f>SUM(H19:H25)</f>
        <v>2397</v>
      </c>
      <c r="I26" s="131"/>
      <c r="J26" s="128">
        <f t="shared" si="3"/>
        <v>110.69999999999999</v>
      </c>
      <c r="K26" s="128">
        <f>SUM(K19:K25)</f>
        <v>124.30000000000001</v>
      </c>
      <c r="L26" s="128">
        <f t="shared" si="3"/>
        <v>40.5</v>
      </c>
      <c r="M26" s="128">
        <f t="shared" si="3"/>
        <v>117.2</v>
      </c>
      <c r="N26" s="129">
        <f t="shared" si="3"/>
        <v>114.1</v>
      </c>
      <c r="O26" s="436">
        <f>SUM(O19:O25)</f>
        <v>2364.8000000000002</v>
      </c>
      <c r="P26" s="127">
        <f t="shared" si="3"/>
        <v>463.59999999999991</v>
      </c>
      <c r="Q26" s="128">
        <f t="shared" si="3"/>
        <v>455.19999999999993</v>
      </c>
      <c r="R26" s="128">
        <f t="shared" si="3"/>
        <v>176.60000000000002</v>
      </c>
      <c r="S26" s="128">
        <f t="shared" si="3"/>
        <v>459.5</v>
      </c>
      <c r="T26" s="205">
        <f t="shared" si="3"/>
        <v>457.20000000000005</v>
      </c>
      <c r="U26" s="131">
        <f t="shared" si="3"/>
        <v>484.4</v>
      </c>
      <c r="V26" s="128">
        <f t="shared" si="3"/>
        <v>485.90000000000003</v>
      </c>
      <c r="W26" s="128">
        <f t="shared" si="3"/>
        <v>177.99999999999997</v>
      </c>
      <c r="X26" s="128">
        <f t="shared" si="3"/>
        <v>477.79999999999995</v>
      </c>
      <c r="Y26" s="129">
        <f t="shared" si="3"/>
        <v>481.70000000000005</v>
      </c>
      <c r="Z26" s="375">
        <f>SUM(Z19,Z20,Z21,Z22,Z23,Z24,Z25)</f>
        <v>8881.7000000000007</v>
      </c>
      <c r="AA26" s="301"/>
    </row>
    <row r="27" spans="1:37" s="2" customFormat="1" ht="36.75" customHeight="1" x14ac:dyDescent="0.25">
      <c r="A27" s="192" t="s">
        <v>11</v>
      </c>
      <c r="B27" s="23"/>
      <c r="C27" s="24">
        <v>134.13999999999999</v>
      </c>
      <c r="D27" s="24">
        <v>136.01</v>
      </c>
      <c r="E27" s="24">
        <v>134.1</v>
      </c>
      <c r="F27" s="24">
        <v>135.08000000000001</v>
      </c>
      <c r="G27" s="24">
        <v>136.01</v>
      </c>
      <c r="H27" s="440"/>
      <c r="I27" s="23"/>
      <c r="J27" s="24">
        <v>130.4</v>
      </c>
      <c r="K27" s="24">
        <v>135.08000000000001</v>
      </c>
      <c r="L27" s="24">
        <v>134</v>
      </c>
      <c r="M27" s="24">
        <v>134</v>
      </c>
      <c r="N27" s="24">
        <v>133.1</v>
      </c>
      <c r="O27" s="440"/>
      <c r="P27" s="63">
        <v>135.9</v>
      </c>
      <c r="Q27" s="24">
        <v>134</v>
      </c>
      <c r="R27" s="24">
        <v>134.97</v>
      </c>
      <c r="S27" s="24">
        <v>134.9</v>
      </c>
      <c r="T27" s="228">
        <v>134.03</v>
      </c>
      <c r="U27" s="23">
        <v>135.9</v>
      </c>
      <c r="V27" s="24">
        <v>135.9</v>
      </c>
      <c r="W27" s="24">
        <v>134</v>
      </c>
      <c r="X27" s="24">
        <v>134</v>
      </c>
      <c r="Y27" s="25">
        <v>134.97</v>
      </c>
      <c r="Z27" s="99">
        <f>(((Z26*1000)/7)/Z28)</f>
        <v>133.26481311987035</v>
      </c>
    </row>
    <row r="28" spans="1:37" s="2" customFormat="1" ht="33" customHeight="1" x14ac:dyDescent="0.25">
      <c r="A28" s="193" t="s">
        <v>12</v>
      </c>
      <c r="B28" s="257"/>
      <c r="C28" s="27">
        <v>593</v>
      </c>
      <c r="D28" s="27">
        <v>592</v>
      </c>
      <c r="E28" s="27">
        <v>186</v>
      </c>
      <c r="F28" s="27">
        <v>593</v>
      </c>
      <c r="G28" s="27">
        <v>593</v>
      </c>
      <c r="H28" s="441"/>
      <c r="I28" s="26"/>
      <c r="J28" s="27">
        <v>593</v>
      </c>
      <c r="K28" s="27">
        <v>594</v>
      </c>
      <c r="L28" s="275">
        <v>189</v>
      </c>
      <c r="M28" s="27">
        <v>594</v>
      </c>
      <c r="N28" s="27">
        <v>589</v>
      </c>
      <c r="O28" s="441"/>
      <c r="P28" s="64">
        <v>493</v>
      </c>
      <c r="Q28" s="27">
        <v>491</v>
      </c>
      <c r="R28" s="27">
        <v>188</v>
      </c>
      <c r="S28" s="27">
        <v>492</v>
      </c>
      <c r="T28" s="275">
        <v>492</v>
      </c>
      <c r="U28" s="27">
        <v>515</v>
      </c>
      <c r="V28" s="27">
        <v>515</v>
      </c>
      <c r="W28" s="27">
        <v>190</v>
      </c>
      <c r="X28" s="27">
        <v>515</v>
      </c>
      <c r="Y28" s="27">
        <v>514</v>
      </c>
      <c r="Z28" s="29">
        <f>SUM(C28:Y28)</f>
        <v>9521</v>
      </c>
      <c r="AA28" s="402"/>
    </row>
    <row r="29" spans="1:37" s="2" customFormat="1" ht="33" customHeight="1" x14ac:dyDescent="0.25">
      <c r="A29" s="444" t="s">
        <v>13</v>
      </c>
      <c r="B29" s="445"/>
      <c r="C29" s="31">
        <f>(C34*C28)/1000</f>
        <v>17.280019999999993</v>
      </c>
      <c r="D29" s="31">
        <f t="shared" ref="D29:G29" si="4">(D34*D28)/1000</f>
        <v>18.357919999999993</v>
      </c>
      <c r="E29" s="31">
        <f t="shared" si="4"/>
        <v>5.4125999999999985</v>
      </c>
      <c r="F29" s="31">
        <f t="shared" si="4"/>
        <v>17.837440000000004</v>
      </c>
      <c r="G29" s="31">
        <f t="shared" si="4"/>
        <v>18.388929999999991</v>
      </c>
      <c r="H29" s="442"/>
      <c r="I29" s="30"/>
      <c r="J29" s="31">
        <f>(J34*J28)/1000</f>
        <v>15.062200000000002</v>
      </c>
      <c r="K29" s="31">
        <f t="shared" ref="K29:N29" si="5">(K34*K28)/1000</f>
        <v>17.867520000000006</v>
      </c>
      <c r="L29" s="31">
        <f t="shared" si="5"/>
        <v>5.4809999999999999</v>
      </c>
      <c r="M29" s="31">
        <f t="shared" si="5"/>
        <v>17.225999999999999</v>
      </c>
      <c r="N29" s="31">
        <f t="shared" si="5"/>
        <v>16.550899999999999</v>
      </c>
      <c r="O29" s="442"/>
      <c r="P29" s="65">
        <f t="shared" ref="P29:Y29" si="6">((((P27*7)*P28)/1000)-(P19+P20))/5</f>
        <v>67.558180000000007</v>
      </c>
      <c r="Q29" s="30">
        <f t="shared" si="6"/>
        <v>66.551599999999993</v>
      </c>
      <c r="R29" s="30">
        <f t="shared" si="6"/>
        <v>25.484103999999999</v>
      </c>
      <c r="S29" s="30">
        <f t="shared" si="6"/>
        <v>67.279120000000006</v>
      </c>
      <c r="T29" s="30">
        <f t="shared" si="6"/>
        <v>66.839864000000006</v>
      </c>
      <c r="U29" s="30">
        <f t="shared" si="6"/>
        <v>70.583900000000014</v>
      </c>
      <c r="V29" s="30">
        <f t="shared" si="6"/>
        <v>70.823900000000009</v>
      </c>
      <c r="W29" s="30">
        <f t="shared" si="6"/>
        <v>25.643999999999998</v>
      </c>
      <c r="X29" s="30">
        <f t="shared" si="6"/>
        <v>69.974000000000004</v>
      </c>
      <c r="Y29" s="286">
        <f t="shared" si="6"/>
        <v>70.324411999999995</v>
      </c>
      <c r="Z29" s="33"/>
    </row>
    <row r="30" spans="1:37" ht="33.75" customHeight="1" x14ac:dyDescent="0.25">
      <c r="A30" s="185" t="s">
        <v>14</v>
      </c>
      <c r="B30" s="34"/>
      <c r="C30" s="280">
        <f>((C28*C31)*7)/1000</f>
        <v>119.9</v>
      </c>
      <c r="D30" s="280">
        <f t="shared" ref="D30:G30" si="7">((D28*D31)*7)/1000</f>
        <v>129.60000000000002</v>
      </c>
      <c r="E30" s="280">
        <f>((E28*E31)*7)/1000</f>
        <v>37.4</v>
      </c>
      <c r="F30" s="280">
        <f t="shared" si="7"/>
        <v>124.8</v>
      </c>
      <c r="G30" s="280">
        <f t="shared" si="7"/>
        <v>127.79999999999998</v>
      </c>
      <c r="H30" s="443"/>
      <c r="I30" s="279"/>
      <c r="J30" s="280">
        <f>((J28*J31)*7)/1000</f>
        <v>110.69999999999999</v>
      </c>
      <c r="K30" s="280">
        <f t="shared" ref="K30:N30" si="8">((K28*K31)*7)/1000</f>
        <v>124.30000000000001</v>
      </c>
      <c r="L30" s="280">
        <f t="shared" si="8"/>
        <v>40.5</v>
      </c>
      <c r="M30" s="280">
        <f t="shared" si="8"/>
        <v>117.20000000000002</v>
      </c>
      <c r="N30" s="280">
        <f t="shared" si="8"/>
        <v>114.09999999999998</v>
      </c>
      <c r="O30" s="443"/>
      <c r="P30" s="325">
        <f t="shared" ref="P30:Y30" si="9">((P28*P27)*7)/1000</f>
        <v>468.99089999999995</v>
      </c>
      <c r="Q30" s="280">
        <f t="shared" si="9"/>
        <v>460.55799999999999</v>
      </c>
      <c r="R30" s="280">
        <f t="shared" si="9"/>
        <v>177.62052000000003</v>
      </c>
      <c r="S30" s="280">
        <f t="shared" si="9"/>
        <v>464.59560000000005</v>
      </c>
      <c r="T30" s="281">
        <f t="shared" si="9"/>
        <v>461.59931999999992</v>
      </c>
      <c r="U30" s="279">
        <f t="shared" si="9"/>
        <v>489.91950000000003</v>
      </c>
      <c r="V30" s="280">
        <f t="shared" si="9"/>
        <v>489.91950000000003</v>
      </c>
      <c r="W30" s="280">
        <f t="shared" si="9"/>
        <v>178.22</v>
      </c>
      <c r="X30" s="280">
        <f t="shared" si="9"/>
        <v>483.07</v>
      </c>
      <c r="Y30" s="282">
        <f t="shared" si="9"/>
        <v>485.62205999999998</v>
      </c>
      <c r="Z30" s="36"/>
    </row>
    <row r="31" spans="1:37" ht="33.75" customHeight="1" thickBot="1" x14ac:dyDescent="0.3">
      <c r="A31" s="195" t="s">
        <v>15</v>
      </c>
      <c r="B31" s="423"/>
      <c r="C31" s="38">
        <f>+(C26/C28)/7*1000</f>
        <v>28.884606119007469</v>
      </c>
      <c r="D31" s="38">
        <f t="shared" ref="D31:Y31" si="10">+(D26/D28)/7*1000</f>
        <v>31.274131274131278</v>
      </c>
      <c r="E31" s="38">
        <f t="shared" si="10"/>
        <v>28.725038402457759</v>
      </c>
      <c r="F31" s="38">
        <f t="shared" si="10"/>
        <v>30.065044567574077</v>
      </c>
      <c r="G31" s="38">
        <f t="shared" si="10"/>
        <v>30.787761985063838</v>
      </c>
      <c r="H31" s="259"/>
      <c r="I31" s="37"/>
      <c r="J31" s="38">
        <f t="shared" si="10"/>
        <v>26.668272705372196</v>
      </c>
      <c r="K31" s="38">
        <f t="shared" si="10"/>
        <v>29.894179894179896</v>
      </c>
      <c r="L31" s="38">
        <f t="shared" si="10"/>
        <v>30.612244897959183</v>
      </c>
      <c r="M31" s="38">
        <f t="shared" si="10"/>
        <v>28.186628186628187</v>
      </c>
      <c r="N31" s="38">
        <f t="shared" si="10"/>
        <v>27.674023769100167</v>
      </c>
      <c r="O31" s="259"/>
      <c r="P31" s="67">
        <f t="shared" si="10"/>
        <v>134.33787308026658</v>
      </c>
      <c r="Q31" s="38">
        <f t="shared" si="10"/>
        <v>132.44108233924931</v>
      </c>
      <c r="R31" s="38">
        <f t="shared" si="10"/>
        <v>134.19452887537994</v>
      </c>
      <c r="S31" s="38">
        <f t="shared" si="10"/>
        <v>133.42044134727064</v>
      </c>
      <c r="T31" s="207">
        <f t="shared" si="10"/>
        <v>132.75261324041813</v>
      </c>
      <c r="U31" s="37">
        <f t="shared" si="10"/>
        <v>134.36893203883497</v>
      </c>
      <c r="V31" s="38">
        <f t="shared" si="10"/>
        <v>134.78502080443829</v>
      </c>
      <c r="W31" s="38">
        <f t="shared" si="10"/>
        <v>133.83458646616538</v>
      </c>
      <c r="X31" s="38">
        <f t="shared" si="10"/>
        <v>132.53814147018031</v>
      </c>
      <c r="Y31" s="39">
        <f t="shared" si="10"/>
        <v>133.87993329627574</v>
      </c>
      <c r="Z31" s="40"/>
    </row>
    <row r="32" spans="1:37" ht="33.75" customHeight="1" x14ac:dyDescent="0.25">
      <c r="A32" s="41"/>
      <c r="B32" s="41"/>
      <c r="C32" s="42">
        <f>C30-C26</f>
        <v>0</v>
      </c>
      <c r="D32" s="42">
        <f t="shared" ref="D32:Y33" si="11">D30-D26</f>
        <v>0</v>
      </c>
      <c r="E32" s="42">
        <f t="shared" si="11"/>
        <v>0</v>
      </c>
      <c r="F32" s="42">
        <f t="shared" si="11"/>
        <v>0</v>
      </c>
      <c r="G32" s="42">
        <f t="shared" si="11"/>
        <v>0</v>
      </c>
      <c r="H32" s="42"/>
      <c r="I32" s="42"/>
      <c r="J32" s="42">
        <f t="shared" si="11"/>
        <v>0</v>
      </c>
      <c r="K32" s="42">
        <f>K30-K26</f>
        <v>0</v>
      </c>
      <c r="L32" s="42">
        <f t="shared" si="11"/>
        <v>0</v>
      </c>
      <c r="M32" s="42">
        <f t="shared" si="11"/>
        <v>0</v>
      </c>
      <c r="N32" s="42">
        <f t="shared" si="11"/>
        <v>0</v>
      </c>
      <c r="O32" s="42"/>
      <c r="P32" s="42">
        <f t="shared" si="11"/>
        <v>5.3909000000000447</v>
      </c>
      <c r="Q32" s="42">
        <f t="shared" si="11"/>
        <v>5.3580000000000609</v>
      </c>
      <c r="R32" s="42">
        <f t="shared" si="11"/>
        <v>1.0205200000000048</v>
      </c>
      <c r="S32" s="42">
        <f t="shared" si="11"/>
        <v>5.0956000000000472</v>
      </c>
      <c r="T32" s="42">
        <f t="shared" si="11"/>
        <v>4.3993199999998751</v>
      </c>
      <c r="U32" s="42">
        <f t="shared" si="11"/>
        <v>5.5195000000000505</v>
      </c>
      <c r="V32" s="42">
        <f t="shared" si="11"/>
        <v>4.0194999999999936</v>
      </c>
      <c r="W32" s="42">
        <f t="shared" si="11"/>
        <v>0.22000000000002728</v>
      </c>
      <c r="X32" s="42">
        <f t="shared" si="11"/>
        <v>5.2700000000000387</v>
      </c>
      <c r="Y32" s="42">
        <f t="shared" si="11"/>
        <v>3.9220599999999308</v>
      </c>
      <c r="Z32" s="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</row>
    <row r="33" spans="1:38" ht="31.5" customHeight="1" x14ac:dyDescent="0.25">
      <c r="A33" s="41"/>
      <c r="B33" s="41"/>
      <c r="C33" s="42">
        <f>C31-C34</f>
        <v>-0.25539388099251781</v>
      </c>
      <c r="D33" s="42">
        <f t="shared" ref="D33:G33" si="12">D31-D34</f>
        <v>0.26413127413128734</v>
      </c>
      <c r="E33" s="42">
        <f t="shared" si="12"/>
        <v>-0.37496159754223513</v>
      </c>
      <c r="F33" s="42">
        <f t="shared" si="12"/>
        <v>-1.4955432425935555E-2</v>
      </c>
      <c r="G33" s="42">
        <f t="shared" si="12"/>
        <v>-0.22223801493615269</v>
      </c>
      <c r="H33" s="42"/>
      <c r="I33" s="42"/>
      <c r="J33" s="42">
        <f t="shared" ref="J33:N33" si="13">J31-J34</f>
        <v>1.2682727053721905</v>
      </c>
      <c r="K33" s="42">
        <f t="shared" si="13"/>
        <v>-0.18582010582011677</v>
      </c>
      <c r="L33" s="42">
        <f t="shared" si="13"/>
        <v>1.612244897959183</v>
      </c>
      <c r="M33" s="42">
        <f t="shared" si="13"/>
        <v>-0.81337181337181264</v>
      </c>
      <c r="N33" s="42">
        <f t="shared" si="13"/>
        <v>-0.42597623089982761</v>
      </c>
      <c r="O33" s="42"/>
      <c r="P33" s="42">
        <f t="shared" si="11"/>
        <v>-1.56212691973343</v>
      </c>
      <c r="Q33" s="42">
        <f t="shared" si="11"/>
        <v>-1.5589176607506943</v>
      </c>
      <c r="R33" s="42">
        <f t="shared" si="11"/>
        <v>-0.7754711246200543</v>
      </c>
      <c r="S33" s="42">
        <f t="shared" si="11"/>
        <v>-1.4795586527293665</v>
      </c>
      <c r="T33" s="42">
        <f t="shared" si="11"/>
        <v>-1.2773867595818729</v>
      </c>
      <c r="U33" s="42">
        <f t="shared" si="11"/>
        <v>-1.5310679611650357</v>
      </c>
      <c r="V33" s="42">
        <f t="shared" si="11"/>
        <v>-1.1149791955617161</v>
      </c>
      <c r="W33" s="42">
        <f t="shared" si="11"/>
        <v>-0.16541353383462365</v>
      </c>
      <c r="X33" s="42">
        <f t="shared" si="11"/>
        <v>-1.4618585298196933</v>
      </c>
      <c r="Y33" s="42">
        <f t="shared" si="11"/>
        <v>-1.0900667037242613</v>
      </c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41"/>
      <c r="C34" s="42">
        <f>C27-$B$35</f>
        <v>29.139999999999986</v>
      </c>
      <c r="D34" s="42">
        <f t="shared" ref="D34:N34" si="14">D27-$B$35</f>
        <v>31.009999999999991</v>
      </c>
      <c r="E34" s="42">
        <f t="shared" si="14"/>
        <v>29.099999999999994</v>
      </c>
      <c r="F34" s="42">
        <f t="shared" si="14"/>
        <v>30.080000000000013</v>
      </c>
      <c r="G34" s="42">
        <f t="shared" si="14"/>
        <v>31.009999999999991</v>
      </c>
      <c r="H34" s="42"/>
      <c r="I34" s="42"/>
      <c r="J34" s="42">
        <f t="shared" si="14"/>
        <v>25.400000000000006</v>
      </c>
      <c r="K34" s="42">
        <f t="shared" si="14"/>
        <v>30.080000000000013</v>
      </c>
      <c r="L34" s="42">
        <f t="shared" si="14"/>
        <v>29</v>
      </c>
      <c r="M34" s="42">
        <f t="shared" si="14"/>
        <v>29</v>
      </c>
      <c r="N34" s="42">
        <f t="shared" si="14"/>
        <v>28.099999999999994</v>
      </c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1"/>
    </row>
    <row r="35" spans="1:38" ht="33.75" customHeight="1" x14ac:dyDescent="0.25">
      <c r="A35" s="41"/>
      <c r="B35" s="430">
        <v>105</v>
      </c>
      <c r="C35" s="431">
        <f>(B35*D35)/1000</f>
        <v>268.48500000000001</v>
      </c>
      <c r="D35" s="432">
        <f>SUM(C28:G28)</f>
        <v>2557</v>
      </c>
      <c r="E35" s="42"/>
      <c r="F35" s="42"/>
      <c r="G35" s="42"/>
      <c r="H35" s="42"/>
      <c r="I35" s="430">
        <v>105</v>
      </c>
      <c r="J35" s="431">
        <f>(I35*K35)/1000</f>
        <v>268.69499999999999</v>
      </c>
      <c r="K35" s="432">
        <f>SUM(J28:N28)</f>
        <v>2559</v>
      </c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30" t="s">
        <v>106</v>
      </c>
      <c r="C36" s="431" t="s">
        <v>107</v>
      </c>
      <c r="D36" s="431" t="s">
        <v>108</v>
      </c>
      <c r="E36" s="42"/>
      <c r="F36" s="42"/>
      <c r="G36" s="42"/>
      <c r="H36" s="42"/>
      <c r="I36" s="430" t="s">
        <v>106</v>
      </c>
      <c r="J36" s="431" t="s">
        <v>107</v>
      </c>
      <c r="K36" s="431" t="s">
        <v>108</v>
      </c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264"/>
      <c r="L37" s="42"/>
      <c r="M37" s="42"/>
      <c r="N37" s="42"/>
      <c r="O37" s="42"/>
      <c r="P37" s="264"/>
      <c r="Q37" s="42"/>
      <c r="R37" s="42"/>
      <c r="S37" s="42"/>
      <c r="T37" s="42"/>
      <c r="U37" s="264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1"/>
    </row>
    <row r="38" spans="1:38" ht="33.75" customHeight="1" x14ac:dyDescent="0.25">
      <c r="A38" s="41"/>
      <c r="B38" s="42"/>
      <c r="C38" s="42"/>
      <c r="D38" s="42"/>
      <c r="E38" s="42"/>
      <c r="F38" s="42"/>
      <c r="G38" s="42"/>
      <c r="H38" s="42"/>
      <c r="I38" s="42"/>
      <c r="J38" s="264"/>
      <c r="K38" s="264"/>
      <c r="L38" s="264"/>
      <c r="M38" s="264"/>
      <c r="N38" s="264"/>
      <c r="O38" s="264"/>
      <c r="P38" s="42"/>
      <c r="Q38" s="42"/>
      <c r="R38" s="42"/>
      <c r="S38" s="42"/>
      <c r="T38" s="264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1"/>
    </row>
    <row r="39" spans="1:38" s="2" customFormat="1" ht="33.75" customHeight="1" thickBot="1" x14ac:dyDescent="0.3">
      <c r="B39" s="43"/>
      <c r="C39" s="350"/>
      <c r="D39" s="350"/>
      <c r="E39" s="350"/>
      <c r="F39" s="350"/>
      <c r="G39" s="350"/>
      <c r="H39" s="318"/>
      <c r="I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3"/>
    </row>
    <row r="40" spans="1:38" ht="33.75" customHeight="1" thickBot="1" x14ac:dyDescent="0.3">
      <c r="A40" s="69" t="s">
        <v>16</v>
      </c>
      <c r="B40" s="973" t="s">
        <v>17</v>
      </c>
      <c r="C40" s="974"/>
      <c r="D40" s="974"/>
      <c r="E40" s="974"/>
      <c r="F40" s="991"/>
      <c r="G40" s="977" t="s">
        <v>9</v>
      </c>
      <c r="H40" s="47"/>
      <c r="L40" s="426" t="s">
        <v>18</v>
      </c>
      <c r="M40" s="980" t="s">
        <v>17</v>
      </c>
      <c r="N40" s="972"/>
      <c r="O40" s="972"/>
      <c r="P40" s="972"/>
      <c r="Q40" s="990"/>
      <c r="R40" s="977" t="s">
        <v>9</v>
      </c>
      <c r="S40" s="269"/>
      <c r="U40" s="45"/>
      <c r="V40" s="45"/>
      <c r="W40" s="46"/>
      <c r="X40" s="3"/>
      <c r="Y40" s="45"/>
      <c r="Z40" s="45"/>
      <c r="AA40" s="45"/>
      <c r="AB40" s="3"/>
    </row>
    <row r="41" spans="1:38" ht="33.75" customHeight="1" thickBot="1" x14ac:dyDescent="0.3">
      <c r="A41" s="170" t="s">
        <v>34</v>
      </c>
      <c r="B41" s="141"/>
      <c r="C41" s="118"/>
      <c r="D41" s="118"/>
      <c r="E41" s="118"/>
      <c r="F41" s="118"/>
      <c r="G41" s="978"/>
      <c r="H41" s="47"/>
      <c r="I41" s="47"/>
      <c r="J41" s="47"/>
      <c r="K41" s="47"/>
      <c r="L41" s="428" t="s">
        <v>33</v>
      </c>
      <c r="M41" s="168">
        <v>1</v>
      </c>
      <c r="N41" s="249">
        <v>2</v>
      </c>
      <c r="O41" s="249">
        <v>3</v>
      </c>
      <c r="P41" s="249"/>
      <c r="Q41" s="250"/>
      <c r="R41" s="979"/>
      <c r="S41" s="2"/>
      <c r="U41" s="47"/>
      <c r="V41" s="47"/>
      <c r="W41" s="3"/>
      <c r="X41" s="46"/>
      <c r="Y41" s="3"/>
      <c r="Z41" s="45"/>
      <c r="AA41" s="45"/>
      <c r="AB41" s="45"/>
    </row>
    <row r="42" spans="1:38" ht="33.75" customHeight="1" thickBot="1" x14ac:dyDescent="0.3">
      <c r="A42" s="170" t="s">
        <v>10</v>
      </c>
      <c r="B42" s="11">
        <v>1</v>
      </c>
      <c r="C42" s="16">
        <v>2</v>
      </c>
      <c r="D42" s="16">
        <v>3</v>
      </c>
      <c r="E42" s="16">
        <v>4</v>
      </c>
      <c r="F42" s="16">
        <v>5</v>
      </c>
      <c r="G42" s="979"/>
      <c r="H42" s="47"/>
      <c r="I42" s="47"/>
      <c r="J42" s="47"/>
      <c r="K42" s="47"/>
      <c r="L42" s="427" t="s">
        <v>10</v>
      </c>
      <c r="M42" s="114">
        <v>1</v>
      </c>
      <c r="N42" s="114">
        <v>2</v>
      </c>
      <c r="O42" s="114">
        <v>3</v>
      </c>
      <c r="P42" s="114">
        <v>4</v>
      </c>
      <c r="Q42" s="114">
        <v>5</v>
      </c>
      <c r="R42" s="278"/>
      <c r="S42" s="270"/>
      <c r="U42" s="47"/>
      <c r="V42" s="47"/>
      <c r="W42" s="48"/>
      <c r="X42" s="48"/>
      <c r="Y42" s="2"/>
      <c r="Z42" s="2"/>
      <c r="AA42" s="2"/>
      <c r="AB42" s="2"/>
    </row>
    <row r="43" spans="1:38" ht="33.75" customHeight="1" x14ac:dyDescent="0.25">
      <c r="A43" s="171" t="s">
        <v>32</v>
      </c>
      <c r="B43" s="18">
        <v>88.4</v>
      </c>
      <c r="C43" s="19">
        <v>86.7</v>
      </c>
      <c r="D43" s="19">
        <v>24.9</v>
      </c>
      <c r="E43" s="19">
        <v>84.3</v>
      </c>
      <c r="F43" s="19">
        <v>84.6</v>
      </c>
      <c r="G43" s="374">
        <f t="shared" ref="G43:G50" si="15">SUM(B43:F43)</f>
        <v>368.9</v>
      </c>
      <c r="H43" s="988"/>
      <c r="I43" s="989"/>
      <c r="J43" s="989"/>
      <c r="K43" s="989"/>
      <c r="L43" s="171" t="s">
        <v>53</v>
      </c>
      <c r="M43" s="19">
        <v>8.1</v>
      </c>
      <c r="N43" s="19">
        <v>8.1</v>
      </c>
      <c r="O43" s="19">
        <v>2.4</v>
      </c>
      <c r="P43" s="19">
        <v>8.1</v>
      </c>
      <c r="Q43" s="19">
        <v>8.1999999999999993</v>
      </c>
      <c r="R43" s="98">
        <f>SUM(M43:Q43)</f>
        <v>34.899999999999991</v>
      </c>
      <c r="S43" s="271"/>
      <c r="T43" s="302"/>
      <c r="U43" s="2"/>
      <c r="V43" s="49"/>
      <c r="W43" s="48"/>
      <c r="X43" s="48"/>
      <c r="Y43" s="2"/>
      <c r="Z43" s="2"/>
      <c r="AA43" s="2"/>
      <c r="AB43" s="2"/>
    </row>
    <row r="44" spans="1:38" ht="33.75" customHeight="1" x14ac:dyDescent="0.25">
      <c r="A44" s="171" t="s">
        <v>24</v>
      </c>
      <c r="B44" s="18">
        <v>88.4</v>
      </c>
      <c r="C44" s="19">
        <v>86.7</v>
      </c>
      <c r="D44" s="19">
        <v>24.9</v>
      </c>
      <c r="E44" s="19">
        <v>84.3</v>
      </c>
      <c r="F44" s="19">
        <v>84.6</v>
      </c>
      <c r="G44" s="374">
        <f t="shared" si="15"/>
        <v>368.9</v>
      </c>
      <c r="H44" s="988"/>
      <c r="I44" s="989"/>
      <c r="J44" s="989"/>
      <c r="K44" s="989"/>
      <c r="L44" s="171" t="s">
        <v>24</v>
      </c>
      <c r="M44" s="19">
        <v>8.1</v>
      </c>
      <c r="N44" s="19">
        <v>8.1</v>
      </c>
      <c r="O44" s="19">
        <v>2.4</v>
      </c>
      <c r="P44" s="19">
        <v>8.1</v>
      </c>
      <c r="Q44" s="19">
        <v>8.1999999999999993</v>
      </c>
      <c r="R44" s="98">
        <f t="shared" ref="R44:R49" si="16">SUM(M44:Q44)</f>
        <v>34.899999999999991</v>
      </c>
      <c r="S44" s="271"/>
      <c r="T44" s="302"/>
      <c r="U44" s="2"/>
      <c r="V44" s="49"/>
      <c r="W44" s="48"/>
      <c r="X44" s="48"/>
      <c r="Y44" s="2"/>
      <c r="Z44" s="2"/>
      <c r="AA44" s="2"/>
      <c r="AB44" s="2"/>
    </row>
    <row r="45" spans="1:38" ht="33.75" customHeight="1" x14ac:dyDescent="0.25">
      <c r="A45" s="171" t="s">
        <v>20</v>
      </c>
      <c r="B45" s="18">
        <v>90.7</v>
      </c>
      <c r="C45" s="19">
        <v>89.5</v>
      </c>
      <c r="D45" s="19">
        <v>25.8</v>
      </c>
      <c r="E45" s="19">
        <v>88.1</v>
      </c>
      <c r="F45" s="19">
        <v>88</v>
      </c>
      <c r="G45" s="374">
        <f>SUM(B45:F45)</f>
        <v>382.1</v>
      </c>
      <c r="H45" s="988"/>
      <c r="I45" s="989"/>
      <c r="J45" s="989"/>
      <c r="K45" s="989"/>
      <c r="L45" s="171" t="s">
        <v>20</v>
      </c>
      <c r="M45" s="19">
        <v>8.3000000000000007</v>
      </c>
      <c r="N45" s="19">
        <v>8.3000000000000007</v>
      </c>
      <c r="O45" s="19">
        <v>2.4</v>
      </c>
      <c r="P45" s="19">
        <v>8.3000000000000007</v>
      </c>
      <c r="Q45" s="19">
        <v>8.4</v>
      </c>
      <c r="R45" s="98">
        <f t="shared" si="16"/>
        <v>35.700000000000003</v>
      </c>
      <c r="S45" s="271"/>
      <c r="T45" s="302"/>
      <c r="U45" s="2"/>
      <c r="V45" s="49"/>
      <c r="W45" s="48"/>
      <c r="X45" s="48"/>
      <c r="Y45" s="2"/>
      <c r="Z45" s="2"/>
      <c r="AA45" s="2"/>
      <c r="AB45" s="2"/>
    </row>
    <row r="46" spans="1:38" ht="33.75" customHeight="1" x14ac:dyDescent="0.25">
      <c r="A46" s="171" t="s">
        <v>28</v>
      </c>
      <c r="B46" s="18">
        <v>90.7</v>
      </c>
      <c r="C46" s="19">
        <v>89.5</v>
      </c>
      <c r="D46" s="19">
        <v>25.8</v>
      </c>
      <c r="E46" s="19">
        <v>88.1</v>
      </c>
      <c r="F46" s="19">
        <v>88</v>
      </c>
      <c r="G46" s="374">
        <f t="shared" si="15"/>
        <v>382.1</v>
      </c>
      <c r="H46" s="988"/>
      <c r="I46" s="989"/>
      <c r="J46" s="989"/>
      <c r="K46" s="989"/>
      <c r="L46" s="171" t="s">
        <v>28</v>
      </c>
      <c r="M46" s="19">
        <v>8.3000000000000007</v>
      </c>
      <c r="N46" s="19">
        <v>8.3000000000000007</v>
      </c>
      <c r="O46" s="19">
        <v>2.4</v>
      </c>
      <c r="P46" s="19">
        <v>8.3000000000000007</v>
      </c>
      <c r="Q46" s="19">
        <v>8.4</v>
      </c>
      <c r="R46" s="98">
        <f t="shared" si="16"/>
        <v>35.700000000000003</v>
      </c>
      <c r="S46" s="271"/>
      <c r="T46" s="302"/>
      <c r="U46" s="2"/>
      <c r="V46" s="49"/>
      <c r="W46" s="48"/>
      <c r="X46" s="48"/>
      <c r="Y46" s="2"/>
      <c r="Z46" s="2"/>
      <c r="AA46" s="2"/>
      <c r="AB46" s="2"/>
    </row>
    <row r="47" spans="1:38" ht="33.75" customHeight="1" x14ac:dyDescent="0.25">
      <c r="A47" s="171" t="s">
        <v>21</v>
      </c>
      <c r="B47" s="18">
        <v>90.7</v>
      </c>
      <c r="C47" s="19">
        <v>89.5</v>
      </c>
      <c r="D47" s="19">
        <v>25.8</v>
      </c>
      <c r="E47" s="19">
        <v>88.1</v>
      </c>
      <c r="F47" s="19">
        <v>88</v>
      </c>
      <c r="G47" s="374">
        <f t="shared" si="15"/>
        <v>382.1</v>
      </c>
      <c r="H47" s="988"/>
      <c r="I47" s="989"/>
      <c r="J47" s="989"/>
      <c r="K47" s="989"/>
      <c r="L47" s="171" t="s">
        <v>21</v>
      </c>
      <c r="M47" s="19">
        <v>8.3000000000000007</v>
      </c>
      <c r="N47" s="19">
        <v>8.3000000000000007</v>
      </c>
      <c r="O47" s="19">
        <v>2.1</v>
      </c>
      <c r="P47" s="19">
        <v>8.1</v>
      </c>
      <c r="Q47" s="19">
        <v>8.4</v>
      </c>
      <c r="R47" s="98">
        <f t="shared" si="16"/>
        <v>35.200000000000003</v>
      </c>
      <c r="S47" s="271"/>
      <c r="T47" s="302"/>
      <c r="U47" s="2"/>
      <c r="V47" s="49"/>
      <c r="W47" s="48"/>
      <c r="X47" s="48"/>
      <c r="Y47" s="2"/>
      <c r="Z47" s="2"/>
      <c r="AA47" s="2"/>
      <c r="AB47" s="2"/>
    </row>
    <row r="48" spans="1:38" ht="33.75" customHeight="1" x14ac:dyDescent="0.25">
      <c r="A48" s="171" t="s">
        <v>22</v>
      </c>
      <c r="B48" s="18">
        <v>90.7</v>
      </c>
      <c r="C48" s="19">
        <v>89.5</v>
      </c>
      <c r="D48" s="19">
        <v>25.8</v>
      </c>
      <c r="E48" s="19">
        <v>88.1</v>
      </c>
      <c r="F48" s="19">
        <v>88</v>
      </c>
      <c r="G48" s="374">
        <f t="shared" si="15"/>
        <v>382.1</v>
      </c>
      <c r="H48" s="988"/>
      <c r="I48" s="989"/>
      <c r="J48" s="989"/>
      <c r="K48" s="989"/>
      <c r="L48" s="171" t="s">
        <v>22</v>
      </c>
      <c r="M48" s="19">
        <v>8.3000000000000007</v>
      </c>
      <c r="N48" s="19">
        <v>8.3000000000000007</v>
      </c>
      <c r="O48" s="19">
        <v>2.1</v>
      </c>
      <c r="P48" s="19">
        <v>8.1</v>
      </c>
      <c r="Q48" s="19">
        <v>8.4</v>
      </c>
      <c r="R48" s="98">
        <f t="shared" si="16"/>
        <v>35.200000000000003</v>
      </c>
      <c r="S48" s="271"/>
      <c r="T48" s="302"/>
      <c r="U48" s="2"/>
      <c r="V48" s="49"/>
      <c r="W48" s="48"/>
      <c r="X48" s="48"/>
      <c r="Y48" s="2"/>
      <c r="Z48" s="2"/>
      <c r="AA48" s="2"/>
      <c r="AB48" s="2"/>
    </row>
    <row r="49" spans="1:49" ht="33.75" customHeight="1" thickBot="1" x14ac:dyDescent="0.3">
      <c r="A49" s="285" t="s">
        <v>32</v>
      </c>
      <c r="B49" s="18">
        <v>90.7</v>
      </c>
      <c r="C49" s="19">
        <v>89.6</v>
      </c>
      <c r="D49" s="19">
        <v>25.8</v>
      </c>
      <c r="E49" s="19">
        <v>88.3</v>
      </c>
      <c r="F49" s="19">
        <v>88.1</v>
      </c>
      <c r="G49" s="374">
        <f t="shared" si="15"/>
        <v>382.5</v>
      </c>
      <c r="H49" s="988"/>
      <c r="I49" s="989"/>
      <c r="J49" s="989"/>
      <c r="K49" s="989"/>
      <c r="L49" s="285" t="s">
        <v>23</v>
      </c>
      <c r="M49" s="19">
        <v>8.3000000000000007</v>
      </c>
      <c r="N49" s="19">
        <v>8.5</v>
      </c>
      <c r="O49" s="19">
        <v>2.1</v>
      </c>
      <c r="P49" s="19">
        <v>8.1</v>
      </c>
      <c r="Q49" s="19">
        <v>8.5</v>
      </c>
      <c r="R49" s="98">
        <f t="shared" si="16"/>
        <v>35.5</v>
      </c>
      <c r="S49" s="271"/>
      <c r="T49" s="302"/>
      <c r="U49" s="2"/>
      <c r="V49" s="49"/>
      <c r="W49" s="48"/>
      <c r="X49" s="48"/>
      <c r="Y49" s="48"/>
      <c r="Z49" s="48"/>
      <c r="AA49" s="2"/>
      <c r="AB49" s="2"/>
      <c r="AC49" s="2"/>
      <c r="AD49" s="2"/>
    </row>
    <row r="50" spans="1:49" ht="33.75" customHeight="1" x14ac:dyDescent="0.25">
      <c r="A50" s="290" t="s">
        <v>9</v>
      </c>
      <c r="B50" s="131">
        <f>SUM(B43:B49)</f>
        <v>630.30000000000007</v>
      </c>
      <c r="C50" s="128">
        <f t="shared" ref="C50:F50" si="17">SUM(C43:C49)</f>
        <v>621</v>
      </c>
      <c r="D50" s="128">
        <f t="shared" si="17"/>
        <v>178.8</v>
      </c>
      <c r="E50" s="128">
        <f t="shared" si="17"/>
        <v>609.29999999999995</v>
      </c>
      <c r="F50" s="128">
        <f t="shared" si="17"/>
        <v>609.30000000000007</v>
      </c>
      <c r="G50" s="265">
        <f t="shared" si="15"/>
        <v>2648.7000000000003</v>
      </c>
      <c r="H50" s="988"/>
      <c r="I50" s="989"/>
      <c r="J50" s="989"/>
      <c r="K50" s="989"/>
      <c r="L50" s="290" t="s">
        <v>9</v>
      </c>
      <c r="M50" s="133">
        <f>SUM(M43:M49)</f>
        <v>57.699999999999989</v>
      </c>
      <c r="N50" s="134">
        <f>SUM(N43:N49)</f>
        <v>57.899999999999991</v>
      </c>
      <c r="O50" s="134">
        <f>SUM(O43:O49)</f>
        <v>15.899999999999999</v>
      </c>
      <c r="P50" s="134">
        <f t="shared" ref="P50:Q50" si="18">SUM(P43:P49)</f>
        <v>57.1</v>
      </c>
      <c r="Q50" s="134">
        <f t="shared" si="18"/>
        <v>58.499999999999993</v>
      </c>
      <c r="R50" s="265">
        <f>SUM(R43:R49)</f>
        <v>247.09999999999997</v>
      </c>
      <c r="S50" s="272"/>
      <c r="U50" s="49"/>
      <c r="V50" s="49"/>
      <c r="W50" s="2"/>
      <c r="X50" s="2"/>
      <c r="Y50" s="2"/>
      <c r="Z50" s="2"/>
      <c r="AA50" s="2"/>
      <c r="AB50" s="2"/>
      <c r="AC50" s="2"/>
      <c r="AD50" s="2"/>
    </row>
    <row r="51" spans="1:49" ht="33.75" customHeight="1" x14ac:dyDescent="0.25">
      <c r="A51" s="192" t="s">
        <v>11</v>
      </c>
      <c r="B51" s="23">
        <v>135</v>
      </c>
      <c r="C51" s="24">
        <v>133</v>
      </c>
      <c r="D51" s="24">
        <v>133</v>
      </c>
      <c r="E51" s="24">
        <v>130.5</v>
      </c>
      <c r="F51" s="24">
        <v>130.5</v>
      </c>
      <c r="G51" s="137">
        <f>+((G50/G52)/7)*1000</f>
        <v>132.30269730269731</v>
      </c>
      <c r="H51" s="988"/>
      <c r="I51" s="989"/>
      <c r="J51" s="989"/>
      <c r="K51" s="989"/>
      <c r="L51" s="273" t="s">
        <v>11</v>
      </c>
      <c r="M51" s="23">
        <v>144.5</v>
      </c>
      <c r="N51" s="24">
        <v>145</v>
      </c>
      <c r="O51" s="24">
        <v>144</v>
      </c>
      <c r="P51" s="24">
        <v>145</v>
      </c>
      <c r="Q51" s="25">
        <v>144</v>
      </c>
      <c r="R51" s="137">
        <f>+((R50/R52)/7)*1000</f>
        <v>145.26748971193416</v>
      </c>
      <c r="S51" s="2"/>
      <c r="U51" s="50"/>
      <c r="V51" s="50"/>
    </row>
    <row r="52" spans="1:49" ht="33.75" customHeight="1" x14ac:dyDescent="0.25">
      <c r="A52" s="193" t="s">
        <v>12</v>
      </c>
      <c r="B52" s="26">
        <v>667</v>
      </c>
      <c r="C52" s="27">
        <v>667</v>
      </c>
      <c r="D52" s="27">
        <v>192</v>
      </c>
      <c r="E52" s="27">
        <v>667</v>
      </c>
      <c r="F52" s="27">
        <v>667</v>
      </c>
      <c r="G52" s="395">
        <f>SUM(B52:F52)</f>
        <v>2860</v>
      </c>
      <c r="H52" s="988"/>
      <c r="I52" s="989"/>
      <c r="J52" s="989"/>
      <c r="K52" s="989"/>
      <c r="L52" s="193" t="s">
        <v>12</v>
      </c>
      <c r="M52" s="257">
        <v>57</v>
      </c>
      <c r="N52" s="275">
        <v>57</v>
      </c>
      <c r="O52" s="275">
        <v>15</v>
      </c>
      <c r="P52" s="275">
        <v>56</v>
      </c>
      <c r="Q52" s="276">
        <v>58</v>
      </c>
      <c r="R52" s="254">
        <f>SUM(M52:Q52)</f>
        <v>243</v>
      </c>
      <c r="S52" s="2"/>
      <c r="U52" s="52"/>
      <c r="V52" s="52"/>
    </row>
    <row r="53" spans="1:49" ht="33.75" customHeight="1" x14ac:dyDescent="0.25">
      <c r="A53" s="194" t="s">
        <v>13</v>
      </c>
      <c r="B53" s="30">
        <f>((((B51*7)*B52)/1000)-(B43+B44))/5</f>
        <v>90.703000000000003</v>
      </c>
      <c r="C53" s="31">
        <f>((((C51*7)*C52)/1000)-(C43+C44))/5</f>
        <v>89.5154</v>
      </c>
      <c r="D53" s="31">
        <f>((((D51*7)*D52)/1000)-(D43+D44))/5</f>
        <v>25.790399999999998</v>
      </c>
      <c r="E53" s="31">
        <f>((((E51*7)*E52)/1000)-(E43+E44))/5</f>
        <v>88.140899999999988</v>
      </c>
      <c r="F53" s="31">
        <f>((((F51*7)*F52)/1000)-(F43+F44))/5</f>
        <v>88.020899999999997</v>
      </c>
      <c r="G53" s="139">
        <f>((G50*1000)/G52)/7</f>
        <v>132.30269730269734</v>
      </c>
      <c r="H53" s="988"/>
      <c r="I53" s="989"/>
      <c r="J53" s="989"/>
      <c r="K53" s="989"/>
      <c r="L53" s="194" t="s">
        <v>13</v>
      </c>
      <c r="M53" s="30">
        <f>((((M51*7)*M52)/1000)-(M43+M44))/5</f>
        <v>8.2911000000000001</v>
      </c>
      <c r="N53" s="31">
        <f>((((N51*7)*N52)/1000)-(N43+N44))/5</f>
        <v>8.3309999999999995</v>
      </c>
      <c r="O53" s="31">
        <f>((((O51*7)*O52)/1000)-(O43+O44))/5</f>
        <v>2.0640000000000001</v>
      </c>
      <c r="P53" s="31">
        <f t="shared" ref="P53:Q53" si="19">((((P51*7)*P52)/1000)-(P43+P44))/5</f>
        <v>8.1280000000000001</v>
      </c>
      <c r="Q53" s="32">
        <f t="shared" si="19"/>
        <v>8.4128000000000007</v>
      </c>
      <c r="R53" s="274">
        <f>((R50*1000)/R52)/7</f>
        <v>145.26748971193413</v>
      </c>
      <c r="S53" s="43"/>
      <c r="U53" s="52"/>
      <c r="V53" s="52"/>
    </row>
    <row r="54" spans="1:49" ht="33.75" customHeight="1" x14ac:dyDescent="0.25">
      <c r="A54" s="185" t="s">
        <v>14</v>
      </c>
      <c r="B54" s="279">
        <f>((B52*B51)*7)/1000</f>
        <v>630.31500000000005</v>
      </c>
      <c r="C54" s="280">
        <f>((C52*C51)*7)/1000</f>
        <v>620.97699999999998</v>
      </c>
      <c r="D54" s="280">
        <f>((D52*D51)*7)/1000</f>
        <v>178.75200000000001</v>
      </c>
      <c r="E54" s="280">
        <f>((E52*E51)*7)/1000</f>
        <v>609.30449999999996</v>
      </c>
      <c r="F54" s="280">
        <f>((F52*F51)*7)/1000</f>
        <v>609.30449999999996</v>
      </c>
      <c r="G54" s="112"/>
      <c r="H54" s="988"/>
      <c r="I54" s="989"/>
      <c r="J54" s="989"/>
      <c r="K54" s="989"/>
      <c r="L54" s="185" t="s">
        <v>14</v>
      </c>
      <c r="M54" s="279">
        <f>((M52*M51)*7)/1000</f>
        <v>57.655500000000004</v>
      </c>
      <c r="N54" s="280">
        <f>((N52*N51)*7)/1000</f>
        <v>57.854999999999997</v>
      </c>
      <c r="O54" s="280">
        <f>((O52*O51)*7)/1000</f>
        <v>15.12</v>
      </c>
      <c r="P54" s="280">
        <f t="shared" ref="P54:Q54" si="20">((P52*P51)*7)/1000</f>
        <v>56.84</v>
      </c>
      <c r="Q54" s="282">
        <f t="shared" si="20"/>
        <v>58.463999999999999</v>
      </c>
      <c r="R54" s="36"/>
      <c r="S54" s="41"/>
    </row>
    <row r="55" spans="1:49" ht="33.75" customHeight="1" thickBot="1" x14ac:dyDescent="0.3">
      <c r="A55" s="195" t="s">
        <v>15</v>
      </c>
      <c r="B55" s="37">
        <f t="shared" ref="B55:E55" si="21">+(B50/B52)/7*1000</f>
        <v>134.99678732062543</v>
      </c>
      <c r="C55" s="38">
        <f t="shared" si="21"/>
        <v>133.00492610837438</v>
      </c>
      <c r="D55" s="38">
        <f t="shared" si="21"/>
        <v>133.03571428571428</v>
      </c>
      <c r="E55" s="38">
        <f t="shared" si="21"/>
        <v>130.4990361961876</v>
      </c>
      <c r="F55" s="38">
        <f>+(F50/F52)/7*1000</f>
        <v>130.49903619618763</v>
      </c>
      <c r="G55" s="140"/>
      <c r="H55" s="988"/>
      <c r="I55" s="989"/>
      <c r="J55" s="989"/>
      <c r="K55" s="989"/>
      <c r="L55" s="195" t="s">
        <v>15</v>
      </c>
      <c r="M55" s="37">
        <f>+(M50/M52)/7*1000</f>
        <v>144.61152882205511</v>
      </c>
      <c r="N55" s="38">
        <f>+(N50/N52)/7*1000</f>
        <v>145.1127819548872</v>
      </c>
      <c r="O55" s="38">
        <f>+(O50/O52)/7*1000</f>
        <v>151.42857142857142</v>
      </c>
      <c r="P55" s="38">
        <f t="shared" ref="P55:Q55" si="22">+(P50/P52)/7*1000</f>
        <v>145.66326530612244</v>
      </c>
      <c r="Q55" s="39">
        <f t="shared" si="22"/>
        <v>144.0886699507389</v>
      </c>
      <c r="R55" s="259"/>
      <c r="S55" s="42"/>
      <c r="U55" s="42"/>
      <c r="V55" s="42"/>
    </row>
    <row r="56" spans="1:49" ht="33.75" customHeight="1" x14ac:dyDescent="0.25">
      <c r="A56" s="41"/>
      <c r="B56" s="43">
        <f>B54-B50</f>
        <v>1.4999999999986358E-2</v>
      </c>
      <c r="C56" s="43">
        <f t="shared" ref="C56:F57" si="23">C54-C50</f>
        <v>-2.3000000000024556E-2</v>
      </c>
      <c r="D56" s="43">
        <f t="shared" si="23"/>
        <v>-4.8000000000001819E-2</v>
      </c>
      <c r="E56" s="43">
        <f>E54-E50</f>
        <v>4.500000000007276E-3</v>
      </c>
      <c r="F56" s="43">
        <f t="shared" si="23"/>
        <v>4.4999999998935891E-3</v>
      </c>
      <c r="G56" s="41"/>
      <c r="H56" s="41"/>
      <c r="I56" s="41"/>
      <c r="J56" s="41"/>
      <c r="K56" s="41"/>
      <c r="L56" s="42"/>
      <c r="M56" s="42">
        <f>M54-M50</f>
        <v>-4.4499999999985107E-2</v>
      </c>
      <c r="N56" s="42">
        <f t="shared" ref="N56:Q57" si="24">N54-N50</f>
        <v>-4.49999999999946E-2</v>
      </c>
      <c r="O56" s="42">
        <f t="shared" si="24"/>
        <v>-0.77999999999999936</v>
      </c>
      <c r="P56" s="42">
        <f t="shared" si="24"/>
        <v>-0.25999999999999801</v>
      </c>
      <c r="Q56" s="42">
        <f t="shared" si="24"/>
        <v>-3.5999999999994259E-2</v>
      </c>
      <c r="T56" s="42"/>
      <c r="U56" s="42"/>
      <c r="V56" s="2"/>
      <c r="W56" s="2"/>
      <c r="X56" s="2"/>
      <c r="Y56" s="2"/>
      <c r="Z56" s="2"/>
    </row>
    <row r="57" spans="1:49" ht="33.75" customHeight="1" x14ac:dyDescent="0.25">
      <c r="A57" s="41"/>
      <c r="B57" s="42">
        <f>B55-B51</f>
        <v>-3.2126793745703708E-3</v>
      </c>
      <c r="C57" s="42">
        <f>C55-C51</f>
        <v>4.926108374377236E-3</v>
      </c>
      <c r="D57" s="42">
        <f t="shared" si="23"/>
        <v>3.5714285714277594E-2</v>
      </c>
      <c r="E57" s="42">
        <f>E55-E51</f>
        <v>-9.6380381239669077E-4</v>
      </c>
      <c r="F57" s="42">
        <f>F55-F51</f>
        <v>-9.6380381236826906E-4</v>
      </c>
      <c r="G57" s="41"/>
      <c r="H57" s="41"/>
      <c r="I57" s="41"/>
      <c r="J57" s="41"/>
      <c r="K57" s="42"/>
      <c r="L57" s="42"/>
      <c r="M57" s="42">
        <f>M55-M51</f>
        <v>0.1115288220551065</v>
      </c>
      <c r="N57" s="42">
        <f t="shared" si="24"/>
        <v>0.11278195488719689</v>
      </c>
      <c r="O57" s="42">
        <f t="shared" si="24"/>
        <v>7.4285714285714164</v>
      </c>
      <c r="P57" s="42">
        <f t="shared" si="24"/>
        <v>0.66326530612244028</v>
      </c>
      <c r="Q57" s="42">
        <f t="shared" si="24"/>
        <v>8.8669950738903935E-2</v>
      </c>
      <c r="T57" s="43"/>
      <c r="U57" s="43"/>
      <c r="V57" s="2"/>
      <c r="W57" s="2"/>
      <c r="X57" s="2"/>
      <c r="Y57" s="2"/>
      <c r="AC57" s="3"/>
    </row>
    <row r="58" spans="1:49" ht="33.75" customHeight="1" x14ac:dyDescent="0.25">
      <c r="A58" s="41"/>
      <c r="B58" s="287"/>
      <c r="C58" s="287"/>
      <c r="D58" s="287"/>
      <c r="E58" s="287"/>
      <c r="F58" s="287"/>
      <c r="G58" s="264"/>
      <c r="H58" s="41"/>
      <c r="I58" s="41"/>
      <c r="J58" s="41"/>
      <c r="K58" s="41"/>
      <c r="L58" s="41"/>
      <c r="M58" s="41"/>
      <c r="N58" s="41"/>
      <c r="O58" s="42"/>
      <c r="P58" s="42"/>
      <c r="Q58" s="42"/>
      <c r="R58" s="42"/>
      <c r="S58" s="42"/>
      <c r="T58" s="42"/>
      <c r="U58" s="42"/>
      <c r="V58" s="42"/>
      <c r="W58" s="42"/>
      <c r="X58" s="43"/>
      <c r="Y58" s="43"/>
      <c r="Z58" s="43"/>
      <c r="AA58" s="2"/>
      <c r="AB58" s="2"/>
      <c r="AC58" s="2"/>
      <c r="AD58" s="2"/>
      <c r="AH58" s="3"/>
    </row>
    <row r="59" spans="1:49" ht="33.75" customHeight="1" thickBot="1" x14ac:dyDescent="0.3">
      <c r="A59" s="53"/>
      <c r="B59" s="284"/>
      <c r="C59" s="284"/>
      <c r="D59" s="284"/>
      <c r="E59" s="284"/>
      <c r="F59" s="284"/>
      <c r="G59" s="284"/>
      <c r="H59" s="54"/>
      <c r="I59" s="54"/>
      <c r="J59" s="54"/>
      <c r="K59" s="54"/>
      <c r="L59" s="54"/>
      <c r="M59" s="54"/>
      <c r="N59" s="54"/>
      <c r="O59" s="958"/>
      <c r="P59" s="958"/>
      <c r="Q59" s="283"/>
      <c r="R59" s="283"/>
      <c r="S59" s="283"/>
      <c r="T59" s="54"/>
      <c r="U59" s="55"/>
      <c r="Z59" s="43"/>
      <c r="AA59" s="43"/>
      <c r="AB59" s="43"/>
      <c r="AC59" s="2"/>
      <c r="AD59" s="2"/>
      <c r="AE59" s="2"/>
      <c r="AF59" s="2"/>
      <c r="AH59" s="2"/>
      <c r="AI59" s="2"/>
      <c r="AJ59" s="2"/>
    </row>
    <row r="60" spans="1:49" ht="33.75" customHeight="1" x14ac:dyDescent="0.25">
      <c r="A60" s="359" t="s">
        <v>19</v>
      </c>
      <c r="B60" s="986" t="s">
        <v>8</v>
      </c>
      <c r="C60" s="956"/>
      <c r="D60" s="956"/>
      <c r="E60" s="956"/>
      <c r="F60" s="956"/>
      <c r="G60" s="986" t="s">
        <v>30</v>
      </c>
      <c r="H60" s="956"/>
      <c r="I60" s="956"/>
      <c r="J60" s="956"/>
      <c r="K60" s="987"/>
      <c r="L60" s="986" t="s">
        <v>29</v>
      </c>
      <c r="M60" s="956"/>
      <c r="N60" s="956"/>
      <c r="O60" s="956"/>
      <c r="P60" s="987"/>
      <c r="Q60" s="994" t="s">
        <v>31</v>
      </c>
      <c r="R60" s="995"/>
      <c r="S60" s="995"/>
      <c r="T60" s="995"/>
      <c r="U60" s="996"/>
      <c r="V60" s="992" t="s">
        <v>9</v>
      </c>
      <c r="AE60" s="43"/>
      <c r="AF60" s="43"/>
      <c r="AG60" s="43"/>
      <c r="AH60" s="2"/>
      <c r="AI60" s="2"/>
      <c r="AJ60" s="2"/>
      <c r="AK60" s="2"/>
      <c r="AM60" s="2"/>
      <c r="AN60" s="2"/>
      <c r="AO60" s="2"/>
    </row>
    <row r="61" spans="1:49" ht="33.75" customHeight="1" thickBot="1" x14ac:dyDescent="0.3">
      <c r="A61" s="170" t="s">
        <v>34</v>
      </c>
      <c r="B61" s="360"/>
      <c r="C61" s="361"/>
      <c r="D61" s="361"/>
      <c r="E61" s="361"/>
      <c r="F61" s="361"/>
      <c r="G61" s="360"/>
      <c r="H61" s="361"/>
      <c r="I61" s="361"/>
      <c r="J61" s="361"/>
      <c r="K61" s="361"/>
      <c r="L61" s="360"/>
      <c r="M61" s="361"/>
      <c r="N61" s="361"/>
      <c r="O61" s="361"/>
      <c r="P61" s="396"/>
      <c r="Q61" s="360"/>
      <c r="R61" s="361"/>
      <c r="S61" s="361"/>
      <c r="T61" s="361"/>
      <c r="U61" s="397"/>
      <c r="V61" s="993"/>
      <c r="AC61" s="45"/>
      <c r="AD61" s="45"/>
      <c r="AE61" s="45"/>
      <c r="AF61" s="45"/>
      <c r="AG61" s="57"/>
      <c r="AH61" s="57"/>
      <c r="AI61" s="57"/>
      <c r="AJ61" s="57"/>
      <c r="AK61" s="45"/>
      <c r="AL61" s="45"/>
      <c r="AM61" s="58"/>
      <c r="AN61" s="58"/>
      <c r="AO61" s="58"/>
      <c r="AP61" s="2"/>
      <c r="AQ61" s="2"/>
      <c r="AR61" s="2"/>
      <c r="AS61" s="2"/>
      <c r="AU61" s="2"/>
      <c r="AV61" s="2"/>
      <c r="AW61" s="2"/>
    </row>
    <row r="62" spans="1:49" ht="33.75" customHeight="1" thickBot="1" x14ac:dyDescent="0.3">
      <c r="A62" s="170" t="s">
        <v>10</v>
      </c>
      <c r="B62" s="188">
        <v>1</v>
      </c>
      <c r="C62" s="168">
        <v>2</v>
      </c>
      <c r="D62" s="168">
        <v>3</v>
      </c>
      <c r="E62" s="168">
        <v>4</v>
      </c>
      <c r="F62" s="413">
        <v>5</v>
      </c>
      <c r="G62" s="188">
        <v>1</v>
      </c>
      <c r="H62" s="168">
        <v>2</v>
      </c>
      <c r="I62" s="168">
        <v>3</v>
      </c>
      <c r="J62" s="168">
        <v>4</v>
      </c>
      <c r="K62" s="168">
        <v>5</v>
      </c>
      <c r="L62" s="188">
        <v>1</v>
      </c>
      <c r="M62" s="168">
        <v>2</v>
      </c>
      <c r="N62" s="168">
        <v>3</v>
      </c>
      <c r="O62" s="168">
        <v>4</v>
      </c>
      <c r="P62" s="413">
        <v>5</v>
      </c>
      <c r="Q62" s="188">
        <v>1</v>
      </c>
      <c r="R62" s="168">
        <v>2</v>
      </c>
      <c r="S62" s="168">
        <v>3</v>
      </c>
      <c r="T62" s="168">
        <v>4</v>
      </c>
      <c r="U62" s="414">
        <v>5</v>
      </c>
      <c r="V62" s="126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57"/>
      <c r="AH62" s="57"/>
      <c r="AI62" s="57"/>
      <c r="AJ62" s="57"/>
      <c r="AK62" s="45"/>
      <c r="AL62" s="45"/>
      <c r="AM62" s="58"/>
      <c r="AN62" s="58"/>
      <c r="AO62" s="58"/>
      <c r="AP62" s="2"/>
      <c r="AQ62" s="2"/>
      <c r="AR62" s="2"/>
      <c r="AS62" s="2"/>
      <c r="AT62" s="2"/>
      <c r="AU62" s="2"/>
      <c r="AV62" s="2"/>
      <c r="AW62" s="2"/>
    </row>
    <row r="63" spans="1:49" ht="33.75" customHeight="1" x14ac:dyDescent="0.25">
      <c r="A63" s="171" t="s">
        <v>53</v>
      </c>
      <c r="B63" s="133">
        <v>8.3000000000000007</v>
      </c>
      <c r="C63" s="134">
        <v>8.3000000000000007</v>
      </c>
      <c r="D63" s="134">
        <v>2.4</v>
      </c>
      <c r="E63" s="134">
        <v>8.3000000000000007</v>
      </c>
      <c r="F63" s="134">
        <v>8.3000000000000007</v>
      </c>
      <c r="G63" s="133">
        <v>8.3000000000000007</v>
      </c>
      <c r="H63" s="134">
        <v>8.3000000000000007</v>
      </c>
      <c r="I63" s="134">
        <v>2.6</v>
      </c>
      <c r="J63" s="134">
        <v>8.3000000000000007</v>
      </c>
      <c r="K63" s="134">
        <v>8.3000000000000007</v>
      </c>
      <c r="L63" s="133">
        <v>6.8</v>
      </c>
      <c r="M63" s="134">
        <v>6.9</v>
      </c>
      <c r="N63" s="134">
        <v>2.6</v>
      </c>
      <c r="O63" s="134">
        <v>6.9</v>
      </c>
      <c r="P63" s="156">
        <v>6.9</v>
      </c>
      <c r="Q63" s="133">
        <v>7.2</v>
      </c>
      <c r="R63" s="134">
        <v>7.2</v>
      </c>
      <c r="S63" s="134">
        <v>2.6</v>
      </c>
      <c r="T63" s="134">
        <v>7.2</v>
      </c>
      <c r="U63" s="156">
        <v>7.2</v>
      </c>
      <c r="V63" s="412">
        <f t="shared" ref="V63:V70" si="25">SUM(B63:U63)</f>
        <v>132.9</v>
      </c>
      <c r="W63" s="42"/>
      <c r="X63" s="302"/>
      <c r="Y63" s="42"/>
      <c r="Z63" s="42"/>
      <c r="AA63" s="42"/>
      <c r="AB63" s="42"/>
      <c r="AC63" s="2"/>
      <c r="AD63" s="45"/>
      <c r="AE63" s="45"/>
      <c r="AF63" s="45"/>
      <c r="AG63" s="57"/>
      <c r="AH63" s="57"/>
      <c r="AI63" s="57"/>
      <c r="AJ63" s="57"/>
      <c r="AK63" s="45"/>
      <c r="AL63" s="45"/>
      <c r="AM63" s="58"/>
      <c r="AN63" s="58"/>
      <c r="AO63" s="58"/>
      <c r="AP63" s="2"/>
      <c r="AQ63" s="2"/>
      <c r="AR63" s="2"/>
      <c r="AS63" s="2"/>
      <c r="AT63" s="2"/>
      <c r="AU63" s="2"/>
      <c r="AV63" s="2"/>
      <c r="AW63" s="2"/>
    </row>
    <row r="64" spans="1:49" ht="33.75" customHeight="1" x14ac:dyDescent="0.25">
      <c r="A64" s="171" t="s">
        <v>24</v>
      </c>
      <c r="B64" s="18">
        <v>8.3000000000000007</v>
      </c>
      <c r="C64" s="19">
        <v>8.3000000000000007</v>
      </c>
      <c r="D64" s="19">
        <v>2.4</v>
      </c>
      <c r="E64" s="19">
        <v>8.3000000000000007</v>
      </c>
      <c r="F64" s="19">
        <v>8.3000000000000007</v>
      </c>
      <c r="G64" s="18">
        <v>8.3000000000000007</v>
      </c>
      <c r="H64" s="19">
        <v>8.3000000000000007</v>
      </c>
      <c r="I64" s="19">
        <v>2.6</v>
      </c>
      <c r="J64" s="19">
        <v>8.3000000000000007</v>
      </c>
      <c r="K64" s="19">
        <v>8.3000000000000007</v>
      </c>
      <c r="L64" s="446">
        <v>6.8</v>
      </c>
      <c r="M64" s="19">
        <v>6.9</v>
      </c>
      <c r="N64" s="19">
        <v>2.6</v>
      </c>
      <c r="O64" s="19">
        <v>6.9</v>
      </c>
      <c r="P64" s="20">
        <v>6.9</v>
      </c>
      <c r="Q64" s="18">
        <v>7.2</v>
      </c>
      <c r="R64" s="19">
        <v>7.2</v>
      </c>
      <c r="S64" s="19">
        <v>2.6</v>
      </c>
      <c r="T64" s="19">
        <v>7.2</v>
      </c>
      <c r="U64" s="20">
        <v>7.2</v>
      </c>
      <c r="V64" s="412">
        <f t="shared" si="25"/>
        <v>132.9</v>
      </c>
      <c r="W64" s="42"/>
      <c r="X64" s="302"/>
      <c r="Y64" s="42"/>
      <c r="Z64" s="42"/>
      <c r="AA64" s="42"/>
      <c r="AB64" s="42"/>
      <c r="AC64" s="2"/>
      <c r="AD64" s="45"/>
      <c r="AE64" s="45"/>
      <c r="AF64" s="45"/>
      <c r="AG64" s="57"/>
      <c r="AH64" s="57"/>
      <c r="AI64" s="57"/>
      <c r="AJ64" s="57"/>
      <c r="AK64" s="45"/>
      <c r="AL64" s="45"/>
      <c r="AM64" s="58"/>
      <c r="AN64" s="58"/>
      <c r="AO64" s="58"/>
      <c r="AP64" s="2"/>
      <c r="AQ64" s="2"/>
      <c r="AR64" s="2"/>
      <c r="AS64" s="2"/>
      <c r="AT64" s="2"/>
      <c r="AU64" s="2"/>
      <c r="AV64" s="2"/>
      <c r="AW64" s="2"/>
    </row>
    <row r="65" spans="1:49" ht="33.75" customHeight="1" x14ac:dyDescent="0.25">
      <c r="A65" s="171" t="s">
        <v>20</v>
      </c>
      <c r="B65" s="446">
        <v>8.4</v>
      </c>
      <c r="C65" s="19">
        <v>8.5</v>
      </c>
      <c r="D65" s="19">
        <v>2.2999999999999998</v>
      </c>
      <c r="E65" s="19">
        <v>8.5</v>
      </c>
      <c r="F65" s="61">
        <v>8.5</v>
      </c>
      <c r="G65" s="446">
        <v>8.4</v>
      </c>
      <c r="H65" s="19">
        <v>8.5</v>
      </c>
      <c r="I65" s="19">
        <v>2.7</v>
      </c>
      <c r="J65" s="19">
        <v>8.5</v>
      </c>
      <c r="K65" s="61">
        <v>8.4</v>
      </c>
      <c r="L65" s="446">
        <v>6.9</v>
      </c>
      <c r="M65" s="19">
        <v>7</v>
      </c>
      <c r="N65" s="19">
        <v>2.6</v>
      </c>
      <c r="O65" s="19">
        <v>7</v>
      </c>
      <c r="P65" s="20">
        <v>7</v>
      </c>
      <c r="Q65" s="18">
        <v>7.3</v>
      </c>
      <c r="R65" s="19">
        <v>7.3</v>
      </c>
      <c r="S65" s="19">
        <v>2.7</v>
      </c>
      <c r="T65" s="19">
        <v>7.3</v>
      </c>
      <c r="U65" s="20">
        <v>7.3</v>
      </c>
      <c r="V65" s="412">
        <f t="shared" si="25"/>
        <v>135.10000000000002</v>
      </c>
      <c r="W65" s="42"/>
      <c r="X65" s="302"/>
      <c r="Y65" s="42"/>
      <c r="Z65" s="42"/>
      <c r="AA65" s="42"/>
      <c r="AB65" s="42"/>
      <c r="AC65" s="2"/>
      <c r="AD65" s="45"/>
      <c r="AE65" s="45"/>
      <c r="AF65" s="45"/>
      <c r="AG65" s="57"/>
      <c r="AH65" s="57"/>
      <c r="AI65" s="57"/>
      <c r="AJ65" s="57"/>
      <c r="AK65" s="45"/>
      <c r="AL65" s="45"/>
      <c r="AM65" s="58"/>
      <c r="AN65" s="58"/>
      <c r="AO65" s="58"/>
      <c r="AP65" s="2"/>
      <c r="AQ65" s="2"/>
      <c r="AR65" s="2"/>
      <c r="AS65" s="2"/>
      <c r="AT65" s="2"/>
      <c r="AU65" s="2"/>
      <c r="AV65" s="2"/>
      <c r="AW65" s="2"/>
    </row>
    <row r="66" spans="1:49" ht="33.75" customHeight="1" x14ac:dyDescent="0.25">
      <c r="A66" s="171" t="s">
        <v>28</v>
      </c>
      <c r="B66" s="446">
        <v>8.4</v>
      </c>
      <c r="C66" s="19">
        <v>8.5</v>
      </c>
      <c r="D66" s="19">
        <v>2.2999999999999998</v>
      </c>
      <c r="E66" s="19">
        <v>8.5</v>
      </c>
      <c r="F66" s="61">
        <v>8.5</v>
      </c>
      <c r="G66" s="446">
        <v>8.4</v>
      </c>
      <c r="H66" s="19">
        <v>8.5</v>
      </c>
      <c r="I66" s="19">
        <v>2.7</v>
      </c>
      <c r="J66" s="19">
        <v>8.5</v>
      </c>
      <c r="K66" s="61">
        <v>8.4</v>
      </c>
      <c r="L66" s="446">
        <v>6.9</v>
      </c>
      <c r="M66" s="19">
        <v>7</v>
      </c>
      <c r="N66" s="19">
        <v>2.6</v>
      </c>
      <c r="O66" s="19">
        <v>7</v>
      </c>
      <c r="P66" s="20">
        <v>7</v>
      </c>
      <c r="Q66" s="18">
        <v>7.3</v>
      </c>
      <c r="R66" s="19">
        <v>7.3</v>
      </c>
      <c r="S66" s="19">
        <v>2.7</v>
      </c>
      <c r="T66" s="19">
        <v>7.3</v>
      </c>
      <c r="U66" s="20">
        <v>7.3</v>
      </c>
      <c r="V66" s="412">
        <f t="shared" si="25"/>
        <v>135.10000000000002</v>
      </c>
      <c r="W66" s="42"/>
      <c r="X66" s="302"/>
      <c r="Y66" s="42"/>
      <c r="Z66" s="42"/>
      <c r="AA66" s="42"/>
      <c r="AB66" s="42"/>
      <c r="AC66" s="2"/>
      <c r="AD66" s="45"/>
      <c r="AE66" s="45"/>
      <c r="AF66" s="45"/>
      <c r="AG66" s="57"/>
      <c r="AH66" s="57"/>
      <c r="AI66" s="57"/>
      <c r="AJ66" s="57"/>
      <c r="AK66" s="45"/>
      <c r="AL66" s="45"/>
      <c r="AM66" s="58"/>
      <c r="AN66" s="58"/>
      <c r="AO66" s="58"/>
      <c r="AP66" s="3"/>
      <c r="AQ66" s="3"/>
      <c r="AR66" s="2"/>
      <c r="AS66" s="2"/>
      <c r="AT66" s="2"/>
      <c r="AU66" s="2"/>
      <c r="AV66" s="2"/>
      <c r="AW66" s="2"/>
    </row>
    <row r="67" spans="1:49" ht="33.75" customHeight="1" x14ac:dyDescent="0.25">
      <c r="A67" s="171" t="s">
        <v>21</v>
      </c>
      <c r="B67" s="446">
        <v>8.5</v>
      </c>
      <c r="C67" s="19">
        <v>8.5</v>
      </c>
      <c r="D67" s="19">
        <v>2.2999999999999998</v>
      </c>
      <c r="E67" s="19">
        <v>8.5</v>
      </c>
      <c r="F67" s="61">
        <v>8.5</v>
      </c>
      <c r="G67" s="446">
        <v>8.5</v>
      </c>
      <c r="H67" s="19">
        <v>8.5</v>
      </c>
      <c r="I67" s="19">
        <v>2.7</v>
      </c>
      <c r="J67" s="19">
        <v>8.5</v>
      </c>
      <c r="K67" s="61">
        <v>8.5</v>
      </c>
      <c r="L67" s="446">
        <v>7</v>
      </c>
      <c r="M67" s="19">
        <v>7</v>
      </c>
      <c r="N67" s="19">
        <v>2.7</v>
      </c>
      <c r="O67" s="19">
        <v>7</v>
      </c>
      <c r="P67" s="20">
        <v>7</v>
      </c>
      <c r="Q67" s="18">
        <v>7.3</v>
      </c>
      <c r="R67" s="19">
        <v>7.3</v>
      </c>
      <c r="S67" s="19">
        <v>2.7</v>
      </c>
      <c r="T67" s="19">
        <v>7.3</v>
      </c>
      <c r="U67" s="20">
        <v>7.3</v>
      </c>
      <c r="V67" s="412">
        <f t="shared" si="25"/>
        <v>135.60000000000002</v>
      </c>
      <c r="W67" s="42"/>
      <c r="X67" s="302"/>
      <c r="Y67" s="42"/>
      <c r="Z67" s="42"/>
      <c r="AA67" s="42"/>
      <c r="AB67" s="42"/>
      <c r="AC67" s="2"/>
      <c r="AD67" s="45"/>
      <c r="AE67" s="45"/>
      <c r="AF67" s="45"/>
      <c r="AG67" s="57"/>
      <c r="AH67" s="57"/>
      <c r="AI67" s="57"/>
      <c r="AJ67" s="57"/>
      <c r="AK67" s="45"/>
      <c r="AL67" s="45"/>
      <c r="AM67" s="58"/>
      <c r="AN67" s="58"/>
      <c r="AO67" s="58"/>
      <c r="AP67" s="3"/>
      <c r="AQ67" s="3"/>
      <c r="AR67" s="2"/>
      <c r="AS67" s="2"/>
      <c r="AT67" s="2"/>
      <c r="AU67" s="2"/>
      <c r="AV67" s="2"/>
      <c r="AW67" s="2"/>
    </row>
    <row r="68" spans="1:49" ht="33.75" customHeight="1" x14ac:dyDescent="0.25">
      <c r="A68" s="171" t="s">
        <v>22</v>
      </c>
      <c r="B68" s="446">
        <v>8.5</v>
      </c>
      <c r="C68" s="19">
        <v>8.5</v>
      </c>
      <c r="D68" s="19">
        <v>2.2999999999999998</v>
      </c>
      <c r="E68" s="19">
        <v>8.5</v>
      </c>
      <c r="F68" s="61">
        <v>8.5</v>
      </c>
      <c r="G68" s="446">
        <v>8.5</v>
      </c>
      <c r="H68" s="19">
        <v>8.5</v>
      </c>
      <c r="I68" s="19">
        <v>2.7</v>
      </c>
      <c r="J68" s="19">
        <v>8.5</v>
      </c>
      <c r="K68" s="61">
        <v>8.5</v>
      </c>
      <c r="L68" s="446">
        <v>7</v>
      </c>
      <c r="M68" s="19">
        <v>7</v>
      </c>
      <c r="N68" s="19">
        <v>2.7</v>
      </c>
      <c r="O68" s="19">
        <v>7</v>
      </c>
      <c r="P68" s="20">
        <v>7</v>
      </c>
      <c r="Q68" s="18">
        <v>7.3</v>
      </c>
      <c r="R68" s="19">
        <v>7.3</v>
      </c>
      <c r="S68" s="19">
        <v>2.7</v>
      </c>
      <c r="T68" s="19">
        <v>7.3</v>
      </c>
      <c r="U68" s="20">
        <v>7.3</v>
      </c>
      <c r="V68" s="412">
        <f t="shared" si="25"/>
        <v>135.60000000000002</v>
      </c>
      <c r="W68" s="42"/>
      <c r="X68" s="302"/>
      <c r="Y68" s="42"/>
      <c r="Z68" s="42"/>
      <c r="AA68" s="42"/>
      <c r="AB68" s="42"/>
      <c r="AC68" s="2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3"/>
      <c r="AQ68" s="3"/>
      <c r="AT68" s="2"/>
      <c r="AU68" s="2"/>
      <c r="AV68" s="2"/>
      <c r="AW68" s="2"/>
    </row>
    <row r="69" spans="1:49" ht="33.75" customHeight="1" thickBot="1" x14ac:dyDescent="0.3">
      <c r="A69" s="171" t="s">
        <v>23</v>
      </c>
      <c r="B69" s="446">
        <v>8.5</v>
      </c>
      <c r="C69" s="19">
        <v>8.6999999999999993</v>
      </c>
      <c r="D69" s="19">
        <v>2.5</v>
      </c>
      <c r="E69" s="19">
        <v>8.6999999999999993</v>
      </c>
      <c r="F69" s="61">
        <v>8.6999999999999993</v>
      </c>
      <c r="G69" s="446">
        <v>8.5</v>
      </c>
      <c r="H69" s="19">
        <v>8.6</v>
      </c>
      <c r="I69" s="19">
        <v>2.7</v>
      </c>
      <c r="J69" s="19">
        <v>8.6999999999999993</v>
      </c>
      <c r="K69" s="61">
        <v>8.5</v>
      </c>
      <c r="L69" s="446">
        <v>7</v>
      </c>
      <c r="M69" s="19">
        <v>7.1</v>
      </c>
      <c r="N69" s="19">
        <v>2.7</v>
      </c>
      <c r="O69" s="19">
        <v>7.1</v>
      </c>
      <c r="P69" s="20">
        <v>7.1</v>
      </c>
      <c r="Q69" s="18">
        <v>7.3</v>
      </c>
      <c r="R69" s="19">
        <v>7.3</v>
      </c>
      <c r="S69" s="19">
        <v>2.7</v>
      </c>
      <c r="T69" s="19">
        <v>7.3</v>
      </c>
      <c r="U69" s="20">
        <v>7.3</v>
      </c>
      <c r="V69" s="412">
        <f>SUM(B69:U69)</f>
        <v>137</v>
      </c>
      <c r="W69" s="42"/>
      <c r="X69" s="302"/>
      <c r="Y69" s="42"/>
      <c r="Z69" s="42"/>
      <c r="AA69" s="42"/>
      <c r="AB69" s="42"/>
      <c r="AC69" s="2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3"/>
      <c r="AQ69" s="3"/>
      <c r="AT69" s="2"/>
      <c r="AU69" s="2"/>
      <c r="AV69" s="2"/>
      <c r="AW69" s="2"/>
    </row>
    <row r="70" spans="1:49" ht="33.75" customHeight="1" thickBot="1" x14ac:dyDescent="0.3">
      <c r="A70" s="170" t="s">
        <v>9</v>
      </c>
      <c r="B70" s="297">
        <f t="shared" ref="B70:U70" si="26">SUM(B63:B69)</f>
        <v>58.9</v>
      </c>
      <c r="C70" s="298">
        <f t="shared" si="26"/>
        <v>59.3</v>
      </c>
      <c r="D70" s="298">
        <f t="shared" si="26"/>
        <v>16.5</v>
      </c>
      <c r="E70" s="298">
        <f t="shared" si="26"/>
        <v>59.3</v>
      </c>
      <c r="F70" s="299">
        <f t="shared" si="26"/>
        <v>59.3</v>
      </c>
      <c r="G70" s="297">
        <f t="shared" si="26"/>
        <v>58.9</v>
      </c>
      <c r="H70" s="298">
        <f t="shared" si="26"/>
        <v>59.2</v>
      </c>
      <c r="I70" s="298">
        <f t="shared" si="26"/>
        <v>18.7</v>
      </c>
      <c r="J70" s="298">
        <f t="shared" si="26"/>
        <v>59.3</v>
      </c>
      <c r="K70" s="298">
        <f t="shared" si="26"/>
        <v>58.9</v>
      </c>
      <c r="L70" s="297">
        <f t="shared" si="26"/>
        <v>48.4</v>
      </c>
      <c r="M70" s="298">
        <f t="shared" si="26"/>
        <v>48.9</v>
      </c>
      <c r="N70" s="298">
        <f t="shared" si="26"/>
        <v>18.5</v>
      </c>
      <c r="O70" s="298">
        <f t="shared" si="26"/>
        <v>48.9</v>
      </c>
      <c r="P70" s="299">
        <f t="shared" si="26"/>
        <v>48.9</v>
      </c>
      <c r="Q70" s="297">
        <f t="shared" si="26"/>
        <v>50.899999999999991</v>
      </c>
      <c r="R70" s="298">
        <f t="shared" si="26"/>
        <v>50.899999999999991</v>
      </c>
      <c r="S70" s="298">
        <f t="shared" si="26"/>
        <v>18.7</v>
      </c>
      <c r="T70" s="298">
        <f t="shared" si="26"/>
        <v>50.899999999999991</v>
      </c>
      <c r="U70" s="448">
        <f t="shared" si="26"/>
        <v>50.899999999999991</v>
      </c>
      <c r="V70" s="449">
        <f t="shared" si="25"/>
        <v>944.19999999999982</v>
      </c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3"/>
      <c r="AQ70" s="3"/>
      <c r="AR70" s="3"/>
      <c r="AS70" s="3"/>
      <c r="AT70" s="2"/>
      <c r="AU70" s="2"/>
      <c r="AV70" s="2"/>
      <c r="AW70" s="2"/>
    </row>
    <row r="71" spans="1:49" ht="33.75" customHeight="1" x14ac:dyDescent="0.25">
      <c r="A71" s="192" t="s">
        <v>11</v>
      </c>
      <c r="B71" s="357">
        <v>147.5</v>
      </c>
      <c r="C71" s="358">
        <v>148.5</v>
      </c>
      <c r="D71" s="358">
        <v>147.5</v>
      </c>
      <c r="E71" s="358">
        <v>148.5</v>
      </c>
      <c r="F71" s="358">
        <v>148.5</v>
      </c>
      <c r="G71" s="357">
        <v>147.5</v>
      </c>
      <c r="H71" s="358">
        <v>148.5</v>
      </c>
      <c r="I71" s="358">
        <v>148.5</v>
      </c>
      <c r="J71" s="358">
        <v>148.5</v>
      </c>
      <c r="K71" s="358">
        <v>147.5</v>
      </c>
      <c r="L71" s="357">
        <v>147</v>
      </c>
      <c r="M71" s="358">
        <v>148.5</v>
      </c>
      <c r="N71" s="358">
        <v>147</v>
      </c>
      <c r="O71" s="358">
        <v>148.5</v>
      </c>
      <c r="P71" s="358">
        <v>148.5</v>
      </c>
      <c r="Q71" s="357">
        <v>148.5</v>
      </c>
      <c r="R71" s="358">
        <v>148.5</v>
      </c>
      <c r="S71" s="358">
        <v>148.5</v>
      </c>
      <c r="T71" s="358">
        <v>148.5</v>
      </c>
      <c r="U71" s="358">
        <v>148.5</v>
      </c>
      <c r="V71" s="296">
        <f>+((V70/V72)/7)*1000</f>
        <v>148.22605965463103</v>
      </c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3"/>
      <c r="AQ71" s="3"/>
      <c r="AR71" s="3"/>
      <c r="AS71" s="3"/>
      <c r="AT71" s="2"/>
      <c r="AU71" s="2"/>
      <c r="AV71" s="2"/>
      <c r="AW71" s="2"/>
    </row>
    <row r="72" spans="1:49" ht="33.75" customHeight="1" x14ac:dyDescent="0.25">
      <c r="A72" s="193" t="s">
        <v>12</v>
      </c>
      <c r="B72" s="257">
        <v>57</v>
      </c>
      <c r="C72" s="275">
        <v>57</v>
      </c>
      <c r="D72" s="275">
        <v>16</v>
      </c>
      <c r="E72" s="275">
        <v>57</v>
      </c>
      <c r="F72" s="275">
        <v>57</v>
      </c>
      <c r="G72" s="257">
        <v>57</v>
      </c>
      <c r="H72" s="275">
        <v>57</v>
      </c>
      <c r="I72" s="275">
        <v>18</v>
      </c>
      <c r="J72" s="275">
        <v>57</v>
      </c>
      <c r="K72" s="275">
        <v>57</v>
      </c>
      <c r="L72" s="257">
        <v>47</v>
      </c>
      <c r="M72" s="275">
        <v>47</v>
      </c>
      <c r="N72" s="275">
        <v>18</v>
      </c>
      <c r="O72" s="275">
        <v>47</v>
      </c>
      <c r="P72" s="275">
        <v>47</v>
      </c>
      <c r="Q72" s="257">
        <v>49</v>
      </c>
      <c r="R72" s="275">
        <v>49</v>
      </c>
      <c r="S72" s="275">
        <v>18</v>
      </c>
      <c r="T72" s="275">
        <v>49</v>
      </c>
      <c r="U72" s="275">
        <v>49</v>
      </c>
      <c r="V72" s="254">
        <f>SUM(B72:U72)</f>
        <v>910</v>
      </c>
      <c r="AC72" s="59"/>
      <c r="AG72" s="3"/>
      <c r="AH72" s="3"/>
      <c r="AI72" s="3"/>
      <c r="AJ72" s="3"/>
      <c r="AK72" s="3"/>
      <c r="AL72" s="3"/>
    </row>
    <row r="73" spans="1:49" ht="33.75" customHeight="1" x14ac:dyDescent="0.25">
      <c r="A73" s="194" t="s">
        <v>13</v>
      </c>
      <c r="B73" s="30">
        <f>((((B71*7)*B72)/1000)-(B63+B64))/5</f>
        <v>8.4504999999999999</v>
      </c>
      <c r="C73" s="31">
        <f t="shared" ref="C73:F73" si="27">((((C71*7)*C72)/1000)-(C63+C64))/5</f>
        <v>8.5303000000000004</v>
      </c>
      <c r="D73" s="31">
        <f t="shared" si="27"/>
        <v>2.3439999999999999</v>
      </c>
      <c r="E73" s="31">
        <f t="shared" si="27"/>
        <v>8.5303000000000004</v>
      </c>
      <c r="F73" s="31">
        <f t="shared" si="27"/>
        <v>8.5303000000000004</v>
      </c>
      <c r="G73" s="30">
        <f>((((G71*7)*G72)/1000)-(G63+G64))/5</f>
        <v>8.4504999999999999</v>
      </c>
      <c r="H73" s="31">
        <f t="shared" ref="H73:K73" si="28">((((H71*7)*H72)/1000)-(H63+H64))/5</f>
        <v>8.5303000000000004</v>
      </c>
      <c r="I73" s="31">
        <f t="shared" si="28"/>
        <v>2.7021999999999999</v>
      </c>
      <c r="J73" s="31">
        <f t="shared" si="28"/>
        <v>8.5303000000000004</v>
      </c>
      <c r="K73" s="31">
        <f t="shared" si="28"/>
        <v>8.4504999999999999</v>
      </c>
      <c r="L73" s="30">
        <f>((((L71*7)*L72)/1000)-(L63+L64))/5</f>
        <v>6.9525999999999994</v>
      </c>
      <c r="M73" s="31">
        <f t="shared" ref="M73:P73" si="29">((((M71*7)*M72)/1000)-(M63+M64))/5</f>
        <v>7.0113000000000003</v>
      </c>
      <c r="N73" s="31">
        <f t="shared" si="29"/>
        <v>2.6643999999999997</v>
      </c>
      <c r="O73" s="31">
        <f t="shared" si="29"/>
        <v>7.0113000000000003</v>
      </c>
      <c r="P73" s="31">
        <f t="shared" si="29"/>
        <v>7.0113000000000003</v>
      </c>
      <c r="Q73" s="30">
        <f>((((Q71*7)*Q72)/1000)-(Q63+Q64))/5</f>
        <v>7.3071000000000002</v>
      </c>
      <c r="R73" s="31">
        <f t="shared" ref="R73:U73" si="30">((((R71*7)*R72)/1000)-(R63+R64))/5</f>
        <v>7.3071000000000002</v>
      </c>
      <c r="S73" s="31">
        <f t="shared" si="30"/>
        <v>2.7021999999999999</v>
      </c>
      <c r="T73" s="31">
        <f t="shared" si="30"/>
        <v>7.3071000000000002</v>
      </c>
      <c r="U73" s="31">
        <f t="shared" si="30"/>
        <v>7.3071000000000002</v>
      </c>
      <c r="V73" s="139">
        <f>((V70*100)/V72)/7</f>
        <v>14.822605965463106</v>
      </c>
      <c r="AG73" s="3"/>
      <c r="AH73" s="3"/>
      <c r="AI73" s="3"/>
      <c r="AJ73" s="3"/>
      <c r="AK73" s="3"/>
      <c r="AL73" s="3"/>
    </row>
    <row r="74" spans="1:49" ht="33.75" customHeight="1" x14ac:dyDescent="0.25">
      <c r="A74" s="185" t="s">
        <v>14</v>
      </c>
      <c r="B74" s="279">
        <f t="shared" ref="B74:U74" si="31">((B72*B71)*7)/1000</f>
        <v>58.852499999999999</v>
      </c>
      <c r="C74" s="280">
        <f t="shared" si="31"/>
        <v>59.2515</v>
      </c>
      <c r="D74" s="280">
        <f t="shared" si="31"/>
        <v>16.52</v>
      </c>
      <c r="E74" s="280">
        <f t="shared" si="31"/>
        <v>59.2515</v>
      </c>
      <c r="F74" s="280">
        <f t="shared" si="31"/>
        <v>59.2515</v>
      </c>
      <c r="G74" s="279">
        <f t="shared" si="31"/>
        <v>58.852499999999999</v>
      </c>
      <c r="H74" s="280">
        <f t="shared" si="31"/>
        <v>59.2515</v>
      </c>
      <c r="I74" s="280">
        <f t="shared" si="31"/>
        <v>18.710999999999999</v>
      </c>
      <c r="J74" s="280">
        <f t="shared" si="31"/>
        <v>59.2515</v>
      </c>
      <c r="K74" s="280">
        <f t="shared" si="31"/>
        <v>58.852499999999999</v>
      </c>
      <c r="L74" s="279">
        <f t="shared" si="31"/>
        <v>48.363</v>
      </c>
      <c r="M74" s="280">
        <f t="shared" si="31"/>
        <v>48.856499999999997</v>
      </c>
      <c r="N74" s="280">
        <f t="shared" si="31"/>
        <v>18.521999999999998</v>
      </c>
      <c r="O74" s="280">
        <f t="shared" si="31"/>
        <v>48.856499999999997</v>
      </c>
      <c r="P74" s="280">
        <f t="shared" si="31"/>
        <v>48.856499999999997</v>
      </c>
      <c r="Q74" s="279">
        <f t="shared" si="31"/>
        <v>50.935499999999998</v>
      </c>
      <c r="R74" s="280">
        <f t="shared" si="31"/>
        <v>50.935499999999998</v>
      </c>
      <c r="S74" s="280">
        <f t="shared" si="31"/>
        <v>18.710999999999999</v>
      </c>
      <c r="T74" s="280">
        <f t="shared" si="31"/>
        <v>50.935499999999998</v>
      </c>
      <c r="U74" s="280">
        <f t="shared" si="31"/>
        <v>50.935499999999998</v>
      </c>
      <c r="V74" s="112"/>
      <c r="W74" s="41"/>
      <c r="X74" s="41"/>
      <c r="Y74" s="41"/>
      <c r="Z74" s="41"/>
      <c r="AA74" s="41"/>
      <c r="AB74" s="41"/>
      <c r="AL74" s="3"/>
    </row>
    <row r="75" spans="1:49" ht="33.75" customHeight="1" thickBot="1" x14ac:dyDescent="0.3">
      <c r="A75" s="195" t="s">
        <v>15</v>
      </c>
      <c r="B75" s="37">
        <f t="shared" ref="B75:U75" si="32">+(B70/B72)/7*1000</f>
        <v>147.61904761904759</v>
      </c>
      <c r="C75" s="38">
        <f t="shared" si="32"/>
        <v>148.62155388471177</v>
      </c>
      <c r="D75" s="38">
        <f t="shared" si="32"/>
        <v>147.32142857142858</v>
      </c>
      <c r="E75" s="38">
        <f t="shared" si="32"/>
        <v>148.62155388471177</v>
      </c>
      <c r="F75" s="38">
        <f t="shared" si="32"/>
        <v>148.62155388471177</v>
      </c>
      <c r="G75" s="37">
        <f t="shared" si="32"/>
        <v>147.61904761904759</v>
      </c>
      <c r="H75" s="38">
        <f t="shared" si="32"/>
        <v>148.37092731829577</v>
      </c>
      <c r="I75" s="38">
        <f t="shared" si="32"/>
        <v>148.41269841269838</v>
      </c>
      <c r="J75" s="38">
        <f t="shared" si="32"/>
        <v>148.62155388471177</v>
      </c>
      <c r="K75" s="38">
        <f t="shared" si="32"/>
        <v>147.61904761904759</v>
      </c>
      <c r="L75" s="37">
        <f t="shared" si="32"/>
        <v>147.11246200607903</v>
      </c>
      <c r="M75" s="38">
        <f t="shared" si="32"/>
        <v>148.63221884498481</v>
      </c>
      <c r="N75" s="38">
        <f t="shared" si="32"/>
        <v>146.82539682539681</v>
      </c>
      <c r="O75" s="38">
        <f t="shared" si="32"/>
        <v>148.63221884498481</v>
      </c>
      <c r="P75" s="38">
        <f t="shared" si="32"/>
        <v>148.63221884498481</v>
      </c>
      <c r="Q75" s="37">
        <f t="shared" si="32"/>
        <v>148.39650145772592</v>
      </c>
      <c r="R75" s="38">
        <f t="shared" si="32"/>
        <v>148.39650145772592</v>
      </c>
      <c r="S75" s="38">
        <f t="shared" si="32"/>
        <v>148.41269841269838</v>
      </c>
      <c r="T75" s="38">
        <f t="shared" si="32"/>
        <v>148.39650145772592</v>
      </c>
      <c r="U75" s="38">
        <f t="shared" si="32"/>
        <v>148.39650145772592</v>
      </c>
      <c r="V75" s="40"/>
      <c r="AL75" s="3"/>
    </row>
    <row r="76" spans="1:49" ht="33.75" customHeight="1" x14ac:dyDescent="0.25">
      <c r="B76" s="43">
        <f>B74-B70</f>
        <v>-4.7499999999999432E-2</v>
      </c>
      <c r="C76" s="43">
        <f t="shared" ref="C76:F76" si="33">C74-C70</f>
        <v>-4.8499999999997101E-2</v>
      </c>
      <c r="D76" s="43">
        <f t="shared" si="33"/>
        <v>1.9999999999999574E-2</v>
      </c>
      <c r="E76" s="43">
        <f t="shared" si="33"/>
        <v>-4.8499999999997101E-2</v>
      </c>
      <c r="F76" s="43">
        <f t="shared" si="33"/>
        <v>-4.8499999999997101E-2</v>
      </c>
      <c r="G76" s="43">
        <f>G74-G70</f>
        <v>-4.7499999999999432E-2</v>
      </c>
      <c r="H76" s="43">
        <f t="shared" ref="H76:K77" si="34">H74-H70</f>
        <v>5.1499999999997215E-2</v>
      </c>
      <c r="I76" s="43">
        <f t="shared" si="34"/>
        <v>1.0999999999999233E-2</v>
      </c>
      <c r="J76" s="43">
        <f t="shared" si="34"/>
        <v>-4.8499999999997101E-2</v>
      </c>
      <c r="K76" s="43">
        <f t="shared" si="34"/>
        <v>-4.7499999999999432E-2</v>
      </c>
      <c r="L76" s="43">
        <f>L74-L70</f>
        <v>-3.6999999999999034E-2</v>
      </c>
      <c r="M76" s="43">
        <f t="shared" ref="M76:P76" si="35">M74-M70</f>
        <v>-4.3500000000001648E-2</v>
      </c>
      <c r="N76" s="43">
        <f t="shared" si="35"/>
        <v>2.1999999999998465E-2</v>
      </c>
      <c r="O76" s="43">
        <f t="shared" si="35"/>
        <v>-4.3500000000001648E-2</v>
      </c>
      <c r="P76" s="43">
        <f t="shared" si="35"/>
        <v>-4.3500000000001648E-2</v>
      </c>
      <c r="Q76" s="43">
        <f>Q74-Q70</f>
        <v>3.5500000000006082E-2</v>
      </c>
      <c r="R76" s="43">
        <f t="shared" ref="R76:U76" si="36">R74-R70</f>
        <v>3.5500000000006082E-2</v>
      </c>
      <c r="S76" s="43">
        <f t="shared" si="36"/>
        <v>1.0999999999999233E-2</v>
      </c>
      <c r="T76" s="43">
        <f t="shared" si="36"/>
        <v>3.5500000000006082E-2</v>
      </c>
      <c r="U76" s="43">
        <f t="shared" si="36"/>
        <v>3.5500000000006082E-2</v>
      </c>
    </row>
    <row r="77" spans="1:49" ht="33.75" customHeight="1" x14ac:dyDescent="0.25">
      <c r="B77" s="42">
        <f t="shared" ref="B77:U77" si="37">B75-B71</f>
        <v>0.11904761904759198</v>
      </c>
      <c r="C77" s="42">
        <f t="shared" si="37"/>
        <v>0.12155388471177275</v>
      </c>
      <c r="D77" s="42">
        <f t="shared" si="37"/>
        <v>-0.17857142857141639</v>
      </c>
      <c r="E77" s="42">
        <f t="shared" si="37"/>
        <v>0.12155388471177275</v>
      </c>
      <c r="F77" s="42">
        <f t="shared" si="37"/>
        <v>0.12155388471177275</v>
      </c>
      <c r="G77" s="42">
        <f t="shared" si="37"/>
        <v>0.11904761904759198</v>
      </c>
      <c r="H77" s="42">
        <f t="shared" si="37"/>
        <v>-0.12907268170422981</v>
      </c>
      <c r="I77" s="42">
        <f t="shared" si="37"/>
        <v>-8.7301587301624295E-2</v>
      </c>
      <c r="J77" s="42">
        <f t="shared" si="37"/>
        <v>0.12155388471177275</v>
      </c>
      <c r="K77" s="42">
        <f t="shared" si="34"/>
        <v>0.11904761904759198</v>
      </c>
      <c r="L77" s="42">
        <f t="shared" si="37"/>
        <v>0.11246200607902779</v>
      </c>
      <c r="M77" s="42">
        <f t="shared" si="37"/>
        <v>0.13221884498480563</v>
      </c>
      <c r="N77" s="42">
        <f t="shared" si="37"/>
        <v>-0.17460317460319175</v>
      </c>
      <c r="O77" s="42">
        <f t="shared" si="37"/>
        <v>0.13221884498480563</v>
      </c>
      <c r="P77" s="42">
        <f t="shared" si="37"/>
        <v>0.13221884498480563</v>
      </c>
      <c r="Q77" s="42">
        <f t="shared" si="37"/>
        <v>-0.10349854227408173</v>
      </c>
      <c r="R77" s="42">
        <f t="shared" si="37"/>
        <v>-0.10349854227408173</v>
      </c>
      <c r="S77" s="42">
        <f t="shared" si="37"/>
        <v>-8.7301587301624295E-2</v>
      </c>
      <c r="T77" s="42">
        <f t="shared" si="37"/>
        <v>-0.10349854227408173</v>
      </c>
      <c r="U77" s="42">
        <f t="shared" si="37"/>
        <v>-0.10349854227408173</v>
      </c>
      <c r="V77" s="45"/>
      <c r="W77" s="45"/>
      <c r="X77" s="45"/>
      <c r="Y77" s="45"/>
      <c r="Z77" s="45"/>
      <c r="AA77" s="45"/>
      <c r="AB77" s="45"/>
      <c r="AC77" s="52"/>
    </row>
    <row r="78" spans="1:49" ht="33.75" customHeight="1" x14ac:dyDescent="0.25">
      <c r="B78" s="287"/>
      <c r="C78" s="287"/>
      <c r="D78" s="287"/>
      <c r="E78" s="287"/>
      <c r="F78" s="287"/>
    </row>
    <row r="79" spans="1:49" ht="33.75" customHeight="1" x14ac:dyDescent="0.25">
      <c r="A79" s="45"/>
      <c r="B79" s="283"/>
      <c r="C79" s="283"/>
      <c r="D79" s="283"/>
      <c r="E79" s="283"/>
      <c r="F79" s="283"/>
      <c r="G79" s="58"/>
      <c r="H79" s="45"/>
      <c r="I79" s="45"/>
      <c r="J79" s="45"/>
      <c r="K79" s="45"/>
      <c r="L79" s="45"/>
      <c r="M79" s="45"/>
      <c r="N79" s="45"/>
      <c r="O79" s="45"/>
    </row>
    <row r="80" spans="1:49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21">
    <mergeCell ref="R40:R41"/>
    <mergeCell ref="A3:C3"/>
    <mergeCell ref="E9:G9"/>
    <mergeCell ref="W9:X9"/>
    <mergeCell ref="O11:P11"/>
    <mergeCell ref="B16:H16"/>
    <mergeCell ref="I16:O16"/>
    <mergeCell ref="P16:T16"/>
    <mergeCell ref="U16:Y16"/>
    <mergeCell ref="H17:H18"/>
    <mergeCell ref="O17:O18"/>
    <mergeCell ref="B40:F40"/>
    <mergeCell ref="G40:G42"/>
    <mergeCell ref="M40:Q40"/>
    <mergeCell ref="V60:V61"/>
    <mergeCell ref="H43:K55"/>
    <mergeCell ref="O59:P59"/>
    <mergeCell ref="B60:F60"/>
    <mergeCell ref="G60:K60"/>
    <mergeCell ref="L60:P60"/>
    <mergeCell ref="Q60:U60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W244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5" width="23.5703125" style="14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27</v>
      </c>
      <c r="P11" s="965"/>
      <c r="Q11" s="6"/>
      <c r="R11" s="6"/>
      <c r="S11" s="6"/>
      <c r="T11" s="1"/>
      <c r="U11" s="1"/>
      <c r="V11" s="1" t="s">
        <v>6</v>
      </c>
      <c r="W11" s="95">
        <v>45522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37" ht="39.950000000000003" customHeight="1" thickBot="1" x14ac:dyDescent="0.3">
      <c r="A17" s="170" t="s">
        <v>34</v>
      </c>
      <c r="B17" s="425"/>
      <c r="C17" s="168"/>
      <c r="D17" s="168"/>
      <c r="E17" s="168"/>
      <c r="F17" s="168"/>
      <c r="G17" s="204"/>
      <c r="H17" s="997" t="s">
        <v>109</v>
      </c>
      <c r="I17" s="188"/>
      <c r="J17" s="168"/>
      <c r="K17" s="168"/>
      <c r="L17" s="168"/>
      <c r="M17" s="168"/>
      <c r="N17" s="169"/>
      <c r="O17" s="997" t="s">
        <v>109</v>
      </c>
      <c r="P17" s="202"/>
      <c r="Q17" s="174"/>
      <c r="R17" s="174"/>
      <c r="S17" s="174"/>
      <c r="T17" s="203"/>
      <c r="U17" s="186"/>
      <c r="V17" s="174"/>
      <c r="W17" s="174"/>
      <c r="X17" s="174"/>
      <c r="Y17" s="175"/>
      <c r="Z17" s="261" t="s">
        <v>9</v>
      </c>
      <c r="AD17" s="15"/>
      <c r="AE17" s="15"/>
    </row>
    <row r="18" spans="1:37" ht="39.950000000000003" customHeight="1" thickBot="1" x14ac:dyDescent="0.3">
      <c r="A18" s="170" t="s">
        <v>10</v>
      </c>
      <c r="B18" s="425" t="s">
        <v>100</v>
      </c>
      <c r="C18" s="168">
        <v>1</v>
      </c>
      <c r="D18" s="168">
        <v>2</v>
      </c>
      <c r="E18" s="168">
        <v>3</v>
      </c>
      <c r="F18" s="168">
        <v>4</v>
      </c>
      <c r="G18" s="204">
        <v>5</v>
      </c>
      <c r="H18" s="998"/>
      <c r="I18" s="386" t="s">
        <v>100</v>
      </c>
      <c r="J18" s="438">
        <v>1</v>
      </c>
      <c r="K18" s="438">
        <v>2</v>
      </c>
      <c r="L18" s="438">
        <v>3</v>
      </c>
      <c r="M18" s="438">
        <v>4</v>
      </c>
      <c r="N18" s="439">
        <v>5</v>
      </c>
      <c r="O18" s="998"/>
      <c r="P18" s="202">
        <v>1</v>
      </c>
      <c r="Q18" s="174">
        <v>2</v>
      </c>
      <c r="R18" s="174">
        <v>3</v>
      </c>
      <c r="S18" s="174">
        <v>4</v>
      </c>
      <c r="T18" s="203">
        <v>5</v>
      </c>
      <c r="U18" s="186">
        <v>1</v>
      </c>
      <c r="V18" s="174">
        <v>2</v>
      </c>
      <c r="W18" s="174">
        <v>3</v>
      </c>
      <c r="X18" s="174">
        <v>4</v>
      </c>
      <c r="Y18" s="175">
        <v>5</v>
      </c>
      <c r="Z18" s="126"/>
      <c r="AD18" s="2"/>
      <c r="AE18" s="15"/>
    </row>
    <row r="19" spans="1:37" ht="39.950000000000003" customHeight="1" x14ac:dyDescent="0.25">
      <c r="A19" s="171" t="s">
        <v>53</v>
      </c>
      <c r="B19" s="453">
        <v>268.89999999999998</v>
      </c>
      <c r="C19" s="466">
        <v>18.7</v>
      </c>
      <c r="D19" s="466">
        <v>19.8</v>
      </c>
      <c r="E19" s="180">
        <v>5.4</v>
      </c>
      <c r="F19" s="466">
        <v>19.3</v>
      </c>
      <c r="G19" s="467">
        <v>19.8</v>
      </c>
      <c r="H19" s="437">
        <f>B19+C19+D19+E19+F19+G19</f>
        <v>351.9</v>
      </c>
      <c r="I19" s="179">
        <v>269</v>
      </c>
      <c r="J19" s="466">
        <v>16.7</v>
      </c>
      <c r="K19" s="180">
        <v>17.899999999999999</v>
      </c>
      <c r="L19" s="180">
        <v>5.5</v>
      </c>
      <c r="M19" s="180">
        <v>17.2</v>
      </c>
      <c r="N19" s="470">
        <v>16.600000000000001</v>
      </c>
      <c r="O19" s="437">
        <f>I19+J19+K19+L19+M19+N19</f>
        <v>342.9</v>
      </c>
      <c r="P19" s="61">
        <v>67.599999999999994</v>
      </c>
      <c r="Q19" s="19">
        <v>66.599999999999994</v>
      </c>
      <c r="R19" s="19">
        <v>25.5</v>
      </c>
      <c r="S19" s="19">
        <v>67.3</v>
      </c>
      <c r="T19" s="469">
        <v>67.2</v>
      </c>
      <c r="U19" s="18">
        <v>70.599999999999994</v>
      </c>
      <c r="V19" s="468">
        <v>71.3</v>
      </c>
      <c r="W19" s="431">
        <v>25.6</v>
      </c>
      <c r="X19" s="19">
        <v>70</v>
      </c>
      <c r="Y19" s="20">
        <v>70.3</v>
      </c>
      <c r="Z19" s="209">
        <f>SUM(H19,O19,P19:Y19)</f>
        <v>1296.7999999999997</v>
      </c>
      <c r="AA19" s="301"/>
      <c r="AB19" s="302"/>
      <c r="AD19" s="2"/>
      <c r="AE19" s="15"/>
    </row>
    <row r="20" spans="1:37" ht="39.950000000000003" customHeight="1" x14ac:dyDescent="0.25">
      <c r="A20" s="171" t="s">
        <v>24</v>
      </c>
      <c r="B20" s="454">
        <v>268.89999999999998</v>
      </c>
      <c r="C20" s="19">
        <v>18.7</v>
      </c>
      <c r="D20" s="19">
        <v>19.8</v>
      </c>
      <c r="E20" s="19">
        <v>5.4</v>
      </c>
      <c r="F20" s="19">
        <v>19.3</v>
      </c>
      <c r="G20" s="108">
        <v>19.8</v>
      </c>
      <c r="H20" s="437">
        <f t="shared" ref="H20:H22" si="0">B20+C20+D20+E20+F20+G20</f>
        <v>351.9</v>
      </c>
      <c r="I20" s="18">
        <v>269</v>
      </c>
      <c r="J20" s="19">
        <v>16.7</v>
      </c>
      <c r="K20" s="468">
        <v>19.3</v>
      </c>
      <c r="L20" s="431">
        <v>5.8</v>
      </c>
      <c r="M20" s="19">
        <v>17.2</v>
      </c>
      <c r="N20" s="469">
        <v>18</v>
      </c>
      <c r="O20" s="437">
        <f t="shared" ref="O20:O22" si="1">I20+J20+K20+L20+M20+N20</f>
        <v>346</v>
      </c>
      <c r="P20" s="474">
        <v>66.900000000000006</v>
      </c>
      <c r="Q20" s="19">
        <v>66.5</v>
      </c>
      <c r="R20" s="468">
        <v>25.7</v>
      </c>
      <c r="S20" s="468">
        <v>67.400000000000006</v>
      </c>
      <c r="T20" s="20">
        <v>67.099999999999994</v>
      </c>
      <c r="U20" s="475">
        <v>69.900000000000006</v>
      </c>
      <c r="V20" s="19">
        <v>71.099999999999994</v>
      </c>
      <c r="W20" s="19">
        <v>25.9</v>
      </c>
      <c r="X20" s="468">
        <v>70.3</v>
      </c>
      <c r="Y20" s="20">
        <v>70.599999999999994</v>
      </c>
      <c r="Z20" s="209">
        <f t="shared" ref="Z20:Z25" si="2">SUM(H20,O20,P20:Y20)</f>
        <v>1299.3</v>
      </c>
      <c r="AA20" s="472" t="s">
        <v>112</v>
      </c>
      <c r="AB20" s="302"/>
      <c r="AD20" s="2"/>
      <c r="AE20" s="15"/>
    </row>
    <row r="21" spans="1:37" ht="39.75" customHeight="1" x14ac:dyDescent="0.25">
      <c r="A21" s="171" t="s">
        <v>20</v>
      </c>
      <c r="B21" s="454">
        <v>268.39999999999998</v>
      </c>
      <c r="C21" s="19">
        <v>18.7</v>
      </c>
      <c r="D21" s="19">
        <v>19.8</v>
      </c>
      <c r="E21" s="468">
        <v>5.9</v>
      </c>
      <c r="F21" s="484">
        <v>20.9</v>
      </c>
      <c r="G21" s="485">
        <v>21.4</v>
      </c>
      <c r="H21" s="437">
        <f t="shared" si="0"/>
        <v>355.09999999999991</v>
      </c>
      <c r="I21" s="18">
        <v>268.7</v>
      </c>
      <c r="J21" s="484">
        <v>18.7</v>
      </c>
      <c r="K21" s="486">
        <v>19.3</v>
      </c>
      <c r="L21" s="486">
        <v>5.8</v>
      </c>
      <c r="M21" s="19">
        <v>17.2</v>
      </c>
      <c r="N21" s="487">
        <v>18</v>
      </c>
      <c r="O21" s="437">
        <f t="shared" si="1"/>
        <v>347.7</v>
      </c>
      <c r="P21" s="488">
        <v>68.099999999999994</v>
      </c>
      <c r="Q21" s="468">
        <v>67</v>
      </c>
      <c r="R21" s="486">
        <v>25.7</v>
      </c>
      <c r="S21" s="486">
        <v>67.400000000000006</v>
      </c>
      <c r="T21" s="489">
        <v>68.400000000000006</v>
      </c>
      <c r="U21" s="490">
        <v>71.099999999999994</v>
      </c>
      <c r="V21" s="19">
        <v>71.099999999999994</v>
      </c>
      <c r="W21" s="19">
        <v>25.9</v>
      </c>
      <c r="X21" s="19">
        <v>70.3</v>
      </c>
      <c r="Y21" s="20">
        <v>70.599999999999994</v>
      </c>
      <c r="Z21" s="209">
        <f>SUM(H21,O21,P21:Y21)</f>
        <v>1308.3999999999999</v>
      </c>
      <c r="AA21" s="476" t="s">
        <v>113</v>
      </c>
      <c r="AB21" s="302"/>
      <c r="AD21" s="2"/>
      <c r="AE21" s="15"/>
    </row>
    <row r="22" spans="1:37" ht="39.950000000000003" customHeight="1" x14ac:dyDescent="0.25">
      <c r="A22" s="171" t="s">
        <v>28</v>
      </c>
      <c r="B22" s="454">
        <v>281.10000000000002</v>
      </c>
      <c r="C22" s="497">
        <v>17.5</v>
      </c>
      <c r="D22" s="497">
        <v>18.399999999999999</v>
      </c>
      <c r="E22" s="459">
        <v>5</v>
      </c>
      <c r="F22" s="459">
        <v>18</v>
      </c>
      <c r="G22" s="458">
        <v>18.399999999999999</v>
      </c>
      <c r="H22" s="437">
        <f t="shared" si="0"/>
        <v>358.4</v>
      </c>
      <c r="I22" s="18">
        <v>268.7</v>
      </c>
      <c r="J22" s="459">
        <v>18.7</v>
      </c>
      <c r="K22" s="459">
        <v>19.3</v>
      </c>
      <c r="L22" s="459">
        <v>5.8</v>
      </c>
      <c r="M22" s="499">
        <v>18.7</v>
      </c>
      <c r="N22" s="460">
        <v>18</v>
      </c>
      <c r="O22" s="437">
        <f t="shared" si="1"/>
        <v>349.2</v>
      </c>
      <c r="P22" s="465">
        <v>68.099999999999994</v>
      </c>
      <c r="Q22" s="459">
        <v>67</v>
      </c>
      <c r="R22" s="497">
        <v>26.2</v>
      </c>
      <c r="S22" s="497">
        <v>68.7</v>
      </c>
      <c r="T22" s="460">
        <v>68.400000000000006</v>
      </c>
      <c r="U22" s="464">
        <v>71.099999999999994</v>
      </c>
      <c r="V22" s="497">
        <v>72.5</v>
      </c>
      <c r="W22" s="459">
        <v>25.8</v>
      </c>
      <c r="X22" s="459">
        <v>70.3</v>
      </c>
      <c r="Y22" s="498">
        <v>71.900000000000006</v>
      </c>
      <c r="Z22" s="209">
        <f t="shared" si="2"/>
        <v>1317.6</v>
      </c>
      <c r="AA22" s="301"/>
      <c r="AB22" s="302"/>
      <c r="AD22" s="2"/>
      <c r="AE22" s="15"/>
    </row>
    <row r="23" spans="1:37" ht="39.950000000000003" customHeight="1" x14ac:dyDescent="0.25">
      <c r="A23" s="171" t="s">
        <v>21</v>
      </c>
      <c r="B23" s="503">
        <v>280.5</v>
      </c>
      <c r="C23" s="504">
        <v>17.5</v>
      </c>
      <c r="D23" s="504">
        <v>18.399999999999999</v>
      </c>
      <c r="E23" s="504">
        <v>4.9000000000000004</v>
      </c>
      <c r="F23" s="510">
        <v>19.899999999999999</v>
      </c>
      <c r="G23" s="505">
        <v>18.399999999999999</v>
      </c>
      <c r="H23" s="506">
        <f t="shared" ref="H23" si="3">B23+C23+D23+E23+F23+G23</f>
        <v>359.59999999999991</v>
      </c>
      <c r="I23" s="142">
        <v>281.39999999999998</v>
      </c>
      <c r="J23" s="510">
        <v>17.899999999999999</v>
      </c>
      <c r="K23" s="511">
        <v>18</v>
      </c>
      <c r="L23" s="504">
        <v>4.9000000000000004</v>
      </c>
      <c r="M23" s="504">
        <v>15.7</v>
      </c>
      <c r="N23" s="512">
        <v>16.7</v>
      </c>
      <c r="O23" s="506">
        <f t="shared" ref="O23" si="4">I23+J23+K23+L23+M23+N23</f>
        <v>354.59999999999991</v>
      </c>
      <c r="P23" s="513">
        <v>69.400000000000006</v>
      </c>
      <c r="Q23" s="504">
        <v>67</v>
      </c>
      <c r="R23" s="504">
        <v>26.2</v>
      </c>
      <c r="S23" s="504">
        <v>68.7</v>
      </c>
      <c r="T23" s="507">
        <v>68.400000000000006</v>
      </c>
      <c r="U23" s="508">
        <v>71.099999999999994</v>
      </c>
      <c r="V23" s="504">
        <v>72.5</v>
      </c>
      <c r="W23" s="499">
        <v>26.2</v>
      </c>
      <c r="X23" s="511">
        <v>71.7</v>
      </c>
      <c r="Y23" s="507">
        <v>71.900000000000006</v>
      </c>
      <c r="Z23" s="509">
        <f t="shared" ref="Z23" si="5">SUM(H23,O23,P23:Y23)</f>
        <v>1327.3</v>
      </c>
      <c r="AA23" s="301"/>
      <c r="AB23" s="302"/>
      <c r="AD23" s="2"/>
      <c r="AE23" s="15"/>
    </row>
    <row r="24" spans="1:37" ht="39.950000000000003" customHeight="1" x14ac:dyDescent="0.25">
      <c r="A24" s="171" t="s">
        <v>22</v>
      </c>
      <c r="B24" s="503">
        <v>280.5</v>
      </c>
      <c r="C24" s="504">
        <v>17.399999999999999</v>
      </c>
      <c r="D24" s="504">
        <v>18.399999999999999</v>
      </c>
      <c r="E24" s="504">
        <v>4.9000000000000004</v>
      </c>
      <c r="F24" s="504">
        <v>19.899999999999999</v>
      </c>
      <c r="G24" s="505">
        <v>18.399999999999999</v>
      </c>
      <c r="H24" s="506">
        <f t="shared" ref="H24" si="6">B24+C24+D24+E24+F24+G24</f>
        <v>359.49999999999989</v>
      </c>
      <c r="I24" s="142">
        <v>281.39999999999998</v>
      </c>
      <c r="J24" s="504">
        <v>17.899999999999999</v>
      </c>
      <c r="K24" s="510">
        <v>19.899999999999999</v>
      </c>
      <c r="L24" s="504">
        <v>4.9000000000000004</v>
      </c>
      <c r="M24" s="511">
        <v>17.3</v>
      </c>
      <c r="N24" s="507">
        <v>16.7</v>
      </c>
      <c r="O24" s="506">
        <f t="shared" ref="O24" si="7">I24+J24+K24+L24+M24+N24</f>
        <v>358.09999999999991</v>
      </c>
      <c r="P24" s="515">
        <v>69.400000000000006</v>
      </c>
      <c r="Q24" s="511">
        <v>68.3</v>
      </c>
      <c r="R24" s="504">
        <v>26.2</v>
      </c>
      <c r="S24" s="504">
        <v>68.7</v>
      </c>
      <c r="T24" s="516">
        <v>70</v>
      </c>
      <c r="U24" s="508">
        <v>71.099999999999994</v>
      </c>
      <c r="V24" s="504">
        <v>72.5</v>
      </c>
      <c r="W24" s="511">
        <v>26.7</v>
      </c>
      <c r="X24" s="504">
        <v>71.7</v>
      </c>
      <c r="Y24" s="507">
        <v>71.900000000000006</v>
      </c>
      <c r="Z24" s="209">
        <f t="shared" si="2"/>
        <v>1334.1</v>
      </c>
      <c r="AA24" s="301"/>
      <c r="AB24" s="302"/>
      <c r="AD24" s="2"/>
      <c r="AE24" s="15"/>
    </row>
    <row r="25" spans="1:37" ht="39.950000000000003" customHeight="1" thickBot="1" x14ac:dyDescent="0.3">
      <c r="A25" s="285" t="s">
        <v>23</v>
      </c>
      <c r="B25" s="503">
        <v>280.5</v>
      </c>
      <c r="C25" s="510">
        <v>19.399999999999999</v>
      </c>
      <c r="D25" s="510">
        <v>20.2</v>
      </c>
      <c r="E25" s="511">
        <v>5.4</v>
      </c>
      <c r="F25" s="517">
        <v>22</v>
      </c>
      <c r="G25" s="518">
        <v>20.3</v>
      </c>
      <c r="H25" s="506">
        <f t="shared" ref="H25" si="8">B25+C25+D25+E25+F25+G25</f>
        <v>367.79999999999995</v>
      </c>
      <c r="I25" s="142">
        <v>281.39999999999998</v>
      </c>
      <c r="J25" s="504">
        <v>17.899999999999999</v>
      </c>
      <c r="K25" s="504">
        <v>19.899999999999999</v>
      </c>
      <c r="L25" s="504">
        <v>4.9000000000000004</v>
      </c>
      <c r="M25" s="504">
        <v>17.3</v>
      </c>
      <c r="N25" s="516">
        <v>18.600000000000001</v>
      </c>
      <c r="O25" s="506">
        <f t="shared" ref="O25" si="9">I25+J25+K25+L25+M25+N25</f>
        <v>359.99999999999994</v>
      </c>
      <c r="P25" s="515">
        <v>69.400000000000006</v>
      </c>
      <c r="Q25" s="504">
        <v>68.3</v>
      </c>
      <c r="R25" s="504">
        <v>26.2</v>
      </c>
      <c r="S25" s="510">
        <v>70.2</v>
      </c>
      <c r="T25" s="507">
        <v>70</v>
      </c>
      <c r="U25" s="519">
        <v>72.5</v>
      </c>
      <c r="V25" s="510">
        <v>74</v>
      </c>
      <c r="W25" s="504">
        <v>26.7</v>
      </c>
      <c r="X25" s="504">
        <v>71.7</v>
      </c>
      <c r="Y25" s="516">
        <v>73.5</v>
      </c>
      <c r="Z25" s="209">
        <f t="shared" si="2"/>
        <v>1350.3000000000002</v>
      </c>
      <c r="AA25" s="301"/>
      <c r="AB25" s="302"/>
      <c r="AD25" s="2"/>
    </row>
    <row r="26" spans="1:37" ht="41.45" customHeight="1" thickBot="1" x14ac:dyDescent="0.3">
      <c r="A26" s="268" t="s">
        <v>9</v>
      </c>
      <c r="B26" s="421"/>
      <c r="C26" s="128">
        <f>SUM(C19:C25)</f>
        <v>127.9</v>
      </c>
      <c r="D26" s="128">
        <f t="shared" ref="D26:Y26" si="10">SUM(D19:D25)</f>
        <v>134.80000000000001</v>
      </c>
      <c r="E26" s="128">
        <f t="shared" si="10"/>
        <v>36.9</v>
      </c>
      <c r="F26" s="128">
        <f t="shared" si="10"/>
        <v>139.30000000000001</v>
      </c>
      <c r="G26" s="205">
        <f t="shared" si="10"/>
        <v>136.50000000000003</v>
      </c>
      <c r="H26" s="436">
        <f>SUM(H19:H25)</f>
        <v>2504.1999999999998</v>
      </c>
      <c r="I26" s="131"/>
      <c r="J26" s="128">
        <f t="shared" si="10"/>
        <v>124.5</v>
      </c>
      <c r="K26" s="128">
        <f>SUM(K19:K25)</f>
        <v>133.6</v>
      </c>
      <c r="L26" s="128">
        <f t="shared" si="10"/>
        <v>37.6</v>
      </c>
      <c r="M26" s="128">
        <f t="shared" si="10"/>
        <v>120.6</v>
      </c>
      <c r="N26" s="129">
        <f t="shared" si="10"/>
        <v>122.6</v>
      </c>
      <c r="O26" s="436">
        <f>SUM(O19:O25)</f>
        <v>2458.5</v>
      </c>
      <c r="P26" s="127">
        <f t="shared" si="10"/>
        <v>478.9</v>
      </c>
      <c r="Q26" s="128">
        <f t="shared" si="10"/>
        <v>470.70000000000005</v>
      </c>
      <c r="R26" s="128">
        <f t="shared" si="10"/>
        <v>181.7</v>
      </c>
      <c r="S26" s="128">
        <f t="shared" si="10"/>
        <v>478.4</v>
      </c>
      <c r="T26" s="205">
        <f t="shared" si="10"/>
        <v>479.5</v>
      </c>
      <c r="U26" s="131">
        <f t="shared" si="10"/>
        <v>497.4</v>
      </c>
      <c r="V26" s="128">
        <f t="shared" si="10"/>
        <v>505</v>
      </c>
      <c r="W26" s="128">
        <f t="shared" si="10"/>
        <v>182.79999999999998</v>
      </c>
      <c r="X26" s="128">
        <f t="shared" si="10"/>
        <v>496</v>
      </c>
      <c r="Y26" s="129">
        <f t="shared" si="10"/>
        <v>500.69999999999993</v>
      </c>
      <c r="Z26" s="375">
        <f>SUM(Z19,Z20,Z21,Z22,Z23,Z24,Z25)</f>
        <v>9233.7999999999993</v>
      </c>
      <c r="AA26" s="301"/>
    </row>
    <row r="27" spans="1:37" s="2" customFormat="1" ht="36.75" customHeight="1" x14ac:dyDescent="0.25">
      <c r="A27" s="192" t="s">
        <v>11</v>
      </c>
      <c r="B27" s="23"/>
      <c r="C27" s="477">
        <v>142.88999999999999</v>
      </c>
      <c r="D27" s="477">
        <v>144.24</v>
      </c>
      <c r="E27" s="477">
        <v>139.57</v>
      </c>
      <c r="F27" s="477">
        <v>147.16999999999999</v>
      </c>
      <c r="G27" s="477">
        <v>144.24</v>
      </c>
      <c r="H27" s="478"/>
      <c r="I27" s="479"/>
      <c r="J27" s="477">
        <v>140.19</v>
      </c>
      <c r="K27" s="477">
        <v>143.56</v>
      </c>
      <c r="L27" s="477">
        <v>135.9</v>
      </c>
      <c r="M27" s="477">
        <v>139.19</v>
      </c>
      <c r="N27" s="477">
        <v>141.66</v>
      </c>
      <c r="O27" s="478"/>
      <c r="P27" s="480">
        <v>140.72999999999999</v>
      </c>
      <c r="Q27" s="477">
        <v>139.19</v>
      </c>
      <c r="R27" s="477">
        <v>139.965</v>
      </c>
      <c r="S27" s="477">
        <v>143.01</v>
      </c>
      <c r="T27" s="481">
        <v>142.34</v>
      </c>
      <c r="U27" s="479">
        <v>140.72999999999999</v>
      </c>
      <c r="V27" s="477">
        <v>143.69</v>
      </c>
      <c r="W27" s="477">
        <v>140.72999999999999</v>
      </c>
      <c r="X27" s="477">
        <v>139.19</v>
      </c>
      <c r="Y27" s="482">
        <v>143.01</v>
      </c>
      <c r="Z27" s="99">
        <f>(((Z26*1000)/7)/Z28)</f>
        <v>138.70812678383655</v>
      </c>
    </row>
    <row r="28" spans="1:37" s="2" customFormat="1" ht="33" customHeight="1" x14ac:dyDescent="0.25">
      <c r="A28" s="193" t="s">
        <v>12</v>
      </c>
      <c r="B28" s="257"/>
      <c r="C28" s="27">
        <v>589</v>
      </c>
      <c r="D28" s="27">
        <v>591</v>
      </c>
      <c r="E28" s="27">
        <v>183</v>
      </c>
      <c r="F28" s="27">
        <v>593</v>
      </c>
      <c r="G28" s="27">
        <v>593</v>
      </c>
      <c r="H28" s="441"/>
      <c r="I28" s="26"/>
      <c r="J28" s="27">
        <v>593</v>
      </c>
      <c r="K28" s="27">
        <v>594</v>
      </c>
      <c r="L28" s="483">
        <v>188</v>
      </c>
      <c r="M28" s="27">
        <v>594</v>
      </c>
      <c r="N28" s="27">
        <v>589</v>
      </c>
      <c r="O28" s="441"/>
      <c r="P28" s="64">
        <v>493</v>
      </c>
      <c r="Q28" s="27">
        <v>491</v>
      </c>
      <c r="R28" s="27">
        <v>187</v>
      </c>
      <c r="S28" s="27">
        <v>491</v>
      </c>
      <c r="T28" s="483">
        <v>492</v>
      </c>
      <c r="U28" s="27">
        <v>515</v>
      </c>
      <c r="V28" s="27">
        <v>515</v>
      </c>
      <c r="W28" s="27">
        <v>190</v>
      </c>
      <c r="X28" s="27">
        <v>515</v>
      </c>
      <c r="Y28" s="27">
        <v>514</v>
      </c>
      <c r="Z28" s="29">
        <f>SUM(C28:Y28)</f>
        <v>9510</v>
      </c>
      <c r="AA28" s="402"/>
    </row>
    <row r="29" spans="1:37" s="2" customFormat="1" ht="33" customHeight="1" x14ac:dyDescent="0.25">
      <c r="A29" s="444" t="s">
        <v>13</v>
      </c>
      <c r="B29" s="445"/>
      <c r="C29" s="31">
        <f>(C34*C28)/1000</f>
        <v>19.372209999999992</v>
      </c>
      <c r="D29" s="31">
        <f t="shared" ref="D29:G29" si="11">(D34*D28)/1000</f>
        <v>20.235840000000003</v>
      </c>
      <c r="E29" s="31">
        <f t="shared" si="11"/>
        <v>5.4113099999999985</v>
      </c>
      <c r="F29" s="31">
        <f t="shared" si="11"/>
        <v>22.041809999999995</v>
      </c>
      <c r="G29" s="31">
        <f t="shared" si="11"/>
        <v>20.304320000000008</v>
      </c>
      <c r="H29" s="442"/>
      <c r="I29" s="30"/>
      <c r="J29" s="31">
        <f>(J34*J28)/1000</f>
        <v>17.902669999999997</v>
      </c>
      <c r="K29" s="31">
        <f t="shared" ref="K29:N29" si="12">(K34*K28)/1000</f>
        <v>19.934640000000002</v>
      </c>
      <c r="L29" s="31">
        <f t="shared" si="12"/>
        <v>4.8692000000000011</v>
      </c>
      <c r="M29" s="31">
        <f t="shared" si="12"/>
        <v>17.338859999999997</v>
      </c>
      <c r="N29" s="31">
        <f t="shared" si="12"/>
        <v>18.647739999999999</v>
      </c>
      <c r="O29" s="442"/>
      <c r="P29" s="65">
        <f>((((P27*7)*P28)/1000))/7</f>
        <v>69.379889999999989</v>
      </c>
      <c r="Q29" s="65">
        <f t="shared" ref="Q29:Y29" si="13">((((Q27*7)*Q28)/1000))/7</f>
        <v>68.342290000000006</v>
      </c>
      <c r="R29" s="65">
        <f t="shared" si="13"/>
        <v>26.173454999999997</v>
      </c>
      <c r="S29" s="65">
        <f t="shared" si="13"/>
        <v>70.217910000000003</v>
      </c>
      <c r="T29" s="65">
        <f t="shared" si="13"/>
        <v>70.03128000000001</v>
      </c>
      <c r="U29" s="65">
        <f t="shared" si="13"/>
        <v>72.475949999999997</v>
      </c>
      <c r="V29" s="65">
        <f t="shared" si="13"/>
        <v>74.000349999999997</v>
      </c>
      <c r="W29" s="65">
        <f t="shared" si="13"/>
        <v>26.738699999999998</v>
      </c>
      <c r="X29" s="65">
        <f t="shared" si="13"/>
        <v>71.682849999999988</v>
      </c>
      <c r="Y29" s="65">
        <f t="shared" si="13"/>
        <v>73.507140000000007</v>
      </c>
      <c r="Z29" s="33"/>
    </row>
    <row r="30" spans="1:37" ht="33.75" customHeight="1" x14ac:dyDescent="0.25">
      <c r="A30" s="185" t="s">
        <v>14</v>
      </c>
      <c r="B30" s="34"/>
      <c r="C30" s="280">
        <f>((C28*C31)*7)/1000</f>
        <v>127.9</v>
      </c>
      <c r="D30" s="280">
        <f t="shared" ref="D30:G30" si="14">((D28*D31)*7)/1000</f>
        <v>134.80000000000001</v>
      </c>
      <c r="E30" s="280">
        <f>((E28*E31)*7)/1000</f>
        <v>36.9</v>
      </c>
      <c r="F30" s="280">
        <f t="shared" si="14"/>
        <v>139.30000000000004</v>
      </c>
      <c r="G30" s="280">
        <f t="shared" si="14"/>
        <v>136.50000000000003</v>
      </c>
      <c r="H30" s="443"/>
      <c r="I30" s="279"/>
      <c r="J30" s="280">
        <f>((J28*J31)*7)/1000</f>
        <v>124.5</v>
      </c>
      <c r="K30" s="280">
        <f t="shared" ref="K30:N30" si="15">((K28*K31)*7)/1000</f>
        <v>133.59999999999997</v>
      </c>
      <c r="L30" s="280">
        <f t="shared" si="15"/>
        <v>37.6</v>
      </c>
      <c r="M30" s="280">
        <f t="shared" si="15"/>
        <v>120.6</v>
      </c>
      <c r="N30" s="280">
        <f t="shared" si="15"/>
        <v>122.6</v>
      </c>
      <c r="O30" s="443"/>
      <c r="P30" s="325">
        <f t="shared" ref="P30:Y30" si="16">((P28*P27)*7)/1000</f>
        <v>485.65922999999998</v>
      </c>
      <c r="Q30" s="280">
        <f t="shared" si="16"/>
        <v>478.39603</v>
      </c>
      <c r="R30" s="280">
        <f t="shared" si="16"/>
        <v>183.21418499999999</v>
      </c>
      <c r="S30" s="280">
        <f t="shared" si="16"/>
        <v>491.52536999999995</v>
      </c>
      <c r="T30" s="281">
        <f t="shared" si="16"/>
        <v>490.21895999999998</v>
      </c>
      <c r="U30" s="279">
        <f t="shared" si="16"/>
        <v>507.33164999999997</v>
      </c>
      <c r="V30" s="280">
        <f t="shared" si="16"/>
        <v>518.00245000000007</v>
      </c>
      <c r="W30" s="280">
        <f t="shared" si="16"/>
        <v>187.17089999999996</v>
      </c>
      <c r="X30" s="280">
        <f t="shared" si="16"/>
        <v>501.77995000000004</v>
      </c>
      <c r="Y30" s="282">
        <f t="shared" si="16"/>
        <v>514.54998000000001</v>
      </c>
      <c r="Z30" s="36"/>
    </row>
    <row r="31" spans="1:37" ht="33.75" customHeight="1" thickBot="1" x14ac:dyDescent="0.3">
      <c r="A31" s="195" t="s">
        <v>15</v>
      </c>
      <c r="B31" s="423"/>
      <c r="C31" s="38">
        <f>+(C26/C28)/7*1000</f>
        <v>31.021101139946641</v>
      </c>
      <c r="D31" s="38">
        <f t="shared" ref="D31:Y31" si="17">+(D26/D28)/7*1000</f>
        <v>32.583998066231572</v>
      </c>
      <c r="E31" s="38">
        <f t="shared" si="17"/>
        <v>28.805620608899297</v>
      </c>
      <c r="F31" s="38">
        <f t="shared" si="17"/>
        <v>33.558178752107935</v>
      </c>
      <c r="G31" s="38">
        <f t="shared" si="17"/>
        <v>32.883642495784152</v>
      </c>
      <c r="H31" s="259"/>
      <c r="I31" s="37"/>
      <c r="J31" s="38">
        <f t="shared" si="17"/>
        <v>29.992772825825103</v>
      </c>
      <c r="K31" s="38">
        <f t="shared" si="17"/>
        <v>32.130832130832125</v>
      </c>
      <c r="L31" s="38">
        <f t="shared" si="17"/>
        <v>28.571428571428573</v>
      </c>
      <c r="M31" s="38">
        <f t="shared" si="17"/>
        <v>29.004329004329005</v>
      </c>
      <c r="N31" s="38">
        <f t="shared" si="17"/>
        <v>29.73562939607082</v>
      </c>
      <c r="O31" s="259"/>
      <c r="P31" s="67">
        <f t="shared" si="17"/>
        <v>138.7713706172124</v>
      </c>
      <c r="Q31" s="38">
        <f t="shared" si="17"/>
        <v>136.95082921152169</v>
      </c>
      <c r="R31" s="38">
        <f t="shared" si="17"/>
        <v>138.80825057295647</v>
      </c>
      <c r="S31" s="38">
        <f t="shared" si="17"/>
        <v>139.19115507710211</v>
      </c>
      <c r="T31" s="207">
        <f t="shared" si="17"/>
        <v>139.22764227642276</v>
      </c>
      <c r="U31" s="37">
        <f t="shared" si="17"/>
        <v>137.97503467406381</v>
      </c>
      <c r="V31" s="38">
        <f t="shared" si="17"/>
        <v>140.08321775312066</v>
      </c>
      <c r="W31" s="38">
        <f t="shared" si="17"/>
        <v>137.44360902255639</v>
      </c>
      <c r="X31" s="38">
        <f t="shared" si="17"/>
        <v>137.58668515950072</v>
      </c>
      <c r="Y31" s="39">
        <f t="shared" si="17"/>
        <v>139.16064480266812</v>
      </c>
      <c r="Z31" s="40"/>
    </row>
    <row r="32" spans="1:37" ht="33.75" customHeight="1" x14ac:dyDescent="0.25">
      <c r="A32" s="41"/>
      <c r="B32" s="41"/>
      <c r="C32" s="42">
        <f>C30-C26</f>
        <v>0</v>
      </c>
      <c r="D32" s="42">
        <f t="shared" ref="D32:Y33" si="18">D30-D26</f>
        <v>0</v>
      </c>
      <c r="E32" s="42">
        <f t="shared" si="18"/>
        <v>0</v>
      </c>
      <c r="F32" s="42">
        <f t="shared" si="18"/>
        <v>0</v>
      </c>
      <c r="G32" s="42">
        <f t="shared" si="18"/>
        <v>0</v>
      </c>
      <c r="H32" s="42"/>
      <c r="I32" s="42"/>
      <c r="J32" s="42">
        <f t="shared" si="18"/>
        <v>0</v>
      </c>
      <c r="K32" s="42">
        <f>K30-K26</f>
        <v>0</v>
      </c>
      <c r="L32" s="42">
        <f t="shared" si="18"/>
        <v>0</v>
      </c>
      <c r="M32" s="42">
        <f t="shared" si="18"/>
        <v>0</v>
      </c>
      <c r="N32" s="42">
        <f t="shared" si="18"/>
        <v>0</v>
      </c>
      <c r="O32" s="42"/>
      <c r="P32" s="42">
        <f t="shared" si="18"/>
        <v>6.7592300000000023</v>
      </c>
      <c r="Q32" s="42">
        <f t="shared" si="18"/>
        <v>7.6960299999999506</v>
      </c>
      <c r="R32" s="42">
        <f t="shared" si="18"/>
        <v>1.5141849999999977</v>
      </c>
      <c r="S32" s="42">
        <f t="shared" si="18"/>
        <v>13.125369999999975</v>
      </c>
      <c r="T32" s="42">
        <f t="shared" si="18"/>
        <v>10.718959999999981</v>
      </c>
      <c r="U32" s="42">
        <f t="shared" si="18"/>
        <v>9.9316499999999905</v>
      </c>
      <c r="V32" s="42">
        <f t="shared" si="18"/>
        <v>13.002450000000067</v>
      </c>
      <c r="W32" s="42">
        <f t="shared" si="18"/>
        <v>4.3708999999999776</v>
      </c>
      <c r="X32" s="42">
        <f t="shared" si="18"/>
        <v>5.7799500000000421</v>
      </c>
      <c r="Y32" s="42">
        <f t="shared" si="18"/>
        <v>13.849980000000073</v>
      </c>
      <c r="Z32" s="48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</row>
    <row r="33" spans="1:38" ht="31.5" customHeight="1" x14ac:dyDescent="0.25">
      <c r="A33" s="41"/>
      <c r="B33" s="41"/>
      <c r="C33" s="42">
        <f>C31-C34</f>
        <v>-1.8688988600533456</v>
      </c>
      <c r="D33" s="42">
        <f t="shared" ref="D33:G33" si="19">D31-D34</f>
        <v>-1.6560019337684366</v>
      </c>
      <c r="E33" s="42">
        <f t="shared" si="19"/>
        <v>-0.76437939110069664</v>
      </c>
      <c r="F33" s="42">
        <f t="shared" si="19"/>
        <v>-3.6118212478920526</v>
      </c>
      <c r="G33" s="42">
        <f t="shared" si="19"/>
        <v>-1.3563575042158575</v>
      </c>
      <c r="H33" s="42"/>
      <c r="I33" s="42"/>
      <c r="J33" s="42">
        <f t="shared" ref="J33:N33" si="20">J31-J34</f>
        <v>-0.19722717417489477</v>
      </c>
      <c r="K33" s="42">
        <f t="shared" si="20"/>
        <v>-1.4291678691678769</v>
      </c>
      <c r="L33" s="42">
        <f t="shared" si="20"/>
        <v>2.6714285714285673</v>
      </c>
      <c r="M33" s="42">
        <f t="shared" si="20"/>
        <v>-0.18567099567099277</v>
      </c>
      <c r="N33" s="42">
        <f t="shared" si="20"/>
        <v>-1.9243706039291766</v>
      </c>
      <c r="O33" s="42"/>
      <c r="P33" s="42">
        <f t="shared" si="18"/>
        <v>-1.958629382787592</v>
      </c>
      <c r="Q33" s="42">
        <f t="shared" si="18"/>
        <v>-2.2391707884783045</v>
      </c>
      <c r="R33" s="42">
        <f t="shared" si="18"/>
        <v>-1.1567494270435361</v>
      </c>
      <c r="S33" s="42">
        <f t="shared" si="18"/>
        <v>-3.8188449228978811</v>
      </c>
      <c r="T33" s="42">
        <f t="shared" si="18"/>
        <v>-3.1123577235772473</v>
      </c>
      <c r="U33" s="42">
        <f t="shared" si="18"/>
        <v>-2.7549653259361833</v>
      </c>
      <c r="V33" s="42">
        <f t="shared" si="18"/>
        <v>-3.6067822468793338</v>
      </c>
      <c r="W33" s="42">
        <f t="shared" si="18"/>
        <v>-3.2863909774436024</v>
      </c>
      <c r="X33" s="42">
        <f t="shared" si="18"/>
        <v>-1.6033148404992801</v>
      </c>
      <c r="Y33" s="42">
        <f t="shared" si="18"/>
        <v>-3.8493551973318745</v>
      </c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thickBot="1" x14ac:dyDescent="0.3">
      <c r="A34" s="41"/>
      <c r="B34" s="41"/>
      <c r="C34" s="42">
        <f>C27-$B$35</f>
        <v>32.889999999999986</v>
      </c>
      <c r="D34" s="42">
        <f t="shared" ref="D34:G34" si="21">D27-$B$35</f>
        <v>34.240000000000009</v>
      </c>
      <c r="E34" s="42">
        <f t="shared" si="21"/>
        <v>29.569999999999993</v>
      </c>
      <c r="F34" s="42">
        <f t="shared" si="21"/>
        <v>37.169999999999987</v>
      </c>
      <c r="G34" s="42">
        <f t="shared" si="21"/>
        <v>34.240000000000009</v>
      </c>
      <c r="H34" s="42"/>
      <c r="I34" s="42"/>
      <c r="J34" s="42">
        <f>J27-$I$35</f>
        <v>30.189999999999998</v>
      </c>
      <c r="K34" s="42">
        <f t="shared" ref="K34:N34" si="22">K27-$I$35</f>
        <v>33.56</v>
      </c>
      <c r="L34" s="42">
        <f t="shared" si="22"/>
        <v>25.900000000000006</v>
      </c>
      <c r="M34" s="42">
        <f t="shared" si="22"/>
        <v>29.189999999999998</v>
      </c>
      <c r="N34" s="42">
        <f t="shared" si="22"/>
        <v>31.659999999999997</v>
      </c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1"/>
    </row>
    <row r="35" spans="1:38" ht="33.75" customHeight="1" x14ac:dyDescent="0.25">
      <c r="A35" s="41"/>
      <c r="B35" s="501">
        <v>110</v>
      </c>
      <c r="C35" s="500">
        <f>(B35*D35)/1000</f>
        <v>280.39</v>
      </c>
      <c r="D35" s="432">
        <f>SUM(C28:G28)</f>
        <v>2549</v>
      </c>
      <c r="E35" s="42"/>
      <c r="F35" s="42"/>
      <c r="G35" s="42"/>
      <c r="H35" s="42"/>
      <c r="I35" s="514">
        <v>110</v>
      </c>
      <c r="J35" s="431">
        <f>(I35*K35)/1000</f>
        <v>281.38</v>
      </c>
      <c r="K35" s="432">
        <f>SUM(J28:N28)</f>
        <v>2558</v>
      </c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30" t="s">
        <v>106</v>
      </c>
      <c r="C36" s="500" t="s">
        <v>107</v>
      </c>
      <c r="D36" s="431" t="s">
        <v>108</v>
      </c>
      <c r="E36" s="42"/>
      <c r="F36" s="42"/>
      <c r="G36" s="42"/>
      <c r="H36" s="42"/>
      <c r="I36" s="430" t="s">
        <v>106</v>
      </c>
      <c r="J36" s="431" t="s">
        <v>107</v>
      </c>
      <c r="K36" s="431" t="s">
        <v>108</v>
      </c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1"/>
    </row>
    <row r="37" spans="1:38" ht="33.75" customHeight="1" thickBot="1" x14ac:dyDescent="0.3">
      <c r="A37" s="41"/>
      <c r="B37" s="42"/>
      <c r="C37" s="42"/>
      <c r="D37" s="42"/>
      <c r="E37" s="42"/>
      <c r="F37" s="42"/>
      <c r="G37" s="42"/>
      <c r="H37" s="42"/>
      <c r="I37" s="502" t="s">
        <v>114</v>
      </c>
      <c r="J37" s="42"/>
      <c r="K37" s="264"/>
      <c r="L37" s="42"/>
      <c r="M37" s="42"/>
      <c r="N37" s="42"/>
      <c r="O37" s="42"/>
      <c r="P37" s="264"/>
      <c r="Q37" s="42"/>
      <c r="R37" s="42"/>
      <c r="S37" s="42"/>
      <c r="T37" s="42"/>
      <c r="U37" s="264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1"/>
    </row>
    <row r="38" spans="1:38" ht="33.75" customHeight="1" x14ac:dyDescent="0.25">
      <c r="A38" s="41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1"/>
    </row>
    <row r="39" spans="1:38" s="2" customFormat="1" ht="33.75" customHeight="1" thickBot="1" x14ac:dyDescent="0.3">
      <c r="B39" s="43"/>
      <c r="C39" s="350"/>
      <c r="D39" s="350"/>
      <c r="E39" s="350"/>
      <c r="F39" s="350"/>
      <c r="G39" s="350"/>
      <c r="H39" s="318"/>
      <c r="I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3"/>
    </row>
    <row r="40" spans="1:38" ht="33.75" customHeight="1" thickBot="1" x14ac:dyDescent="0.3">
      <c r="A40" s="69" t="s">
        <v>16</v>
      </c>
      <c r="B40" s="973" t="s">
        <v>17</v>
      </c>
      <c r="C40" s="974"/>
      <c r="D40" s="974"/>
      <c r="E40" s="974"/>
      <c r="F40" s="991"/>
      <c r="G40" s="977" t="s">
        <v>9</v>
      </c>
      <c r="H40" s="47"/>
      <c r="L40" s="426" t="s">
        <v>18</v>
      </c>
      <c r="M40" s="980" t="s">
        <v>17</v>
      </c>
      <c r="N40" s="972"/>
      <c r="O40" s="972"/>
      <c r="P40" s="972"/>
      <c r="Q40" s="990"/>
      <c r="R40" s="977" t="s">
        <v>9</v>
      </c>
      <c r="S40" s="269"/>
      <c r="U40" s="45"/>
      <c r="V40" s="45"/>
      <c r="W40" s="46"/>
      <c r="X40" s="3"/>
      <c r="Y40" s="45"/>
      <c r="Z40" s="45"/>
      <c r="AA40" s="45"/>
      <c r="AB40" s="3"/>
    </row>
    <row r="41" spans="1:38" ht="33.75" customHeight="1" thickBot="1" x14ac:dyDescent="0.3">
      <c r="A41" s="170" t="s">
        <v>34</v>
      </c>
      <c r="B41" s="141"/>
      <c r="C41" s="118"/>
      <c r="D41" s="118"/>
      <c r="E41" s="118"/>
      <c r="F41" s="118"/>
      <c r="G41" s="978"/>
      <c r="H41" s="47"/>
      <c r="I41" s="47"/>
      <c r="J41" s="47"/>
      <c r="K41" s="47"/>
      <c r="L41" s="428" t="s">
        <v>33</v>
      </c>
      <c r="M41" s="168">
        <v>1</v>
      </c>
      <c r="N41" s="249">
        <v>2</v>
      </c>
      <c r="O41" s="249">
        <v>3</v>
      </c>
      <c r="P41" s="249"/>
      <c r="Q41" s="250"/>
      <c r="R41" s="979"/>
      <c r="S41" s="2"/>
      <c r="U41" s="47"/>
      <c r="V41" s="47"/>
      <c r="W41" s="3"/>
      <c r="X41" s="46"/>
      <c r="Y41" s="3"/>
      <c r="Z41" s="45"/>
      <c r="AA41" s="45"/>
      <c r="AB41" s="45"/>
    </row>
    <row r="42" spans="1:38" ht="33.75" customHeight="1" thickBot="1" x14ac:dyDescent="0.3">
      <c r="A42" s="170" t="s">
        <v>10</v>
      </c>
      <c r="B42" s="11">
        <v>1</v>
      </c>
      <c r="C42" s="16">
        <v>2</v>
      </c>
      <c r="D42" s="16">
        <v>3</v>
      </c>
      <c r="E42" s="16">
        <v>4</v>
      </c>
      <c r="F42" s="16">
        <v>5</v>
      </c>
      <c r="G42" s="979"/>
      <c r="H42" s="47"/>
      <c r="I42" s="47"/>
      <c r="J42" s="47"/>
      <c r="K42" s="47"/>
      <c r="L42" s="427" t="s">
        <v>10</v>
      </c>
      <c r="M42" s="114">
        <v>1</v>
      </c>
      <c r="N42" s="114">
        <v>2</v>
      </c>
      <c r="O42" s="114">
        <v>3</v>
      </c>
      <c r="P42" s="114">
        <v>4</v>
      </c>
      <c r="Q42" s="114">
        <v>5</v>
      </c>
      <c r="R42" s="278"/>
      <c r="S42" s="270"/>
      <c r="U42" s="47"/>
      <c r="V42" s="47"/>
      <c r="W42" s="48"/>
      <c r="X42" s="48"/>
      <c r="Y42" s="2"/>
      <c r="Z42" s="2"/>
      <c r="AA42" s="2"/>
      <c r="AB42" s="2"/>
    </row>
    <row r="43" spans="1:38" ht="33.75" customHeight="1" x14ac:dyDescent="0.25">
      <c r="A43" s="171" t="s">
        <v>32</v>
      </c>
      <c r="B43" s="18">
        <v>90.5</v>
      </c>
      <c r="C43" s="19">
        <v>89.6</v>
      </c>
      <c r="D43" s="19">
        <v>25.8</v>
      </c>
      <c r="E43" s="19">
        <v>88.3</v>
      </c>
      <c r="F43" s="19">
        <v>88.1</v>
      </c>
      <c r="G43" s="374">
        <f t="shared" ref="G43:G49" si="23">SUM(B43:F43)</f>
        <v>382.29999999999995</v>
      </c>
      <c r="H43" s="988"/>
      <c r="I43" s="989"/>
      <c r="J43" s="989"/>
      <c r="K43" s="989"/>
      <c r="L43" s="171" t="s">
        <v>53</v>
      </c>
      <c r="M43" s="19">
        <v>8.3000000000000007</v>
      </c>
      <c r="N43" s="19">
        <v>8.5</v>
      </c>
      <c r="O43" s="19">
        <v>2.1</v>
      </c>
      <c r="P43" s="19">
        <v>8.1</v>
      </c>
      <c r="Q43" s="19">
        <v>8.5</v>
      </c>
      <c r="R43" s="98">
        <f t="shared" ref="R43:R49" si="24">SUM(M43:Q43)</f>
        <v>35.5</v>
      </c>
      <c r="S43" s="271"/>
      <c r="T43" s="302"/>
      <c r="U43" s="2"/>
      <c r="V43" s="49"/>
      <c r="W43" s="48"/>
      <c r="X43" s="48"/>
      <c r="Y43" s="2"/>
      <c r="Z43" s="2"/>
      <c r="AA43" s="2"/>
      <c r="AB43" s="2"/>
    </row>
    <row r="44" spans="1:38" ht="33.75" customHeight="1" x14ac:dyDescent="0.25">
      <c r="A44" s="171" t="s">
        <v>24</v>
      </c>
      <c r="B44" s="18">
        <v>90.5</v>
      </c>
      <c r="C44" s="19">
        <v>89.6</v>
      </c>
      <c r="D44" s="19">
        <v>25.8</v>
      </c>
      <c r="E44" s="19">
        <v>88.3</v>
      </c>
      <c r="F44" s="19">
        <v>88.1</v>
      </c>
      <c r="G44" s="374">
        <f t="shared" si="23"/>
        <v>382.29999999999995</v>
      </c>
      <c r="H44" s="988"/>
      <c r="I44" s="989"/>
      <c r="J44" s="989"/>
      <c r="K44" s="989"/>
      <c r="L44" s="171" t="s">
        <v>24</v>
      </c>
      <c r="M44" s="19">
        <v>8.1999999999999993</v>
      </c>
      <c r="N44" s="19">
        <v>8.1999999999999993</v>
      </c>
      <c r="O44" s="19">
        <v>2.2000000000000002</v>
      </c>
      <c r="P44" s="19">
        <v>8.1</v>
      </c>
      <c r="Q44" s="19">
        <v>8</v>
      </c>
      <c r="R44" s="98">
        <f t="shared" si="24"/>
        <v>34.699999999999996</v>
      </c>
      <c r="S44" s="271"/>
      <c r="T44" s="302"/>
      <c r="U44" s="2"/>
      <c r="V44" s="49"/>
      <c r="W44" s="48"/>
      <c r="X44" s="48"/>
      <c r="Y44" s="2"/>
      <c r="Z44" s="2"/>
      <c r="AA44" s="2"/>
      <c r="AB44" s="2"/>
    </row>
    <row r="45" spans="1:38" ht="33.75" customHeight="1" x14ac:dyDescent="0.25">
      <c r="A45" s="171" t="s">
        <v>20</v>
      </c>
      <c r="B45" s="18">
        <v>91.5</v>
      </c>
      <c r="C45" s="19">
        <v>90.2</v>
      </c>
      <c r="D45" s="19">
        <v>26.4</v>
      </c>
      <c r="E45" s="19">
        <v>89</v>
      </c>
      <c r="F45" s="19">
        <v>88.9</v>
      </c>
      <c r="G45" s="374">
        <f t="shared" si="23"/>
        <v>386</v>
      </c>
      <c r="H45" s="988"/>
      <c r="I45" s="989"/>
      <c r="J45" s="989"/>
      <c r="K45" s="989"/>
      <c r="L45" s="171" t="s">
        <v>20</v>
      </c>
      <c r="M45" s="19">
        <v>8.4</v>
      </c>
      <c r="N45" s="19">
        <v>8.1999999999999993</v>
      </c>
      <c r="O45" s="19">
        <v>1.8</v>
      </c>
      <c r="P45" s="19">
        <v>8.1</v>
      </c>
      <c r="Q45" s="19">
        <v>8.1</v>
      </c>
      <c r="R45" s="98">
        <f t="shared" si="24"/>
        <v>34.6</v>
      </c>
      <c r="S45" s="271"/>
      <c r="T45" s="302"/>
      <c r="U45" s="2"/>
      <c r="V45" s="49"/>
      <c r="W45" s="48"/>
      <c r="X45" s="48"/>
      <c r="Y45" s="2"/>
      <c r="Z45" s="2"/>
      <c r="AA45" s="2"/>
      <c r="AB45" s="2"/>
    </row>
    <row r="46" spans="1:38" ht="33.75" customHeight="1" x14ac:dyDescent="0.25">
      <c r="A46" s="171" t="s">
        <v>28</v>
      </c>
      <c r="B46" s="18">
        <v>91.5</v>
      </c>
      <c r="C46" s="19">
        <v>90</v>
      </c>
      <c r="D46" s="19">
        <v>26.5</v>
      </c>
      <c r="E46" s="19">
        <v>88.7</v>
      </c>
      <c r="F46" s="19">
        <v>88.7</v>
      </c>
      <c r="G46" s="374">
        <f t="shared" si="23"/>
        <v>385.4</v>
      </c>
      <c r="H46" s="988"/>
      <c r="I46" s="989"/>
      <c r="J46" s="989"/>
      <c r="K46" s="989"/>
      <c r="L46" s="171" t="s">
        <v>28</v>
      </c>
      <c r="M46" s="19">
        <v>8.5</v>
      </c>
      <c r="N46" s="19">
        <v>8.1999999999999993</v>
      </c>
      <c r="O46" s="19">
        <v>1.8</v>
      </c>
      <c r="P46" s="19">
        <v>8.1</v>
      </c>
      <c r="Q46" s="19">
        <v>8.1999999999999993</v>
      </c>
      <c r="R46" s="98">
        <f t="shared" si="24"/>
        <v>34.799999999999997</v>
      </c>
      <c r="S46" s="271"/>
      <c r="T46" s="302"/>
      <c r="U46" s="2"/>
      <c r="V46" s="49"/>
      <c r="W46" s="48"/>
      <c r="X46" s="48"/>
      <c r="Y46" s="2"/>
      <c r="Z46" s="2"/>
      <c r="AA46" s="2"/>
      <c r="AB46" s="2"/>
    </row>
    <row r="47" spans="1:38" ht="33.75" customHeight="1" x14ac:dyDescent="0.25">
      <c r="A47" s="171" t="s">
        <v>21</v>
      </c>
      <c r="B47" s="18">
        <v>91.5</v>
      </c>
      <c r="C47" s="19">
        <v>90</v>
      </c>
      <c r="D47" s="19">
        <v>26.5</v>
      </c>
      <c r="E47" s="19">
        <v>88.7</v>
      </c>
      <c r="F47" s="19">
        <v>88.7</v>
      </c>
      <c r="G47" s="374">
        <f t="shared" si="23"/>
        <v>385.4</v>
      </c>
      <c r="H47" s="988"/>
      <c r="I47" s="989"/>
      <c r="J47" s="989"/>
      <c r="K47" s="989"/>
      <c r="L47" s="171" t="s">
        <v>21</v>
      </c>
      <c r="M47" s="19">
        <v>8.5</v>
      </c>
      <c r="N47" s="19">
        <v>8.1999999999999993</v>
      </c>
      <c r="O47" s="19">
        <v>1.8</v>
      </c>
      <c r="P47" s="19">
        <v>8.1999999999999993</v>
      </c>
      <c r="Q47" s="19">
        <v>8.1999999999999993</v>
      </c>
      <c r="R47" s="98">
        <f t="shared" si="24"/>
        <v>34.9</v>
      </c>
      <c r="S47" s="271"/>
      <c r="T47" s="302"/>
      <c r="U47" s="2"/>
      <c r="V47" s="49"/>
      <c r="W47" s="48"/>
      <c r="X47" s="48"/>
      <c r="Y47" s="2"/>
      <c r="Z47" s="2"/>
      <c r="AA47" s="2"/>
      <c r="AB47" s="2"/>
    </row>
    <row r="48" spans="1:38" ht="33.75" customHeight="1" x14ac:dyDescent="0.25">
      <c r="A48" s="171" t="s">
        <v>22</v>
      </c>
      <c r="B48" s="18">
        <v>91.6</v>
      </c>
      <c r="C48" s="19">
        <v>90</v>
      </c>
      <c r="D48" s="19">
        <v>26.5</v>
      </c>
      <c r="E48" s="19">
        <v>88.7</v>
      </c>
      <c r="F48" s="19">
        <v>88.7</v>
      </c>
      <c r="G48" s="374">
        <f t="shared" si="23"/>
        <v>385.5</v>
      </c>
      <c r="H48" s="988"/>
      <c r="I48" s="989"/>
      <c r="J48" s="989"/>
      <c r="K48" s="989"/>
      <c r="L48" s="171" t="s">
        <v>22</v>
      </c>
      <c r="M48" s="19">
        <v>8.5</v>
      </c>
      <c r="N48" s="19">
        <v>8.1999999999999993</v>
      </c>
      <c r="O48" s="19">
        <v>1.8</v>
      </c>
      <c r="P48" s="19">
        <v>8.1999999999999993</v>
      </c>
      <c r="Q48" s="19">
        <v>8.1999999999999993</v>
      </c>
      <c r="R48" s="98">
        <f t="shared" si="24"/>
        <v>34.9</v>
      </c>
      <c r="S48" s="271"/>
      <c r="T48" s="302"/>
      <c r="U48" s="2"/>
      <c r="V48" s="49"/>
      <c r="W48" s="48"/>
      <c r="X48" s="48"/>
      <c r="Y48" s="2"/>
      <c r="Z48" s="2"/>
      <c r="AA48" s="2"/>
      <c r="AB48" s="2"/>
    </row>
    <row r="49" spans="1:49" ht="33.75" customHeight="1" thickBot="1" x14ac:dyDescent="0.3">
      <c r="A49" s="285" t="s">
        <v>32</v>
      </c>
      <c r="B49" s="18">
        <v>91.6</v>
      </c>
      <c r="C49" s="19">
        <v>90</v>
      </c>
      <c r="D49" s="431">
        <v>26.5</v>
      </c>
      <c r="E49" s="19">
        <v>88.8</v>
      </c>
      <c r="F49" s="19">
        <v>88.8</v>
      </c>
      <c r="G49" s="374">
        <f t="shared" si="23"/>
        <v>385.7</v>
      </c>
      <c r="H49" s="988"/>
      <c r="I49" s="989"/>
      <c r="J49" s="989"/>
      <c r="K49" s="989"/>
      <c r="L49" s="285" t="s">
        <v>23</v>
      </c>
      <c r="M49" s="19">
        <v>8.5</v>
      </c>
      <c r="N49" s="19">
        <v>8.3000000000000007</v>
      </c>
      <c r="O49" s="19">
        <v>1.8</v>
      </c>
      <c r="P49" s="19">
        <v>8.1999999999999993</v>
      </c>
      <c r="Q49" s="19">
        <v>8.1999999999999993</v>
      </c>
      <c r="R49" s="98">
        <f t="shared" si="24"/>
        <v>35</v>
      </c>
      <c r="S49" s="271"/>
      <c r="T49" s="302"/>
      <c r="U49" s="2"/>
      <c r="V49" s="49"/>
      <c r="W49" s="48"/>
      <c r="X49" s="48"/>
      <c r="Y49" s="48"/>
      <c r="Z49" s="48"/>
      <c r="AA49" s="2"/>
      <c r="AB49" s="2"/>
      <c r="AC49" s="2"/>
      <c r="AD49" s="2"/>
    </row>
    <row r="50" spans="1:49" ht="33.75" customHeight="1" x14ac:dyDescent="0.25">
      <c r="A50" s="290" t="s">
        <v>9</v>
      </c>
      <c r="B50" s="131">
        <f>SUM(B43:B49)</f>
        <v>638.70000000000005</v>
      </c>
      <c r="C50" s="128">
        <f t="shared" ref="C50:F50" si="25">SUM(C43:C49)</f>
        <v>629.4</v>
      </c>
      <c r="D50" s="128">
        <f t="shared" si="25"/>
        <v>184</v>
      </c>
      <c r="E50" s="128">
        <f t="shared" si="25"/>
        <v>620.5</v>
      </c>
      <c r="F50" s="128">
        <f t="shared" si="25"/>
        <v>620</v>
      </c>
      <c r="G50" s="265">
        <f t="shared" ref="G50" si="26">SUM(B50:F50)</f>
        <v>2692.6</v>
      </c>
      <c r="H50" s="988"/>
      <c r="I50" s="989"/>
      <c r="J50" s="989"/>
      <c r="K50" s="989"/>
      <c r="L50" s="290" t="s">
        <v>9</v>
      </c>
      <c r="M50" s="133">
        <f>SUM(M43:M49)</f>
        <v>58.9</v>
      </c>
      <c r="N50" s="134">
        <f>SUM(N43:N49)</f>
        <v>57.8</v>
      </c>
      <c r="O50" s="134">
        <f>SUM(O43:O49)</f>
        <v>13.300000000000002</v>
      </c>
      <c r="P50" s="134">
        <f t="shared" ref="P50:Q50" si="27">SUM(P43:P49)</f>
        <v>57</v>
      </c>
      <c r="Q50" s="134">
        <f t="shared" si="27"/>
        <v>57.400000000000006</v>
      </c>
      <c r="R50" s="265">
        <f>SUM(R43:R49)</f>
        <v>244.39999999999998</v>
      </c>
      <c r="S50" s="272"/>
      <c r="U50" s="49"/>
      <c r="V50" s="49"/>
      <c r="W50" s="2"/>
      <c r="X50" s="2"/>
      <c r="Y50" s="2"/>
      <c r="Z50" s="2"/>
      <c r="AA50" s="2"/>
      <c r="AB50" s="2"/>
      <c r="AC50" s="2"/>
      <c r="AD50" s="2"/>
    </row>
    <row r="51" spans="1:49" ht="33.75" customHeight="1" x14ac:dyDescent="0.25">
      <c r="A51" s="192" t="s">
        <v>11</v>
      </c>
      <c r="B51" s="23">
        <v>137</v>
      </c>
      <c r="C51" s="24">
        <v>135</v>
      </c>
      <c r="D51" s="24">
        <v>136.87</v>
      </c>
      <c r="E51" s="24">
        <v>133.5</v>
      </c>
      <c r="F51" s="24">
        <v>133</v>
      </c>
      <c r="G51" s="137">
        <f>+((G50/G52)/7)*1000</f>
        <v>134.77825608168988</v>
      </c>
      <c r="H51" s="988"/>
      <c r="I51" s="989"/>
      <c r="J51" s="989"/>
      <c r="K51" s="989"/>
      <c r="L51" s="273" t="s">
        <v>11</v>
      </c>
      <c r="M51" s="23">
        <v>147.5</v>
      </c>
      <c r="N51" s="24">
        <v>147.5</v>
      </c>
      <c r="O51" s="24">
        <v>146.5</v>
      </c>
      <c r="P51" s="24">
        <v>148</v>
      </c>
      <c r="Q51" s="25">
        <v>146.5</v>
      </c>
      <c r="R51" s="137">
        <f>+((R50/R52)/7)*1000</f>
        <v>147.31766124171185</v>
      </c>
      <c r="S51" s="2"/>
      <c r="U51" s="50"/>
      <c r="V51" s="50"/>
    </row>
    <row r="52" spans="1:49" ht="33.75" customHeight="1" x14ac:dyDescent="0.25">
      <c r="A52" s="193" t="s">
        <v>12</v>
      </c>
      <c r="B52" s="26">
        <v>666</v>
      </c>
      <c r="C52" s="27">
        <v>666</v>
      </c>
      <c r="D52" s="27">
        <v>192</v>
      </c>
      <c r="E52" s="27">
        <v>664</v>
      </c>
      <c r="F52" s="27">
        <v>666</v>
      </c>
      <c r="G52" s="395">
        <f>SUM(B52:F52)</f>
        <v>2854</v>
      </c>
      <c r="H52" s="988"/>
      <c r="I52" s="989"/>
      <c r="J52" s="989"/>
      <c r="K52" s="989"/>
      <c r="L52" s="193" t="s">
        <v>12</v>
      </c>
      <c r="M52" s="257">
        <v>57</v>
      </c>
      <c r="N52" s="275">
        <v>56</v>
      </c>
      <c r="O52" s="275">
        <v>13</v>
      </c>
      <c r="P52" s="275">
        <v>55</v>
      </c>
      <c r="Q52" s="276">
        <v>56</v>
      </c>
      <c r="R52" s="254">
        <f>SUM(M52:Q52)</f>
        <v>237</v>
      </c>
      <c r="S52" s="2"/>
      <c r="U52" s="52"/>
      <c r="V52" s="52"/>
    </row>
    <row r="53" spans="1:49" ht="33.75" customHeight="1" x14ac:dyDescent="0.25">
      <c r="A53" s="194" t="s">
        <v>13</v>
      </c>
      <c r="B53" s="30">
        <f>((((B51*7)*B52)/1000)-(B43+B44))/5</f>
        <v>91.538799999999995</v>
      </c>
      <c r="C53" s="31">
        <f>((((C51*7)*C52)/1000)-(C43+C44))/5</f>
        <v>90.034000000000006</v>
      </c>
      <c r="D53" s="31">
        <f>((((D51*7)*D52)/1000)-(D43+D44))/5</f>
        <v>26.470656000000002</v>
      </c>
      <c r="E53" s="31">
        <f>((((E51*7)*E52)/1000)-(E43+E44))/5</f>
        <v>88.781599999999997</v>
      </c>
      <c r="F53" s="31">
        <f>((((F51*7)*F52)/1000)-(F43+F44))/5</f>
        <v>88.769200000000012</v>
      </c>
      <c r="G53" s="139">
        <f>((G50*1000)/G52)/7</f>
        <v>134.77825608168988</v>
      </c>
      <c r="H53" s="988"/>
      <c r="I53" s="989"/>
      <c r="J53" s="989"/>
      <c r="K53" s="989"/>
      <c r="L53" s="194" t="s">
        <v>13</v>
      </c>
      <c r="M53" s="30">
        <f>((((M51*7)*M52)/1000)-(M43+M44))/5</f>
        <v>8.4704999999999995</v>
      </c>
      <c r="N53" s="31">
        <f>((((N51*7)*N52)/1000)-(N43+N44))/5</f>
        <v>8.2240000000000002</v>
      </c>
      <c r="O53" s="31">
        <f>((((O51*7)*O52)/1000)-(O43+O44))/5</f>
        <v>1.8062999999999998</v>
      </c>
      <c r="P53" s="31">
        <f t="shared" ref="P53:Q53" si="28">((((P51*7)*P52)/1000)-(P43+P44))/5</f>
        <v>8.1560000000000006</v>
      </c>
      <c r="Q53" s="32">
        <f t="shared" si="28"/>
        <v>8.1855999999999991</v>
      </c>
      <c r="R53" s="274">
        <f>((R50*1000)/R52)/7</f>
        <v>147.31766124171187</v>
      </c>
      <c r="S53" s="43"/>
      <c r="U53" s="52"/>
      <c r="V53" s="52"/>
    </row>
    <row r="54" spans="1:49" ht="33.75" customHeight="1" x14ac:dyDescent="0.25">
      <c r="A54" s="185" t="s">
        <v>14</v>
      </c>
      <c r="B54" s="279">
        <f>((B52*B51)*7)/1000</f>
        <v>638.69399999999996</v>
      </c>
      <c r="C54" s="280">
        <f>((C52*C51)*7)/1000</f>
        <v>629.37</v>
      </c>
      <c r="D54" s="280">
        <f>((D52*D51)*7)/1000</f>
        <v>183.95328000000001</v>
      </c>
      <c r="E54" s="280">
        <f>((E52*E51)*7)/1000</f>
        <v>620.50800000000004</v>
      </c>
      <c r="F54" s="280">
        <f>((F52*F51)*7)/1000</f>
        <v>620.04600000000005</v>
      </c>
      <c r="G54" s="112"/>
      <c r="H54" s="988"/>
      <c r="I54" s="989"/>
      <c r="J54" s="989"/>
      <c r="K54" s="989"/>
      <c r="L54" s="185" t="s">
        <v>14</v>
      </c>
      <c r="M54" s="279">
        <f>((M52*M51)*7)/1000</f>
        <v>58.852499999999999</v>
      </c>
      <c r="N54" s="280">
        <f>((N52*N51)*7)/1000</f>
        <v>57.82</v>
      </c>
      <c r="O54" s="280">
        <f>((O52*O51)*7)/1000</f>
        <v>13.3315</v>
      </c>
      <c r="P54" s="280">
        <f t="shared" ref="P54:Q54" si="29">((P52*P51)*7)/1000</f>
        <v>56.98</v>
      </c>
      <c r="Q54" s="282">
        <f t="shared" si="29"/>
        <v>57.427999999999997</v>
      </c>
      <c r="R54" s="36"/>
      <c r="S54" s="41"/>
    </row>
    <row r="55" spans="1:49" ht="33.75" customHeight="1" thickBot="1" x14ac:dyDescent="0.3">
      <c r="A55" s="195" t="s">
        <v>15</v>
      </c>
      <c r="B55" s="37">
        <f t="shared" ref="B55:E55" si="30">+(B50/B52)/7*1000</f>
        <v>137.00128700128704</v>
      </c>
      <c r="C55" s="38">
        <f t="shared" si="30"/>
        <v>135.006435006435</v>
      </c>
      <c r="D55" s="38">
        <f t="shared" si="30"/>
        <v>136.90476190476193</v>
      </c>
      <c r="E55" s="38">
        <f t="shared" si="30"/>
        <v>133.49827882960415</v>
      </c>
      <c r="F55" s="38">
        <f>+(F50/F52)/7*1000</f>
        <v>132.99013299013299</v>
      </c>
      <c r="G55" s="140"/>
      <c r="H55" s="988"/>
      <c r="I55" s="989"/>
      <c r="J55" s="989"/>
      <c r="K55" s="989"/>
      <c r="L55" s="195" t="s">
        <v>15</v>
      </c>
      <c r="M55" s="37">
        <f>+(M50/M52)/7*1000</f>
        <v>147.61904761904759</v>
      </c>
      <c r="N55" s="38">
        <f>+(N50/N52)/7*1000</f>
        <v>147.44897959183672</v>
      </c>
      <c r="O55" s="38">
        <f>+(O50/O52)/7*1000</f>
        <v>146.15384615384616</v>
      </c>
      <c r="P55" s="38">
        <f t="shared" ref="P55:Q55" si="31">+(P50/P52)/7*1000</f>
        <v>148.05194805194805</v>
      </c>
      <c r="Q55" s="39">
        <f t="shared" si="31"/>
        <v>146.42857142857144</v>
      </c>
      <c r="R55" s="259"/>
      <c r="S55" s="42"/>
      <c r="U55" s="42"/>
      <c r="V55" s="42"/>
    </row>
    <row r="56" spans="1:49" ht="33.75" customHeight="1" x14ac:dyDescent="0.25">
      <c r="A56" s="41"/>
      <c r="B56" s="43">
        <f>B54-B50</f>
        <v>-6.0000000000854925E-3</v>
      </c>
      <c r="C56" s="43">
        <f t="shared" ref="C56:F57" si="32">C54-C50</f>
        <v>-2.9999999999972715E-2</v>
      </c>
      <c r="D56" s="43">
        <f t="shared" si="32"/>
        <v>-4.6719999999993433E-2</v>
      </c>
      <c r="E56" s="43">
        <f>E54-E50</f>
        <v>8.0000000000381988E-3</v>
      </c>
      <c r="F56" s="43">
        <f t="shared" si="32"/>
        <v>4.6000000000049113E-2</v>
      </c>
      <c r="G56" s="41"/>
      <c r="H56" s="41"/>
      <c r="I56" s="41"/>
      <c r="J56" s="41"/>
      <c r="K56" s="41"/>
      <c r="L56" s="42"/>
      <c r="M56" s="42">
        <f>M54-M50</f>
        <v>-4.7499999999999432E-2</v>
      </c>
      <c r="N56" s="42">
        <f t="shared" ref="N56:Q57" si="33">N54-N50</f>
        <v>2.0000000000003126E-2</v>
      </c>
      <c r="O56" s="42">
        <f t="shared" si="33"/>
        <v>3.1499999999997641E-2</v>
      </c>
      <c r="P56" s="42">
        <f t="shared" si="33"/>
        <v>-2.0000000000003126E-2</v>
      </c>
      <c r="Q56" s="42">
        <f t="shared" si="33"/>
        <v>2.7999999999991587E-2</v>
      </c>
      <c r="T56" s="42"/>
      <c r="U56" s="42"/>
      <c r="V56" s="2"/>
      <c r="W56" s="2"/>
      <c r="X56" s="2"/>
      <c r="Y56" s="2"/>
      <c r="Z56" s="2"/>
    </row>
    <row r="57" spans="1:49" ht="33.75" customHeight="1" x14ac:dyDescent="0.25">
      <c r="A57" s="41"/>
      <c r="B57" s="42">
        <f>B55-B51</f>
        <v>1.2870012870394021E-3</v>
      </c>
      <c r="C57" s="42">
        <f>C55-C51</f>
        <v>6.4350064349980585E-3</v>
      </c>
      <c r="D57" s="42">
        <f t="shared" si="32"/>
        <v>3.4761904761921869E-2</v>
      </c>
      <c r="E57" s="42">
        <f>E55-E51</f>
        <v>-1.7211703958537328E-3</v>
      </c>
      <c r="F57" s="42">
        <f>F55-F51</f>
        <v>-9.8670098670083917E-3</v>
      </c>
      <c r="G57" s="41"/>
      <c r="H57" s="41"/>
      <c r="I57" s="41"/>
      <c r="J57" s="41"/>
      <c r="K57" s="42"/>
      <c r="L57" s="42"/>
      <c r="M57" s="42">
        <f>M55-M51</f>
        <v>0.11904761904759198</v>
      </c>
      <c r="N57" s="42">
        <f t="shared" si="33"/>
        <v>-5.1020408163282127E-2</v>
      </c>
      <c r="O57" s="42">
        <f>O55-O51</f>
        <v>-0.34615384615383959</v>
      </c>
      <c r="P57" s="42">
        <f t="shared" si="33"/>
        <v>5.1948051948045304E-2</v>
      </c>
      <c r="Q57" s="42">
        <f t="shared" si="33"/>
        <v>-7.1428571428555188E-2</v>
      </c>
      <c r="T57" s="43"/>
      <c r="U57" s="43"/>
      <c r="V57" s="2"/>
      <c r="W57" s="2"/>
      <c r="X57" s="2"/>
      <c r="Y57" s="2"/>
      <c r="AC57" s="3"/>
    </row>
    <row r="58" spans="1:49" ht="33.75" customHeight="1" x14ac:dyDescent="0.25">
      <c r="A58" s="41"/>
      <c r="B58" s="287"/>
      <c r="C58" s="287"/>
      <c r="D58" s="287"/>
      <c r="E58" s="287"/>
      <c r="F58" s="287"/>
      <c r="G58" s="264"/>
      <c r="H58" s="41"/>
      <c r="I58" s="41"/>
      <c r="J58" s="41"/>
      <c r="K58" s="41"/>
      <c r="L58" s="41"/>
      <c r="M58" s="41"/>
      <c r="N58" s="41"/>
      <c r="O58" s="42"/>
      <c r="P58" s="42"/>
      <c r="Q58" s="42"/>
      <c r="R58" s="42"/>
      <c r="S58" s="42"/>
      <c r="T58" s="42"/>
      <c r="U58" s="42"/>
      <c r="V58" s="42"/>
      <c r="W58" s="42"/>
      <c r="X58" s="43"/>
      <c r="Y58" s="43"/>
      <c r="Z58" s="43"/>
      <c r="AA58" s="2"/>
      <c r="AB58" s="2"/>
      <c r="AC58" s="2"/>
      <c r="AD58" s="2"/>
      <c r="AH58" s="3"/>
    </row>
    <row r="59" spans="1:49" ht="33.75" customHeight="1" thickBot="1" x14ac:dyDescent="0.3">
      <c r="A59" s="53"/>
      <c r="B59" s="284"/>
      <c r="C59" s="284"/>
      <c r="D59" s="284"/>
      <c r="E59" s="284"/>
      <c r="F59" s="284"/>
      <c r="G59" s="284"/>
      <c r="H59" s="54"/>
      <c r="I59" s="54"/>
      <c r="J59" s="54"/>
      <c r="K59" s="54"/>
      <c r="L59" s="54"/>
      <c r="M59" s="54"/>
      <c r="N59" s="54"/>
      <c r="O59" s="958"/>
      <c r="P59" s="958"/>
      <c r="Q59" s="283"/>
      <c r="R59" s="283"/>
      <c r="S59" s="283"/>
      <c r="T59" s="54"/>
      <c r="U59" s="55"/>
      <c r="Z59" s="43"/>
      <c r="AA59" s="43"/>
      <c r="AB59" s="43"/>
      <c r="AC59" s="2"/>
      <c r="AD59" s="2"/>
      <c r="AE59" s="2"/>
      <c r="AF59" s="2"/>
      <c r="AH59" s="2"/>
      <c r="AI59" s="2"/>
      <c r="AJ59" s="2"/>
    </row>
    <row r="60" spans="1:49" ht="33.75" customHeight="1" x14ac:dyDescent="0.25">
      <c r="A60" s="359" t="s">
        <v>19</v>
      </c>
      <c r="B60" s="986" t="s">
        <v>8</v>
      </c>
      <c r="C60" s="956"/>
      <c r="D60" s="956"/>
      <c r="E60" s="956"/>
      <c r="F60" s="956"/>
      <c r="G60" s="986" t="s">
        <v>30</v>
      </c>
      <c r="H60" s="956"/>
      <c r="I60" s="956"/>
      <c r="J60" s="956"/>
      <c r="K60" s="987"/>
      <c r="L60" s="986" t="s">
        <v>29</v>
      </c>
      <c r="M60" s="956"/>
      <c r="N60" s="956"/>
      <c r="O60" s="956"/>
      <c r="P60" s="987"/>
      <c r="Q60" s="994" t="s">
        <v>31</v>
      </c>
      <c r="R60" s="995"/>
      <c r="S60" s="995"/>
      <c r="T60" s="995"/>
      <c r="U60" s="996"/>
      <c r="V60" s="992" t="s">
        <v>9</v>
      </c>
      <c r="AE60" s="43"/>
      <c r="AF60" s="43"/>
      <c r="AG60" s="43"/>
      <c r="AH60" s="2"/>
      <c r="AI60" s="2"/>
      <c r="AJ60" s="2"/>
      <c r="AK60" s="2"/>
      <c r="AM60" s="2"/>
      <c r="AN60" s="2"/>
      <c r="AO60" s="2"/>
    </row>
    <row r="61" spans="1:49" ht="33.75" customHeight="1" thickBot="1" x14ac:dyDescent="0.3">
      <c r="A61" s="170" t="s">
        <v>34</v>
      </c>
      <c r="B61" s="360"/>
      <c r="C61" s="361"/>
      <c r="D61" s="361"/>
      <c r="E61" s="361"/>
      <c r="F61" s="361"/>
      <c r="G61" s="360"/>
      <c r="H61" s="361"/>
      <c r="I61" s="361"/>
      <c r="J61" s="361"/>
      <c r="K61" s="361"/>
      <c r="L61" s="360"/>
      <c r="M61" s="361"/>
      <c r="N61" s="361"/>
      <c r="O61" s="361"/>
      <c r="P61" s="396"/>
      <c r="Q61" s="360"/>
      <c r="R61" s="361"/>
      <c r="S61" s="361"/>
      <c r="T61" s="361"/>
      <c r="U61" s="397"/>
      <c r="V61" s="993"/>
      <c r="AC61" s="45"/>
      <c r="AD61" s="45"/>
      <c r="AE61" s="45"/>
      <c r="AF61" s="45"/>
      <c r="AG61" s="57"/>
      <c r="AH61" s="57"/>
      <c r="AI61" s="57"/>
      <c r="AJ61" s="57"/>
      <c r="AK61" s="45"/>
      <c r="AL61" s="45"/>
      <c r="AM61" s="58"/>
      <c r="AN61" s="58"/>
      <c r="AO61" s="58"/>
      <c r="AP61" s="2"/>
      <c r="AQ61" s="2"/>
      <c r="AR61" s="2"/>
      <c r="AS61" s="2"/>
      <c r="AU61" s="2"/>
      <c r="AV61" s="2"/>
      <c r="AW61" s="2"/>
    </row>
    <row r="62" spans="1:49" ht="33.75" customHeight="1" thickBot="1" x14ac:dyDescent="0.3">
      <c r="A62" s="170" t="s">
        <v>10</v>
      </c>
      <c r="B62" s="188">
        <v>1</v>
      </c>
      <c r="C62" s="168">
        <v>2</v>
      </c>
      <c r="D62" s="168">
        <v>3</v>
      </c>
      <c r="E62" s="168">
        <v>4</v>
      </c>
      <c r="F62" s="413">
        <v>5</v>
      </c>
      <c r="G62" s="188">
        <v>1</v>
      </c>
      <c r="H62" s="168">
        <v>2</v>
      </c>
      <c r="I62" s="168">
        <v>3</v>
      </c>
      <c r="J62" s="168">
        <v>4</v>
      </c>
      <c r="K62" s="168">
        <v>5</v>
      </c>
      <c r="L62" s="188">
        <v>1</v>
      </c>
      <c r="M62" s="168">
        <v>2</v>
      </c>
      <c r="N62" s="168">
        <v>3</v>
      </c>
      <c r="O62" s="168">
        <v>4</v>
      </c>
      <c r="P62" s="413">
        <v>5</v>
      </c>
      <c r="Q62" s="188">
        <v>1</v>
      </c>
      <c r="R62" s="168">
        <v>2</v>
      </c>
      <c r="S62" s="168">
        <v>3</v>
      </c>
      <c r="T62" s="168">
        <v>4</v>
      </c>
      <c r="U62" s="414">
        <v>5</v>
      </c>
      <c r="V62" s="126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57"/>
      <c r="AH62" s="57"/>
      <c r="AI62" s="57"/>
      <c r="AJ62" s="57"/>
      <c r="AK62" s="45"/>
      <c r="AL62" s="45"/>
      <c r="AM62" s="58"/>
      <c r="AN62" s="58"/>
      <c r="AO62" s="58"/>
      <c r="AP62" s="2"/>
      <c r="AQ62" s="2"/>
      <c r="AR62" s="2"/>
      <c r="AS62" s="2"/>
      <c r="AT62" s="2"/>
      <c r="AU62" s="2"/>
      <c r="AV62" s="2"/>
      <c r="AW62" s="2"/>
    </row>
    <row r="63" spans="1:49" ht="33.75" customHeight="1" x14ac:dyDescent="0.25">
      <c r="A63" s="171" t="s">
        <v>53</v>
      </c>
      <c r="B63" s="446">
        <v>8.5</v>
      </c>
      <c r="C63" s="19">
        <v>8.6999999999999993</v>
      </c>
      <c r="D63" s="19">
        <v>2.5</v>
      </c>
      <c r="E63" s="19">
        <v>8.6999999999999993</v>
      </c>
      <c r="F63" s="61">
        <v>8.6999999999999993</v>
      </c>
      <c r="G63" s="446">
        <v>8.5</v>
      </c>
      <c r="H63" s="19">
        <v>8.6</v>
      </c>
      <c r="I63" s="19">
        <v>2.7</v>
      </c>
      <c r="J63" s="19">
        <v>8.6999999999999993</v>
      </c>
      <c r="K63" s="61">
        <v>8.5</v>
      </c>
      <c r="L63" s="446">
        <v>7</v>
      </c>
      <c r="M63" s="19">
        <v>7.1</v>
      </c>
      <c r="N63" s="19">
        <v>2.7</v>
      </c>
      <c r="O63" s="19">
        <v>7.1</v>
      </c>
      <c r="P63" s="20">
        <v>7.1</v>
      </c>
      <c r="Q63" s="18">
        <v>7.3</v>
      </c>
      <c r="R63" s="19">
        <v>7.3</v>
      </c>
      <c r="S63" s="19">
        <v>2.7</v>
      </c>
      <c r="T63" s="19">
        <v>7.3</v>
      </c>
      <c r="U63" s="20">
        <v>7.3</v>
      </c>
      <c r="V63" s="412">
        <f>SUM(B63:U63)</f>
        <v>137</v>
      </c>
      <c r="W63" s="42"/>
      <c r="X63" s="302"/>
      <c r="Y63" s="42"/>
      <c r="Z63" s="42"/>
      <c r="AA63" s="42"/>
      <c r="AB63" s="42"/>
      <c r="AC63" s="2"/>
      <c r="AD63" s="45"/>
      <c r="AE63" s="45"/>
      <c r="AF63" s="45"/>
      <c r="AG63" s="57"/>
      <c r="AH63" s="57"/>
      <c r="AI63" s="57"/>
      <c r="AJ63" s="57"/>
      <c r="AK63" s="45"/>
      <c r="AL63" s="45"/>
      <c r="AM63" s="58"/>
      <c r="AN63" s="58"/>
      <c r="AO63" s="58"/>
      <c r="AP63" s="2"/>
      <c r="AQ63" s="2"/>
      <c r="AR63" s="2"/>
      <c r="AS63" s="2"/>
      <c r="AT63" s="2"/>
      <c r="AU63" s="2"/>
      <c r="AV63" s="2"/>
      <c r="AW63" s="2"/>
    </row>
    <row r="64" spans="1:49" ht="33.75" customHeight="1" x14ac:dyDescent="0.25">
      <c r="A64" s="171" t="s">
        <v>24</v>
      </c>
      <c r="B64" s="446">
        <v>8.4</v>
      </c>
      <c r="C64" s="19">
        <v>8.4</v>
      </c>
      <c r="D64" s="19">
        <v>2.2999999999999998</v>
      </c>
      <c r="E64" s="19">
        <v>8.4</v>
      </c>
      <c r="F64" s="61">
        <v>8.3000000000000007</v>
      </c>
      <c r="G64" s="446">
        <v>8.4</v>
      </c>
      <c r="H64" s="19">
        <v>8.5</v>
      </c>
      <c r="I64" s="19">
        <v>2.7</v>
      </c>
      <c r="J64" s="19">
        <v>8.4</v>
      </c>
      <c r="K64" s="61">
        <v>8.4</v>
      </c>
      <c r="L64" s="446">
        <v>6.9</v>
      </c>
      <c r="M64" s="19">
        <v>7</v>
      </c>
      <c r="N64" s="19">
        <v>2.6</v>
      </c>
      <c r="O64" s="19">
        <v>7</v>
      </c>
      <c r="P64" s="20">
        <v>7.2</v>
      </c>
      <c r="Q64" s="18">
        <v>7.3</v>
      </c>
      <c r="R64" s="19">
        <v>7.3</v>
      </c>
      <c r="S64" s="19">
        <v>2.7</v>
      </c>
      <c r="T64" s="19">
        <v>7.3</v>
      </c>
      <c r="U64" s="20">
        <v>7.3</v>
      </c>
      <c r="V64" s="412">
        <f>SUM(B64:U64)</f>
        <v>134.80000000000001</v>
      </c>
      <c r="W64" s="42"/>
      <c r="X64" s="302"/>
      <c r="Y64" s="42"/>
      <c r="Z64" s="42"/>
      <c r="AA64" s="42"/>
      <c r="AB64" s="42"/>
      <c r="AC64" s="2"/>
      <c r="AD64" s="45"/>
      <c r="AE64" s="45"/>
      <c r="AF64" s="45"/>
      <c r="AG64" s="57"/>
      <c r="AH64" s="57"/>
      <c r="AI64" s="57"/>
      <c r="AJ64" s="57"/>
      <c r="AK64" s="45"/>
      <c r="AL64" s="45"/>
      <c r="AM64" s="58"/>
      <c r="AN64" s="58"/>
      <c r="AO64" s="58"/>
      <c r="AP64" s="2"/>
      <c r="AQ64" s="2"/>
      <c r="AR64" s="2"/>
      <c r="AS64" s="2"/>
      <c r="AT64" s="2"/>
      <c r="AU64" s="2"/>
      <c r="AV64" s="2"/>
      <c r="AW64" s="2"/>
    </row>
    <row r="65" spans="1:49" ht="33.75" customHeight="1" x14ac:dyDescent="0.25">
      <c r="A65" s="171" t="s">
        <v>20</v>
      </c>
      <c r="B65" s="446">
        <v>8.6</v>
      </c>
      <c r="C65" s="19">
        <v>8.6</v>
      </c>
      <c r="D65" s="19">
        <v>2.4</v>
      </c>
      <c r="E65" s="19">
        <v>8.6</v>
      </c>
      <c r="F65" s="61">
        <v>8.4</v>
      </c>
      <c r="G65" s="446">
        <v>8.5</v>
      </c>
      <c r="H65" s="19">
        <v>8.6</v>
      </c>
      <c r="I65" s="19">
        <v>2.7</v>
      </c>
      <c r="J65" s="19">
        <v>8.6</v>
      </c>
      <c r="K65" s="61">
        <v>8.6</v>
      </c>
      <c r="L65" s="446">
        <v>7</v>
      </c>
      <c r="M65" s="19">
        <v>7.1</v>
      </c>
      <c r="N65" s="19">
        <v>2.7</v>
      </c>
      <c r="O65" s="19">
        <v>7.1</v>
      </c>
      <c r="P65" s="20">
        <v>7.1</v>
      </c>
      <c r="Q65" s="18">
        <v>7.4</v>
      </c>
      <c r="R65" s="19">
        <v>7.4</v>
      </c>
      <c r="S65" s="19">
        <v>2.5</v>
      </c>
      <c r="T65" s="19">
        <v>7.4</v>
      </c>
      <c r="U65" s="20">
        <v>7</v>
      </c>
      <c r="V65" s="412">
        <f>SUM(B65:U65)</f>
        <v>136.29999999999998</v>
      </c>
      <c r="W65" s="42"/>
      <c r="X65" s="302"/>
      <c r="Y65" s="42"/>
      <c r="Z65" s="42"/>
      <c r="AA65" s="42"/>
      <c r="AB65" s="42"/>
      <c r="AC65" s="2"/>
      <c r="AD65" s="45"/>
      <c r="AE65" s="45"/>
      <c r="AF65" s="45"/>
      <c r="AG65" s="57"/>
      <c r="AH65" s="57"/>
      <c r="AI65" s="57"/>
      <c r="AJ65" s="57"/>
      <c r="AK65" s="45"/>
      <c r="AL65" s="45"/>
      <c r="AM65" s="58"/>
      <c r="AN65" s="58"/>
      <c r="AO65" s="58"/>
      <c r="AP65" s="2"/>
      <c r="AQ65" s="2"/>
      <c r="AR65" s="2"/>
      <c r="AS65" s="2"/>
      <c r="AT65" s="2"/>
      <c r="AU65" s="2"/>
      <c r="AV65" s="2"/>
      <c r="AW65" s="2"/>
    </row>
    <row r="66" spans="1:49" ht="33.75" customHeight="1" x14ac:dyDescent="0.25">
      <c r="A66" s="171" t="s">
        <v>28</v>
      </c>
      <c r="B66" s="446">
        <v>8.6</v>
      </c>
      <c r="C66" s="19">
        <v>8.6</v>
      </c>
      <c r="D66" s="19">
        <v>2.4</v>
      </c>
      <c r="E66" s="19">
        <v>8.6</v>
      </c>
      <c r="F66" s="61">
        <v>8.5</v>
      </c>
      <c r="G66" s="446">
        <v>8.6</v>
      </c>
      <c r="H66" s="19">
        <v>8.6</v>
      </c>
      <c r="I66" s="19">
        <v>2.7</v>
      </c>
      <c r="J66" s="19">
        <v>8.6</v>
      </c>
      <c r="K66" s="61">
        <v>8.6</v>
      </c>
      <c r="L66" s="446">
        <v>7</v>
      </c>
      <c r="M66" s="19">
        <v>7.1</v>
      </c>
      <c r="N66" s="19">
        <v>2.7</v>
      </c>
      <c r="O66" s="19">
        <v>7.1</v>
      </c>
      <c r="P66" s="20">
        <v>7.1</v>
      </c>
      <c r="Q66" s="18">
        <v>7.5</v>
      </c>
      <c r="R66" s="19">
        <v>7.5</v>
      </c>
      <c r="S66" s="19">
        <v>2.5</v>
      </c>
      <c r="T66" s="19">
        <v>7.5</v>
      </c>
      <c r="U66" s="20">
        <v>7</v>
      </c>
      <c r="V66" s="412">
        <f t="shared" ref="V66:V69" si="34">SUM(B66:U66)</f>
        <v>136.79999999999998</v>
      </c>
      <c r="W66" s="42"/>
      <c r="X66" s="302"/>
      <c r="Y66" s="42"/>
      <c r="Z66" s="42"/>
      <c r="AA66" s="42"/>
      <c r="AB66" s="42"/>
      <c r="AC66" s="2"/>
      <c r="AD66" s="45"/>
      <c r="AE66" s="45"/>
      <c r="AF66" s="45"/>
      <c r="AG66" s="57"/>
      <c r="AH66" s="57"/>
      <c r="AI66" s="57"/>
      <c r="AJ66" s="57"/>
      <c r="AK66" s="45"/>
      <c r="AL66" s="45"/>
      <c r="AM66" s="58"/>
      <c r="AN66" s="58"/>
      <c r="AO66" s="58"/>
      <c r="AP66" s="3"/>
      <c r="AQ66" s="3"/>
      <c r="AR66" s="2"/>
      <c r="AS66" s="2"/>
      <c r="AT66" s="2"/>
      <c r="AU66" s="2"/>
      <c r="AV66" s="2"/>
      <c r="AW66" s="2"/>
    </row>
    <row r="67" spans="1:49" ht="33.75" customHeight="1" x14ac:dyDescent="0.25">
      <c r="A67" s="171" t="s">
        <v>21</v>
      </c>
      <c r="B67" s="446">
        <v>8.6</v>
      </c>
      <c r="C67" s="19">
        <v>8.6999999999999993</v>
      </c>
      <c r="D67" s="19">
        <v>2.4</v>
      </c>
      <c r="E67" s="19">
        <v>8.6999999999999993</v>
      </c>
      <c r="F67" s="61">
        <v>8.5</v>
      </c>
      <c r="G67" s="446">
        <v>8.6</v>
      </c>
      <c r="H67" s="19">
        <v>8.6999999999999993</v>
      </c>
      <c r="I67" s="19">
        <v>2.7</v>
      </c>
      <c r="J67" s="19">
        <v>8.6999999999999993</v>
      </c>
      <c r="K67" s="61">
        <v>8.6</v>
      </c>
      <c r="L67" s="446">
        <v>7.1</v>
      </c>
      <c r="M67" s="19">
        <v>7.1</v>
      </c>
      <c r="N67" s="19">
        <v>2.7</v>
      </c>
      <c r="O67" s="19">
        <v>7.1</v>
      </c>
      <c r="P67" s="20">
        <v>7.1</v>
      </c>
      <c r="Q67" s="18">
        <v>7.5</v>
      </c>
      <c r="R67" s="19">
        <v>7.5</v>
      </c>
      <c r="S67" s="19">
        <v>2.5</v>
      </c>
      <c r="T67" s="19">
        <v>7.5</v>
      </c>
      <c r="U67" s="20">
        <v>7</v>
      </c>
      <c r="V67" s="412">
        <f t="shared" si="34"/>
        <v>137.29999999999995</v>
      </c>
      <c r="W67" s="42"/>
      <c r="X67" s="302"/>
      <c r="Y67" s="42"/>
      <c r="Z67" s="42"/>
      <c r="AA67" s="42"/>
      <c r="AB67" s="42"/>
      <c r="AC67" s="2"/>
      <c r="AD67" s="45"/>
      <c r="AE67" s="45"/>
      <c r="AF67" s="45"/>
      <c r="AG67" s="57"/>
      <c r="AH67" s="57"/>
      <c r="AI67" s="57"/>
      <c r="AJ67" s="57"/>
      <c r="AK67" s="45"/>
      <c r="AL67" s="45"/>
      <c r="AM67" s="58"/>
      <c r="AN67" s="58"/>
      <c r="AO67" s="58"/>
      <c r="AP67" s="3"/>
      <c r="AQ67" s="3"/>
      <c r="AR67" s="2"/>
      <c r="AS67" s="2"/>
      <c r="AT67" s="2"/>
      <c r="AU67" s="2"/>
      <c r="AV67" s="2"/>
      <c r="AW67" s="2"/>
    </row>
    <row r="68" spans="1:49" ht="33.75" customHeight="1" x14ac:dyDescent="0.25">
      <c r="A68" s="171" t="s">
        <v>22</v>
      </c>
      <c r="B68" s="446">
        <v>8.6</v>
      </c>
      <c r="C68" s="19">
        <v>8.6999999999999993</v>
      </c>
      <c r="D68" s="19">
        <v>2.4</v>
      </c>
      <c r="E68" s="19">
        <v>8.6999999999999993</v>
      </c>
      <c r="F68" s="61">
        <v>8.5</v>
      </c>
      <c r="G68" s="446">
        <v>8.6</v>
      </c>
      <c r="H68" s="19">
        <v>8.6999999999999993</v>
      </c>
      <c r="I68" s="19">
        <v>2.8</v>
      </c>
      <c r="J68" s="19">
        <v>8.6999999999999993</v>
      </c>
      <c r="K68" s="61">
        <v>8.6</v>
      </c>
      <c r="L68" s="446">
        <v>7.1</v>
      </c>
      <c r="M68" s="19">
        <v>7.2</v>
      </c>
      <c r="N68" s="19">
        <v>2.7</v>
      </c>
      <c r="O68" s="19">
        <v>7.2</v>
      </c>
      <c r="P68" s="20">
        <v>7.1</v>
      </c>
      <c r="Q68" s="18">
        <v>7.5</v>
      </c>
      <c r="R68" s="19">
        <v>7.5</v>
      </c>
      <c r="S68" s="19">
        <v>2.5</v>
      </c>
      <c r="T68" s="19">
        <v>7.5</v>
      </c>
      <c r="U68" s="20">
        <v>7.1</v>
      </c>
      <c r="V68" s="412">
        <f t="shared" si="34"/>
        <v>137.69999999999996</v>
      </c>
      <c r="W68" s="42"/>
      <c r="X68" s="302"/>
      <c r="Y68" s="42"/>
      <c r="Z68" s="42"/>
      <c r="AA68" s="42"/>
      <c r="AB68" s="42"/>
      <c r="AC68" s="2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3"/>
      <c r="AQ68" s="3"/>
      <c r="AT68" s="2"/>
      <c r="AU68" s="2"/>
      <c r="AV68" s="2"/>
      <c r="AW68" s="2"/>
    </row>
    <row r="69" spans="1:49" ht="33.75" customHeight="1" thickBot="1" x14ac:dyDescent="0.3">
      <c r="A69" s="171" t="s">
        <v>23</v>
      </c>
      <c r="B69" s="446">
        <v>8.6999999999999993</v>
      </c>
      <c r="C69" s="19">
        <v>8.6999999999999993</v>
      </c>
      <c r="D69" s="19">
        <v>2.5</v>
      </c>
      <c r="E69" s="19">
        <v>8.6999999999999993</v>
      </c>
      <c r="F69" s="61">
        <v>8.5</v>
      </c>
      <c r="G69" s="446">
        <v>8.6</v>
      </c>
      <c r="H69" s="19">
        <v>8.6999999999999993</v>
      </c>
      <c r="I69" s="19">
        <v>2.8</v>
      </c>
      <c r="J69" s="19">
        <v>8.6999999999999993</v>
      </c>
      <c r="K69" s="61">
        <v>8.6999999999999993</v>
      </c>
      <c r="L69" s="446">
        <v>7.1</v>
      </c>
      <c r="M69" s="19">
        <v>7.2</v>
      </c>
      <c r="N69" s="19">
        <v>2.7</v>
      </c>
      <c r="O69" s="19">
        <v>7.2</v>
      </c>
      <c r="P69" s="20">
        <v>7.1</v>
      </c>
      <c r="Q69" s="18">
        <v>7.5</v>
      </c>
      <c r="R69" s="19">
        <v>7.5</v>
      </c>
      <c r="S69" s="19">
        <v>2.6</v>
      </c>
      <c r="T69" s="19">
        <v>7.5</v>
      </c>
      <c r="U69" s="20">
        <v>7.1</v>
      </c>
      <c r="V69" s="412">
        <f t="shared" si="34"/>
        <v>138.1</v>
      </c>
      <c r="W69" s="42"/>
      <c r="X69" s="302"/>
      <c r="Y69" s="42"/>
      <c r="Z69" s="42"/>
      <c r="AA69" s="42"/>
      <c r="AB69" s="42"/>
      <c r="AC69" s="2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3"/>
      <c r="AQ69" s="3"/>
      <c r="AT69" s="2"/>
      <c r="AU69" s="2"/>
      <c r="AV69" s="2"/>
      <c r="AW69" s="2"/>
    </row>
    <row r="70" spans="1:49" ht="33.75" customHeight="1" thickBot="1" x14ac:dyDescent="0.3">
      <c r="A70" s="170" t="s">
        <v>9</v>
      </c>
      <c r="B70" s="297">
        <f t="shared" ref="B70:U70" si="35">SUM(B63:B69)</f>
        <v>60</v>
      </c>
      <c r="C70" s="298">
        <f t="shared" si="35"/>
        <v>60.400000000000006</v>
      </c>
      <c r="D70" s="298">
        <f t="shared" si="35"/>
        <v>16.899999999999999</v>
      </c>
      <c r="E70" s="298">
        <f t="shared" si="35"/>
        <v>60.400000000000006</v>
      </c>
      <c r="F70" s="299">
        <f t="shared" si="35"/>
        <v>59.4</v>
      </c>
      <c r="G70" s="297">
        <f t="shared" si="35"/>
        <v>59.800000000000004</v>
      </c>
      <c r="H70" s="298">
        <f t="shared" si="35"/>
        <v>60.400000000000006</v>
      </c>
      <c r="I70" s="298">
        <f t="shared" si="35"/>
        <v>19.100000000000001</v>
      </c>
      <c r="J70" s="298">
        <f t="shared" si="35"/>
        <v>60.400000000000006</v>
      </c>
      <c r="K70" s="298">
        <f t="shared" si="35"/>
        <v>60</v>
      </c>
      <c r="L70" s="297">
        <f t="shared" si="35"/>
        <v>49.2</v>
      </c>
      <c r="M70" s="298">
        <f t="shared" si="35"/>
        <v>49.800000000000004</v>
      </c>
      <c r="N70" s="298">
        <f t="shared" si="35"/>
        <v>18.799999999999997</v>
      </c>
      <c r="O70" s="298">
        <f t="shared" si="35"/>
        <v>49.800000000000004</v>
      </c>
      <c r="P70" s="299">
        <f t="shared" si="35"/>
        <v>49.800000000000004</v>
      </c>
      <c r="Q70" s="297">
        <f t="shared" si="35"/>
        <v>52</v>
      </c>
      <c r="R70" s="298">
        <f t="shared" si="35"/>
        <v>52</v>
      </c>
      <c r="S70" s="298">
        <f t="shared" si="35"/>
        <v>18</v>
      </c>
      <c r="T70" s="298">
        <f t="shared" si="35"/>
        <v>52</v>
      </c>
      <c r="U70" s="448">
        <f t="shared" si="35"/>
        <v>49.800000000000004</v>
      </c>
      <c r="V70" s="449">
        <f t="shared" ref="V70" si="36">SUM(B70:U70)</f>
        <v>957.99999999999989</v>
      </c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3"/>
      <c r="AQ70" s="3"/>
      <c r="AR70" s="3"/>
      <c r="AS70" s="3"/>
      <c r="AT70" s="2"/>
      <c r="AU70" s="2"/>
      <c r="AV70" s="2"/>
      <c r="AW70" s="2"/>
    </row>
    <row r="71" spans="1:49" ht="33.75" customHeight="1" x14ac:dyDescent="0.25">
      <c r="A71" s="192" t="s">
        <v>11</v>
      </c>
      <c r="B71" s="357">
        <v>150.5</v>
      </c>
      <c r="C71" s="358">
        <v>151.5</v>
      </c>
      <c r="D71" s="358">
        <v>150.5</v>
      </c>
      <c r="E71" s="358">
        <v>151.5</v>
      </c>
      <c r="F71" s="358">
        <v>151.5</v>
      </c>
      <c r="G71" s="357">
        <v>150</v>
      </c>
      <c r="H71" s="358">
        <v>151.5</v>
      </c>
      <c r="I71" s="358">
        <v>151.5</v>
      </c>
      <c r="J71" s="358">
        <v>151.5</v>
      </c>
      <c r="K71" s="358">
        <v>150.5</v>
      </c>
      <c r="L71" s="357">
        <v>149.5</v>
      </c>
      <c r="M71" s="358">
        <v>151.5</v>
      </c>
      <c r="N71" s="358">
        <v>149.5</v>
      </c>
      <c r="O71" s="358">
        <v>151.5</v>
      </c>
      <c r="P71" s="358">
        <v>151.5</v>
      </c>
      <c r="Q71" s="357">
        <v>151.5</v>
      </c>
      <c r="R71" s="358">
        <v>151.5</v>
      </c>
      <c r="S71" s="358">
        <v>151.5</v>
      </c>
      <c r="T71" s="358">
        <v>151.5</v>
      </c>
      <c r="U71" s="358">
        <v>151.5</v>
      </c>
      <c r="V71" s="296">
        <f>+((V70/V72)/7)*1000</f>
        <v>151.05644906969408</v>
      </c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3"/>
      <c r="AQ71" s="3"/>
      <c r="AR71" s="3"/>
      <c r="AS71" s="3"/>
      <c r="AT71" s="2"/>
      <c r="AU71" s="2"/>
      <c r="AV71" s="2"/>
      <c r="AW71" s="2"/>
    </row>
    <row r="72" spans="1:49" ht="33.75" customHeight="1" x14ac:dyDescent="0.25">
      <c r="A72" s="193" t="s">
        <v>12</v>
      </c>
      <c r="B72" s="257">
        <v>57</v>
      </c>
      <c r="C72" s="275">
        <v>57</v>
      </c>
      <c r="D72" s="275">
        <v>16</v>
      </c>
      <c r="E72" s="275">
        <v>57</v>
      </c>
      <c r="F72" s="275">
        <v>56</v>
      </c>
      <c r="G72" s="257">
        <v>57</v>
      </c>
      <c r="H72" s="275">
        <v>57</v>
      </c>
      <c r="I72" s="275">
        <v>18</v>
      </c>
      <c r="J72" s="275">
        <v>57</v>
      </c>
      <c r="K72" s="275">
        <v>57</v>
      </c>
      <c r="L72" s="257">
        <v>47</v>
      </c>
      <c r="M72" s="275">
        <v>47</v>
      </c>
      <c r="N72" s="275">
        <v>18</v>
      </c>
      <c r="O72" s="275">
        <v>47</v>
      </c>
      <c r="P72" s="275">
        <v>47</v>
      </c>
      <c r="Q72" s="257">
        <v>49</v>
      </c>
      <c r="R72" s="275">
        <v>49</v>
      </c>
      <c r="S72" s="275">
        <v>17</v>
      </c>
      <c r="T72" s="275">
        <v>49</v>
      </c>
      <c r="U72" s="275">
        <v>47</v>
      </c>
      <c r="V72" s="254">
        <f>SUM(B72:U72)</f>
        <v>906</v>
      </c>
      <c r="AC72" s="59"/>
      <c r="AG72" s="3"/>
      <c r="AH72" s="3"/>
      <c r="AI72" s="3"/>
      <c r="AJ72" s="3"/>
      <c r="AK72" s="3"/>
      <c r="AL72" s="3"/>
    </row>
    <row r="73" spans="1:49" ht="33.75" customHeight="1" x14ac:dyDescent="0.25">
      <c r="A73" s="194" t="s">
        <v>13</v>
      </c>
      <c r="B73" s="30">
        <f>((((B71*7)*B72)/1000)-(B63+B64))/5</f>
        <v>8.629900000000001</v>
      </c>
      <c r="C73" s="31">
        <f t="shared" ref="C73:F73" si="37">((((C71*7)*C72)/1000)-(C63+C64))/5</f>
        <v>8.6697000000000006</v>
      </c>
      <c r="D73" s="31">
        <f t="shared" si="37"/>
        <v>2.4112</v>
      </c>
      <c r="E73" s="31">
        <f t="shared" si="37"/>
        <v>8.6697000000000006</v>
      </c>
      <c r="F73" s="31">
        <f t="shared" si="37"/>
        <v>8.4775999999999989</v>
      </c>
      <c r="G73" s="30">
        <f>((((G71*7)*G72)/1000)-(G63+G64))/5</f>
        <v>8.59</v>
      </c>
      <c r="H73" s="31">
        <f t="shared" ref="H73:K73" si="38">((((H71*7)*H72)/1000)-(H63+H64))/5</f>
        <v>8.6697000000000006</v>
      </c>
      <c r="I73" s="31">
        <f t="shared" si="38"/>
        <v>2.7377999999999996</v>
      </c>
      <c r="J73" s="31">
        <f t="shared" si="38"/>
        <v>8.6697000000000006</v>
      </c>
      <c r="K73" s="31">
        <f t="shared" si="38"/>
        <v>8.629900000000001</v>
      </c>
      <c r="L73" s="30">
        <f>((((L71*7)*L72)/1000)-(L63+L64))/5</f>
        <v>7.0571000000000002</v>
      </c>
      <c r="M73" s="31">
        <f t="shared" ref="M73:P73" si="39">((((M71*7)*M72)/1000)-(M63+M64))/5</f>
        <v>7.1486999999999998</v>
      </c>
      <c r="N73" s="31">
        <f t="shared" si="39"/>
        <v>2.7073999999999998</v>
      </c>
      <c r="O73" s="31">
        <f t="shared" si="39"/>
        <v>7.1486999999999998</v>
      </c>
      <c r="P73" s="31">
        <f t="shared" si="39"/>
        <v>7.1086999999999989</v>
      </c>
      <c r="Q73" s="30">
        <f>((((Q71*7)*Q72)/1000)-(Q63+Q64))/5</f>
        <v>7.4729000000000001</v>
      </c>
      <c r="R73" s="31">
        <f t="shared" ref="R73:U73" si="40">((((R71*7)*R72)/1000)-(R63+R64))/5</f>
        <v>7.4729000000000001</v>
      </c>
      <c r="S73" s="31">
        <f t="shared" si="40"/>
        <v>2.5257000000000001</v>
      </c>
      <c r="T73" s="31">
        <f t="shared" si="40"/>
        <v>7.4729000000000001</v>
      </c>
      <c r="U73" s="31">
        <f t="shared" si="40"/>
        <v>7.0486999999999993</v>
      </c>
      <c r="V73" s="139">
        <f>((V70*100)/V72)/7</f>
        <v>15.105644906969408</v>
      </c>
      <c r="AG73" s="3"/>
      <c r="AH73" s="3"/>
      <c r="AI73" s="3"/>
      <c r="AJ73" s="3"/>
      <c r="AK73" s="3"/>
      <c r="AL73" s="3"/>
    </row>
    <row r="74" spans="1:49" ht="33.75" customHeight="1" x14ac:dyDescent="0.25">
      <c r="A74" s="185" t="s">
        <v>14</v>
      </c>
      <c r="B74" s="279">
        <f t="shared" ref="B74:U74" si="41">((B72*B71)*7)/1000</f>
        <v>60.049500000000002</v>
      </c>
      <c r="C74" s="280">
        <f t="shared" si="41"/>
        <v>60.448500000000003</v>
      </c>
      <c r="D74" s="280">
        <f t="shared" si="41"/>
        <v>16.856000000000002</v>
      </c>
      <c r="E74" s="280">
        <f t="shared" si="41"/>
        <v>60.448500000000003</v>
      </c>
      <c r="F74" s="280">
        <f t="shared" si="41"/>
        <v>59.387999999999998</v>
      </c>
      <c r="G74" s="279">
        <f t="shared" si="41"/>
        <v>59.85</v>
      </c>
      <c r="H74" s="280">
        <f t="shared" si="41"/>
        <v>60.448500000000003</v>
      </c>
      <c r="I74" s="280">
        <f t="shared" si="41"/>
        <v>19.088999999999999</v>
      </c>
      <c r="J74" s="280">
        <f t="shared" si="41"/>
        <v>60.448500000000003</v>
      </c>
      <c r="K74" s="280">
        <f t="shared" si="41"/>
        <v>60.049500000000002</v>
      </c>
      <c r="L74" s="279">
        <f t="shared" si="41"/>
        <v>49.185499999999998</v>
      </c>
      <c r="M74" s="280">
        <f t="shared" si="41"/>
        <v>49.843499999999999</v>
      </c>
      <c r="N74" s="280">
        <f t="shared" si="41"/>
        <v>18.837</v>
      </c>
      <c r="O74" s="280">
        <f t="shared" si="41"/>
        <v>49.843499999999999</v>
      </c>
      <c r="P74" s="280">
        <f t="shared" si="41"/>
        <v>49.843499999999999</v>
      </c>
      <c r="Q74" s="279">
        <f t="shared" si="41"/>
        <v>51.964500000000001</v>
      </c>
      <c r="R74" s="280">
        <f t="shared" si="41"/>
        <v>51.964500000000001</v>
      </c>
      <c r="S74" s="280">
        <f t="shared" si="41"/>
        <v>18.028500000000001</v>
      </c>
      <c r="T74" s="280">
        <f t="shared" si="41"/>
        <v>51.964500000000001</v>
      </c>
      <c r="U74" s="280">
        <f t="shared" si="41"/>
        <v>49.843499999999999</v>
      </c>
      <c r="V74" s="112"/>
      <c r="W74" s="41"/>
      <c r="X74" s="41"/>
      <c r="Y74" s="41"/>
      <c r="Z74" s="41"/>
      <c r="AA74" s="41"/>
      <c r="AB74" s="41"/>
      <c r="AL74" s="3"/>
    </row>
    <row r="75" spans="1:49" ht="33.75" customHeight="1" thickBot="1" x14ac:dyDescent="0.3">
      <c r="A75" s="195" t="s">
        <v>15</v>
      </c>
      <c r="B75" s="37">
        <f t="shared" ref="B75:U75" si="42">+(B70/B72)/7*1000</f>
        <v>150.37593984962405</v>
      </c>
      <c r="C75" s="38">
        <f t="shared" si="42"/>
        <v>151.37844611528826</v>
      </c>
      <c r="D75" s="38">
        <f t="shared" si="42"/>
        <v>150.89285714285714</v>
      </c>
      <c r="E75" s="38">
        <f t="shared" si="42"/>
        <v>151.37844611528826</v>
      </c>
      <c r="F75" s="38">
        <f t="shared" si="42"/>
        <v>151.53061224489798</v>
      </c>
      <c r="G75" s="37">
        <f t="shared" si="42"/>
        <v>149.87468671679198</v>
      </c>
      <c r="H75" s="38">
        <f t="shared" si="42"/>
        <v>151.37844611528826</v>
      </c>
      <c r="I75" s="38">
        <f t="shared" si="42"/>
        <v>151.58730158730157</v>
      </c>
      <c r="J75" s="38">
        <f t="shared" si="42"/>
        <v>151.37844611528826</v>
      </c>
      <c r="K75" s="38">
        <f t="shared" si="42"/>
        <v>150.37593984962405</v>
      </c>
      <c r="L75" s="37">
        <f t="shared" si="42"/>
        <v>149.54407294832825</v>
      </c>
      <c r="M75" s="38">
        <f t="shared" si="42"/>
        <v>151.36778115501519</v>
      </c>
      <c r="N75" s="38">
        <f t="shared" si="42"/>
        <v>149.20634920634919</v>
      </c>
      <c r="O75" s="38">
        <f t="shared" si="42"/>
        <v>151.36778115501519</v>
      </c>
      <c r="P75" s="38">
        <f t="shared" si="42"/>
        <v>151.36778115501519</v>
      </c>
      <c r="Q75" s="37">
        <f t="shared" si="42"/>
        <v>151.60349854227405</v>
      </c>
      <c r="R75" s="38">
        <f t="shared" si="42"/>
        <v>151.60349854227405</v>
      </c>
      <c r="S75" s="38">
        <f t="shared" si="42"/>
        <v>151.26050420168067</v>
      </c>
      <c r="T75" s="38">
        <f t="shared" si="42"/>
        <v>151.60349854227405</v>
      </c>
      <c r="U75" s="38">
        <f t="shared" si="42"/>
        <v>151.36778115501519</v>
      </c>
      <c r="V75" s="40"/>
      <c r="AL75" s="3"/>
    </row>
    <row r="76" spans="1:49" ht="33.75" customHeight="1" x14ac:dyDescent="0.25">
      <c r="B76" s="43">
        <f>B74-B70</f>
        <v>4.9500000000001876E-2</v>
      </c>
      <c r="C76" s="43">
        <f t="shared" ref="C76:F76" si="43">C74-C70</f>
        <v>4.8499999999997101E-2</v>
      </c>
      <c r="D76" s="43">
        <f t="shared" si="43"/>
        <v>-4.399999999999693E-2</v>
      </c>
      <c r="E76" s="43">
        <f t="shared" si="43"/>
        <v>4.8499999999997101E-2</v>
      </c>
      <c r="F76" s="43">
        <f t="shared" si="43"/>
        <v>-1.2000000000000455E-2</v>
      </c>
      <c r="G76" s="43">
        <f>G74-G70</f>
        <v>4.9999999999997158E-2</v>
      </c>
      <c r="H76" s="43">
        <f t="shared" ref="H76:K77" si="44">H74-H70</f>
        <v>4.8499999999997101E-2</v>
      </c>
      <c r="I76" s="43">
        <f t="shared" si="44"/>
        <v>-1.1000000000002785E-2</v>
      </c>
      <c r="J76" s="43">
        <f t="shared" si="44"/>
        <v>4.8499999999997101E-2</v>
      </c>
      <c r="K76" s="43">
        <f t="shared" si="44"/>
        <v>4.9500000000001876E-2</v>
      </c>
      <c r="L76" s="43">
        <f>L74-L70</f>
        <v>-1.4500000000005286E-2</v>
      </c>
      <c r="M76" s="43">
        <f t="shared" ref="M76:P76" si="45">M74-M70</f>
        <v>4.3499999999994543E-2</v>
      </c>
      <c r="N76" s="43">
        <f t="shared" si="45"/>
        <v>3.7000000000002586E-2</v>
      </c>
      <c r="O76" s="43">
        <f t="shared" si="45"/>
        <v>4.3499999999994543E-2</v>
      </c>
      <c r="P76" s="43">
        <f t="shared" si="45"/>
        <v>4.3499999999994543E-2</v>
      </c>
      <c r="Q76" s="43">
        <f>Q74-Q70</f>
        <v>-3.5499999999998977E-2</v>
      </c>
      <c r="R76" s="43">
        <f t="shared" ref="R76:U76" si="46">R74-R70</f>
        <v>-3.5499999999998977E-2</v>
      </c>
      <c r="S76" s="43">
        <f t="shared" si="46"/>
        <v>2.850000000000108E-2</v>
      </c>
      <c r="T76" s="43">
        <f t="shared" si="46"/>
        <v>-3.5499999999998977E-2</v>
      </c>
      <c r="U76" s="43">
        <f t="shared" si="46"/>
        <v>4.3499999999994543E-2</v>
      </c>
    </row>
    <row r="77" spans="1:49" ht="33.75" customHeight="1" x14ac:dyDescent="0.25">
      <c r="B77" s="42">
        <f t="shared" ref="B77:U77" si="47">B75-B71</f>
        <v>-0.12406015037595353</v>
      </c>
      <c r="C77" s="42">
        <f t="shared" si="47"/>
        <v>-0.12155388471174433</v>
      </c>
      <c r="D77" s="42">
        <f t="shared" si="47"/>
        <v>0.3928571428571388</v>
      </c>
      <c r="E77" s="42">
        <f t="shared" si="47"/>
        <v>-0.12155388471174433</v>
      </c>
      <c r="F77" s="42">
        <f t="shared" si="47"/>
        <v>3.0612244897980645E-2</v>
      </c>
      <c r="G77" s="42">
        <f t="shared" si="47"/>
        <v>-0.12531328320801549</v>
      </c>
      <c r="H77" s="42">
        <f t="shared" si="47"/>
        <v>-0.12155388471174433</v>
      </c>
      <c r="I77" s="42">
        <f t="shared" si="47"/>
        <v>8.7301587301567452E-2</v>
      </c>
      <c r="J77" s="42">
        <f t="shared" si="47"/>
        <v>-0.12155388471174433</v>
      </c>
      <c r="K77" s="42">
        <f t="shared" si="44"/>
        <v>-0.12406015037595353</v>
      </c>
      <c r="L77" s="42">
        <f t="shared" si="47"/>
        <v>4.4072948328249595E-2</v>
      </c>
      <c r="M77" s="42">
        <f t="shared" si="47"/>
        <v>-0.13221884498480563</v>
      </c>
      <c r="N77" s="42">
        <f t="shared" si="47"/>
        <v>-0.29365079365081215</v>
      </c>
      <c r="O77" s="42">
        <f t="shared" si="47"/>
        <v>-0.13221884498480563</v>
      </c>
      <c r="P77" s="42">
        <f t="shared" si="47"/>
        <v>-0.13221884498480563</v>
      </c>
      <c r="Q77" s="42">
        <f t="shared" si="47"/>
        <v>0.10349854227405331</v>
      </c>
      <c r="R77" s="42">
        <f t="shared" si="47"/>
        <v>0.10349854227405331</v>
      </c>
      <c r="S77" s="42">
        <f t="shared" si="47"/>
        <v>-0.2394957983193251</v>
      </c>
      <c r="T77" s="42">
        <f t="shared" si="47"/>
        <v>0.10349854227405331</v>
      </c>
      <c r="U77" s="42">
        <f t="shared" si="47"/>
        <v>-0.13221884498480563</v>
      </c>
      <c r="V77" s="45"/>
      <c r="W77" s="45"/>
      <c r="X77" s="45"/>
      <c r="Y77" s="45"/>
      <c r="Z77" s="45"/>
      <c r="AA77" s="45"/>
      <c r="AB77" s="45"/>
      <c r="AC77" s="52"/>
    </row>
    <row r="78" spans="1:49" ht="33.75" customHeight="1" x14ac:dyDescent="0.25">
      <c r="B78" s="287"/>
      <c r="C78" s="287"/>
      <c r="D78" s="287"/>
      <c r="E78" s="287"/>
      <c r="F78" s="287"/>
    </row>
    <row r="79" spans="1:49" ht="33.75" customHeight="1" x14ac:dyDescent="0.25">
      <c r="A79" s="45"/>
      <c r="B79" s="283"/>
      <c r="C79" s="283"/>
      <c r="D79" s="283"/>
      <c r="E79" s="283"/>
      <c r="F79" s="283"/>
      <c r="G79" s="58"/>
      <c r="H79" s="45"/>
      <c r="I79" s="45"/>
      <c r="J79" s="45"/>
      <c r="K79" s="45"/>
      <c r="L79" s="45"/>
      <c r="M79" s="45"/>
      <c r="N79" s="45"/>
      <c r="O79" s="45"/>
    </row>
    <row r="80" spans="1:49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21">
    <mergeCell ref="V60:V61"/>
    <mergeCell ref="H43:K55"/>
    <mergeCell ref="O59:P59"/>
    <mergeCell ref="B60:F60"/>
    <mergeCell ref="G60:K60"/>
    <mergeCell ref="L60:P60"/>
    <mergeCell ref="Q60:U60"/>
    <mergeCell ref="R40:R41"/>
    <mergeCell ref="A3:C3"/>
    <mergeCell ref="E9:G9"/>
    <mergeCell ref="W9:X9"/>
    <mergeCell ref="O11:P11"/>
    <mergeCell ref="B16:H16"/>
    <mergeCell ref="I16:O16"/>
    <mergeCell ref="P16:T16"/>
    <mergeCell ref="U16:Y16"/>
    <mergeCell ref="H17:H18"/>
    <mergeCell ref="O17:O18"/>
    <mergeCell ref="B40:F40"/>
    <mergeCell ref="G40:G42"/>
    <mergeCell ref="M40:Q40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44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5.42578125" style="14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28</v>
      </c>
      <c r="P11" s="965"/>
      <c r="Q11" s="6"/>
      <c r="R11" s="6"/>
      <c r="S11" s="6"/>
      <c r="T11" s="1"/>
      <c r="U11" s="1"/>
      <c r="V11" s="1" t="s">
        <v>6</v>
      </c>
      <c r="W11" s="95">
        <v>45529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34</v>
      </c>
      <c r="B17" s="425"/>
      <c r="C17" s="168"/>
      <c r="D17" s="168"/>
      <c r="E17" s="168"/>
      <c r="F17" s="168"/>
      <c r="G17" s="204"/>
      <c r="H17" s="997" t="s">
        <v>109</v>
      </c>
      <c r="I17" s="188"/>
      <c r="J17" s="168"/>
      <c r="K17" s="168"/>
      <c r="L17" s="168"/>
      <c r="M17" s="168"/>
      <c r="N17" s="169"/>
      <c r="O17" s="997" t="s">
        <v>109</v>
      </c>
      <c r="P17" s="202"/>
      <c r="Q17" s="174"/>
      <c r="R17" s="174"/>
      <c r="S17" s="174"/>
      <c r="T17" s="203"/>
      <c r="U17" s="186"/>
      <c r="V17" s="174"/>
      <c r="W17" s="174"/>
      <c r="X17" s="174"/>
      <c r="Y17" s="175"/>
      <c r="Z17" s="261" t="s">
        <v>9</v>
      </c>
      <c r="AD17" s="15"/>
      <c r="AE17" s="15"/>
    </row>
    <row r="18" spans="1:40" ht="39.950000000000003" customHeight="1" thickBot="1" x14ac:dyDescent="0.3">
      <c r="A18" s="170" t="s">
        <v>10</v>
      </c>
      <c r="B18" s="425" t="s">
        <v>100</v>
      </c>
      <c r="C18" s="168">
        <v>1</v>
      </c>
      <c r="D18" s="168">
        <v>2</v>
      </c>
      <c r="E18" s="168">
        <v>3</v>
      </c>
      <c r="F18" s="168">
        <v>4</v>
      </c>
      <c r="G18" s="204">
        <v>5</v>
      </c>
      <c r="H18" s="998"/>
      <c r="I18" s="386" t="s">
        <v>100</v>
      </c>
      <c r="J18" s="438">
        <v>1</v>
      </c>
      <c r="K18" s="438">
        <v>2</v>
      </c>
      <c r="L18" s="438">
        <v>3</v>
      </c>
      <c r="M18" s="438">
        <v>4</v>
      </c>
      <c r="N18" s="439">
        <v>5</v>
      </c>
      <c r="O18" s="998"/>
      <c r="P18" s="202">
        <v>1</v>
      </c>
      <c r="Q18" s="174">
        <v>2</v>
      </c>
      <c r="R18" s="174">
        <v>3</v>
      </c>
      <c r="S18" s="174">
        <v>4</v>
      </c>
      <c r="T18" s="203">
        <v>5</v>
      </c>
      <c r="U18" s="186">
        <v>1</v>
      </c>
      <c r="V18" s="174">
        <v>2</v>
      </c>
      <c r="W18" s="174">
        <v>3</v>
      </c>
      <c r="X18" s="174">
        <v>4</v>
      </c>
      <c r="Y18" s="175">
        <v>5</v>
      </c>
      <c r="Z18" s="126"/>
      <c r="AD18" s="2"/>
      <c r="AE18" s="15"/>
    </row>
    <row r="19" spans="1:40" ht="39.950000000000003" customHeight="1" x14ac:dyDescent="0.25">
      <c r="A19" s="171" t="s">
        <v>53</v>
      </c>
      <c r="B19" s="503">
        <v>280.5</v>
      </c>
      <c r="C19" s="504">
        <v>19.3</v>
      </c>
      <c r="D19" s="504">
        <v>20.2</v>
      </c>
      <c r="E19" s="504">
        <v>5.4</v>
      </c>
      <c r="F19" s="504">
        <v>22</v>
      </c>
      <c r="G19" s="505">
        <v>20.3</v>
      </c>
      <c r="H19" s="506">
        <f t="shared" ref="H19:H20" si="0">B19+C19+D19+E19+F19+G19</f>
        <v>367.7</v>
      </c>
      <c r="I19" s="142">
        <v>281.39999999999998</v>
      </c>
      <c r="J19" s="517">
        <v>20.399999999999999</v>
      </c>
      <c r="K19" s="504">
        <v>19.899999999999999</v>
      </c>
      <c r="L19" s="499">
        <v>5.3</v>
      </c>
      <c r="M19" s="510">
        <v>17.3</v>
      </c>
      <c r="N19" s="507">
        <v>18.600000000000001</v>
      </c>
      <c r="O19" s="506">
        <f t="shared" ref="O19:O20" si="1">I19+J19+K19+L19+M19+N19</f>
        <v>362.9</v>
      </c>
      <c r="P19" s="524">
        <v>70.8</v>
      </c>
      <c r="Q19" s="510">
        <v>69.900000000000006</v>
      </c>
      <c r="R19" s="504">
        <v>26.2</v>
      </c>
      <c r="S19" s="504">
        <v>70.2</v>
      </c>
      <c r="T19" s="525">
        <v>71.8</v>
      </c>
      <c r="U19" s="508">
        <v>72.5</v>
      </c>
      <c r="V19" s="504">
        <v>74</v>
      </c>
      <c r="W19" s="504">
        <v>26.7</v>
      </c>
      <c r="X19" s="510">
        <v>73.3</v>
      </c>
      <c r="Y19" s="507">
        <v>73.5</v>
      </c>
      <c r="Z19" s="209">
        <f>SUM(H19,O19,P19:Y19)</f>
        <v>1359.5</v>
      </c>
      <c r="AA19" s="301"/>
      <c r="AB19" s="302"/>
      <c r="AD19" s="2"/>
      <c r="AE19" s="15"/>
    </row>
    <row r="20" spans="1:40" ht="39.950000000000003" customHeight="1" x14ac:dyDescent="0.25">
      <c r="A20" s="171" t="s">
        <v>24</v>
      </c>
      <c r="B20" s="503">
        <v>280.5</v>
      </c>
      <c r="C20" s="504">
        <v>19.3</v>
      </c>
      <c r="D20" s="504">
        <v>20.2</v>
      </c>
      <c r="E20" s="504">
        <v>5.4</v>
      </c>
      <c r="F20" s="504">
        <v>22</v>
      </c>
      <c r="G20" s="505">
        <v>20.3</v>
      </c>
      <c r="H20" s="506">
        <f t="shared" si="0"/>
        <v>367.7</v>
      </c>
      <c r="I20" s="142">
        <v>281.39999999999998</v>
      </c>
      <c r="J20" s="504">
        <v>20.3</v>
      </c>
      <c r="K20" s="517">
        <v>22.1</v>
      </c>
      <c r="L20" s="504">
        <v>5.3</v>
      </c>
      <c r="M20" s="504">
        <v>19.2</v>
      </c>
      <c r="N20" s="507">
        <v>18.600000000000001</v>
      </c>
      <c r="O20" s="506">
        <f t="shared" si="1"/>
        <v>366.90000000000003</v>
      </c>
      <c r="P20" s="515">
        <v>70.8</v>
      </c>
      <c r="Q20" s="504">
        <v>69.900000000000006</v>
      </c>
      <c r="R20" s="504">
        <v>26.2</v>
      </c>
      <c r="S20" s="504">
        <v>70.2</v>
      </c>
      <c r="T20" s="507">
        <v>71.8</v>
      </c>
      <c r="U20" s="528">
        <v>74</v>
      </c>
      <c r="V20" s="504">
        <v>74</v>
      </c>
      <c r="W20" s="510">
        <v>27.3</v>
      </c>
      <c r="X20" s="504">
        <v>73.3</v>
      </c>
      <c r="Y20" s="525">
        <v>75.3</v>
      </c>
      <c r="Z20" s="209">
        <f t="shared" ref="Z20:Z25" si="2">SUM(H20,O20,P20:Y20)</f>
        <v>1367.3999999999999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75" customHeight="1" x14ac:dyDescent="0.25">
      <c r="A21" s="171" t="s">
        <v>20</v>
      </c>
      <c r="B21" s="503">
        <v>292.8</v>
      </c>
      <c r="C21" s="517">
        <v>18.600000000000001</v>
      </c>
      <c r="D21" s="517">
        <v>19.3</v>
      </c>
      <c r="E21" s="510">
        <v>5.0999999999999996</v>
      </c>
      <c r="F21" s="504">
        <v>19.100000000000001</v>
      </c>
      <c r="G21" s="529">
        <v>19.399999999999999</v>
      </c>
      <c r="H21" s="506">
        <f t="shared" ref="H21" si="3">B21+C21+D21+E21+F21+G21</f>
        <v>374.30000000000007</v>
      </c>
      <c r="I21" s="142">
        <v>293.8</v>
      </c>
      <c r="J21" s="504">
        <v>17.399999999999999</v>
      </c>
      <c r="K21" s="504">
        <v>19.100000000000001</v>
      </c>
      <c r="L21" s="511">
        <v>4.8</v>
      </c>
      <c r="M21" s="504">
        <v>16.2</v>
      </c>
      <c r="N21" s="525">
        <v>17.899999999999999</v>
      </c>
      <c r="O21" s="506">
        <f t="shared" ref="O21" si="4">I21+J21+K21+L21+M21+N21</f>
        <v>369.2</v>
      </c>
      <c r="P21" s="530">
        <v>72.5</v>
      </c>
      <c r="Q21" s="517">
        <v>71.599999999999994</v>
      </c>
      <c r="R21" s="510">
        <v>26.6</v>
      </c>
      <c r="S21" s="517">
        <v>71.8</v>
      </c>
      <c r="T21" s="531">
        <v>73.7</v>
      </c>
      <c r="U21" s="508">
        <v>74</v>
      </c>
      <c r="V21" s="517">
        <v>75.7</v>
      </c>
      <c r="W21" s="504">
        <v>27.3</v>
      </c>
      <c r="X21" s="517">
        <v>75.099999999999994</v>
      </c>
      <c r="Y21" s="507">
        <v>75.3</v>
      </c>
      <c r="Z21" s="209">
        <f>SUM(H21,O21,P21:Y21)</f>
        <v>1387.1</v>
      </c>
      <c r="AA21" s="520"/>
      <c r="AB21" s="521"/>
      <c r="AC21" s="522"/>
      <c r="AD21" s="145"/>
      <c r="AE21" s="523"/>
      <c r="AF21" s="522"/>
      <c r="AG21" s="522"/>
      <c r="AH21" s="522"/>
      <c r="AI21" s="522"/>
      <c r="AJ21" s="522"/>
      <c r="AK21" s="522"/>
      <c r="AL21" s="522"/>
      <c r="AM21" s="522"/>
      <c r="AN21" s="522"/>
    </row>
    <row r="22" spans="1:40" ht="39.950000000000003" customHeight="1" x14ac:dyDescent="0.25">
      <c r="A22" s="171" t="s">
        <v>28</v>
      </c>
      <c r="B22" s="503">
        <v>292.8</v>
      </c>
      <c r="C22" s="504">
        <v>18.600000000000001</v>
      </c>
      <c r="D22" s="504">
        <v>19.3</v>
      </c>
      <c r="E22" s="504">
        <v>5.0999999999999996</v>
      </c>
      <c r="F22" s="536">
        <v>21.4</v>
      </c>
      <c r="G22" s="505">
        <v>19.399999999999999</v>
      </c>
      <c r="H22" s="506">
        <f t="shared" ref="H22" si="5">B22+C22+D22+E22+F22+G22</f>
        <v>376.6</v>
      </c>
      <c r="I22" s="142">
        <v>293.8</v>
      </c>
      <c r="J22" s="504">
        <v>17.399999999999999</v>
      </c>
      <c r="K22" s="504">
        <v>19.100000000000001</v>
      </c>
      <c r="L22" s="504">
        <v>4.8</v>
      </c>
      <c r="M22" s="504">
        <v>16.2</v>
      </c>
      <c r="N22" s="507">
        <v>17.899999999999999</v>
      </c>
      <c r="O22" s="506">
        <f t="shared" ref="O22" si="6">I22+J22+K22+L22+M22+N22</f>
        <v>369.2</v>
      </c>
      <c r="P22" s="515">
        <v>72.5</v>
      </c>
      <c r="Q22" s="504">
        <v>71.599999999999994</v>
      </c>
      <c r="R22" s="504">
        <v>26.6</v>
      </c>
      <c r="S22" s="504">
        <v>71.8</v>
      </c>
      <c r="T22" s="507">
        <v>73.7</v>
      </c>
      <c r="U22" s="508">
        <v>74</v>
      </c>
      <c r="V22" s="504">
        <v>75.7</v>
      </c>
      <c r="W22" s="504">
        <v>27.3</v>
      </c>
      <c r="X22" s="504">
        <v>75.099999999999994</v>
      </c>
      <c r="Y22" s="507">
        <v>75.3</v>
      </c>
      <c r="Z22" s="209">
        <f t="shared" si="2"/>
        <v>1389.3999999999999</v>
      </c>
      <c r="AA22" s="301"/>
      <c r="AB22" s="302"/>
      <c r="AD22" s="2"/>
      <c r="AE22" s="15"/>
    </row>
    <row r="23" spans="1:40" ht="39.950000000000003" customHeight="1" x14ac:dyDescent="0.25">
      <c r="A23" s="171" t="s">
        <v>21</v>
      </c>
      <c r="B23" s="503">
        <v>292.8</v>
      </c>
      <c r="C23" s="536">
        <v>21</v>
      </c>
      <c r="D23" s="536">
        <v>21.6</v>
      </c>
      <c r="E23" s="504">
        <v>5</v>
      </c>
      <c r="F23" s="504">
        <v>21.4</v>
      </c>
      <c r="G23" s="505">
        <v>19.399999999999999</v>
      </c>
      <c r="H23" s="506">
        <f t="shared" ref="H23" si="7">B23+C23+D23+E23+F23+G23</f>
        <v>381.2</v>
      </c>
      <c r="I23" s="142">
        <v>293.8</v>
      </c>
      <c r="J23" s="536">
        <v>20.100000000000001</v>
      </c>
      <c r="K23" s="504">
        <v>19</v>
      </c>
      <c r="L23" s="504">
        <v>4.8</v>
      </c>
      <c r="M23" s="517">
        <v>18.3</v>
      </c>
      <c r="N23" s="538">
        <v>20.2</v>
      </c>
      <c r="O23" s="506">
        <f t="shared" ref="O23" si="8">I23+J23+K23+L23+M23+N23</f>
        <v>376.20000000000005</v>
      </c>
      <c r="P23" s="515">
        <v>72.5</v>
      </c>
      <c r="Q23" s="536">
        <v>73.5</v>
      </c>
      <c r="R23" s="517">
        <v>27.2</v>
      </c>
      <c r="S23" s="536">
        <v>73.599999999999994</v>
      </c>
      <c r="T23" s="507">
        <v>73.7</v>
      </c>
      <c r="U23" s="539">
        <v>75.7</v>
      </c>
      <c r="V23" s="536">
        <v>77.400000000000006</v>
      </c>
      <c r="W23" s="504">
        <v>27.3</v>
      </c>
      <c r="X23" s="536">
        <v>77.099999999999994</v>
      </c>
      <c r="Y23" s="538">
        <v>77.2</v>
      </c>
      <c r="Z23" s="509">
        <f t="shared" si="2"/>
        <v>1412.6000000000001</v>
      </c>
      <c r="AA23" s="301"/>
      <c r="AB23" s="302"/>
      <c r="AD23" s="2"/>
      <c r="AE23" s="15"/>
    </row>
    <row r="24" spans="1:40" ht="39.950000000000003" customHeight="1" x14ac:dyDescent="0.25">
      <c r="A24" s="171" t="s">
        <v>22</v>
      </c>
      <c r="B24" s="503">
        <v>292.8</v>
      </c>
      <c r="C24" s="504">
        <v>20.9</v>
      </c>
      <c r="D24" s="504">
        <v>21.6</v>
      </c>
      <c r="E24" s="504">
        <v>5</v>
      </c>
      <c r="F24" s="540">
        <v>24</v>
      </c>
      <c r="G24" s="541">
        <v>21.6</v>
      </c>
      <c r="H24" s="506">
        <f t="shared" ref="H24" si="9">B24+C24+D24+E24+F24+G24</f>
        <v>385.90000000000003</v>
      </c>
      <c r="I24" s="142">
        <v>293.8</v>
      </c>
      <c r="J24" s="504">
        <v>20.100000000000001</v>
      </c>
      <c r="K24" s="542">
        <v>21.4</v>
      </c>
      <c r="L24" s="504">
        <v>4.7</v>
      </c>
      <c r="M24" s="504">
        <v>18.3</v>
      </c>
      <c r="N24" s="507">
        <v>20.2</v>
      </c>
      <c r="O24" s="506">
        <f t="shared" ref="O24" si="10">I24+J24+K24+L24+M24+N24</f>
        <v>378.5</v>
      </c>
      <c r="P24" s="515">
        <v>72.5</v>
      </c>
      <c r="Q24" s="504">
        <v>73.5</v>
      </c>
      <c r="R24" s="504">
        <v>27.2</v>
      </c>
      <c r="S24" s="504">
        <v>73.599999999999994</v>
      </c>
      <c r="T24" s="507">
        <v>73.7</v>
      </c>
      <c r="U24" s="508">
        <v>75.7</v>
      </c>
      <c r="V24" s="540">
        <v>79.5</v>
      </c>
      <c r="W24" s="517">
        <v>27.8</v>
      </c>
      <c r="X24" s="504">
        <v>77.099999999999994</v>
      </c>
      <c r="Y24" s="507">
        <v>77.099999999999994</v>
      </c>
      <c r="Z24" s="209">
        <f t="shared" si="2"/>
        <v>1422.1</v>
      </c>
      <c r="AA24" s="301"/>
      <c r="AB24" s="302"/>
      <c r="AD24" s="2"/>
      <c r="AE24" s="15"/>
    </row>
    <row r="25" spans="1:40" ht="39.950000000000003" customHeight="1" thickBot="1" x14ac:dyDescent="0.3">
      <c r="A25" s="285" t="s">
        <v>23</v>
      </c>
      <c r="B25" s="503">
        <v>292.8</v>
      </c>
      <c r="C25" s="504">
        <v>20.9</v>
      </c>
      <c r="D25" s="504">
        <v>21.6</v>
      </c>
      <c r="E25" s="517">
        <v>5.6</v>
      </c>
      <c r="F25" s="504">
        <v>24</v>
      </c>
      <c r="G25" s="505">
        <v>21.6</v>
      </c>
      <c r="H25" s="506">
        <f t="shared" ref="H25" si="11">B25+C25+D25+E25+F25+G25</f>
        <v>386.50000000000006</v>
      </c>
      <c r="I25" s="142">
        <v>293.8</v>
      </c>
      <c r="J25" s="504">
        <v>20</v>
      </c>
      <c r="K25" s="504">
        <v>21.4</v>
      </c>
      <c r="L25" s="504">
        <v>4.7</v>
      </c>
      <c r="M25" s="504">
        <v>18.3</v>
      </c>
      <c r="N25" s="507">
        <v>20.2</v>
      </c>
      <c r="O25" s="506">
        <f t="shared" ref="O25" si="12">I25+J25+K25+L25+M25+N25</f>
        <v>378.4</v>
      </c>
      <c r="P25" s="515">
        <v>72.5</v>
      </c>
      <c r="Q25" s="504">
        <v>73.2</v>
      </c>
      <c r="R25" s="504">
        <v>27.2</v>
      </c>
      <c r="S25" s="540">
        <v>75.599999999999994</v>
      </c>
      <c r="T25" s="544">
        <v>75.8</v>
      </c>
      <c r="U25" s="508">
        <v>75.7</v>
      </c>
      <c r="V25" s="504">
        <v>79.5</v>
      </c>
      <c r="W25" s="504">
        <v>27.8</v>
      </c>
      <c r="X25" s="540">
        <v>79.400000000000006</v>
      </c>
      <c r="Y25" s="544">
        <v>79.2</v>
      </c>
      <c r="Z25" s="209">
        <f t="shared" si="2"/>
        <v>1430.8000000000004</v>
      </c>
      <c r="AA25" s="301"/>
      <c r="AB25" s="302"/>
      <c r="AD25" s="2"/>
    </row>
    <row r="26" spans="1:40" ht="41.45" customHeight="1" thickBot="1" x14ac:dyDescent="0.3">
      <c r="A26" s="268" t="s">
        <v>9</v>
      </c>
      <c r="B26" s="421"/>
      <c r="C26" s="128">
        <f>SUM(C19:C25)</f>
        <v>138.60000000000002</v>
      </c>
      <c r="D26" s="128">
        <f t="shared" ref="D26:Y26" si="13">SUM(D19:D25)</f>
        <v>143.79999999999998</v>
      </c>
      <c r="E26" s="128">
        <f t="shared" si="13"/>
        <v>36.6</v>
      </c>
      <c r="F26" s="128">
        <f t="shared" si="13"/>
        <v>153.9</v>
      </c>
      <c r="G26" s="205">
        <f t="shared" si="13"/>
        <v>142</v>
      </c>
      <c r="H26" s="436">
        <f>SUM(H19:H25)</f>
        <v>2639.9</v>
      </c>
      <c r="I26" s="131"/>
      <c r="J26" s="128">
        <f t="shared" si="13"/>
        <v>135.69999999999999</v>
      </c>
      <c r="K26" s="128">
        <f>SUM(K19:K25)</f>
        <v>142</v>
      </c>
      <c r="L26" s="128">
        <f t="shared" si="13"/>
        <v>34.4</v>
      </c>
      <c r="M26" s="128">
        <f t="shared" si="13"/>
        <v>123.8</v>
      </c>
      <c r="N26" s="129">
        <f t="shared" si="13"/>
        <v>133.6</v>
      </c>
      <c r="O26" s="436">
        <f>SUM(O19:O25)</f>
        <v>2601.3000000000002</v>
      </c>
      <c r="P26" s="127">
        <f t="shared" si="13"/>
        <v>504.1</v>
      </c>
      <c r="Q26" s="128">
        <f t="shared" si="13"/>
        <v>503.2</v>
      </c>
      <c r="R26" s="128">
        <f t="shared" si="13"/>
        <v>187.19999999999996</v>
      </c>
      <c r="S26" s="128">
        <f t="shared" si="13"/>
        <v>506.80000000000007</v>
      </c>
      <c r="T26" s="205">
        <f t="shared" si="13"/>
        <v>514.19999999999993</v>
      </c>
      <c r="U26" s="131">
        <f t="shared" si="13"/>
        <v>521.6</v>
      </c>
      <c r="V26" s="128">
        <f t="shared" si="13"/>
        <v>535.79999999999995</v>
      </c>
      <c r="W26" s="128">
        <f t="shared" si="13"/>
        <v>191.50000000000003</v>
      </c>
      <c r="X26" s="128">
        <f t="shared" si="13"/>
        <v>530.4</v>
      </c>
      <c r="Y26" s="129">
        <f t="shared" si="13"/>
        <v>532.90000000000009</v>
      </c>
      <c r="Z26" s="375">
        <f>SUM(Z19,Z20,Z21,Z22,Z23,Z24,Z25)</f>
        <v>9768.9000000000015</v>
      </c>
      <c r="AA26" s="301"/>
    </row>
    <row r="27" spans="1:40" s="2" customFormat="1" ht="36.75" customHeight="1" x14ac:dyDescent="0.25">
      <c r="A27" s="192" t="s">
        <v>11</v>
      </c>
      <c r="B27" s="23"/>
      <c r="C27" s="477">
        <v>150.72999999999999</v>
      </c>
      <c r="D27" s="477">
        <v>151.62</v>
      </c>
      <c r="E27" s="477">
        <v>146.61000000000001</v>
      </c>
      <c r="F27" s="477">
        <v>155.56</v>
      </c>
      <c r="G27" s="477">
        <v>151.52000000000001</v>
      </c>
      <c r="H27" s="478"/>
      <c r="I27" s="479"/>
      <c r="J27" s="477">
        <v>148.97</v>
      </c>
      <c r="K27" s="477">
        <v>151.16999999999999</v>
      </c>
      <c r="L27" s="477">
        <v>140.72999999999999</v>
      </c>
      <c r="M27" s="477">
        <v>145.87</v>
      </c>
      <c r="N27" s="477">
        <v>149.34</v>
      </c>
      <c r="O27" s="478"/>
      <c r="P27" s="480">
        <v>147</v>
      </c>
      <c r="Q27" s="477">
        <v>149.78</v>
      </c>
      <c r="R27" s="477">
        <v>146.43</v>
      </c>
      <c r="S27" s="477">
        <v>154.38</v>
      </c>
      <c r="T27" s="481">
        <v>154.08000000000001</v>
      </c>
      <c r="U27" s="479">
        <v>147</v>
      </c>
      <c r="V27" s="477">
        <v>154.69</v>
      </c>
      <c r="W27" s="477">
        <v>147</v>
      </c>
      <c r="X27" s="477">
        <v>154.08000000000001</v>
      </c>
      <c r="Y27" s="482">
        <v>154.38</v>
      </c>
      <c r="Z27" s="99">
        <f>(((Z26*1000)/7)/Z28)</f>
        <v>147.25726947949173</v>
      </c>
    </row>
    <row r="28" spans="1:40" s="2" customFormat="1" ht="33" customHeight="1" x14ac:dyDescent="0.25">
      <c r="A28" s="193" t="s">
        <v>12</v>
      </c>
      <c r="B28" s="257"/>
      <c r="C28" s="27">
        <v>585</v>
      </c>
      <c r="D28" s="27">
        <v>590</v>
      </c>
      <c r="E28" s="27">
        <v>178</v>
      </c>
      <c r="F28" s="27">
        <v>592</v>
      </c>
      <c r="G28" s="27">
        <v>592</v>
      </c>
      <c r="H28" s="441"/>
      <c r="I28" s="26"/>
      <c r="J28" s="27">
        <v>590</v>
      </c>
      <c r="K28" s="27">
        <v>591</v>
      </c>
      <c r="L28" s="483">
        <v>182</v>
      </c>
      <c r="M28" s="27">
        <v>592</v>
      </c>
      <c r="N28" s="27">
        <v>589</v>
      </c>
      <c r="O28" s="441"/>
      <c r="P28" s="64">
        <v>493</v>
      </c>
      <c r="Q28" s="27">
        <v>489</v>
      </c>
      <c r="R28" s="27">
        <v>186</v>
      </c>
      <c r="S28" s="27">
        <v>490</v>
      </c>
      <c r="T28" s="483">
        <v>492</v>
      </c>
      <c r="U28" s="27">
        <v>515</v>
      </c>
      <c r="V28" s="27">
        <v>514</v>
      </c>
      <c r="W28" s="27">
        <v>189</v>
      </c>
      <c r="X28" s="27">
        <v>515</v>
      </c>
      <c r="Y28" s="27">
        <v>513</v>
      </c>
      <c r="Z28" s="29">
        <f>SUM(C28:Y28)</f>
        <v>9477</v>
      </c>
      <c r="AA28" s="402"/>
    </row>
    <row r="29" spans="1:40" s="2" customFormat="1" ht="33" customHeight="1" x14ac:dyDescent="0.25">
      <c r="A29" s="444" t="s">
        <v>13</v>
      </c>
      <c r="B29" s="445"/>
      <c r="C29" s="31">
        <f>(C34*C28)/1000</f>
        <v>20.902049999999996</v>
      </c>
      <c r="D29" s="31">
        <f t="shared" ref="D29:G29" si="14">(D34*D28)/1000</f>
        <v>21.605800000000002</v>
      </c>
      <c r="E29" s="31">
        <f t="shared" si="14"/>
        <v>5.6265800000000024</v>
      </c>
      <c r="F29" s="31">
        <f t="shared" si="14"/>
        <v>24.011520000000001</v>
      </c>
      <c r="G29" s="31">
        <f t="shared" si="14"/>
        <v>21.619840000000007</v>
      </c>
      <c r="H29" s="442"/>
      <c r="I29" s="30"/>
      <c r="J29" s="31">
        <f>(J34*J28)/1000</f>
        <v>20.042300000000001</v>
      </c>
      <c r="K29" s="31">
        <f t="shared" ref="K29:N29" si="15">(K34*K28)/1000</f>
        <v>21.376469999999994</v>
      </c>
      <c r="L29" s="31">
        <f t="shared" si="15"/>
        <v>4.682859999999998</v>
      </c>
      <c r="M29" s="31">
        <f t="shared" si="15"/>
        <v>18.275040000000001</v>
      </c>
      <c r="N29" s="31">
        <f t="shared" si="15"/>
        <v>20.226260000000003</v>
      </c>
      <c r="O29" s="442"/>
      <c r="P29" s="65">
        <f>((((P27*7)*P28)/1000))/7</f>
        <v>72.471000000000004</v>
      </c>
      <c r="Q29" s="65">
        <f t="shared" ref="Q29:Y29" si="16">((((Q27*7)*Q28)/1000))/7</f>
        <v>73.24242000000001</v>
      </c>
      <c r="R29" s="65">
        <f t="shared" si="16"/>
        <v>27.235980000000001</v>
      </c>
      <c r="S29" s="65">
        <f t="shared" si="16"/>
        <v>75.646199999999993</v>
      </c>
      <c r="T29" s="65">
        <f t="shared" si="16"/>
        <v>75.807360000000017</v>
      </c>
      <c r="U29" s="65">
        <f t="shared" si="16"/>
        <v>75.704999999999998</v>
      </c>
      <c r="V29" s="65">
        <f t="shared" si="16"/>
        <v>79.510660000000001</v>
      </c>
      <c r="W29" s="65">
        <f t="shared" si="16"/>
        <v>27.782999999999998</v>
      </c>
      <c r="X29" s="65">
        <f t="shared" si="16"/>
        <v>79.35120000000002</v>
      </c>
      <c r="Y29" s="65">
        <f t="shared" si="16"/>
        <v>79.196939999999998</v>
      </c>
      <c r="Z29" s="33"/>
    </row>
    <row r="30" spans="1:40" ht="33.75" customHeight="1" x14ac:dyDescent="0.25">
      <c r="A30" s="185" t="s">
        <v>14</v>
      </c>
      <c r="B30" s="34"/>
      <c r="C30" s="280">
        <f>((C28*C31)*7)/1000</f>
        <v>138.60000000000002</v>
      </c>
      <c r="D30" s="280">
        <f t="shared" ref="D30:G30" si="17">((D28*D31)*7)/1000</f>
        <v>143.80000000000001</v>
      </c>
      <c r="E30" s="280">
        <f>((E28*E31)*7)/1000</f>
        <v>36.6</v>
      </c>
      <c r="F30" s="280">
        <f t="shared" si="17"/>
        <v>153.90000000000003</v>
      </c>
      <c r="G30" s="280">
        <f t="shared" si="17"/>
        <v>142</v>
      </c>
      <c r="H30" s="443"/>
      <c r="I30" s="279"/>
      <c r="J30" s="280">
        <f>((J28*J31)*7)/1000</f>
        <v>135.69999999999996</v>
      </c>
      <c r="K30" s="280">
        <f t="shared" ref="K30:N30" si="18">((K28*K31)*7)/1000</f>
        <v>142</v>
      </c>
      <c r="L30" s="280">
        <f t="shared" si="18"/>
        <v>34.4</v>
      </c>
      <c r="M30" s="280">
        <f t="shared" si="18"/>
        <v>123.8</v>
      </c>
      <c r="N30" s="280">
        <f t="shared" si="18"/>
        <v>133.6</v>
      </c>
      <c r="O30" s="443"/>
      <c r="P30" s="325">
        <f t="shared" ref="P30:Y30" si="19">((P28*P27)*7)/1000</f>
        <v>507.29700000000003</v>
      </c>
      <c r="Q30" s="280">
        <f t="shared" si="19"/>
        <v>512.69694000000004</v>
      </c>
      <c r="R30" s="280">
        <f t="shared" si="19"/>
        <v>190.65186</v>
      </c>
      <c r="S30" s="280">
        <f t="shared" si="19"/>
        <v>529.52340000000004</v>
      </c>
      <c r="T30" s="281">
        <f t="shared" si="19"/>
        <v>530.65152</v>
      </c>
      <c r="U30" s="279">
        <f t="shared" si="19"/>
        <v>529.93499999999995</v>
      </c>
      <c r="V30" s="280">
        <f t="shared" si="19"/>
        <v>556.57461999999998</v>
      </c>
      <c r="W30" s="280">
        <f t="shared" si="19"/>
        <v>194.48099999999999</v>
      </c>
      <c r="X30" s="280">
        <f t="shared" si="19"/>
        <v>555.4584000000001</v>
      </c>
      <c r="Y30" s="282">
        <f t="shared" si="19"/>
        <v>554.37858000000006</v>
      </c>
      <c r="Z30" s="36"/>
    </row>
    <row r="31" spans="1:40" ht="33.75" customHeight="1" thickBot="1" x14ac:dyDescent="0.3">
      <c r="A31" s="195" t="s">
        <v>15</v>
      </c>
      <c r="B31" s="423"/>
      <c r="C31" s="38">
        <f>+(C26/C28)/7*1000</f>
        <v>33.846153846153854</v>
      </c>
      <c r="D31" s="38">
        <f t="shared" ref="D31:Y31" si="20">+(D26/D28)/7*1000</f>
        <v>34.818401937046005</v>
      </c>
      <c r="E31" s="38">
        <f t="shared" si="20"/>
        <v>29.373996789727126</v>
      </c>
      <c r="F31" s="38">
        <f t="shared" si="20"/>
        <v>37.138030888030897</v>
      </c>
      <c r="G31" s="38">
        <f t="shared" si="20"/>
        <v>34.266409266409269</v>
      </c>
      <c r="H31" s="259"/>
      <c r="I31" s="37"/>
      <c r="J31" s="38">
        <f t="shared" si="20"/>
        <v>32.857142857142854</v>
      </c>
      <c r="K31" s="38">
        <f t="shared" si="20"/>
        <v>34.324389654338894</v>
      </c>
      <c r="L31" s="38">
        <f t="shared" si="20"/>
        <v>27.001569858712713</v>
      </c>
      <c r="M31" s="38">
        <f t="shared" si="20"/>
        <v>29.874517374517374</v>
      </c>
      <c r="N31" s="38">
        <f t="shared" si="20"/>
        <v>32.403589619209313</v>
      </c>
      <c r="O31" s="259"/>
      <c r="P31" s="67">
        <f t="shared" si="20"/>
        <v>146.07360185453493</v>
      </c>
      <c r="Q31" s="38">
        <f t="shared" si="20"/>
        <v>147.00555068653227</v>
      </c>
      <c r="R31" s="38">
        <f t="shared" si="20"/>
        <v>143.77880184331792</v>
      </c>
      <c r="S31" s="38">
        <f t="shared" si="20"/>
        <v>147.75510204081635</v>
      </c>
      <c r="T31" s="207">
        <f t="shared" si="20"/>
        <v>149.30313588850171</v>
      </c>
      <c r="U31" s="37">
        <f t="shared" si="20"/>
        <v>144.68793342579752</v>
      </c>
      <c r="V31" s="38">
        <f t="shared" si="20"/>
        <v>148.91606448026678</v>
      </c>
      <c r="W31" s="38">
        <f t="shared" si="20"/>
        <v>144.7467876039305</v>
      </c>
      <c r="X31" s="38">
        <f t="shared" si="20"/>
        <v>147.12898751733701</v>
      </c>
      <c r="Y31" s="39">
        <f t="shared" si="20"/>
        <v>148.39877471456421</v>
      </c>
      <c r="Z31" s="40"/>
    </row>
    <row r="32" spans="1:40" ht="33.75" customHeight="1" x14ac:dyDescent="0.25">
      <c r="A32" s="41"/>
      <c r="B32" s="41"/>
      <c r="C32" s="42">
        <f>C30-C26</f>
        <v>0</v>
      </c>
      <c r="D32" s="42">
        <f t="shared" ref="D32:Y33" si="21">D30-D26</f>
        <v>0</v>
      </c>
      <c r="E32" s="42">
        <f t="shared" si="21"/>
        <v>0</v>
      </c>
      <c r="F32" s="42">
        <f t="shared" si="21"/>
        <v>0</v>
      </c>
      <c r="G32" s="42">
        <f t="shared" si="21"/>
        <v>0</v>
      </c>
      <c r="H32" s="42"/>
      <c r="I32" s="42"/>
      <c r="J32" s="42">
        <f t="shared" si="21"/>
        <v>0</v>
      </c>
      <c r="K32" s="42">
        <f>K30-K26</f>
        <v>0</v>
      </c>
      <c r="L32" s="42">
        <f t="shared" si="21"/>
        <v>0</v>
      </c>
      <c r="M32" s="42">
        <f t="shared" si="21"/>
        <v>0</v>
      </c>
      <c r="N32" s="42">
        <f t="shared" si="21"/>
        <v>0</v>
      </c>
      <c r="O32" s="42"/>
      <c r="P32" s="42">
        <f t="shared" si="21"/>
        <v>3.1970000000000027</v>
      </c>
      <c r="Q32" s="42">
        <f t="shared" si="21"/>
        <v>9.4969400000000519</v>
      </c>
      <c r="R32" s="42">
        <f t="shared" si="21"/>
        <v>3.451860000000039</v>
      </c>
      <c r="S32" s="42">
        <f t="shared" si="21"/>
        <v>22.72339999999997</v>
      </c>
      <c r="T32" s="42">
        <f t="shared" si="21"/>
        <v>16.451520000000073</v>
      </c>
      <c r="U32" s="42">
        <f t="shared" si="21"/>
        <v>8.3349999999999227</v>
      </c>
      <c r="V32" s="42">
        <f t="shared" si="21"/>
        <v>20.774620000000027</v>
      </c>
      <c r="W32" s="42">
        <f t="shared" si="21"/>
        <v>2.9809999999999661</v>
      </c>
      <c r="X32" s="42">
        <f t="shared" si="21"/>
        <v>25.05840000000012</v>
      </c>
      <c r="Y32" s="42">
        <f t="shared" si="21"/>
        <v>21.478579999999965</v>
      </c>
      <c r="Z32" s="48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</row>
    <row r="33" spans="1:38" ht="31.5" customHeight="1" x14ac:dyDescent="0.25">
      <c r="A33" s="41"/>
      <c r="B33" s="41"/>
      <c r="C33" s="42">
        <f>C31-C34</f>
        <v>-1.883846153846136</v>
      </c>
      <c r="D33" s="42">
        <f t="shared" ref="D33:G33" si="22">D31-D34</f>
        <v>-1.8015980629539996</v>
      </c>
      <c r="E33" s="42">
        <f t="shared" si="22"/>
        <v>-2.2360032102728873</v>
      </c>
      <c r="F33" s="42">
        <f t="shared" si="22"/>
        <v>-3.4219691119691049</v>
      </c>
      <c r="G33" s="42">
        <f t="shared" si="22"/>
        <v>-2.253590733590741</v>
      </c>
      <c r="H33" s="42"/>
      <c r="I33" s="42"/>
      <c r="J33" s="42">
        <f t="shared" ref="J33:N33" si="23">J31-J34</f>
        <v>-1.1128571428571448</v>
      </c>
      <c r="K33" s="42">
        <f t="shared" si="23"/>
        <v>-1.8456103456610933</v>
      </c>
      <c r="L33" s="42">
        <f t="shared" si="23"/>
        <v>1.2715698587127235</v>
      </c>
      <c r="M33" s="42">
        <f t="shared" si="23"/>
        <v>-0.99548262548263011</v>
      </c>
      <c r="N33" s="42">
        <f t="shared" si="23"/>
        <v>-1.9364103807906901</v>
      </c>
      <c r="O33" s="42"/>
      <c r="P33" s="42">
        <f t="shared" si="21"/>
        <v>-0.92639814546507182</v>
      </c>
      <c r="Q33" s="42">
        <f t="shared" si="21"/>
        <v>-2.7744493134677271</v>
      </c>
      <c r="R33" s="42">
        <f t="shared" si="21"/>
        <v>-2.651198156682085</v>
      </c>
      <c r="S33" s="42">
        <f t="shared" si="21"/>
        <v>-6.6248979591836417</v>
      </c>
      <c r="T33" s="42">
        <f t="shared" si="21"/>
        <v>-4.7768641114982984</v>
      </c>
      <c r="U33" s="42">
        <f t="shared" si="21"/>
        <v>-2.3120665742024755</v>
      </c>
      <c r="V33" s="42">
        <f t="shared" si="21"/>
        <v>-5.7739355197332145</v>
      </c>
      <c r="W33" s="42">
        <f t="shared" si="21"/>
        <v>-2.2532123960695003</v>
      </c>
      <c r="X33" s="42">
        <f t="shared" si="21"/>
        <v>-6.9510124826630033</v>
      </c>
      <c r="Y33" s="42">
        <f t="shared" si="21"/>
        <v>-5.9812252854357837</v>
      </c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thickBot="1" x14ac:dyDescent="0.3">
      <c r="A34" s="41"/>
      <c r="B34" s="41"/>
      <c r="C34" s="42">
        <f>C27-$B$35</f>
        <v>35.72999999999999</v>
      </c>
      <c r="D34" s="42">
        <f t="shared" ref="D34:G34" si="24">D27-$B$35</f>
        <v>36.620000000000005</v>
      </c>
      <c r="E34" s="42">
        <f t="shared" si="24"/>
        <v>31.610000000000014</v>
      </c>
      <c r="F34" s="42">
        <f t="shared" si="24"/>
        <v>40.56</v>
      </c>
      <c r="G34" s="42">
        <f t="shared" si="24"/>
        <v>36.52000000000001</v>
      </c>
      <c r="H34" s="42"/>
      <c r="I34" s="42"/>
      <c r="J34" s="42">
        <f>J27-$I$35</f>
        <v>33.97</v>
      </c>
      <c r="K34" s="42">
        <f t="shared" ref="K34:N34" si="25">K27-$I$35</f>
        <v>36.169999999999987</v>
      </c>
      <c r="L34" s="42">
        <f t="shared" si="25"/>
        <v>25.72999999999999</v>
      </c>
      <c r="M34" s="42">
        <f t="shared" si="25"/>
        <v>30.870000000000005</v>
      </c>
      <c r="N34" s="42">
        <f t="shared" si="25"/>
        <v>34.340000000000003</v>
      </c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1"/>
    </row>
    <row r="35" spans="1:38" ht="33.75" customHeight="1" x14ac:dyDescent="0.25">
      <c r="A35" s="41"/>
      <c r="B35" s="501">
        <v>115</v>
      </c>
      <c r="C35" s="500">
        <f>(B35*D35)/1000</f>
        <v>291.755</v>
      </c>
      <c r="D35" s="432">
        <f>SUM(C28:G28)</f>
        <v>2537</v>
      </c>
      <c r="E35" s="42"/>
      <c r="F35" s="42"/>
      <c r="G35" s="42"/>
      <c r="H35" s="42"/>
      <c r="I35" s="514">
        <v>115</v>
      </c>
      <c r="J35" s="431">
        <f>(I35*K35)/1000</f>
        <v>292.56</v>
      </c>
      <c r="K35" s="432">
        <f>SUM(J28:N28)</f>
        <v>2544</v>
      </c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30" t="s">
        <v>106</v>
      </c>
      <c r="C36" s="500" t="s">
        <v>107</v>
      </c>
      <c r="D36" s="431" t="s">
        <v>108</v>
      </c>
      <c r="E36" s="42"/>
      <c r="F36" s="42"/>
      <c r="G36" s="42"/>
      <c r="H36" s="42"/>
      <c r="I36" s="430" t="s">
        <v>106</v>
      </c>
      <c r="J36" s="431" t="s">
        <v>107</v>
      </c>
      <c r="K36" s="431" t="s">
        <v>108</v>
      </c>
      <c r="L36" s="42"/>
      <c r="M36" s="42"/>
      <c r="N36" s="534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264"/>
      <c r="L37" s="42"/>
      <c r="M37" s="42"/>
      <c r="N37" s="534"/>
      <c r="O37" s="42"/>
      <c r="P37" s="264"/>
      <c r="Q37" s="42"/>
      <c r="R37" s="42"/>
      <c r="S37" s="42"/>
      <c r="T37" s="42"/>
      <c r="U37" s="264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1"/>
    </row>
    <row r="38" spans="1:38" ht="33.75" customHeight="1" x14ac:dyDescent="0.25">
      <c r="A38" s="41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1"/>
    </row>
    <row r="39" spans="1:38" s="2" customFormat="1" ht="33.75" customHeight="1" thickBot="1" x14ac:dyDescent="0.3">
      <c r="B39" s="43"/>
      <c r="C39" s="350"/>
      <c r="D39" s="350"/>
      <c r="E39" s="350"/>
      <c r="F39" s="350"/>
      <c r="G39" s="350"/>
      <c r="H39" s="318"/>
      <c r="I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3"/>
    </row>
    <row r="40" spans="1:38" ht="33.75" customHeight="1" thickBot="1" x14ac:dyDescent="0.3">
      <c r="A40" s="69" t="s">
        <v>16</v>
      </c>
      <c r="B40" s="973" t="s">
        <v>17</v>
      </c>
      <c r="C40" s="974"/>
      <c r="D40" s="974"/>
      <c r="E40" s="974"/>
      <c r="F40" s="974"/>
      <c r="G40" s="977" t="s">
        <v>9</v>
      </c>
      <c r="H40" s="47"/>
      <c r="L40" s="426" t="s">
        <v>18</v>
      </c>
      <c r="M40" s="980" t="s">
        <v>17</v>
      </c>
      <c r="N40" s="972"/>
      <c r="O40" s="972"/>
      <c r="P40" s="972"/>
      <c r="Q40" s="990"/>
      <c r="R40" s="977" t="s">
        <v>9</v>
      </c>
      <c r="S40" s="269"/>
      <c r="U40" s="45"/>
      <c r="V40" s="45"/>
      <c r="W40" s="46"/>
      <c r="X40" s="3"/>
      <c r="Y40" s="45"/>
      <c r="Z40" s="45"/>
      <c r="AA40" s="45"/>
      <c r="AB40" s="3"/>
    </row>
    <row r="41" spans="1:38" ht="33.75" customHeight="1" thickBot="1" x14ac:dyDescent="0.3">
      <c r="A41" s="170" t="s">
        <v>34</v>
      </c>
      <c r="B41" s="141"/>
      <c r="C41" s="118"/>
      <c r="D41" s="118"/>
      <c r="E41" s="118"/>
      <c r="F41" s="121"/>
      <c r="G41" s="985"/>
      <c r="H41" s="47"/>
      <c r="I41" s="47"/>
      <c r="J41" s="47"/>
      <c r="K41" s="47"/>
      <c r="L41" s="428" t="s">
        <v>33</v>
      </c>
      <c r="M41" s="168">
        <v>1</v>
      </c>
      <c r="N41" s="249">
        <v>2</v>
      </c>
      <c r="O41" s="249">
        <v>3</v>
      </c>
      <c r="P41" s="249"/>
      <c r="Q41" s="250"/>
      <c r="R41" s="979"/>
      <c r="S41" s="2"/>
      <c r="U41" s="47"/>
      <c r="V41" s="47"/>
      <c r="W41" s="3"/>
      <c r="X41" s="46"/>
      <c r="Y41" s="3"/>
      <c r="Z41" s="45"/>
      <c r="AA41" s="45"/>
      <c r="AB41" s="45"/>
    </row>
    <row r="42" spans="1:38" ht="33.75" customHeight="1" thickBot="1" x14ac:dyDescent="0.3">
      <c r="A42" s="170" t="s">
        <v>10</v>
      </c>
      <c r="B42" s="11">
        <v>1</v>
      </c>
      <c r="C42" s="16">
        <v>2</v>
      </c>
      <c r="D42" s="16">
        <v>3</v>
      </c>
      <c r="E42" s="16">
        <v>4</v>
      </c>
      <c r="F42" s="107">
        <v>5</v>
      </c>
      <c r="G42" s="984"/>
      <c r="H42" s="47"/>
      <c r="I42" s="47"/>
      <c r="J42" s="47"/>
      <c r="K42" s="47"/>
      <c r="L42" s="427" t="s">
        <v>10</v>
      </c>
      <c r="M42" s="114">
        <v>1</v>
      </c>
      <c r="N42" s="114">
        <v>2</v>
      </c>
      <c r="O42" s="114">
        <v>3</v>
      </c>
      <c r="P42" s="114">
        <v>4</v>
      </c>
      <c r="Q42" s="116">
        <v>5</v>
      </c>
      <c r="R42" s="126"/>
      <c r="S42" s="270"/>
      <c r="U42" s="47"/>
      <c r="V42" s="47"/>
      <c r="W42" s="48"/>
      <c r="X42" s="48"/>
      <c r="Y42" s="2"/>
      <c r="Z42" s="2"/>
      <c r="AA42" s="2"/>
      <c r="AB42" s="2"/>
    </row>
    <row r="43" spans="1:38" ht="33.75" customHeight="1" x14ac:dyDescent="0.25">
      <c r="A43" s="171" t="s">
        <v>32</v>
      </c>
      <c r="B43" s="18">
        <v>91.2</v>
      </c>
      <c r="C43" s="19">
        <v>89.9</v>
      </c>
      <c r="D43" s="19">
        <v>26.2</v>
      </c>
      <c r="E43" s="431">
        <v>90</v>
      </c>
      <c r="F43" s="108">
        <v>88.6</v>
      </c>
      <c r="G43" s="509">
        <f t="shared" ref="G43:G50" si="26">SUM(B43:F43)</f>
        <v>385.9</v>
      </c>
      <c r="H43" s="988"/>
      <c r="I43" s="989"/>
      <c r="J43" s="989"/>
      <c r="K43" s="989"/>
      <c r="L43" s="171" t="s">
        <v>53</v>
      </c>
      <c r="M43" s="19">
        <v>8.5</v>
      </c>
      <c r="N43" s="19">
        <v>8.3000000000000007</v>
      </c>
      <c r="O43" s="19">
        <v>1.8</v>
      </c>
      <c r="P43" s="19">
        <v>8.1999999999999993</v>
      </c>
      <c r="Q43" s="108">
        <v>8</v>
      </c>
      <c r="R43" s="209">
        <f t="shared" ref="R43:R49" si="27">SUM(M43:Q43)</f>
        <v>34.799999999999997</v>
      </c>
      <c r="S43" s="271"/>
      <c r="T43" s="302"/>
      <c r="U43" s="2"/>
      <c r="V43" s="49"/>
      <c r="W43" s="48"/>
      <c r="X43" s="48"/>
      <c r="Y43" s="2"/>
      <c r="Z43" s="2"/>
      <c r="AA43" s="2"/>
      <c r="AB43" s="2"/>
    </row>
    <row r="44" spans="1:38" ht="33.75" customHeight="1" x14ac:dyDescent="0.25">
      <c r="A44" s="171" t="s">
        <v>24</v>
      </c>
      <c r="B44" s="18">
        <v>91.2</v>
      </c>
      <c r="C44" s="19">
        <v>89.9</v>
      </c>
      <c r="D44" s="19">
        <v>26.3</v>
      </c>
      <c r="E44" s="486">
        <v>90</v>
      </c>
      <c r="F44" s="108">
        <v>88.6</v>
      </c>
      <c r="G44" s="509">
        <f t="shared" si="26"/>
        <v>386</v>
      </c>
      <c r="H44" s="988"/>
      <c r="I44" s="989"/>
      <c r="J44" s="989"/>
      <c r="K44" s="989"/>
      <c r="L44" s="171" t="s">
        <v>24</v>
      </c>
      <c r="M44" s="19">
        <v>8.4</v>
      </c>
      <c r="N44" s="19">
        <v>8.3000000000000007</v>
      </c>
      <c r="O44" s="19">
        <v>1.9</v>
      </c>
      <c r="P44" s="19">
        <v>8.1999999999999993</v>
      </c>
      <c r="Q44" s="108">
        <v>8.1</v>
      </c>
      <c r="R44" s="209">
        <f t="shared" si="27"/>
        <v>34.9</v>
      </c>
      <c r="S44" s="271"/>
      <c r="T44" s="302"/>
      <c r="U44" s="2"/>
      <c r="V44" s="49"/>
      <c r="W44" s="48"/>
      <c r="X44" s="48"/>
      <c r="Y44" s="2"/>
      <c r="Z44" s="2"/>
      <c r="AA44" s="2"/>
      <c r="AB44" s="2"/>
    </row>
    <row r="45" spans="1:38" ht="33.75" customHeight="1" x14ac:dyDescent="0.25">
      <c r="A45" s="171" t="s">
        <v>20</v>
      </c>
      <c r="B45" s="532">
        <v>92.4</v>
      </c>
      <c r="C45" s="431">
        <v>91.2</v>
      </c>
      <c r="D45" s="19">
        <v>26.3</v>
      </c>
      <c r="E45" s="486">
        <v>90</v>
      </c>
      <c r="F45" s="533">
        <v>89.9</v>
      </c>
      <c r="G45" s="509">
        <f t="shared" si="26"/>
        <v>389.80000000000007</v>
      </c>
      <c r="H45" s="988"/>
      <c r="I45" s="989"/>
      <c r="J45" s="989"/>
      <c r="K45" s="989"/>
      <c r="L45" s="171" t="s">
        <v>20</v>
      </c>
      <c r="M45" s="19">
        <v>8.5</v>
      </c>
      <c r="N45" s="19">
        <v>8.3000000000000007</v>
      </c>
      <c r="O45" s="19">
        <v>1.9</v>
      </c>
      <c r="P45" s="19">
        <v>8.3000000000000007</v>
      </c>
      <c r="Q45" s="108">
        <v>8.1</v>
      </c>
      <c r="R45" s="209">
        <f t="shared" si="27"/>
        <v>35.1</v>
      </c>
      <c r="S45" s="271"/>
      <c r="T45" s="302"/>
      <c r="U45" s="2"/>
      <c r="V45" s="49"/>
      <c r="W45" s="48"/>
      <c r="X45" s="48"/>
      <c r="Y45" s="2"/>
      <c r="Z45" s="2"/>
      <c r="AA45" s="2"/>
      <c r="AB45" s="2"/>
    </row>
    <row r="46" spans="1:38" ht="33.75" customHeight="1" x14ac:dyDescent="0.25">
      <c r="A46" s="171" t="s">
        <v>28</v>
      </c>
      <c r="B46" s="142">
        <v>92.4</v>
      </c>
      <c r="C46" s="486">
        <v>91.2</v>
      </c>
      <c r="D46" s="486">
        <v>26.3</v>
      </c>
      <c r="E46" s="486">
        <v>89.8</v>
      </c>
      <c r="F46" s="537">
        <v>89.5</v>
      </c>
      <c r="G46" s="509">
        <f t="shared" si="26"/>
        <v>389.20000000000005</v>
      </c>
      <c r="H46" s="988"/>
      <c r="I46" s="989"/>
      <c r="J46" s="989"/>
      <c r="K46" s="989"/>
      <c r="L46" s="171" t="s">
        <v>28</v>
      </c>
      <c r="M46" s="19">
        <v>8.6</v>
      </c>
      <c r="N46" s="19">
        <v>8.4</v>
      </c>
      <c r="O46" s="19">
        <v>1.9</v>
      </c>
      <c r="P46" s="19">
        <v>8.3000000000000007</v>
      </c>
      <c r="Q46" s="108">
        <v>8.1999999999999993</v>
      </c>
      <c r="R46" s="209">
        <f t="shared" si="27"/>
        <v>35.4</v>
      </c>
      <c r="S46" s="271"/>
      <c r="T46" s="302"/>
      <c r="U46" s="2"/>
      <c r="V46" s="49"/>
      <c r="W46" s="48"/>
      <c r="X46" s="48"/>
      <c r="Y46" s="2"/>
      <c r="Z46" s="2"/>
      <c r="AA46" s="2"/>
      <c r="AB46" s="2"/>
    </row>
    <row r="47" spans="1:38" ht="33.75" customHeight="1" x14ac:dyDescent="0.25">
      <c r="A47" s="171" t="s">
        <v>21</v>
      </c>
      <c r="B47" s="142">
        <v>92.4</v>
      </c>
      <c r="C47" s="486">
        <v>91</v>
      </c>
      <c r="D47" s="468">
        <v>26.7</v>
      </c>
      <c r="E47" s="486">
        <v>89.8</v>
      </c>
      <c r="F47" s="537">
        <v>89.5</v>
      </c>
      <c r="G47" s="509">
        <f t="shared" si="26"/>
        <v>389.4</v>
      </c>
      <c r="H47" s="988"/>
      <c r="I47" s="989"/>
      <c r="J47" s="989"/>
      <c r="K47" s="989"/>
      <c r="L47" s="171" t="s">
        <v>21</v>
      </c>
      <c r="M47" s="19">
        <v>8.6</v>
      </c>
      <c r="N47" s="19">
        <v>8.5</v>
      </c>
      <c r="O47" s="19">
        <v>2</v>
      </c>
      <c r="P47" s="19">
        <v>8.3000000000000007</v>
      </c>
      <c r="Q47" s="108">
        <v>8.1999999999999993</v>
      </c>
      <c r="R47" s="209">
        <f>SUM(M47:Q47)</f>
        <v>35.6</v>
      </c>
      <c r="S47" s="271"/>
      <c r="T47" s="302"/>
      <c r="U47" s="2"/>
      <c r="V47" s="49"/>
      <c r="W47" s="48"/>
      <c r="X47" s="48"/>
      <c r="Y47" s="2"/>
      <c r="Z47" s="2"/>
      <c r="AA47" s="2"/>
      <c r="AB47" s="2"/>
    </row>
    <row r="48" spans="1:38" ht="33.75" customHeight="1" x14ac:dyDescent="0.25">
      <c r="A48" s="171" t="s">
        <v>22</v>
      </c>
      <c r="B48" s="142">
        <v>92.4</v>
      </c>
      <c r="C48" s="486">
        <v>90.9</v>
      </c>
      <c r="D48" s="486">
        <v>26.7</v>
      </c>
      <c r="E48" s="486">
        <v>89.8</v>
      </c>
      <c r="F48" s="543">
        <v>91.1</v>
      </c>
      <c r="G48" s="509">
        <f t="shared" si="26"/>
        <v>390.9</v>
      </c>
      <c r="H48" s="988"/>
      <c r="I48" s="989"/>
      <c r="J48" s="989"/>
      <c r="K48" s="989"/>
      <c r="L48" s="171" t="s">
        <v>22</v>
      </c>
      <c r="M48" s="19">
        <v>8.6</v>
      </c>
      <c r="N48" s="19">
        <v>8.5</v>
      </c>
      <c r="O48" s="19">
        <v>2</v>
      </c>
      <c r="P48" s="19">
        <v>8.3000000000000007</v>
      </c>
      <c r="Q48" s="108">
        <v>8.1999999999999993</v>
      </c>
      <c r="R48" s="209">
        <f>SUM(M48:Q48)</f>
        <v>35.6</v>
      </c>
      <c r="S48" s="271"/>
      <c r="T48" s="302"/>
      <c r="U48" s="2"/>
      <c r="V48" s="49"/>
      <c r="W48" s="48"/>
      <c r="X48" s="48"/>
      <c r="Y48" s="2"/>
      <c r="Z48" s="2"/>
      <c r="AA48" s="2"/>
      <c r="AB48" s="2"/>
    </row>
    <row r="49" spans="1:49" ht="33.75" customHeight="1" thickBot="1" x14ac:dyDescent="0.3">
      <c r="A49" s="285" t="s">
        <v>32</v>
      </c>
      <c r="B49" s="490">
        <v>93.7</v>
      </c>
      <c r="C49" s="468">
        <v>92.3</v>
      </c>
      <c r="D49" s="486">
        <v>26.7</v>
      </c>
      <c r="E49" s="468">
        <v>91.2</v>
      </c>
      <c r="F49" s="537">
        <v>91.1</v>
      </c>
      <c r="G49" s="526">
        <f t="shared" si="26"/>
        <v>395</v>
      </c>
      <c r="H49" s="988"/>
      <c r="I49" s="989"/>
      <c r="J49" s="989"/>
      <c r="K49" s="989"/>
      <c r="L49" s="285" t="s">
        <v>23</v>
      </c>
      <c r="M49" s="19">
        <v>8.6</v>
      </c>
      <c r="N49" s="19">
        <v>8.5</v>
      </c>
      <c r="O49" s="19">
        <v>2</v>
      </c>
      <c r="P49" s="19">
        <v>8.3000000000000007</v>
      </c>
      <c r="Q49" s="108">
        <v>8.1999999999999993</v>
      </c>
      <c r="R49" s="376">
        <f t="shared" si="27"/>
        <v>35.6</v>
      </c>
      <c r="S49" s="271"/>
      <c r="T49" s="302"/>
      <c r="U49" s="2"/>
      <c r="V49" s="49"/>
      <c r="W49" s="48"/>
      <c r="X49" s="48"/>
      <c r="Y49" s="48"/>
      <c r="Z49" s="48"/>
      <c r="AA49" s="2"/>
      <c r="AB49" s="2"/>
      <c r="AC49" s="2"/>
      <c r="AD49" s="2"/>
    </row>
    <row r="50" spans="1:49" ht="33.75" customHeight="1" x14ac:dyDescent="0.25">
      <c r="A50" s="290" t="s">
        <v>9</v>
      </c>
      <c r="B50" s="131">
        <f>SUM(B43:B49)</f>
        <v>645.70000000000005</v>
      </c>
      <c r="C50" s="128">
        <f t="shared" ref="C50:F50" si="28">SUM(C43:C49)</f>
        <v>636.4</v>
      </c>
      <c r="D50" s="128">
        <f t="shared" si="28"/>
        <v>185.19999999999996</v>
      </c>
      <c r="E50" s="128">
        <f t="shared" si="28"/>
        <v>630.6</v>
      </c>
      <c r="F50" s="129">
        <f t="shared" si="28"/>
        <v>628.30000000000007</v>
      </c>
      <c r="G50" s="265">
        <f t="shared" si="26"/>
        <v>2726.2000000000003</v>
      </c>
      <c r="H50" s="988"/>
      <c r="I50" s="989"/>
      <c r="J50" s="989"/>
      <c r="K50" s="989"/>
      <c r="L50" s="290" t="s">
        <v>9</v>
      </c>
      <c r="M50" s="133">
        <f>SUM(M43:M49)</f>
        <v>59.800000000000004</v>
      </c>
      <c r="N50" s="134">
        <f>SUM(N43:N49)</f>
        <v>58.800000000000004</v>
      </c>
      <c r="O50" s="134">
        <f>SUM(O43:O49)</f>
        <v>13.5</v>
      </c>
      <c r="P50" s="134">
        <f t="shared" ref="P50:Q50" si="29">SUM(P43:P49)</f>
        <v>57.899999999999991</v>
      </c>
      <c r="Q50" s="260">
        <f t="shared" si="29"/>
        <v>57.000000000000014</v>
      </c>
      <c r="R50" s="240">
        <f>SUM(R43:R49)</f>
        <v>246.99999999999997</v>
      </c>
      <c r="S50" s="272"/>
      <c r="U50" s="49"/>
      <c r="V50" s="49"/>
      <c r="W50" s="2"/>
      <c r="X50" s="2"/>
      <c r="Y50" s="2"/>
      <c r="Z50" s="2"/>
      <c r="AA50" s="2"/>
      <c r="AB50" s="2"/>
      <c r="AC50" s="2"/>
      <c r="AD50" s="2"/>
    </row>
    <row r="51" spans="1:49" ht="33.75" customHeight="1" x14ac:dyDescent="0.25">
      <c r="A51" s="192" t="s">
        <v>11</v>
      </c>
      <c r="B51" s="23">
        <v>140.71</v>
      </c>
      <c r="C51" s="24">
        <v>139.05000000000001</v>
      </c>
      <c r="D51" s="24">
        <v>139.05000000000001</v>
      </c>
      <c r="E51" s="24">
        <v>137.80000000000001</v>
      </c>
      <c r="F51" s="25">
        <v>137.38999999999999</v>
      </c>
      <c r="G51" s="137">
        <f>+((G50/G52)/7)*1000</f>
        <v>136.79562446685736</v>
      </c>
      <c r="H51" s="988"/>
      <c r="I51" s="989"/>
      <c r="J51" s="989"/>
      <c r="K51" s="989"/>
      <c r="L51" s="273" t="s">
        <v>11</v>
      </c>
      <c r="M51" s="23">
        <v>150</v>
      </c>
      <c r="N51" s="24">
        <v>150</v>
      </c>
      <c r="O51" s="24">
        <v>148</v>
      </c>
      <c r="P51" s="24">
        <v>150.5</v>
      </c>
      <c r="Q51" s="228">
        <v>148</v>
      </c>
      <c r="R51" s="232">
        <f>+((R50/R52)/7)*1000</f>
        <v>149.51573849878932</v>
      </c>
      <c r="S51" s="2"/>
      <c r="U51" s="50"/>
      <c r="V51" s="50"/>
    </row>
    <row r="52" spans="1:49" ht="33.75" customHeight="1" x14ac:dyDescent="0.25">
      <c r="A52" s="193" t="s">
        <v>12</v>
      </c>
      <c r="B52" s="26">
        <v>666</v>
      </c>
      <c r="C52" s="27">
        <v>664</v>
      </c>
      <c r="D52" s="27">
        <v>192</v>
      </c>
      <c r="E52" s="27">
        <v>662</v>
      </c>
      <c r="F52" s="28">
        <v>663</v>
      </c>
      <c r="G52" s="395">
        <f>SUM(B52:F52)</f>
        <v>2847</v>
      </c>
      <c r="H52" s="988"/>
      <c r="I52" s="989"/>
      <c r="J52" s="989"/>
      <c r="K52" s="989"/>
      <c r="L52" s="193" t="s">
        <v>12</v>
      </c>
      <c r="M52" s="257">
        <v>57</v>
      </c>
      <c r="N52" s="275">
        <v>56</v>
      </c>
      <c r="O52" s="275">
        <v>13</v>
      </c>
      <c r="P52" s="275">
        <v>55</v>
      </c>
      <c r="Q52" s="527">
        <v>55</v>
      </c>
      <c r="R52" s="233">
        <f>SUM(M52:Q52)</f>
        <v>236</v>
      </c>
      <c r="S52" s="2"/>
      <c r="U52" s="52"/>
      <c r="V52" s="52"/>
    </row>
    <row r="53" spans="1:49" ht="33.75" customHeight="1" x14ac:dyDescent="0.25">
      <c r="A53" s="194" t="s">
        <v>13</v>
      </c>
      <c r="B53" s="30">
        <f>((((B51*7)*B52)/1000))/7</f>
        <v>93.712860000000006</v>
      </c>
      <c r="C53" s="31">
        <f t="shared" ref="C53:F53" si="30">((((C51*7)*C52)/1000))/7</f>
        <v>92.329200000000014</v>
      </c>
      <c r="D53" s="31">
        <f t="shared" si="30"/>
        <v>26.697600000000001</v>
      </c>
      <c r="E53" s="31">
        <f t="shared" si="30"/>
        <v>91.223600000000019</v>
      </c>
      <c r="F53" s="32">
        <f t="shared" si="30"/>
        <v>91.089569999999995</v>
      </c>
      <c r="G53" s="139">
        <f>((G50*1000)/G52)/7</f>
        <v>136.79562446685736</v>
      </c>
      <c r="H53" s="988"/>
      <c r="I53" s="989"/>
      <c r="J53" s="989"/>
      <c r="K53" s="989"/>
      <c r="L53" s="194" t="s">
        <v>13</v>
      </c>
      <c r="M53" s="30">
        <f>((((M51*7)*M52)/1000)-(M43+M44))/5</f>
        <v>8.59</v>
      </c>
      <c r="N53" s="31">
        <f>((((N51*7)*N52)/1000)-(N43+N44))/5</f>
        <v>8.44</v>
      </c>
      <c r="O53" s="31">
        <f>((((O51*7)*O52)/1000)-(O43+O44))/5</f>
        <v>1.9536000000000002</v>
      </c>
      <c r="P53" s="31">
        <f>((((P51*7)*P52)/1000)-(P43+P44))/5</f>
        <v>8.3085000000000004</v>
      </c>
      <c r="Q53" s="163">
        <f t="shared" ref="Q53" si="31">((((Q51*7)*Q52)/1000)-(Q43+Q44))/5</f>
        <v>8.1759999999999984</v>
      </c>
      <c r="R53" s="234">
        <f>((R50*1000)/R52)/7</f>
        <v>149.51573849878932</v>
      </c>
      <c r="S53" s="43"/>
      <c r="U53" s="52"/>
      <c r="V53" s="52"/>
    </row>
    <row r="54" spans="1:49" ht="33.75" customHeight="1" x14ac:dyDescent="0.25">
      <c r="A54" s="185" t="s">
        <v>14</v>
      </c>
      <c r="B54" s="279">
        <f>((B52*B51)*7)/1000</f>
        <v>655.99002000000007</v>
      </c>
      <c r="C54" s="280">
        <f>((C52*C51)*7)/1000</f>
        <v>646.3044000000001</v>
      </c>
      <c r="D54" s="280">
        <f>((D52*D51)*7)/1000</f>
        <v>186.88320000000002</v>
      </c>
      <c r="E54" s="280">
        <f>((E52*E51)*7)/1000</f>
        <v>638.56520000000012</v>
      </c>
      <c r="F54" s="282">
        <f>((F52*F51)*7)/1000</f>
        <v>637.62698999999998</v>
      </c>
      <c r="G54" s="112"/>
      <c r="H54" s="988"/>
      <c r="I54" s="989"/>
      <c r="J54" s="989"/>
      <c r="K54" s="989"/>
      <c r="L54" s="185" t="s">
        <v>14</v>
      </c>
      <c r="M54" s="279">
        <f>((M52*M51)*7)/1000</f>
        <v>59.85</v>
      </c>
      <c r="N54" s="280">
        <f>((N52*N51)*7)/1000</f>
        <v>58.8</v>
      </c>
      <c r="O54" s="280">
        <f>((O52*O51)*7)/1000</f>
        <v>13.468</v>
      </c>
      <c r="P54" s="280">
        <f t="shared" ref="P54:Q54" si="32">((P52*P51)*7)/1000</f>
        <v>57.942500000000003</v>
      </c>
      <c r="Q54" s="281">
        <f t="shared" si="32"/>
        <v>56.98</v>
      </c>
      <c r="R54" s="213"/>
      <c r="S54" s="41"/>
    </row>
    <row r="55" spans="1:49" ht="33.75" customHeight="1" thickBot="1" x14ac:dyDescent="0.3">
      <c r="A55" s="195" t="s">
        <v>15</v>
      </c>
      <c r="B55" s="37">
        <f t="shared" ref="B55:E55" si="33">+(B50/B52)/7*1000</f>
        <v>138.50278850278849</v>
      </c>
      <c r="C55" s="38">
        <f t="shared" si="33"/>
        <v>136.91910499139414</v>
      </c>
      <c r="D55" s="38">
        <f t="shared" si="33"/>
        <v>137.79761904761904</v>
      </c>
      <c r="E55" s="38">
        <f t="shared" si="33"/>
        <v>136.08113940440225</v>
      </c>
      <c r="F55" s="39">
        <f>+(F50/F52)/7*1000</f>
        <v>135.38030596854128</v>
      </c>
      <c r="G55" s="140"/>
      <c r="H55" s="988"/>
      <c r="I55" s="989"/>
      <c r="J55" s="989"/>
      <c r="K55" s="989"/>
      <c r="L55" s="195" t="s">
        <v>15</v>
      </c>
      <c r="M55" s="37">
        <f>+(M50/M52)/7*1000</f>
        <v>149.87468671679198</v>
      </c>
      <c r="N55" s="38">
        <f>+(N50/N52)/7*1000</f>
        <v>150</v>
      </c>
      <c r="O55" s="38">
        <f>+(O50/O52)/7*1000</f>
        <v>148.35164835164835</v>
      </c>
      <c r="P55" s="38">
        <f t="shared" ref="P55:Q55" si="34">+(P50/P52)/7*1000</f>
        <v>150.38961038961034</v>
      </c>
      <c r="Q55" s="207">
        <f t="shared" si="34"/>
        <v>148.05194805194807</v>
      </c>
      <c r="R55" s="262"/>
      <c r="S55" s="42"/>
      <c r="U55" s="42"/>
      <c r="V55" s="42"/>
    </row>
    <row r="56" spans="1:49" ht="33.75" customHeight="1" x14ac:dyDescent="0.25">
      <c r="A56" s="41"/>
      <c r="B56" s="43">
        <f>B54-B50</f>
        <v>10.290020000000027</v>
      </c>
      <c r="C56" s="43">
        <f t="shared" ref="C56:F57" si="35">C54-C50</f>
        <v>9.9044000000001233</v>
      </c>
      <c r="D56" s="43">
        <f t="shared" si="35"/>
        <v>1.6832000000000562</v>
      </c>
      <c r="E56" s="43">
        <f>E54-E50</f>
        <v>7.9652000000000953</v>
      </c>
      <c r="F56" s="43">
        <f t="shared" si="35"/>
        <v>9.3269899999999097</v>
      </c>
      <c r="G56" s="41"/>
      <c r="H56" s="41"/>
      <c r="I56" s="41"/>
      <c r="J56" s="41"/>
      <c r="K56" s="41"/>
      <c r="L56" s="42"/>
      <c r="M56" s="42">
        <f>M54-M50</f>
        <v>4.9999999999997158E-2</v>
      </c>
      <c r="N56" s="42">
        <f t="shared" ref="N56:Q57" si="36">N54-N50</f>
        <v>0</v>
      </c>
      <c r="O56" s="42">
        <f t="shared" si="36"/>
        <v>-3.2000000000000028E-2</v>
      </c>
      <c r="P56" s="42">
        <f t="shared" si="36"/>
        <v>4.2500000000011084E-2</v>
      </c>
      <c r="Q56" s="42">
        <f t="shared" si="36"/>
        <v>-2.0000000000017337E-2</v>
      </c>
      <c r="T56" s="42"/>
      <c r="U56" s="42"/>
      <c r="V56" s="2"/>
      <c r="W56" s="2"/>
      <c r="X56" s="2"/>
      <c r="Y56" s="2"/>
      <c r="Z56" s="2"/>
    </row>
    <row r="57" spans="1:49" ht="33.75" customHeight="1" x14ac:dyDescent="0.25">
      <c r="A57" s="41"/>
      <c r="B57" s="42">
        <f>B55-B51</f>
        <v>-2.2072114972115173</v>
      </c>
      <c r="C57" s="42">
        <f>C55-C51</f>
        <v>-2.1308950086058758</v>
      </c>
      <c r="D57" s="42">
        <f t="shared" si="35"/>
        <v>-1.2523809523809746</v>
      </c>
      <c r="E57" s="42">
        <f>E55-E51</f>
        <v>-1.7188605955977607</v>
      </c>
      <c r="F57" s="42">
        <f>F55-F51</f>
        <v>-2.0096940314587073</v>
      </c>
      <c r="G57" s="41"/>
      <c r="H57" s="41"/>
      <c r="I57" s="41"/>
      <c r="J57" s="41"/>
      <c r="K57" s="42"/>
      <c r="L57" s="42"/>
      <c r="M57" s="42">
        <f>M55-M51</f>
        <v>-0.12531328320801549</v>
      </c>
      <c r="N57" s="42">
        <f t="shared" si="36"/>
        <v>0</v>
      </c>
      <c r="O57" s="42">
        <f>O55-O51</f>
        <v>0.3516483516483504</v>
      </c>
      <c r="P57" s="42">
        <f t="shared" si="36"/>
        <v>-0.11038961038966022</v>
      </c>
      <c r="Q57" s="42">
        <f t="shared" si="36"/>
        <v>5.1948051948073726E-2</v>
      </c>
      <c r="T57" s="43"/>
      <c r="U57" s="43"/>
      <c r="V57" s="2"/>
      <c r="W57" s="2"/>
      <c r="X57" s="2"/>
      <c r="Y57" s="2"/>
      <c r="AC57" s="3"/>
    </row>
    <row r="58" spans="1:49" ht="33.75" customHeight="1" x14ac:dyDescent="0.25">
      <c r="A58" s="41"/>
      <c r="B58" s="287"/>
      <c r="C58" s="287"/>
      <c r="D58" s="287"/>
      <c r="E58" s="287"/>
      <c r="F58" s="287"/>
      <c r="G58" s="264"/>
      <c r="H58" s="41"/>
      <c r="I58" s="41"/>
      <c r="J58" s="41"/>
      <c r="K58" s="41"/>
      <c r="L58" s="41"/>
      <c r="M58" s="41"/>
      <c r="N58" s="41"/>
      <c r="O58" s="42"/>
      <c r="P58" s="42"/>
      <c r="Q58" s="42"/>
      <c r="R58" s="42"/>
      <c r="S58" s="42"/>
      <c r="T58" s="42"/>
      <c r="U58" s="42"/>
      <c r="V58" s="42"/>
      <c r="W58" s="42"/>
      <c r="X58" s="43"/>
      <c r="Y58" s="43"/>
      <c r="Z58" s="43"/>
      <c r="AA58" s="2"/>
      <c r="AB58" s="2"/>
      <c r="AC58" s="2"/>
      <c r="AD58" s="2"/>
      <c r="AH58" s="3"/>
    </row>
    <row r="59" spans="1:49" ht="33.75" customHeight="1" thickBot="1" x14ac:dyDescent="0.3">
      <c r="A59" s="53"/>
      <c r="B59" s="284"/>
      <c r="C59" s="284"/>
      <c r="D59" s="284"/>
      <c r="E59" s="284"/>
      <c r="F59" s="284"/>
      <c r="G59" s="284"/>
      <c r="H59" s="54"/>
      <c r="I59" s="54"/>
      <c r="J59" s="54"/>
      <c r="K59" s="54"/>
      <c r="L59" s="54"/>
      <c r="M59" s="54"/>
      <c r="N59" s="54"/>
      <c r="O59" s="958"/>
      <c r="P59" s="958"/>
      <c r="Q59" s="283"/>
      <c r="R59" s="283"/>
      <c r="S59" s="283"/>
      <c r="T59" s="54"/>
      <c r="U59" s="55"/>
      <c r="Z59" s="43"/>
      <c r="AA59" s="43"/>
      <c r="AB59" s="43"/>
      <c r="AC59" s="2"/>
      <c r="AD59" s="2"/>
      <c r="AE59" s="2"/>
      <c r="AF59" s="2"/>
      <c r="AH59" s="2"/>
      <c r="AI59" s="2"/>
      <c r="AJ59" s="2"/>
    </row>
    <row r="60" spans="1:49" ht="33.75" customHeight="1" x14ac:dyDescent="0.25">
      <c r="A60" s="359" t="s">
        <v>19</v>
      </c>
      <c r="B60" s="986" t="s">
        <v>8</v>
      </c>
      <c r="C60" s="956"/>
      <c r="D60" s="956"/>
      <c r="E60" s="956"/>
      <c r="F60" s="956"/>
      <c r="G60" s="986" t="s">
        <v>30</v>
      </c>
      <c r="H60" s="956"/>
      <c r="I60" s="956"/>
      <c r="J60" s="956"/>
      <c r="K60" s="987"/>
      <c r="L60" s="986" t="s">
        <v>29</v>
      </c>
      <c r="M60" s="956"/>
      <c r="N60" s="956"/>
      <c r="O60" s="956"/>
      <c r="P60" s="987"/>
      <c r="Q60" s="994" t="s">
        <v>31</v>
      </c>
      <c r="R60" s="995"/>
      <c r="S60" s="995"/>
      <c r="T60" s="995"/>
      <c r="U60" s="996"/>
      <c r="V60" s="992" t="s">
        <v>9</v>
      </c>
      <c r="AE60" s="43"/>
      <c r="AF60" s="43"/>
      <c r="AG60" s="43"/>
      <c r="AH60" s="2"/>
      <c r="AI60" s="2"/>
      <c r="AJ60" s="2"/>
      <c r="AK60" s="2"/>
      <c r="AM60" s="2"/>
      <c r="AN60" s="2"/>
      <c r="AO60" s="2"/>
    </row>
    <row r="61" spans="1:49" ht="33.75" customHeight="1" thickBot="1" x14ac:dyDescent="0.3">
      <c r="A61" s="170" t="s">
        <v>34</v>
      </c>
      <c r="B61" s="360"/>
      <c r="C61" s="361"/>
      <c r="D61" s="361"/>
      <c r="E61" s="361"/>
      <c r="F61" s="361"/>
      <c r="G61" s="360"/>
      <c r="H61" s="361"/>
      <c r="I61" s="361"/>
      <c r="J61" s="361"/>
      <c r="K61" s="361"/>
      <c r="L61" s="360"/>
      <c r="M61" s="361"/>
      <c r="N61" s="361"/>
      <c r="O61" s="361"/>
      <c r="P61" s="396"/>
      <c r="Q61" s="360"/>
      <c r="R61" s="361"/>
      <c r="S61" s="361"/>
      <c r="T61" s="361"/>
      <c r="U61" s="397"/>
      <c r="V61" s="993"/>
      <c r="AC61" s="45"/>
      <c r="AD61" s="45"/>
      <c r="AE61" s="45"/>
      <c r="AF61" s="45"/>
      <c r="AG61" s="57"/>
      <c r="AH61" s="57"/>
      <c r="AI61" s="57"/>
      <c r="AJ61" s="57"/>
      <c r="AK61" s="45"/>
      <c r="AL61" s="45"/>
      <c r="AM61" s="58"/>
      <c r="AN61" s="58"/>
      <c r="AO61" s="58"/>
      <c r="AP61" s="2"/>
      <c r="AQ61" s="2"/>
      <c r="AR61" s="2"/>
      <c r="AS61" s="2"/>
      <c r="AU61" s="2"/>
      <c r="AV61" s="2"/>
      <c r="AW61" s="2"/>
    </row>
    <row r="62" spans="1:49" ht="33.75" customHeight="1" thickBot="1" x14ac:dyDescent="0.3">
      <c r="A62" s="170" t="s">
        <v>10</v>
      </c>
      <c r="B62" s="188">
        <v>1</v>
      </c>
      <c r="C62" s="168">
        <v>2</v>
      </c>
      <c r="D62" s="168">
        <v>3</v>
      </c>
      <c r="E62" s="168">
        <v>4</v>
      </c>
      <c r="F62" s="413">
        <v>5</v>
      </c>
      <c r="G62" s="188">
        <v>1</v>
      </c>
      <c r="H62" s="168">
        <v>2</v>
      </c>
      <c r="I62" s="168">
        <v>3</v>
      </c>
      <c r="J62" s="168">
        <v>4</v>
      </c>
      <c r="K62" s="168">
        <v>5</v>
      </c>
      <c r="L62" s="188">
        <v>1</v>
      </c>
      <c r="M62" s="168">
        <v>2</v>
      </c>
      <c r="N62" s="168">
        <v>3</v>
      </c>
      <c r="O62" s="168">
        <v>4</v>
      </c>
      <c r="P62" s="413">
        <v>5</v>
      </c>
      <c r="Q62" s="188">
        <v>1</v>
      </c>
      <c r="R62" s="168">
        <v>2</v>
      </c>
      <c r="S62" s="168">
        <v>3</v>
      </c>
      <c r="T62" s="168">
        <v>4</v>
      </c>
      <c r="U62" s="414">
        <v>5</v>
      </c>
      <c r="V62" s="126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57"/>
      <c r="AH62" s="57"/>
      <c r="AI62" s="57"/>
      <c r="AJ62" s="57"/>
      <c r="AK62" s="45"/>
      <c r="AL62" s="45"/>
      <c r="AM62" s="58"/>
      <c r="AN62" s="58"/>
      <c r="AO62" s="58"/>
      <c r="AP62" s="2"/>
      <c r="AQ62" s="2"/>
      <c r="AR62" s="2"/>
      <c r="AS62" s="2"/>
      <c r="AT62" s="2"/>
      <c r="AU62" s="2"/>
      <c r="AV62" s="2"/>
      <c r="AW62" s="2"/>
    </row>
    <row r="63" spans="1:49" ht="33.75" customHeight="1" x14ac:dyDescent="0.25">
      <c r="A63" s="171" t="s">
        <v>53</v>
      </c>
      <c r="B63" s="446">
        <v>8.6</v>
      </c>
      <c r="C63" s="19">
        <v>8.6999999999999993</v>
      </c>
      <c r="D63" s="19">
        <v>2.5</v>
      </c>
      <c r="E63" s="19">
        <v>8.6999999999999993</v>
      </c>
      <c r="F63" s="61">
        <v>8.5</v>
      </c>
      <c r="G63" s="446">
        <v>8.6</v>
      </c>
      <c r="H63" s="19">
        <v>8.6999999999999993</v>
      </c>
      <c r="I63" s="19">
        <v>2.8</v>
      </c>
      <c r="J63" s="19">
        <v>8.6999999999999993</v>
      </c>
      <c r="K63" s="61">
        <v>8.6999999999999993</v>
      </c>
      <c r="L63" s="446">
        <v>7.1</v>
      </c>
      <c r="M63" s="19">
        <v>7.2</v>
      </c>
      <c r="N63" s="19">
        <v>2.7</v>
      </c>
      <c r="O63" s="19">
        <v>7.2</v>
      </c>
      <c r="P63" s="20">
        <v>7.1</v>
      </c>
      <c r="Q63" s="18">
        <v>7.5</v>
      </c>
      <c r="R63" s="19">
        <v>7.5</v>
      </c>
      <c r="S63" s="19">
        <v>2.6</v>
      </c>
      <c r="T63" s="19">
        <v>7.5</v>
      </c>
      <c r="U63" s="20">
        <v>7.1</v>
      </c>
      <c r="V63" s="412">
        <f>SUM(B63:U63)</f>
        <v>137.99999999999997</v>
      </c>
      <c r="W63" s="42"/>
      <c r="X63" s="302"/>
      <c r="Y63" s="42"/>
      <c r="Z63" s="42"/>
      <c r="AA63" s="42"/>
      <c r="AB63" s="42"/>
      <c r="AC63" s="2"/>
      <c r="AD63" s="45"/>
      <c r="AE63" s="45"/>
      <c r="AF63" s="45"/>
      <c r="AG63" s="57"/>
      <c r="AH63" s="57"/>
      <c r="AI63" s="57"/>
      <c r="AJ63" s="57"/>
      <c r="AK63" s="45"/>
      <c r="AL63" s="45"/>
      <c r="AM63" s="58"/>
      <c r="AN63" s="58"/>
      <c r="AO63" s="58"/>
      <c r="AP63" s="2"/>
      <c r="AQ63" s="2"/>
      <c r="AR63" s="2"/>
      <c r="AS63" s="2"/>
      <c r="AT63" s="2"/>
      <c r="AU63" s="2"/>
      <c r="AV63" s="2"/>
      <c r="AW63" s="2"/>
    </row>
    <row r="64" spans="1:49" ht="33.75" customHeight="1" x14ac:dyDescent="0.25">
      <c r="A64" s="171" t="s">
        <v>24</v>
      </c>
      <c r="B64" s="446">
        <v>8.6999999999999993</v>
      </c>
      <c r="C64" s="19">
        <v>8.6999999999999993</v>
      </c>
      <c r="D64" s="19">
        <v>2.4</v>
      </c>
      <c r="E64" s="19">
        <v>8.6999999999999993</v>
      </c>
      <c r="F64" s="61">
        <v>8.5</v>
      </c>
      <c r="G64" s="446">
        <v>8.6</v>
      </c>
      <c r="H64" s="19">
        <v>8.6999999999999993</v>
      </c>
      <c r="I64" s="19">
        <v>2.8</v>
      </c>
      <c r="J64" s="19">
        <v>8.6999999999999993</v>
      </c>
      <c r="K64" s="61">
        <v>8.6999999999999993</v>
      </c>
      <c r="L64" s="446">
        <v>7.1</v>
      </c>
      <c r="M64" s="19">
        <v>7.2</v>
      </c>
      <c r="N64" s="19">
        <v>2.5</v>
      </c>
      <c r="O64" s="19">
        <v>7.2</v>
      </c>
      <c r="P64" s="20">
        <v>7.1</v>
      </c>
      <c r="Q64" s="18">
        <v>7.5</v>
      </c>
      <c r="R64" s="19">
        <v>7.5</v>
      </c>
      <c r="S64" s="19">
        <v>2.6</v>
      </c>
      <c r="T64" s="19">
        <v>7.5</v>
      </c>
      <c r="U64" s="20">
        <v>7.1</v>
      </c>
      <c r="V64" s="412">
        <f>SUM(B64:U64)</f>
        <v>137.79999999999998</v>
      </c>
      <c r="W64" s="42"/>
      <c r="X64" s="302"/>
      <c r="Y64" s="42"/>
      <c r="Z64" s="42"/>
      <c r="AA64" s="42"/>
      <c r="AB64" s="42"/>
      <c r="AC64" s="2"/>
      <c r="AD64" s="45"/>
      <c r="AE64" s="45"/>
      <c r="AF64" s="45"/>
      <c r="AG64" s="57"/>
      <c r="AH64" s="57"/>
      <c r="AI64" s="57"/>
      <c r="AJ64" s="57"/>
      <c r="AK64" s="45"/>
      <c r="AL64" s="45"/>
      <c r="AM64" s="58"/>
      <c r="AN64" s="58"/>
      <c r="AO64" s="58"/>
      <c r="AP64" s="2"/>
      <c r="AQ64" s="2"/>
      <c r="AR64" s="2"/>
      <c r="AS64" s="2"/>
      <c r="AT64" s="2"/>
      <c r="AU64" s="2"/>
      <c r="AV64" s="2"/>
      <c r="AW64" s="2"/>
    </row>
    <row r="65" spans="1:49" ht="33.75" customHeight="1" x14ac:dyDescent="0.25">
      <c r="A65" s="171" t="s">
        <v>20</v>
      </c>
      <c r="B65" s="446">
        <v>8.6999999999999993</v>
      </c>
      <c r="C65" s="19">
        <v>8.8000000000000007</v>
      </c>
      <c r="D65" s="19">
        <v>2.4</v>
      </c>
      <c r="E65" s="19">
        <v>8.8000000000000007</v>
      </c>
      <c r="F65" s="61">
        <v>8.6</v>
      </c>
      <c r="G65" s="446">
        <v>8.6999999999999993</v>
      </c>
      <c r="H65" s="19">
        <v>8.8000000000000007</v>
      </c>
      <c r="I65" s="19">
        <v>2.7</v>
      </c>
      <c r="J65" s="19">
        <v>8.6999999999999993</v>
      </c>
      <c r="K65" s="61">
        <v>8.6999999999999993</v>
      </c>
      <c r="L65" s="446">
        <v>7</v>
      </c>
      <c r="M65" s="19">
        <v>7.2</v>
      </c>
      <c r="N65" s="19">
        <v>2.5</v>
      </c>
      <c r="O65" s="19">
        <v>7.2</v>
      </c>
      <c r="P65" s="20">
        <v>7.3</v>
      </c>
      <c r="Q65" s="18">
        <v>7.5</v>
      </c>
      <c r="R65" s="19">
        <v>7.5</v>
      </c>
      <c r="S65" s="19">
        <v>2.6</v>
      </c>
      <c r="T65" s="19">
        <v>7.5</v>
      </c>
      <c r="U65" s="20">
        <v>7.3</v>
      </c>
      <c r="V65" s="412">
        <f>SUM(B65:U65)</f>
        <v>138.5</v>
      </c>
      <c r="W65" s="42"/>
      <c r="X65" s="302"/>
      <c r="Y65" s="42"/>
      <c r="Z65" s="42"/>
      <c r="AA65" s="42"/>
      <c r="AB65" s="42"/>
      <c r="AC65" s="2"/>
      <c r="AD65" s="45"/>
      <c r="AE65" s="45"/>
      <c r="AF65" s="45"/>
      <c r="AG65" s="57"/>
      <c r="AH65" s="57"/>
      <c r="AI65" s="57"/>
      <c r="AJ65" s="57"/>
      <c r="AK65" s="45"/>
      <c r="AL65" s="45"/>
      <c r="AM65" s="58"/>
      <c r="AN65" s="58"/>
      <c r="AO65" s="58"/>
      <c r="AP65" s="2"/>
      <c r="AQ65" s="2"/>
      <c r="AR65" s="2"/>
      <c r="AS65" s="2"/>
      <c r="AT65" s="2"/>
      <c r="AU65" s="2"/>
      <c r="AV65" s="2"/>
      <c r="AW65" s="2"/>
    </row>
    <row r="66" spans="1:49" ht="33.75" customHeight="1" x14ac:dyDescent="0.25">
      <c r="A66" s="171" t="s">
        <v>28</v>
      </c>
      <c r="B66" s="446">
        <v>8.6999999999999993</v>
      </c>
      <c r="C66" s="19">
        <v>8.8000000000000007</v>
      </c>
      <c r="D66" s="19">
        <v>2.4</v>
      </c>
      <c r="E66" s="19">
        <v>8.8000000000000007</v>
      </c>
      <c r="F66" s="61">
        <v>8.6999999999999993</v>
      </c>
      <c r="G66" s="446">
        <v>8.6999999999999993</v>
      </c>
      <c r="H66" s="19">
        <v>8.8000000000000007</v>
      </c>
      <c r="I66" s="19">
        <v>2.7</v>
      </c>
      <c r="J66" s="19">
        <v>8.8000000000000007</v>
      </c>
      <c r="K66" s="61">
        <v>8.6999999999999993</v>
      </c>
      <c r="L66" s="446">
        <v>6.9</v>
      </c>
      <c r="M66" s="19">
        <v>7.2</v>
      </c>
      <c r="N66" s="19">
        <v>2.6</v>
      </c>
      <c r="O66" s="19">
        <v>7.2</v>
      </c>
      <c r="P66" s="20">
        <v>7.3</v>
      </c>
      <c r="Q66" s="18">
        <v>7.5</v>
      </c>
      <c r="R66" s="19">
        <v>7.5</v>
      </c>
      <c r="S66" s="19">
        <v>2.6</v>
      </c>
      <c r="T66" s="19">
        <v>7.5</v>
      </c>
      <c r="U66" s="20">
        <v>7.3</v>
      </c>
      <c r="V66" s="412">
        <f t="shared" ref="V66:V70" si="37">SUM(B66:U66)</f>
        <v>138.69999999999999</v>
      </c>
      <c r="W66" s="42"/>
      <c r="X66" s="302"/>
      <c r="Y66" s="42"/>
      <c r="Z66" s="42"/>
      <c r="AA66" s="42"/>
      <c r="AB66" s="42"/>
      <c r="AC66" s="2"/>
      <c r="AD66" s="45"/>
      <c r="AE66" s="45"/>
      <c r="AF66" s="45"/>
      <c r="AG66" s="57"/>
      <c r="AH66" s="57"/>
      <c r="AI66" s="57"/>
      <c r="AJ66" s="57"/>
      <c r="AK66" s="45"/>
      <c r="AL66" s="45"/>
      <c r="AM66" s="58"/>
      <c r="AN66" s="58"/>
      <c r="AO66" s="58"/>
      <c r="AP66" s="3"/>
      <c r="AQ66" s="3"/>
      <c r="AR66" s="2"/>
      <c r="AS66" s="2"/>
      <c r="AT66" s="2"/>
      <c r="AU66" s="2"/>
      <c r="AV66" s="2"/>
      <c r="AW66" s="2"/>
    </row>
    <row r="67" spans="1:49" ht="33.75" customHeight="1" x14ac:dyDescent="0.25">
      <c r="A67" s="171" t="s">
        <v>21</v>
      </c>
      <c r="B67" s="446">
        <v>8.6999999999999993</v>
      </c>
      <c r="C67" s="19">
        <v>8.8000000000000007</v>
      </c>
      <c r="D67" s="19">
        <v>2.4</v>
      </c>
      <c r="E67" s="19">
        <v>8.8000000000000007</v>
      </c>
      <c r="F67" s="61">
        <v>8.6999999999999993</v>
      </c>
      <c r="G67" s="446">
        <v>8.6999999999999993</v>
      </c>
      <c r="H67" s="19">
        <v>8.8000000000000007</v>
      </c>
      <c r="I67" s="19">
        <v>2.7</v>
      </c>
      <c r="J67" s="19">
        <v>8.8000000000000007</v>
      </c>
      <c r="K67" s="61">
        <v>8.6999999999999993</v>
      </c>
      <c r="L67" s="446">
        <v>6.9</v>
      </c>
      <c r="M67" s="19">
        <v>7.3</v>
      </c>
      <c r="N67" s="19">
        <v>2.6</v>
      </c>
      <c r="O67" s="19">
        <v>7.3</v>
      </c>
      <c r="P67" s="20">
        <v>7.3</v>
      </c>
      <c r="Q67" s="18">
        <v>7.6</v>
      </c>
      <c r="R67" s="19">
        <v>7.6</v>
      </c>
      <c r="S67" s="19">
        <v>2.6</v>
      </c>
      <c r="T67" s="19">
        <v>7.6</v>
      </c>
      <c r="U67" s="20">
        <v>7.3</v>
      </c>
      <c r="V67" s="412">
        <f t="shared" si="37"/>
        <v>139.19999999999999</v>
      </c>
      <c r="W67" s="42"/>
      <c r="X67" s="302"/>
      <c r="Y67" s="42"/>
      <c r="Z67" s="42"/>
      <c r="AA67" s="42"/>
      <c r="AB67" s="42"/>
      <c r="AC67" s="2"/>
      <c r="AD67" s="45"/>
      <c r="AE67" s="45"/>
      <c r="AF67" s="45"/>
      <c r="AG67" s="57"/>
      <c r="AH67" s="57"/>
      <c r="AI67" s="57"/>
      <c r="AJ67" s="57"/>
      <c r="AK67" s="45"/>
      <c r="AL67" s="45"/>
      <c r="AM67" s="58"/>
      <c r="AN67" s="58"/>
      <c r="AO67" s="58"/>
      <c r="AP67" s="3"/>
      <c r="AQ67" s="3"/>
      <c r="AR67" s="2"/>
      <c r="AS67" s="2"/>
      <c r="AT67" s="2"/>
      <c r="AU67" s="2"/>
      <c r="AV67" s="2"/>
      <c r="AW67" s="2"/>
    </row>
    <row r="68" spans="1:49" ht="33.75" customHeight="1" x14ac:dyDescent="0.25">
      <c r="A68" s="171" t="s">
        <v>22</v>
      </c>
      <c r="B68" s="446">
        <v>8.8000000000000007</v>
      </c>
      <c r="C68" s="19">
        <v>8.8000000000000007</v>
      </c>
      <c r="D68" s="19">
        <v>2.5</v>
      </c>
      <c r="E68" s="19">
        <v>8.8000000000000007</v>
      </c>
      <c r="F68" s="61">
        <v>8.6999999999999993</v>
      </c>
      <c r="G68" s="446">
        <v>8.6999999999999993</v>
      </c>
      <c r="H68" s="19">
        <v>8.8000000000000007</v>
      </c>
      <c r="I68" s="19">
        <v>2.8</v>
      </c>
      <c r="J68" s="19">
        <v>8.8000000000000007</v>
      </c>
      <c r="K68" s="61">
        <v>8.6999999999999993</v>
      </c>
      <c r="L68" s="446">
        <v>6.9</v>
      </c>
      <c r="M68" s="19">
        <v>7.3</v>
      </c>
      <c r="N68" s="19">
        <v>2.6</v>
      </c>
      <c r="O68" s="19">
        <v>7.3</v>
      </c>
      <c r="P68" s="20">
        <v>7.3</v>
      </c>
      <c r="Q68" s="18">
        <v>7.6</v>
      </c>
      <c r="R68" s="19">
        <v>7.6</v>
      </c>
      <c r="S68" s="19">
        <v>2.6</v>
      </c>
      <c r="T68" s="19">
        <v>7.6</v>
      </c>
      <c r="U68" s="20">
        <v>7.3</v>
      </c>
      <c r="V68" s="412">
        <f t="shared" si="37"/>
        <v>139.49999999999997</v>
      </c>
      <c r="W68" s="42"/>
      <c r="X68" s="302"/>
      <c r="Y68" s="42"/>
      <c r="Z68" s="42"/>
      <c r="AA68" s="42"/>
      <c r="AB68" s="42"/>
      <c r="AC68" s="2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3"/>
      <c r="AQ68" s="3"/>
      <c r="AT68" s="2"/>
      <c r="AU68" s="2"/>
      <c r="AV68" s="2"/>
      <c r="AW68" s="2"/>
    </row>
    <row r="69" spans="1:49" ht="33.75" customHeight="1" thickBot="1" x14ac:dyDescent="0.3">
      <c r="A69" s="171" t="s">
        <v>23</v>
      </c>
      <c r="B69" s="446">
        <v>8.8000000000000007</v>
      </c>
      <c r="C69" s="19">
        <v>8.8000000000000007</v>
      </c>
      <c r="D69" s="19">
        <v>2.5</v>
      </c>
      <c r="E69" s="19">
        <v>8.8000000000000007</v>
      </c>
      <c r="F69" s="61">
        <v>8.6999999999999993</v>
      </c>
      <c r="G69" s="446">
        <v>8.8000000000000007</v>
      </c>
      <c r="H69" s="19">
        <v>8.8000000000000007</v>
      </c>
      <c r="I69" s="19">
        <v>2.9</v>
      </c>
      <c r="J69" s="19">
        <v>8.9</v>
      </c>
      <c r="K69" s="61">
        <v>8.8000000000000007</v>
      </c>
      <c r="L69" s="446">
        <v>7</v>
      </c>
      <c r="M69" s="19">
        <v>7.3</v>
      </c>
      <c r="N69" s="19">
        <v>2.6</v>
      </c>
      <c r="O69" s="19">
        <v>7.3</v>
      </c>
      <c r="P69" s="20">
        <v>7.3</v>
      </c>
      <c r="Q69" s="18">
        <v>7.6</v>
      </c>
      <c r="R69" s="19">
        <v>7.6</v>
      </c>
      <c r="S69" s="19">
        <v>2.7</v>
      </c>
      <c r="T69" s="19">
        <v>7.6</v>
      </c>
      <c r="U69" s="20">
        <v>7.3</v>
      </c>
      <c r="V69" s="412">
        <f t="shared" si="37"/>
        <v>140.1</v>
      </c>
      <c r="W69" s="42"/>
      <c r="X69" s="302"/>
      <c r="Y69" s="42"/>
      <c r="Z69" s="42"/>
      <c r="AA69" s="42"/>
      <c r="AB69" s="42"/>
      <c r="AC69" s="2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3"/>
      <c r="AQ69" s="3"/>
      <c r="AT69" s="2"/>
      <c r="AU69" s="2"/>
      <c r="AV69" s="2"/>
      <c r="AW69" s="2"/>
    </row>
    <row r="70" spans="1:49" ht="33.75" customHeight="1" thickBot="1" x14ac:dyDescent="0.3">
      <c r="A70" s="170" t="s">
        <v>9</v>
      </c>
      <c r="B70" s="297">
        <f t="shared" ref="B70:U70" si="38">SUM(B63:B69)</f>
        <v>60.999999999999986</v>
      </c>
      <c r="C70" s="298">
        <f t="shared" si="38"/>
        <v>61.399999999999991</v>
      </c>
      <c r="D70" s="298">
        <f t="shared" si="38"/>
        <v>17.100000000000001</v>
      </c>
      <c r="E70" s="298">
        <f t="shared" si="38"/>
        <v>61.399999999999991</v>
      </c>
      <c r="F70" s="299">
        <f t="shared" si="38"/>
        <v>60.400000000000006</v>
      </c>
      <c r="G70" s="297">
        <f t="shared" si="38"/>
        <v>60.8</v>
      </c>
      <c r="H70" s="298">
        <f t="shared" si="38"/>
        <v>61.399999999999991</v>
      </c>
      <c r="I70" s="298">
        <f t="shared" si="38"/>
        <v>19.399999999999999</v>
      </c>
      <c r="J70" s="298">
        <f t="shared" si="38"/>
        <v>61.4</v>
      </c>
      <c r="K70" s="298">
        <f t="shared" si="38"/>
        <v>61</v>
      </c>
      <c r="L70" s="297">
        <f t="shared" si="38"/>
        <v>48.9</v>
      </c>
      <c r="M70" s="298">
        <f t="shared" si="38"/>
        <v>50.699999999999996</v>
      </c>
      <c r="N70" s="298">
        <f t="shared" si="38"/>
        <v>18.100000000000001</v>
      </c>
      <c r="O70" s="298">
        <f t="shared" si="38"/>
        <v>50.699999999999996</v>
      </c>
      <c r="P70" s="299">
        <f t="shared" si="38"/>
        <v>50.699999999999996</v>
      </c>
      <c r="Q70" s="297">
        <f t="shared" si="38"/>
        <v>52.800000000000004</v>
      </c>
      <c r="R70" s="298">
        <f t="shared" si="38"/>
        <v>52.800000000000004</v>
      </c>
      <c r="S70" s="298">
        <f t="shared" si="38"/>
        <v>18.3</v>
      </c>
      <c r="T70" s="298">
        <f t="shared" si="38"/>
        <v>52.800000000000004</v>
      </c>
      <c r="U70" s="448">
        <f t="shared" si="38"/>
        <v>50.699999999999996</v>
      </c>
      <c r="V70" s="449">
        <f t="shared" si="37"/>
        <v>971.8</v>
      </c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3"/>
      <c r="AQ70" s="3"/>
      <c r="AR70" s="3"/>
      <c r="AS70" s="3"/>
      <c r="AT70" s="2"/>
      <c r="AU70" s="2"/>
      <c r="AV70" s="2"/>
      <c r="AW70" s="2"/>
    </row>
    <row r="71" spans="1:49" ht="33.75" customHeight="1" x14ac:dyDescent="0.25">
      <c r="A71" s="192" t="s">
        <v>11</v>
      </c>
      <c r="B71" s="357">
        <v>153</v>
      </c>
      <c r="C71" s="358">
        <v>154</v>
      </c>
      <c r="D71" s="358">
        <v>153</v>
      </c>
      <c r="E71" s="358">
        <v>154</v>
      </c>
      <c r="F71" s="358">
        <v>154</v>
      </c>
      <c r="G71" s="357">
        <v>152.5</v>
      </c>
      <c r="H71" s="358">
        <v>154</v>
      </c>
      <c r="I71" s="358">
        <v>154</v>
      </c>
      <c r="J71" s="358">
        <v>154</v>
      </c>
      <c r="K71" s="358">
        <v>153</v>
      </c>
      <c r="L71" s="357">
        <v>152</v>
      </c>
      <c r="M71" s="358">
        <v>154</v>
      </c>
      <c r="N71" s="358">
        <v>152</v>
      </c>
      <c r="O71" s="358">
        <v>154</v>
      </c>
      <c r="P71" s="358">
        <v>154</v>
      </c>
      <c r="Q71" s="357">
        <v>154</v>
      </c>
      <c r="R71" s="358">
        <v>154</v>
      </c>
      <c r="S71" s="358">
        <v>154</v>
      </c>
      <c r="T71" s="358">
        <v>154</v>
      </c>
      <c r="U71" s="358">
        <v>154</v>
      </c>
      <c r="V71" s="296">
        <f>+((V70/V72)/7)*1000</f>
        <v>153.57142857142856</v>
      </c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3"/>
      <c r="AQ71" s="3"/>
      <c r="AR71" s="3"/>
      <c r="AS71" s="3"/>
      <c r="AT71" s="2"/>
      <c r="AU71" s="2"/>
      <c r="AV71" s="2"/>
      <c r="AW71" s="2"/>
    </row>
    <row r="72" spans="1:49" ht="33.75" customHeight="1" x14ac:dyDescent="0.25">
      <c r="A72" s="193" t="s">
        <v>12</v>
      </c>
      <c r="B72" s="257">
        <v>57</v>
      </c>
      <c r="C72" s="275">
        <v>57</v>
      </c>
      <c r="D72" s="275">
        <v>16</v>
      </c>
      <c r="E72" s="275">
        <v>57</v>
      </c>
      <c r="F72" s="275">
        <v>56</v>
      </c>
      <c r="G72" s="257">
        <v>57</v>
      </c>
      <c r="H72" s="275">
        <v>57</v>
      </c>
      <c r="I72" s="275">
        <v>18</v>
      </c>
      <c r="J72" s="275">
        <v>57</v>
      </c>
      <c r="K72" s="275">
        <v>57</v>
      </c>
      <c r="L72" s="257">
        <v>46</v>
      </c>
      <c r="M72" s="275">
        <v>47</v>
      </c>
      <c r="N72" s="275">
        <v>17</v>
      </c>
      <c r="O72" s="275">
        <v>47</v>
      </c>
      <c r="P72" s="275">
        <v>47</v>
      </c>
      <c r="Q72" s="257">
        <v>49</v>
      </c>
      <c r="R72" s="275">
        <v>49</v>
      </c>
      <c r="S72" s="275">
        <v>17</v>
      </c>
      <c r="T72" s="275">
        <v>49</v>
      </c>
      <c r="U72" s="275">
        <v>47</v>
      </c>
      <c r="V72" s="254">
        <f>SUM(B72:U72)</f>
        <v>904</v>
      </c>
      <c r="AC72" s="59"/>
      <c r="AG72" s="3"/>
      <c r="AH72" s="3"/>
      <c r="AI72" s="3"/>
      <c r="AJ72" s="3"/>
      <c r="AK72" s="3"/>
      <c r="AL72" s="3"/>
    </row>
    <row r="73" spans="1:49" ht="33.75" customHeight="1" x14ac:dyDescent="0.25">
      <c r="A73" s="194" t="s">
        <v>13</v>
      </c>
      <c r="B73" s="30">
        <f>((((B71*7)*B72)/1000)-(B63+B64))/5</f>
        <v>8.7493999999999996</v>
      </c>
      <c r="C73" s="31">
        <f t="shared" ref="C73:F73" si="39">((((C71*7)*C72)/1000)-(C63+C64))/5</f>
        <v>8.8092000000000006</v>
      </c>
      <c r="D73" s="31">
        <f t="shared" si="39"/>
        <v>2.4471999999999996</v>
      </c>
      <c r="E73" s="31">
        <f t="shared" si="39"/>
        <v>8.8092000000000006</v>
      </c>
      <c r="F73" s="31">
        <f t="shared" si="39"/>
        <v>8.6736000000000004</v>
      </c>
      <c r="G73" s="30">
        <f>((((G71*7)*G72)/1000)-(G63+G64))/5</f>
        <v>8.729499999999998</v>
      </c>
      <c r="H73" s="31">
        <f t="shared" ref="H73:K73" si="40">((((H71*7)*H72)/1000)-(H63+H64))/5</f>
        <v>8.8092000000000006</v>
      </c>
      <c r="I73" s="31">
        <f t="shared" si="40"/>
        <v>2.7608000000000001</v>
      </c>
      <c r="J73" s="31">
        <f t="shared" si="40"/>
        <v>8.8092000000000006</v>
      </c>
      <c r="K73" s="31">
        <f t="shared" si="40"/>
        <v>8.7294</v>
      </c>
      <c r="L73" s="30">
        <f>((((L71*7)*L72)/1000)-(L63+L64))/5</f>
        <v>6.9488000000000003</v>
      </c>
      <c r="M73" s="31">
        <f t="shared" ref="M73:P73" si="41">((((M71*7)*M72)/1000)-(M63+M64))/5</f>
        <v>7.2531999999999996</v>
      </c>
      <c r="N73" s="31">
        <f t="shared" si="41"/>
        <v>2.5776000000000003</v>
      </c>
      <c r="O73" s="31">
        <f t="shared" si="41"/>
        <v>7.2531999999999996</v>
      </c>
      <c r="P73" s="31">
        <f t="shared" si="41"/>
        <v>7.2931999999999988</v>
      </c>
      <c r="Q73" s="30">
        <f>((((Q71*7)*Q72)/1000)-(Q63+Q64))/5</f>
        <v>7.5644000000000009</v>
      </c>
      <c r="R73" s="31">
        <f t="shared" ref="R73:U73" si="42">((((R71*7)*R72)/1000)-(R63+R64))/5</f>
        <v>7.5644000000000009</v>
      </c>
      <c r="S73" s="31">
        <f t="shared" si="42"/>
        <v>2.6252000000000004</v>
      </c>
      <c r="T73" s="31">
        <f t="shared" si="42"/>
        <v>7.5644000000000009</v>
      </c>
      <c r="U73" s="31">
        <f t="shared" si="42"/>
        <v>7.2931999999999988</v>
      </c>
      <c r="V73" s="139">
        <f>((V70*100)/V72)/7</f>
        <v>15.357142857142858</v>
      </c>
      <c r="AG73" s="3"/>
      <c r="AH73" s="3"/>
      <c r="AI73" s="3"/>
      <c r="AJ73" s="3"/>
      <c r="AK73" s="3"/>
      <c r="AL73" s="3"/>
    </row>
    <row r="74" spans="1:49" ht="33.75" customHeight="1" x14ac:dyDescent="0.25">
      <c r="A74" s="185" t="s">
        <v>14</v>
      </c>
      <c r="B74" s="279">
        <f t="shared" ref="B74:U74" si="43">((B72*B71)*7)/1000</f>
        <v>61.046999999999997</v>
      </c>
      <c r="C74" s="280">
        <f t="shared" si="43"/>
        <v>61.445999999999998</v>
      </c>
      <c r="D74" s="280">
        <f t="shared" si="43"/>
        <v>17.135999999999999</v>
      </c>
      <c r="E74" s="280">
        <f t="shared" si="43"/>
        <v>61.445999999999998</v>
      </c>
      <c r="F74" s="280">
        <f t="shared" si="43"/>
        <v>60.368000000000002</v>
      </c>
      <c r="G74" s="279">
        <f t="shared" si="43"/>
        <v>60.847499999999997</v>
      </c>
      <c r="H74" s="280">
        <f t="shared" si="43"/>
        <v>61.445999999999998</v>
      </c>
      <c r="I74" s="280">
        <f t="shared" si="43"/>
        <v>19.404</v>
      </c>
      <c r="J74" s="280">
        <f t="shared" si="43"/>
        <v>61.445999999999998</v>
      </c>
      <c r="K74" s="280">
        <f t="shared" si="43"/>
        <v>61.046999999999997</v>
      </c>
      <c r="L74" s="279">
        <f t="shared" si="43"/>
        <v>48.944000000000003</v>
      </c>
      <c r="M74" s="280">
        <f t="shared" si="43"/>
        <v>50.665999999999997</v>
      </c>
      <c r="N74" s="280">
        <f t="shared" si="43"/>
        <v>18.088000000000001</v>
      </c>
      <c r="O74" s="280">
        <f t="shared" si="43"/>
        <v>50.665999999999997</v>
      </c>
      <c r="P74" s="280">
        <f t="shared" si="43"/>
        <v>50.665999999999997</v>
      </c>
      <c r="Q74" s="279">
        <f t="shared" si="43"/>
        <v>52.822000000000003</v>
      </c>
      <c r="R74" s="280">
        <f t="shared" si="43"/>
        <v>52.822000000000003</v>
      </c>
      <c r="S74" s="280">
        <f t="shared" si="43"/>
        <v>18.326000000000001</v>
      </c>
      <c r="T74" s="280">
        <f t="shared" si="43"/>
        <v>52.822000000000003</v>
      </c>
      <c r="U74" s="280">
        <f t="shared" si="43"/>
        <v>50.665999999999997</v>
      </c>
      <c r="V74" s="112"/>
      <c r="W74" s="41"/>
      <c r="X74" s="41"/>
      <c r="Y74" s="41"/>
      <c r="Z74" s="41"/>
      <c r="AA74" s="41"/>
      <c r="AB74" s="41"/>
      <c r="AL74" s="3"/>
    </row>
    <row r="75" spans="1:49" ht="33.75" customHeight="1" thickBot="1" x14ac:dyDescent="0.3">
      <c r="A75" s="195" t="s">
        <v>15</v>
      </c>
      <c r="B75" s="37">
        <f t="shared" ref="B75:U75" si="44">+(B70/B72)/7*1000</f>
        <v>152.88220551378441</v>
      </c>
      <c r="C75" s="38">
        <f t="shared" si="44"/>
        <v>153.88471177944859</v>
      </c>
      <c r="D75" s="38">
        <f t="shared" si="44"/>
        <v>152.67857142857144</v>
      </c>
      <c r="E75" s="38">
        <f t="shared" si="44"/>
        <v>153.88471177944859</v>
      </c>
      <c r="F75" s="38">
        <f t="shared" si="44"/>
        <v>154.08163265306123</v>
      </c>
      <c r="G75" s="37">
        <f t="shared" si="44"/>
        <v>152.38095238095238</v>
      </c>
      <c r="H75" s="38">
        <f t="shared" si="44"/>
        <v>153.88471177944859</v>
      </c>
      <c r="I75" s="38">
        <f t="shared" si="44"/>
        <v>153.96825396825395</v>
      </c>
      <c r="J75" s="38">
        <f t="shared" si="44"/>
        <v>153.88471177944862</v>
      </c>
      <c r="K75" s="38">
        <f t="shared" si="44"/>
        <v>152.88220551378444</v>
      </c>
      <c r="L75" s="37">
        <f t="shared" si="44"/>
        <v>151.86335403726707</v>
      </c>
      <c r="M75" s="38">
        <f t="shared" si="44"/>
        <v>154.10334346504558</v>
      </c>
      <c r="N75" s="38">
        <f t="shared" si="44"/>
        <v>152.10084033613444</v>
      </c>
      <c r="O75" s="38">
        <f t="shared" si="44"/>
        <v>154.10334346504558</v>
      </c>
      <c r="P75" s="38">
        <f t="shared" si="44"/>
        <v>154.10334346504558</v>
      </c>
      <c r="Q75" s="37">
        <f t="shared" si="44"/>
        <v>153.93586005830903</v>
      </c>
      <c r="R75" s="38">
        <f t="shared" si="44"/>
        <v>153.93586005830903</v>
      </c>
      <c r="S75" s="38">
        <f t="shared" si="44"/>
        <v>153.781512605042</v>
      </c>
      <c r="T75" s="38">
        <f t="shared" si="44"/>
        <v>153.93586005830903</v>
      </c>
      <c r="U75" s="38">
        <f t="shared" si="44"/>
        <v>154.10334346504558</v>
      </c>
      <c r="V75" s="40"/>
      <c r="AL75" s="3"/>
    </row>
    <row r="76" spans="1:49" ht="33.75" customHeight="1" x14ac:dyDescent="0.25">
      <c r="B76" s="43">
        <f>B74-B70</f>
        <v>4.7000000000011255E-2</v>
      </c>
      <c r="C76" s="43">
        <f t="shared" ref="C76:F76" si="45">C74-C70</f>
        <v>4.600000000000648E-2</v>
      </c>
      <c r="D76" s="43">
        <f t="shared" si="45"/>
        <v>3.5999999999997812E-2</v>
      </c>
      <c r="E76" s="43">
        <f t="shared" si="45"/>
        <v>4.600000000000648E-2</v>
      </c>
      <c r="F76" s="43">
        <f t="shared" si="45"/>
        <v>-3.2000000000003581E-2</v>
      </c>
      <c r="G76" s="43">
        <f>G74-G70</f>
        <v>4.7499999999999432E-2</v>
      </c>
      <c r="H76" s="43">
        <f t="shared" ref="H76:K77" si="46">H74-H70</f>
        <v>4.600000000000648E-2</v>
      </c>
      <c r="I76" s="43">
        <f t="shared" si="46"/>
        <v>4.0000000000013358E-3</v>
      </c>
      <c r="J76" s="43">
        <f t="shared" si="46"/>
        <v>4.5999999999999375E-2</v>
      </c>
      <c r="K76" s="43">
        <f t="shared" si="46"/>
        <v>4.6999999999997044E-2</v>
      </c>
      <c r="L76" s="43">
        <f>L74-L70</f>
        <v>4.4000000000004036E-2</v>
      </c>
      <c r="M76" s="43">
        <f t="shared" ref="M76:P76" si="47">M74-M70</f>
        <v>-3.399999999999892E-2</v>
      </c>
      <c r="N76" s="43">
        <f t="shared" si="47"/>
        <v>-1.2000000000000455E-2</v>
      </c>
      <c r="O76" s="43">
        <f t="shared" si="47"/>
        <v>-3.399999999999892E-2</v>
      </c>
      <c r="P76" s="43">
        <f t="shared" si="47"/>
        <v>-3.399999999999892E-2</v>
      </c>
      <c r="Q76" s="43">
        <f>Q74-Q70</f>
        <v>2.1999999999998465E-2</v>
      </c>
      <c r="R76" s="43">
        <f t="shared" ref="R76:U76" si="48">R74-R70</f>
        <v>2.1999999999998465E-2</v>
      </c>
      <c r="S76" s="43">
        <f t="shared" si="48"/>
        <v>2.5999999999999801E-2</v>
      </c>
      <c r="T76" s="43">
        <f t="shared" si="48"/>
        <v>2.1999999999998465E-2</v>
      </c>
      <c r="U76" s="43">
        <f t="shared" si="48"/>
        <v>-3.399999999999892E-2</v>
      </c>
    </row>
    <row r="77" spans="1:49" ht="33.75" customHeight="1" x14ac:dyDescent="0.25">
      <c r="B77" s="42">
        <f t="shared" ref="B77:U77" si="49">B75-B71</f>
        <v>-0.11779448621558686</v>
      </c>
      <c r="C77" s="42">
        <f t="shared" si="49"/>
        <v>-0.11528822055140608</v>
      </c>
      <c r="D77" s="42">
        <f t="shared" si="49"/>
        <v>-0.32142857142855519</v>
      </c>
      <c r="E77" s="42">
        <f t="shared" si="49"/>
        <v>-0.11528822055140608</v>
      </c>
      <c r="F77" s="42">
        <f t="shared" si="49"/>
        <v>8.163265306123435E-2</v>
      </c>
      <c r="G77" s="42">
        <f t="shared" si="49"/>
        <v>-0.1190476190476204</v>
      </c>
      <c r="H77" s="42">
        <f t="shared" si="49"/>
        <v>-0.11528822055140608</v>
      </c>
      <c r="I77" s="42">
        <f>I75-I71</f>
        <v>-3.174603174605295E-2</v>
      </c>
      <c r="J77" s="42">
        <f t="shared" si="49"/>
        <v>-0.11528822055137766</v>
      </c>
      <c r="K77" s="42">
        <f t="shared" si="46"/>
        <v>-0.11779448621555844</v>
      </c>
      <c r="L77" s="42">
        <f t="shared" si="49"/>
        <v>-0.13664596273292773</v>
      </c>
      <c r="M77" s="42">
        <f t="shared" si="49"/>
        <v>0.10334346504558312</v>
      </c>
      <c r="N77" s="42">
        <f t="shared" si="49"/>
        <v>0.10084033613443921</v>
      </c>
      <c r="O77" s="42">
        <f t="shared" si="49"/>
        <v>0.10334346504558312</v>
      </c>
      <c r="P77" s="42">
        <f t="shared" si="49"/>
        <v>0.10334346504558312</v>
      </c>
      <c r="Q77" s="42">
        <f t="shared" si="49"/>
        <v>-6.4139941690967817E-2</v>
      </c>
      <c r="R77" s="42">
        <f t="shared" si="49"/>
        <v>-6.4139941690967817E-2</v>
      </c>
      <c r="S77" s="42">
        <f t="shared" si="49"/>
        <v>-0.21848739495800373</v>
      </c>
      <c r="T77" s="42">
        <f t="shared" si="49"/>
        <v>-6.4139941690967817E-2</v>
      </c>
      <c r="U77" s="42">
        <f t="shared" si="49"/>
        <v>0.10334346504558312</v>
      </c>
      <c r="V77" s="45"/>
      <c r="W77" s="45"/>
      <c r="X77" s="45"/>
      <c r="Y77" s="45"/>
      <c r="Z77" s="45"/>
      <c r="AA77" s="45"/>
      <c r="AB77" s="45"/>
      <c r="AC77" s="52"/>
    </row>
    <row r="78" spans="1:49" ht="33.75" customHeight="1" x14ac:dyDescent="0.25">
      <c r="B78" s="287"/>
      <c r="C78" s="287"/>
      <c r="D78" s="287"/>
      <c r="E78" s="287"/>
      <c r="F78" s="287"/>
    </row>
    <row r="79" spans="1:49" ht="33.75" customHeight="1" x14ac:dyDescent="0.25">
      <c r="A79" s="45"/>
      <c r="B79" s="283"/>
      <c r="C79" s="283"/>
      <c r="D79" s="283"/>
      <c r="E79" s="283"/>
      <c r="F79" s="283"/>
      <c r="G79" s="58"/>
      <c r="H79" s="45"/>
      <c r="I79" s="45"/>
      <c r="J79" s="45"/>
      <c r="K79" s="45"/>
      <c r="L79" s="45"/>
      <c r="M79" s="45"/>
      <c r="N79" s="45"/>
      <c r="O79" s="45"/>
    </row>
    <row r="80" spans="1:49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21">
    <mergeCell ref="V60:V61"/>
    <mergeCell ref="H43:K55"/>
    <mergeCell ref="O59:P59"/>
    <mergeCell ref="B60:F60"/>
    <mergeCell ref="G60:K60"/>
    <mergeCell ref="L60:P60"/>
    <mergeCell ref="Q60:U60"/>
    <mergeCell ref="R40:R41"/>
    <mergeCell ref="A3:C3"/>
    <mergeCell ref="E9:G9"/>
    <mergeCell ref="W9:X9"/>
    <mergeCell ref="O11:P11"/>
    <mergeCell ref="B16:H16"/>
    <mergeCell ref="I16:O16"/>
    <mergeCell ref="P16:T16"/>
    <mergeCell ref="U16:Y16"/>
    <mergeCell ref="H17:H18"/>
    <mergeCell ref="O17:O18"/>
    <mergeCell ref="B40:F40"/>
    <mergeCell ref="G40:G42"/>
    <mergeCell ref="M40:Q40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44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29</v>
      </c>
      <c r="P11" s="965"/>
      <c r="Q11" s="6"/>
      <c r="R11" s="6"/>
      <c r="S11" s="6"/>
      <c r="T11" s="1"/>
      <c r="U11" s="1"/>
      <c r="V11" s="1" t="s">
        <v>6</v>
      </c>
      <c r="W11" s="95">
        <v>45536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34</v>
      </c>
      <c r="B17" s="425"/>
      <c r="C17" s="168"/>
      <c r="D17" s="168"/>
      <c r="E17" s="168"/>
      <c r="F17" s="168"/>
      <c r="G17" s="204"/>
      <c r="H17" s="997" t="s">
        <v>109</v>
      </c>
      <c r="I17" s="188"/>
      <c r="J17" s="168"/>
      <c r="K17" s="168"/>
      <c r="L17" s="168"/>
      <c r="M17" s="168"/>
      <c r="N17" s="169"/>
      <c r="O17" s="997" t="s">
        <v>109</v>
      </c>
      <c r="P17" s="202"/>
      <c r="Q17" s="174"/>
      <c r="R17" s="174"/>
      <c r="S17" s="174"/>
      <c r="T17" s="203"/>
      <c r="U17" s="186"/>
      <c r="V17" s="174"/>
      <c r="W17" s="174"/>
      <c r="X17" s="174"/>
      <c r="Y17" s="175"/>
      <c r="Z17" s="261" t="s">
        <v>9</v>
      </c>
      <c r="AD17" s="15"/>
      <c r="AE17" s="15"/>
    </row>
    <row r="18" spans="1:40" ht="39.950000000000003" customHeight="1" thickBot="1" x14ac:dyDescent="0.3">
      <c r="A18" s="170" t="s">
        <v>10</v>
      </c>
      <c r="B18" s="425" t="s">
        <v>100</v>
      </c>
      <c r="C18" s="168">
        <v>1</v>
      </c>
      <c r="D18" s="168">
        <v>2</v>
      </c>
      <c r="E18" s="168">
        <v>3</v>
      </c>
      <c r="F18" s="168">
        <v>4</v>
      </c>
      <c r="G18" s="204">
        <v>5</v>
      </c>
      <c r="H18" s="998"/>
      <c r="I18" s="386" t="s">
        <v>100</v>
      </c>
      <c r="J18" s="438">
        <v>1</v>
      </c>
      <c r="K18" s="438">
        <v>2</v>
      </c>
      <c r="L18" s="438">
        <v>3</v>
      </c>
      <c r="M18" s="438">
        <v>4</v>
      </c>
      <c r="N18" s="439">
        <v>5</v>
      </c>
      <c r="O18" s="998"/>
      <c r="P18" s="202">
        <v>1</v>
      </c>
      <c r="Q18" s="174">
        <v>2</v>
      </c>
      <c r="R18" s="174">
        <v>3</v>
      </c>
      <c r="S18" s="174">
        <v>4</v>
      </c>
      <c r="T18" s="203">
        <v>5</v>
      </c>
      <c r="U18" s="186">
        <v>1</v>
      </c>
      <c r="V18" s="174">
        <v>2</v>
      </c>
      <c r="W18" s="174">
        <v>3</v>
      </c>
      <c r="X18" s="174">
        <v>4</v>
      </c>
      <c r="Y18" s="175">
        <v>5</v>
      </c>
      <c r="Z18" s="126"/>
      <c r="AD18" s="2"/>
      <c r="AE18" s="15"/>
    </row>
    <row r="19" spans="1:40" ht="39.950000000000003" customHeight="1" x14ac:dyDescent="0.25">
      <c r="A19" s="171" t="s">
        <v>53</v>
      </c>
      <c r="B19" s="503">
        <v>304.39999999999998</v>
      </c>
      <c r="C19" s="504">
        <v>18</v>
      </c>
      <c r="D19" s="540">
        <v>21.1</v>
      </c>
      <c r="E19" s="504">
        <v>4.7</v>
      </c>
      <c r="F19" s="504">
        <v>21.1</v>
      </c>
      <c r="G19" s="505">
        <v>18.7</v>
      </c>
      <c r="H19" s="506">
        <f t="shared" ref="H19:H20" si="0">B19+C19+D19+E19+F19+G19</f>
        <v>388</v>
      </c>
      <c r="I19" s="142">
        <v>293.8</v>
      </c>
      <c r="J19" s="540">
        <v>23</v>
      </c>
      <c r="K19" s="504">
        <v>21.4</v>
      </c>
      <c r="L19" s="510">
        <v>5.2</v>
      </c>
      <c r="M19" s="504">
        <v>18.3</v>
      </c>
      <c r="N19" s="544">
        <v>22.8</v>
      </c>
      <c r="O19" s="506">
        <f t="shared" ref="O19:O20" si="1">I19+J19+K19+L19+M19+N19</f>
        <v>384.5</v>
      </c>
      <c r="P19" s="515">
        <v>72.5</v>
      </c>
      <c r="Q19" s="540">
        <v>75.3</v>
      </c>
      <c r="R19" s="504">
        <v>27.2</v>
      </c>
      <c r="S19" s="504">
        <v>75.599999999999994</v>
      </c>
      <c r="T19" s="507">
        <v>75.8</v>
      </c>
      <c r="U19" s="508">
        <v>75.7</v>
      </c>
      <c r="V19" s="504">
        <v>79.5</v>
      </c>
      <c r="W19" s="504">
        <v>27.8</v>
      </c>
      <c r="X19" s="504">
        <v>79.400000000000006</v>
      </c>
      <c r="Y19" s="507">
        <v>78.900000000000006</v>
      </c>
      <c r="Z19" s="209">
        <f>SUM(H19,O19,P19:Y19)</f>
        <v>1440.2000000000003</v>
      </c>
      <c r="AA19" s="301"/>
      <c r="AB19" s="302"/>
      <c r="AD19" s="2"/>
      <c r="AE19" s="15"/>
    </row>
    <row r="20" spans="1:40" ht="39.950000000000003" customHeight="1" x14ac:dyDescent="0.25">
      <c r="A20" s="171" t="s">
        <v>24</v>
      </c>
      <c r="B20" s="503">
        <v>304.39999999999998</v>
      </c>
      <c r="C20" s="540">
        <v>20.6</v>
      </c>
      <c r="D20" s="504">
        <v>21.1</v>
      </c>
      <c r="E20" s="504">
        <v>4.7</v>
      </c>
      <c r="F20" s="545">
        <v>23.8</v>
      </c>
      <c r="G20" s="546">
        <v>21.2</v>
      </c>
      <c r="H20" s="506">
        <f t="shared" si="0"/>
        <v>395.8</v>
      </c>
      <c r="I20" s="142">
        <v>293.8</v>
      </c>
      <c r="J20" s="504">
        <v>23</v>
      </c>
      <c r="K20" s="540">
        <v>24</v>
      </c>
      <c r="L20" s="504">
        <v>5.2</v>
      </c>
      <c r="M20" s="536">
        <v>20.6</v>
      </c>
      <c r="N20" s="507">
        <v>22.8</v>
      </c>
      <c r="O20" s="506">
        <f t="shared" si="1"/>
        <v>389.40000000000003</v>
      </c>
      <c r="P20" s="515">
        <v>72.5</v>
      </c>
      <c r="Q20" s="504">
        <v>75.3</v>
      </c>
      <c r="R20" s="504">
        <v>27.2</v>
      </c>
      <c r="S20" s="504">
        <v>75.599999999999994</v>
      </c>
      <c r="T20" s="507">
        <v>75.8</v>
      </c>
      <c r="U20" s="508">
        <v>75.7</v>
      </c>
      <c r="V20" s="504">
        <v>79.5</v>
      </c>
      <c r="W20" s="504">
        <v>27.8</v>
      </c>
      <c r="X20" s="504">
        <v>79.400000000000006</v>
      </c>
      <c r="Y20" s="507">
        <v>78.900000000000006</v>
      </c>
      <c r="Z20" s="209">
        <f t="shared" ref="Z20:Z25" si="2">SUM(H20,O20,P20:Y20)</f>
        <v>1452.9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75" customHeight="1" x14ac:dyDescent="0.25">
      <c r="A21" s="171" t="s">
        <v>20</v>
      </c>
      <c r="B21" s="503">
        <v>304.39999999999998</v>
      </c>
      <c r="C21" s="504">
        <v>20.6</v>
      </c>
      <c r="D21" s="545">
        <v>23.8</v>
      </c>
      <c r="E21" s="504">
        <v>4.7</v>
      </c>
      <c r="F21" s="548">
        <v>26.9</v>
      </c>
      <c r="G21" s="549">
        <v>24</v>
      </c>
      <c r="H21" s="506">
        <f t="shared" ref="H21" si="3">B21+C21+D21+E21+F21+G21</f>
        <v>404.4</v>
      </c>
      <c r="I21" s="142">
        <v>293.8</v>
      </c>
      <c r="J21" s="504">
        <v>23</v>
      </c>
      <c r="K21" s="504">
        <v>24</v>
      </c>
      <c r="L21" s="504">
        <v>5.2</v>
      </c>
      <c r="M21" s="504">
        <v>20.6</v>
      </c>
      <c r="N21" s="550">
        <v>25.7</v>
      </c>
      <c r="O21" s="506">
        <f t="shared" ref="O21" si="4">I21+J21+K21+L21+M21+N21</f>
        <v>392.3</v>
      </c>
      <c r="P21" s="552">
        <v>74.3</v>
      </c>
      <c r="Q21" s="504">
        <v>75.3</v>
      </c>
      <c r="R21" s="504">
        <v>27.2</v>
      </c>
      <c r="S21" s="504">
        <v>75.599999999999994</v>
      </c>
      <c r="T21" s="507">
        <v>75.8</v>
      </c>
      <c r="U21" s="551">
        <v>77.599999999999994</v>
      </c>
      <c r="V21" s="504">
        <v>79.5</v>
      </c>
      <c r="W21" s="536">
        <v>28.5</v>
      </c>
      <c r="X21" s="504">
        <v>79.400000000000006</v>
      </c>
      <c r="Y21" s="507">
        <v>78.900000000000006</v>
      </c>
      <c r="Z21" s="209">
        <f>SUM(H21,O21,P21:Y21)</f>
        <v>1468.8</v>
      </c>
      <c r="AA21" s="520"/>
      <c r="AB21" s="521"/>
      <c r="AC21" s="522"/>
      <c r="AD21" s="145"/>
      <c r="AE21" s="523"/>
      <c r="AF21" s="522"/>
      <c r="AG21" s="522"/>
      <c r="AH21" s="522"/>
      <c r="AI21" s="522"/>
      <c r="AJ21" s="522"/>
      <c r="AK21" s="522"/>
      <c r="AL21" s="522"/>
      <c r="AM21" s="522"/>
      <c r="AN21" s="522"/>
    </row>
    <row r="22" spans="1:40" ht="39.950000000000003" customHeight="1" x14ac:dyDescent="0.25">
      <c r="A22" s="171" t="s">
        <v>28</v>
      </c>
      <c r="B22" s="503">
        <v>304.39999999999998</v>
      </c>
      <c r="C22" s="504">
        <v>20.6</v>
      </c>
      <c r="D22" s="504">
        <v>23.8</v>
      </c>
      <c r="E22" s="504">
        <v>4.7</v>
      </c>
      <c r="F22" s="504">
        <v>26.9</v>
      </c>
      <c r="G22" s="505">
        <v>24</v>
      </c>
      <c r="H22" s="506">
        <f t="shared" ref="H22" si="5">B22+C22+D22+E22+F22+G22</f>
        <v>404.4</v>
      </c>
      <c r="I22" s="142">
        <v>293.8</v>
      </c>
      <c r="J22" s="545">
        <v>23.3</v>
      </c>
      <c r="K22" s="545">
        <v>23.8</v>
      </c>
      <c r="L22" s="504">
        <v>4.2</v>
      </c>
      <c r="M22" s="540">
        <v>20.2</v>
      </c>
      <c r="N22" s="507">
        <v>22.7</v>
      </c>
      <c r="O22" s="506">
        <f t="shared" ref="O22" si="6">I22+J22+K22+L22+M22+N22</f>
        <v>388</v>
      </c>
      <c r="P22" s="515">
        <v>74.3</v>
      </c>
      <c r="Q22" s="504">
        <v>75.3</v>
      </c>
      <c r="R22" s="504">
        <v>27.2</v>
      </c>
      <c r="S22" s="504">
        <v>75.599999999999994</v>
      </c>
      <c r="T22" s="550">
        <v>78.099999999999994</v>
      </c>
      <c r="U22" s="508">
        <v>77.599999999999994</v>
      </c>
      <c r="V22" s="545">
        <v>81.599999999999994</v>
      </c>
      <c r="W22" s="504">
        <v>28.5</v>
      </c>
      <c r="X22" s="504">
        <v>79.400000000000006</v>
      </c>
      <c r="Y22" s="550">
        <v>81.2</v>
      </c>
      <c r="Z22" s="209">
        <f t="shared" si="2"/>
        <v>1471.1999999999998</v>
      </c>
      <c r="AA22" s="301"/>
      <c r="AB22" s="302"/>
      <c r="AD22" s="2"/>
      <c r="AE22" s="15"/>
    </row>
    <row r="23" spans="1:40" ht="39.950000000000003" customHeight="1" x14ac:dyDescent="0.25">
      <c r="A23" s="171" t="s">
        <v>21</v>
      </c>
      <c r="B23" s="503">
        <v>304.39999999999998</v>
      </c>
      <c r="C23" s="545">
        <v>23.4</v>
      </c>
      <c r="D23" s="548">
        <v>26.7</v>
      </c>
      <c r="E23" s="536">
        <v>5.4</v>
      </c>
      <c r="F23" s="504">
        <v>26.9</v>
      </c>
      <c r="G23" s="554">
        <v>26.9</v>
      </c>
      <c r="H23" s="506">
        <f t="shared" ref="H23" si="7">B23+C23+D23+E23+F23+G23</f>
        <v>413.69999999999987</v>
      </c>
      <c r="I23" s="142">
        <v>293.8</v>
      </c>
      <c r="J23" s="548">
        <v>26.8</v>
      </c>
      <c r="K23" s="504">
        <v>23.8</v>
      </c>
      <c r="L23" s="517">
        <v>4.8</v>
      </c>
      <c r="M23" s="504">
        <v>20.2</v>
      </c>
      <c r="N23" s="555">
        <v>25.8</v>
      </c>
      <c r="O23" s="506">
        <f t="shared" ref="O23" si="8">I23+J23+K23+L23+M23+N23</f>
        <v>395.20000000000005</v>
      </c>
      <c r="P23" s="556">
        <v>76.3</v>
      </c>
      <c r="Q23" s="504">
        <v>75.3</v>
      </c>
      <c r="R23" s="504">
        <v>27.2</v>
      </c>
      <c r="S23" s="545">
        <v>77.900000000000006</v>
      </c>
      <c r="T23" s="555">
        <v>80.599999999999994</v>
      </c>
      <c r="U23" s="508">
        <v>77.599999999999994</v>
      </c>
      <c r="V23" s="504">
        <v>81.599999999999994</v>
      </c>
      <c r="W23" s="540">
        <v>29.2</v>
      </c>
      <c r="X23" s="504">
        <v>79.2</v>
      </c>
      <c r="Y23" s="555">
        <v>83.7</v>
      </c>
      <c r="Z23" s="509">
        <f t="shared" si="2"/>
        <v>1497.4999999999998</v>
      </c>
      <c r="AA23" s="301"/>
      <c r="AB23" s="302"/>
      <c r="AD23" s="2"/>
      <c r="AE23" s="15"/>
    </row>
    <row r="24" spans="1:40" ht="39.950000000000003" customHeight="1" x14ac:dyDescent="0.25">
      <c r="A24" s="171" t="s">
        <v>22</v>
      </c>
      <c r="B24" s="503">
        <v>304.39999999999998</v>
      </c>
      <c r="C24" s="504">
        <v>23.4</v>
      </c>
      <c r="D24" s="504">
        <v>26.7</v>
      </c>
      <c r="E24" s="504">
        <v>5.4</v>
      </c>
      <c r="F24" s="504">
        <v>26.9</v>
      </c>
      <c r="G24" s="505">
        <v>26.9</v>
      </c>
      <c r="H24" s="506">
        <f t="shared" ref="H24" si="9">B24+C24+D24+E24+F24+G24</f>
        <v>413.69999999999987</v>
      </c>
      <c r="I24" s="142">
        <v>293.8</v>
      </c>
      <c r="J24" s="504">
        <v>26.8</v>
      </c>
      <c r="K24" s="548">
        <v>26.9</v>
      </c>
      <c r="L24" s="504">
        <v>4.8</v>
      </c>
      <c r="M24" s="545">
        <v>22.9</v>
      </c>
      <c r="N24" s="507">
        <v>25.8</v>
      </c>
      <c r="O24" s="506">
        <f t="shared" ref="O24" si="10">I24+J24+K24+L24+M24+N24</f>
        <v>401</v>
      </c>
      <c r="P24" s="515">
        <v>76.3</v>
      </c>
      <c r="Q24" s="545">
        <v>77.599999999999994</v>
      </c>
      <c r="R24" s="504">
        <v>27.2</v>
      </c>
      <c r="S24" s="504">
        <v>77.900000000000006</v>
      </c>
      <c r="T24" s="507">
        <v>80.599999999999994</v>
      </c>
      <c r="U24" s="508">
        <v>77.599999999999994</v>
      </c>
      <c r="V24" s="504">
        <v>81.599999999999994</v>
      </c>
      <c r="W24" s="504">
        <v>29.2</v>
      </c>
      <c r="X24" s="545">
        <v>81.599999999999994</v>
      </c>
      <c r="Y24" s="507">
        <v>83.7</v>
      </c>
      <c r="Z24" s="209">
        <f t="shared" si="2"/>
        <v>1507.9999999999995</v>
      </c>
      <c r="AA24" s="301"/>
      <c r="AB24" s="302"/>
      <c r="AD24" s="2"/>
      <c r="AE24" s="15"/>
    </row>
    <row r="25" spans="1:40" ht="39.950000000000003" customHeight="1" thickBot="1" x14ac:dyDescent="0.3">
      <c r="A25" s="285" t="s">
        <v>23</v>
      </c>
      <c r="B25" s="503">
        <v>328.1</v>
      </c>
      <c r="C25" s="548">
        <v>20.6</v>
      </c>
      <c r="D25" s="504">
        <v>20.8</v>
      </c>
      <c r="E25" s="504">
        <v>3.6</v>
      </c>
      <c r="F25" s="504">
        <v>21</v>
      </c>
      <c r="G25" s="505">
        <v>21</v>
      </c>
      <c r="H25" s="506">
        <f t="shared" ref="H25" si="11">B25+C25+D25+E25+F25+G25</f>
        <v>415.10000000000008</v>
      </c>
      <c r="I25" s="142">
        <v>330.1</v>
      </c>
      <c r="J25" s="504">
        <v>20.9</v>
      </c>
      <c r="K25" s="504">
        <v>21</v>
      </c>
      <c r="L25" s="504">
        <v>3</v>
      </c>
      <c r="M25" s="548">
        <v>20</v>
      </c>
      <c r="N25" s="507">
        <v>19.899999999999999</v>
      </c>
      <c r="O25" s="506">
        <f t="shared" ref="O25" si="12">I25+J25+K25+L25+M25+N25</f>
        <v>414.9</v>
      </c>
      <c r="P25" s="515">
        <v>76.3</v>
      </c>
      <c r="Q25" s="504">
        <v>77.599999999999994</v>
      </c>
      <c r="R25" s="504">
        <v>27.2</v>
      </c>
      <c r="S25" s="548">
        <v>80.099999999999994</v>
      </c>
      <c r="T25" s="507">
        <v>80.599999999999994</v>
      </c>
      <c r="U25" s="558">
        <v>79.400000000000006</v>
      </c>
      <c r="V25" s="504">
        <v>81.599999999999994</v>
      </c>
      <c r="W25" s="504">
        <v>29.2</v>
      </c>
      <c r="X25" s="548">
        <v>84.2</v>
      </c>
      <c r="Y25" s="507">
        <v>83.7</v>
      </c>
      <c r="Z25" s="209">
        <f t="shared" si="2"/>
        <v>1529.9</v>
      </c>
      <c r="AA25" s="301"/>
      <c r="AB25" s="302"/>
      <c r="AD25" s="2"/>
    </row>
    <row r="26" spans="1:40" ht="41.45" customHeight="1" thickBot="1" x14ac:dyDescent="0.3">
      <c r="A26" s="268" t="s">
        <v>9</v>
      </c>
      <c r="B26" s="421"/>
      <c r="C26" s="128">
        <f>SUM(C19:C25)</f>
        <v>147.20000000000002</v>
      </c>
      <c r="D26" s="128">
        <f t="shared" ref="D26:Y26" si="13">SUM(D19:D25)</f>
        <v>164</v>
      </c>
      <c r="E26" s="128">
        <f t="shared" si="13"/>
        <v>33.200000000000003</v>
      </c>
      <c r="F26" s="128">
        <f t="shared" si="13"/>
        <v>173.50000000000003</v>
      </c>
      <c r="G26" s="205">
        <f t="shared" si="13"/>
        <v>162.70000000000002</v>
      </c>
      <c r="H26" s="436">
        <f>SUM(H19:H25)</f>
        <v>2835.0999999999995</v>
      </c>
      <c r="I26" s="131"/>
      <c r="J26" s="128">
        <f t="shared" si="13"/>
        <v>166.8</v>
      </c>
      <c r="K26" s="128">
        <f>SUM(K19:K25)</f>
        <v>164.9</v>
      </c>
      <c r="L26" s="128">
        <f t="shared" si="13"/>
        <v>32.400000000000006</v>
      </c>
      <c r="M26" s="128">
        <f t="shared" si="13"/>
        <v>142.80000000000001</v>
      </c>
      <c r="N26" s="129">
        <f t="shared" si="13"/>
        <v>165.5</v>
      </c>
      <c r="O26" s="436">
        <f>SUM(O19:O25)</f>
        <v>2765.3</v>
      </c>
      <c r="P26" s="127">
        <f t="shared" si="13"/>
        <v>522.5</v>
      </c>
      <c r="Q26" s="128">
        <f t="shared" si="13"/>
        <v>531.70000000000005</v>
      </c>
      <c r="R26" s="128">
        <f t="shared" si="13"/>
        <v>190.39999999999998</v>
      </c>
      <c r="S26" s="128">
        <f t="shared" si="13"/>
        <v>538.29999999999995</v>
      </c>
      <c r="T26" s="205">
        <f t="shared" si="13"/>
        <v>547.30000000000007</v>
      </c>
      <c r="U26" s="131">
        <f t="shared" si="13"/>
        <v>541.20000000000005</v>
      </c>
      <c r="V26" s="128">
        <f t="shared" si="13"/>
        <v>564.90000000000009</v>
      </c>
      <c r="W26" s="128">
        <f t="shared" si="13"/>
        <v>200.19999999999996</v>
      </c>
      <c r="X26" s="128">
        <f t="shared" si="13"/>
        <v>562.6</v>
      </c>
      <c r="Y26" s="129">
        <f t="shared" si="13"/>
        <v>569</v>
      </c>
      <c r="Z26" s="375">
        <f>SUM(Z19,Z20,Z21,Z22,Z23,Z24,Z25)</f>
        <v>10368.5</v>
      </c>
      <c r="AA26" s="301"/>
    </row>
    <row r="27" spans="1:40" s="2" customFormat="1" ht="36.75" customHeight="1" x14ac:dyDescent="0.25">
      <c r="A27" s="192" t="s">
        <v>11</v>
      </c>
      <c r="B27" s="23"/>
      <c r="C27" s="477">
        <v>165.52</v>
      </c>
      <c r="D27" s="477">
        <v>165.52</v>
      </c>
      <c r="E27" s="477">
        <v>150.72999999999999</v>
      </c>
      <c r="F27" s="477">
        <v>165.52</v>
      </c>
      <c r="G27" s="477">
        <v>165.52</v>
      </c>
      <c r="H27" s="478"/>
      <c r="I27" s="479"/>
      <c r="J27" s="477">
        <v>165.52</v>
      </c>
      <c r="K27" s="477">
        <v>165.52</v>
      </c>
      <c r="L27" s="477">
        <v>147</v>
      </c>
      <c r="M27" s="477">
        <v>163.82</v>
      </c>
      <c r="N27" s="477">
        <v>163.82</v>
      </c>
      <c r="O27" s="478"/>
      <c r="P27" s="480">
        <v>154.69</v>
      </c>
      <c r="Q27" s="477">
        <v>158.76</v>
      </c>
      <c r="R27" s="477">
        <v>146.43</v>
      </c>
      <c r="S27" s="477">
        <v>163.82</v>
      </c>
      <c r="T27" s="481">
        <v>163.82</v>
      </c>
      <c r="U27" s="479">
        <v>154.69</v>
      </c>
      <c r="V27" s="477">
        <v>159.07</v>
      </c>
      <c r="W27" s="477">
        <v>154.69</v>
      </c>
      <c r="X27" s="477">
        <v>163.82</v>
      </c>
      <c r="Y27" s="482">
        <v>163.82</v>
      </c>
      <c r="Z27" s="99">
        <f>(((Z26*1000)/7)/Z28)</f>
        <v>156.70908651230275</v>
      </c>
    </row>
    <row r="28" spans="1:40" s="2" customFormat="1" ht="33" customHeight="1" x14ac:dyDescent="0.25">
      <c r="A28" s="193" t="s">
        <v>12</v>
      </c>
      <c r="B28" s="257"/>
      <c r="C28" s="27">
        <v>581</v>
      </c>
      <c r="D28" s="27">
        <v>586</v>
      </c>
      <c r="E28" s="27">
        <v>175</v>
      </c>
      <c r="F28" s="27">
        <v>590</v>
      </c>
      <c r="G28" s="27">
        <v>592</v>
      </c>
      <c r="H28" s="441"/>
      <c r="I28" s="26"/>
      <c r="J28" s="27">
        <v>588</v>
      </c>
      <c r="K28" s="27">
        <v>591</v>
      </c>
      <c r="L28" s="483">
        <v>179</v>
      </c>
      <c r="M28" s="27">
        <v>592</v>
      </c>
      <c r="N28" s="27">
        <v>589</v>
      </c>
      <c r="O28" s="441"/>
      <c r="P28" s="64">
        <v>493</v>
      </c>
      <c r="Q28" s="27">
        <v>489</v>
      </c>
      <c r="R28" s="27">
        <v>186</v>
      </c>
      <c r="S28" s="27">
        <v>489</v>
      </c>
      <c r="T28" s="483">
        <v>492</v>
      </c>
      <c r="U28" s="27">
        <v>513</v>
      </c>
      <c r="V28" s="27">
        <v>513</v>
      </c>
      <c r="W28" s="27">
        <v>189</v>
      </c>
      <c r="X28" s="27">
        <v>514</v>
      </c>
      <c r="Y28" s="27">
        <v>511</v>
      </c>
      <c r="Z28" s="29">
        <f>SUM(C28:Y28)</f>
        <v>9452</v>
      </c>
      <c r="AA28" s="402"/>
    </row>
    <row r="29" spans="1:40" s="2" customFormat="1" ht="33" customHeight="1" x14ac:dyDescent="0.25">
      <c r="A29" s="444" t="s">
        <v>13</v>
      </c>
      <c r="B29" s="445"/>
      <c r="C29" s="31">
        <f>(C34*C28)/1000</f>
        <v>20.637120000000007</v>
      </c>
      <c r="D29" s="31">
        <f>(D34*D28)/1000</f>
        <v>20.814720000000005</v>
      </c>
      <c r="E29" s="31">
        <f t="shared" ref="E29:G29" si="14">(E34*E28)/1000</f>
        <v>3.627749999999998</v>
      </c>
      <c r="F29" s="31">
        <f t="shared" si="14"/>
        <v>20.956800000000008</v>
      </c>
      <c r="G29" s="31">
        <f t="shared" si="14"/>
        <v>21.027840000000008</v>
      </c>
      <c r="H29" s="442"/>
      <c r="I29" s="30"/>
      <c r="J29" s="31">
        <f>(J34*J28)/1000</f>
        <v>20.885760000000005</v>
      </c>
      <c r="K29" s="31">
        <f t="shared" ref="K29:N29" si="15">(K34*K28)/1000</f>
        <v>20.992320000000007</v>
      </c>
      <c r="L29" s="31">
        <f t="shared" si="15"/>
        <v>3.0430000000000001</v>
      </c>
      <c r="M29" s="31">
        <f t="shared" si="15"/>
        <v>20.021439999999995</v>
      </c>
      <c r="N29" s="31">
        <f t="shared" si="15"/>
        <v>19.919979999999995</v>
      </c>
      <c r="O29" s="442"/>
      <c r="P29" s="65">
        <f>((((P27*7)*P28)/1000))/7</f>
        <v>76.262169999999983</v>
      </c>
      <c r="Q29" s="65">
        <f t="shared" ref="Q29:Y29" si="16">((((Q27*7)*Q28)/1000))/7</f>
        <v>77.63364</v>
      </c>
      <c r="R29" s="65">
        <f t="shared" si="16"/>
        <v>27.235980000000001</v>
      </c>
      <c r="S29" s="65">
        <f t="shared" si="16"/>
        <v>80.107979999999998</v>
      </c>
      <c r="T29" s="65">
        <f t="shared" si="16"/>
        <v>80.599439999999987</v>
      </c>
      <c r="U29" s="65">
        <f t="shared" si="16"/>
        <v>79.355969999999985</v>
      </c>
      <c r="V29" s="65">
        <f t="shared" si="16"/>
        <v>81.602909999999994</v>
      </c>
      <c r="W29" s="65">
        <f t="shared" si="16"/>
        <v>29.236409999999999</v>
      </c>
      <c r="X29" s="65">
        <f t="shared" si="16"/>
        <v>84.203479999999999</v>
      </c>
      <c r="Y29" s="65">
        <f t="shared" si="16"/>
        <v>83.71202000000001</v>
      </c>
      <c r="Z29" s="33"/>
    </row>
    <row r="30" spans="1:40" ht="33.75" customHeight="1" x14ac:dyDescent="0.25">
      <c r="A30" s="185" t="s">
        <v>14</v>
      </c>
      <c r="B30" s="34"/>
      <c r="C30" s="280">
        <f>((C28*C31)*7)/1000</f>
        <v>147.20000000000002</v>
      </c>
      <c r="D30" s="280">
        <f t="shared" ref="D30:G30" si="17">((D28*D31)*7)/1000</f>
        <v>164</v>
      </c>
      <c r="E30" s="280">
        <f>((E28*E31)*7)/1000</f>
        <v>33.200000000000003</v>
      </c>
      <c r="F30" s="280">
        <f t="shared" si="17"/>
        <v>173.50000000000003</v>
      </c>
      <c r="G30" s="280">
        <f t="shared" si="17"/>
        <v>162.69999999999999</v>
      </c>
      <c r="H30" s="443"/>
      <c r="I30" s="279"/>
      <c r="J30" s="280">
        <f>((J28*J31)*7)/1000</f>
        <v>166.80000000000004</v>
      </c>
      <c r="K30" s="280">
        <f t="shared" ref="K30:N30" si="18">((K28*K31)*7)/1000</f>
        <v>164.90000000000003</v>
      </c>
      <c r="L30" s="280">
        <f t="shared" si="18"/>
        <v>32.400000000000006</v>
      </c>
      <c r="M30" s="280">
        <f t="shared" si="18"/>
        <v>142.80000000000001</v>
      </c>
      <c r="N30" s="280">
        <f t="shared" si="18"/>
        <v>165.5</v>
      </c>
      <c r="O30" s="443"/>
      <c r="P30" s="325">
        <f t="shared" ref="P30:Y30" si="19">((P28*P27)*7)/1000</f>
        <v>533.8351899999999</v>
      </c>
      <c r="Q30" s="280">
        <f t="shared" si="19"/>
        <v>543.43547999999998</v>
      </c>
      <c r="R30" s="280">
        <f t="shared" si="19"/>
        <v>190.65186</v>
      </c>
      <c r="S30" s="280">
        <f t="shared" si="19"/>
        <v>560.75585999999998</v>
      </c>
      <c r="T30" s="281">
        <f t="shared" si="19"/>
        <v>564.19608000000005</v>
      </c>
      <c r="U30" s="279">
        <f t="shared" si="19"/>
        <v>555.49179000000004</v>
      </c>
      <c r="V30" s="280">
        <f t="shared" si="19"/>
        <v>571.22037</v>
      </c>
      <c r="W30" s="280">
        <f t="shared" si="19"/>
        <v>204.65486999999999</v>
      </c>
      <c r="X30" s="280">
        <f t="shared" si="19"/>
        <v>589.42435999999998</v>
      </c>
      <c r="Y30" s="282">
        <f t="shared" si="19"/>
        <v>585.98413999999991</v>
      </c>
      <c r="Z30" s="36"/>
    </row>
    <row r="31" spans="1:40" ht="33.75" customHeight="1" thickBot="1" x14ac:dyDescent="0.3">
      <c r="A31" s="195" t="s">
        <v>15</v>
      </c>
      <c r="B31" s="423"/>
      <c r="C31" s="38">
        <f>+(C26/C28)/7*1000</f>
        <v>36.19375461027785</v>
      </c>
      <c r="D31" s="38">
        <f t="shared" ref="D31:Y31" si="20">+(D26/D28)/7*1000</f>
        <v>39.980497318381275</v>
      </c>
      <c r="E31" s="38">
        <f t="shared" si="20"/>
        <v>27.102040816326532</v>
      </c>
      <c r="F31" s="38">
        <f t="shared" si="20"/>
        <v>42.009685230024218</v>
      </c>
      <c r="G31" s="38">
        <f t="shared" si="20"/>
        <v>39.261583011583014</v>
      </c>
      <c r="H31" s="259"/>
      <c r="I31" s="37"/>
      <c r="J31" s="38">
        <f t="shared" si="20"/>
        <v>40.524781341107875</v>
      </c>
      <c r="K31" s="38">
        <f t="shared" si="20"/>
        <v>39.859801788735808</v>
      </c>
      <c r="L31" s="38">
        <f t="shared" si="20"/>
        <v>25.857940941739827</v>
      </c>
      <c r="M31" s="38">
        <f t="shared" si="20"/>
        <v>34.45945945945946</v>
      </c>
      <c r="N31" s="38">
        <f t="shared" si="20"/>
        <v>40.140674266310938</v>
      </c>
      <c r="O31" s="259"/>
      <c r="P31" s="67">
        <f t="shared" si="20"/>
        <v>151.40538974210375</v>
      </c>
      <c r="Q31" s="38">
        <f t="shared" si="20"/>
        <v>155.33158048495471</v>
      </c>
      <c r="R31" s="38">
        <f t="shared" si="20"/>
        <v>146.23655913978493</v>
      </c>
      <c r="S31" s="38">
        <f t="shared" si="20"/>
        <v>157.25971370143148</v>
      </c>
      <c r="T31" s="207">
        <f t="shared" si="20"/>
        <v>158.91405342624856</v>
      </c>
      <c r="U31" s="37">
        <f t="shared" si="20"/>
        <v>150.71010860484546</v>
      </c>
      <c r="V31" s="38">
        <f t="shared" si="20"/>
        <v>157.30994152046787</v>
      </c>
      <c r="W31" s="38">
        <f t="shared" si="20"/>
        <v>151.32275132275132</v>
      </c>
      <c r="X31" s="38">
        <f t="shared" si="20"/>
        <v>156.36464702612565</v>
      </c>
      <c r="Y31" s="39">
        <f t="shared" si="20"/>
        <v>159.0718479172491</v>
      </c>
      <c r="Z31" s="40"/>
    </row>
    <row r="32" spans="1:40" ht="33.75" customHeight="1" x14ac:dyDescent="0.25">
      <c r="A32" s="41"/>
      <c r="B32" s="41"/>
      <c r="C32" s="42">
        <f>C30-C26</f>
        <v>0</v>
      </c>
      <c r="D32" s="42">
        <f t="shared" ref="D32:Y33" si="21">D30-D26</f>
        <v>0</v>
      </c>
      <c r="E32" s="42">
        <f t="shared" si="21"/>
        <v>0</v>
      </c>
      <c r="F32" s="42">
        <f t="shared" si="21"/>
        <v>0</v>
      </c>
      <c r="G32" s="42">
        <f t="shared" si="21"/>
        <v>0</v>
      </c>
      <c r="H32" s="42"/>
      <c r="I32" s="42"/>
      <c r="J32" s="42">
        <f t="shared" si="21"/>
        <v>0</v>
      </c>
      <c r="K32" s="42">
        <f>K30-K26</f>
        <v>0</v>
      </c>
      <c r="L32" s="42">
        <f t="shared" si="21"/>
        <v>0</v>
      </c>
      <c r="M32" s="42">
        <f t="shared" si="21"/>
        <v>0</v>
      </c>
      <c r="N32" s="42">
        <f t="shared" si="21"/>
        <v>0</v>
      </c>
      <c r="O32" s="42"/>
      <c r="P32" s="42">
        <f t="shared" si="21"/>
        <v>11.335189999999898</v>
      </c>
      <c r="Q32" s="42">
        <f t="shared" si="21"/>
        <v>11.735479999999939</v>
      </c>
      <c r="R32" s="42">
        <f t="shared" si="21"/>
        <v>0.25186000000002196</v>
      </c>
      <c r="S32" s="42">
        <f t="shared" si="21"/>
        <v>22.45586000000003</v>
      </c>
      <c r="T32" s="42">
        <f t="shared" si="21"/>
        <v>16.896079999999984</v>
      </c>
      <c r="U32" s="42">
        <f t="shared" si="21"/>
        <v>14.291789999999992</v>
      </c>
      <c r="V32" s="42">
        <f t="shared" si="21"/>
        <v>6.3203699999999117</v>
      </c>
      <c r="W32" s="42">
        <f t="shared" si="21"/>
        <v>4.4548700000000281</v>
      </c>
      <c r="X32" s="42">
        <f t="shared" si="21"/>
        <v>26.824359999999956</v>
      </c>
      <c r="Y32" s="42">
        <f t="shared" si="21"/>
        <v>16.984139999999911</v>
      </c>
      <c r="Z32" s="48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</row>
    <row r="33" spans="1:38" ht="31.5" customHeight="1" x14ac:dyDescent="0.25">
      <c r="A33" s="41"/>
      <c r="B33" s="41"/>
      <c r="C33" s="42">
        <f>C31-C34</f>
        <v>0.67375461027783956</v>
      </c>
      <c r="D33" s="42">
        <f t="shared" ref="D33:G33" si="22">D31-D34</f>
        <v>4.4604973183812646</v>
      </c>
      <c r="E33" s="42">
        <f t="shared" si="22"/>
        <v>6.3720408163265425</v>
      </c>
      <c r="F33" s="42">
        <f t="shared" si="22"/>
        <v>6.4896852300242074</v>
      </c>
      <c r="G33" s="42">
        <f t="shared" si="22"/>
        <v>3.7415830115830033</v>
      </c>
      <c r="H33" s="42"/>
      <c r="I33" s="42"/>
      <c r="J33" s="42">
        <f t="shared" ref="J33:N33" si="23">J31-J34</f>
        <v>5.004781341107865</v>
      </c>
      <c r="K33" s="42">
        <f t="shared" si="23"/>
        <v>4.339801788735798</v>
      </c>
      <c r="L33" s="42">
        <f t="shared" si="23"/>
        <v>8.8579409417398267</v>
      </c>
      <c r="M33" s="42">
        <f t="shared" si="23"/>
        <v>0.63945945945946647</v>
      </c>
      <c r="N33" s="42">
        <f t="shared" si="23"/>
        <v>6.3206742663109452</v>
      </c>
      <c r="O33" s="42"/>
      <c r="P33" s="42">
        <f t="shared" si="21"/>
        <v>-3.2846102578962473</v>
      </c>
      <c r="Q33" s="42">
        <f t="shared" si="21"/>
        <v>-3.4284195150452774</v>
      </c>
      <c r="R33" s="42">
        <f t="shared" si="21"/>
        <v>-0.19344086021507678</v>
      </c>
      <c r="S33" s="42">
        <f t="shared" si="21"/>
        <v>-6.5602862985685135</v>
      </c>
      <c r="T33" s="42">
        <f t="shared" si="21"/>
        <v>-4.9059465737514358</v>
      </c>
      <c r="U33" s="42">
        <f t="shared" si="21"/>
        <v>-3.9798913951545387</v>
      </c>
      <c r="V33" s="42">
        <f t="shared" si="21"/>
        <v>-1.7600584795321197</v>
      </c>
      <c r="W33" s="42">
        <f t="shared" si="21"/>
        <v>-3.367248677248682</v>
      </c>
      <c r="X33" s="42">
        <f t="shared" si="21"/>
        <v>-7.4553529738743407</v>
      </c>
      <c r="Y33" s="42">
        <f t="shared" si="21"/>
        <v>-4.7481520827508916</v>
      </c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thickBot="1" x14ac:dyDescent="0.3">
      <c r="A34" s="41"/>
      <c r="B34" s="41"/>
      <c r="C34" s="42">
        <f>C27-$B$35</f>
        <v>35.52000000000001</v>
      </c>
      <c r="D34" s="42">
        <f t="shared" ref="D34:G34" si="24">D27-$B$35</f>
        <v>35.52000000000001</v>
      </c>
      <c r="E34" s="42">
        <f t="shared" si="24"/>
        <v>20.72999999999999</v>
      </c>
      <c r="F34" s="42">
        <f t="shared" si="24"/>
        <v>35.52000000000001</v>
      </c>
      <c r="G34" s="42">
        <f t="shared" si="24"/>
        <v>35.52000000000001</v>
      </c>
      <c r="H34" s="42"/>
      <c r="I34" s="42"/>
      <c r="J34" s="42">
        <f>J27-$I$35</f>
        <v>35.52000000000001</v>
      </c>
      <c r="K34" s="42">
        <f t="shared" ref="K34:N34" si="25">K27-$I$35</f>
        <v>35.52000000000001</v>
      </c>
      <c r="L34" s="42">
        <f t="shared" si="25"/>
        <v>17</v>
      </c>
      <c r="M34" s="42">
        <f t="shared" si="25"/>
        <v>33.819999999999993</v>
      </c>
      <c r="N34" s="42">
        <f t="shared" si="25"/>
        <v>33.819999999999993</v>
      </c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1"/>
    </row>
    <row r="35" spans="1:38" ht="33.75" customHeight="1" x14ac:dyDescent="0.25">
      <c r="A35" s="41"/>
      <c r="B35" s="501">
        <v>130</v>
      </c>
      <c r="C35" s="500">
        <f>(B35*D35)/1000</f>
        <v>328.12</v>
      </c>
      <c r="D35" s="432">
        <f>SUM(C28:G28)</f>
        <v>2524</v>
      </c>
      <c r="E35" s="42"/>
      <c r="F35" s="42"/>
      <c r="G35" s="42"/>
      <c r="H35" s="42"/>
      <c r="I35" s="514">
        <v>130</v>
      </c>
      <c r="J35" s="431">
        <f>(I35*K35)/1000</f>
        <v>330.07</v>
      </c>
      <c r="K35" s="432">
        <f>SUM(J28:N28)</f>
        <v>2539</v>
      </c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30" t="s">
        <v>106</v>
      </c>
      <c r="C36" s="500" t="s">
        <v>107</v>
      </c>
      <c r="D36" s="431" t="s">
        <v>108</v>
      </c>
      <c r="E36" s="42"/>
      <c r="F36" s="42"/>
      <c r="G36" s="42"/>
      <c r="H36" s="42"/>
      <c r="I36" s="430" t="s">
        <v>106</v>
      </c>
      <c r="J36" s="431" t="s">
        <v>107</v>
      </c>
      <c r="K36" s="431" t="s">
        <v>108</v>
      </c>
      <c r="L36" s="42"/>
      <c r="M36" s="42"/>
      <c r="N36" s="534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264"/>
      <c r="L37" s="42"/>
      <c r="M37" s="42"/>
      <c r="N37" s="534"/>
      <c r="O37" s="42"/>
      <c r="P37" s="264"/>
      <c r="Q37" s="42"/>
      <c r="R37" s="42"/>
      <c r="S37" s="42"/>
      <c r="T37" s="42"/>
      <c r="U37" s="264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1"/>
    </row>
    <row r="38" spans="1:38" ht="33.75" customHeight="1" x14ac:dyDescent="0.25">
      <c r="A38" s="41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1"/>
    </row>
    <row r="39" spans="1:38" s="2" customFormat="1" ht="33.75" customHeight="1" thickBot="1" x14ac:dyDescent="0.3">
      <c r="B39" s="43"/>
      <c r="C39" s="350"/>
      <c r="D39" s="350"/>
      <c r="E39" s="350"/>
      <c r="F39" s="350"/>
      <c r="G39" s="350"/>
      <c r="H39" s="318"/>
      <c r="I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3"/>
    </row>
    <row r="40" spans="1:38" ht="33.75" customHeight="1" thickBot="1" x14ac:dyDescent="0.3">
      <c r="A40" s="69" t="s">
        <v>16</v>
      </c>
      <c r="B40" s="973" t="s">
        <v>17</v>
      </c>
      <c r="C40" s="974"/>
      <c r="D40" s="974"/>
      <c r="E40" s="974"/>
      <c r="F40" s="974"/>
      <c r="G40" s="977" t="s">
        <v>9</v>
      </c>
      <c r="H40" s="47"/>
      <c r="L40" s="426" t="s">
        <v>18</v>
      </c>
      <c r="M40" s="980" t="s">
        <v>17</v>
      </c>
      <c r="N40" s="972"/>
      <c r="O40" s="972"/>
      <c r="P40" s="972"/>
      <c r="Q40" s="990"/>
      <c r="R40" s="977" t="s">
        <v>9</v>
      </c>
      <c r="S40" s="269"/>
      <c r="U40" s="45"/>
      <c r="V40" s="45"/>
      <c r="W40" s="46"/>
      <c r="X40" s="3"/>
      <c r="Y40" s="45"/>
      <c r="Z40" s="45"/>
      <c r="AA40" s="45"/>
      <c r="AB40" s="3"/>
    </row>
    <row r="41" spans="1:38" ht="33.75" customHeight="1" thickBot="1" x14ac:dyDescent="0.3">
      <c r="A41" s="170" t="s">
        <v>34</v>
      </c>
      <c r="B41" s="141"/>
      <c r="C41" s="118"/>
      <c r="D41" s="118"/>
      <c r="E41" s="118"/>
      <c r="F41" s="121"/>
      <c r="G41" s="985"/>
      <c r="H41" s="47"/>
      <c r="I41" s="47"/>
      <c r="J41" s="47"/>
      <c r="K41" s="47"/>
      <c r="L41" s="428" t="s">
        <v>33</v>
      </c>
      <c r="M41" s="168">
        <v>1</v>
      </c>
      <c r="N41" s="249">
        <v>2</v>
      </c>
      <c r="O41" s="249">
        <v>3</v>
      </c>
      <c r="P41" s="249"/>
      <c r="Q41" s="250"/>
      <c r="R41" s="979"/>
      <c r="S41" s="2"/>
      <c r="U41" s="47"/>
      <c r="V41" s="47"/>
      <c r="W41" s="3"/>
      <c r="X41" s="46"/>
      <c r="Y41" s="3"/>
      <c r="Z41" s="45"/>
      <c r="AA41" s="45"/>
      <c r="AB41" s="45"/>
    </row>
    <row r="42" spans="1:38" ht="33.75" customHeight="1" thickBot="1" x14ac:dyDescent="0.3">
      <c r="A42" s="170" t="s">
        <v>10</v>
      </c>
      <c r="B42" s="11">
        <v>1</v>
      </c>
      <c r="C42" s="16">
        <v>2</v>
      </c>
      <c r="D42" s="16">
        <v>3</v>
      </c>
      <c r="E42" s="16">
        <v>4</v>
      </c>
      <c r="F42" s="107">
        <v>5</v>
      </c>
      <c r="G42" s="984"/>
      <c r="H42" s="47"/>
      <c r="I42" s="47"/>
      <c r="J42" s="47"/>
      <c r="K42" s="47"/>
      <c r="L42" s="427" t="s">
        <v>10</v>
      </c>
      <c r="M42" s="114">
        <v>1</v>
      </c>
      <c r="N42" s="114">
        <v>2</v>
      </c>
      <c r="O42" s="114">
        <v>3</v>
      </c>
      <c r="P42" s="114">
        <v>4</v>
      </c>
      <c r="Q42" s="116">
        <v>5</v>
      </c>
      <c r="R42" s="126"/>
      <c r="S42" s="270"/>
      <c r="U42" s="47"/>
      <c r="V42" s="47"/>
      <c r="W42" s="48"/>
      <c r="X42" s="48"/>
      <c r="Y42" s="2"/>
      <c r="Z42" s="2"/>
      <c r="AA42" s="2"/>
      <c r="AB42" s="2"/>
    </row>
    <row r="43" spans="1:38" ht="33.75" customHeight="1" x14ac:dyDescent="0.25">
      <c r="A43" s="171" t="s">
        <v>32</v>
      </c>
      <c r="B43" s="142">
        <v>93.6</v>
      </c>
      <c r="C43" s="486">
        <v>92.3</v>
      </c>
      <c r="D43" s="486">
        <v>26.7</v>
      </c>
      <c r="E43" s="486">
        <v>91.2</v>
      </c>
      <c r="F43" s="537">
        <v>91.1</v>
      </c>
      <c r="G43" s="509">
        <f t="shared" ref="G43:G50" si="26">SUM(B43:F43)</f>
        <v>394.9</v>
      </c>
      <c r="H43" s="988"/>
      <c r="I43" s="989"/>
      <c r="J43" s="989"/>
      <c r="K43" s="989"/>
      <c r="L43" s="171" t="s">
        <v>53</v>
      </c>
      <c r="M43" s="19">
        <v>8.6</v>
      </c>
      <c r="N43" s="19">
        <v>8.4</v>
      </c>
      <c r="O43" s="19">
        <v>1.9</v>
      </c>
      <c r="P43" s="19">
        <v>8.3000000000000007</v>
      </c>
      <c r="Q43" s="108">
        <v>8.1999999999999993</v>
      </c>
      <c r="R43" s="209">
        <f t="shared" ref="R43:R49" si="27">SUM(M43:Q43)</f>
        <v>35.4</v>
      </c>
      <c r="S43" s="271"/>
      <c r="T43" s="302"/>
      <c r="U43" s="2"/>
      <c r="V43" s="49"/>
      <c r="W43" s="48"/>
      <c r="X43" s="48"/>
      <c r="Y43" s="2"/>
      <c r="Z43" s="2"/>
      <c r="AA43" s="2"/>
      <c r="AB43" s="2"/>
    </row>
    <row r="44" spans="1:38" ht="33.75" customHeight="1" x14ac:dyDescent="0.25">
      <c r="A44" s="171" t="s">
        <v>24</v>
      </c>
      <c r="B44" s="142">
        <v>93.6</v>
      </c>
      <c r="C44" s="547">
        <v>94</v>
      </c>
      <c r="D44" s="547">
        <v>27.2</v>
      </c>
      <c r="E44" s="486">
        <v>91.2</v>
      </c>
      <c r="F44" s="537">
        <v>91.1</v>
      </c>
      <c r="G44" s="509">
        <f t="shared" si="26"/>
        <v>397.1</v>
      </c>
      <c r="H44" s="988"/>
      <c r="I44" s="989"/>
      <c r="J44" s="989"/>
      <c r="K44" s="989"/>
      <c r="L44" s="171" t="s">
        <v>24</v>
      </c>
      <c r="M44" s="19">
        <v>8.6</v>
      </c>
      <c r="N44" s="19">
        <v>8.4</v>
      </c>
      <c r="O44" s="19">
        <v>1.9</v>
      </c>
      <c r="P44" s="19">
        <v>8.3000000000000007</v>
      </c>
      <c r="Q44" s="108">
        <v>8.1999999999999993</v>
      </c>
      <c r="R44" s="209">
        <f t="shared" si="27"/>
        <v>35.4</v>
      </c>
      <c r="S44" s="271"/>
      <c r="T44" s="302"/>
      <c r="U44" s="2"/>
      <c r="V44" s="49"/>
      <c r="W44" s="48"/>
      <c r="X44" s="48"/>
      <c r="Y44" s="2"/>
      <c r="Z44" s="2"/>
      <c r="AA44" s="2"/>
      <c r="AB44" s="2"/>
    </row>
    <row r="45" spans="1:38" ht="33.75" customHeight="1" x14ac:dyDescent="0.25">
      <c r="A45" s="171" t="s">
        <v>20</v>
      </c>
      <c r="B45" s="142">
        <v>93.6</v>
      </c>
      <c r="C45" s="486">
        <v>94</v>
      </c>
      <c r="D45" s="486">
        <v>27.2</v>
      </c>
      <c r="E45" s="486">
        <v>91.2</v>
      </c>
      <c r="F45" s="553">
        <v>92.9</v>
      </c>
      <c r="G45" s="509">
        <f t="shared" si="26"/>
        <v>398.9</v>
      </c>
      <c r="H45" s="988"/>
      <c r="I45" s="989"/>
      <c r="J45" s="989"/>
      <c r="K45" s="989"/>
      <c r="L45" s="171" t="s">
        <v>20</v>
      </c>
      <c r="M45" s="19">
        <v>8.6999999999999993</v>
      </c>
      <c r="N45" s="19">
        <v>8.6</v>
      </c>
      <c r="O45" s="19">
        <v>2</v>
      </c>
      <c r="P45" s="19">
        <v>8.4</v>
      </c>
      <c r="Q45" s="108">
        <v>8.3000000000000007</v>
      </c>
      <c r="R45" s="209">
        <f t="shared" si="27"/>
        <v>36</v>
      </c>
      <c r="S45" s="271"/>
      <c r="T45" s="302"/>
      <c r="U45" s="2"/>
      <c r="V45" s="49"/>
      <c r="W45" s="48"/>
      <c r="X45" s="48"/>
      <c r="Y45" s="2"/>
      <c r="Z45" s="2"/>
      <c r="AA45" s="2"/>
      <c r="AB45" s="2"/>
    </row>
    <row r="46" spans="1:38" ht="33.75" customHeight="1" x14ac:dyDescent="0.25">
      <c r="A46" s="171" t="s">
        <v>28</v>
      </c>
      <c r="B46" s="142">
        <v>93.6</v>
      </c>
      <c r="C46" s="486">
        <v>94</v>
      </c>
      <c r="D46" s="486">
        <v>27.2</v>
      </c>
      <c r="E46" s="486">
        <v>90.9</v>
      </c>
      <c r="F46" s="537">
        <v>92.9</v>
      </c>
      <c r="G46" s="509">
        <f t="shared" si="26"/>
        <v>398.6</v>
      </c>
      <c r="H46" s="988"/>
      <c r="I46" s="989"/>
      <c r="J46" s="989"/>
      <c r="K46" s="989"/>
      <c r="L46" s="171" t="s">
        <v>28</v>
      </c>
      <c r="M46" s="19">
        <v>8.6999999999999993</v>
      </c>
      <c r="N46" s="19">
        <v>8.6</v>
      </c>
      <c r="O46" s="19">
        <v>2</v>
      </c>
      <c r="P46" s="19">
        <v>8.4</v>
      </c>
      <c r="Q46" s="108">
        <v>8.3000000000000007</v>
      </c>
      <c r="R46" s="209">
        <f t="shared" si="27"/>
        <v>36</v>
      </c>
      <c r="S46" s="271"/>
      <c r="T46" s="302"/>
      <c r="U46" s="2"/>
      <c r="V46" s="49"/>
      <c r="W46" s="48"/>
      <c r="X46" s="48"/>
      <c r="Y46" s="2"/>
      <c r="Z46" s="2"/>
      <c r="AA46" s="2"/>
      <c r="AB46" s="2"/>
    </row>
    <row r="47" spans="1:38" ht="33.75" customHeight="1" x14ac:dyDescent="0.25">
      <c r="A47" s="171" t="s">
        <v>21</v>
      </c>
      <c r="B47" s="557">
        <v>94.9</v>
      </c>
      <c r="C47" s="486">
        <v>94</v>
      </c>
      <c r="D47" s="486">
        <v>27</v>
      </c>
      <c r="E47" s="547">
        <v>92.7</v>
      </c>
      <c r="F47" s="537">
        <v>92.7</v>
      </c>
      <c r="G47" s="509">
        <f t="shared" si="26"/>
        <v>401.3</v>
      </c>
      <c r="H47" s="988"/>
      <c r="I47" s="989"/>
      <c r="J47" s="989"/>
      <c r="K47" s="989"/>
      <c r="L47" s="171" t="s">
        <v>21</v>
      </c>
      <c r="M47" s="19">
        <v>8.6999999999999993</v>
      </c>
      <c r="N47" s="19">
        <v>8.6</v>
      </c>
      <c r="O47" s="19">
        <v>2</v>
      </c>
      <c r="P47" s="19">
        <v>8.4</v>
      </c>
      <c r="Q47" s="108">
        <v>8.3000000000000007</v>
      </c>
      <c r="R47" s="209">
        <f>SUM(M47:Q47)</f>
        <v>36</v>
      </c>
      <c r="S47" s="271"/>
      <c r="T47" s="302"/>
      <c r="U47" s="2"/>
      <c r="V47" s="49"/>
      <c r="W47" s="48"/>
      <c r="X47" s="48"/>
      <c r="Y47" s="2"/>
      <c r="Z47" s="2"/>
      <c r="AA47" s="2"/>
      <c r="AB47" s="2"/>
    </row>
    <row r="48" spans="1:38" ht="33.75" customHeight="1" x14ac:dyDescent="0.25">
      <c r="A48" s="171" t="s">
        <v>22</v>
      </c>
      <c r="B48" s="142">
        <v>94.9</v>
      </c>
      <c r="C48" s="486">
        <v>93.6</v>
      </c>
      <c r="D48" s="486">
        <v>26.9</v>
      </c>
      <c r="E48" s="486">
        <v>92.6</v>
      </c>
      <c r="F48" s="537">
        <v>92.2</v>
      </c>
      <c r="G48" s="509">
        <f t="shared" si="26"/>
        <v>400.2</v>
      </c>
      <c r="H48" s="988"/>
      <c r="I48" s="989"/>
      <c r="J48" s="989"/>
      <c r="K48" s="989"/>
      <c r="L48" s="171" t="s">
        <v>22</v>
      </c>
      <c r="M48" s="19">
        <v>8.6999999999999993</v>
      </c>
      <c r="N48" s="19">
        <v>8.6</v>
      </c>
      <c r="O48" s="19">
        <v>2</v>
      </c>
      <c r="P48" s="19">
        <v>8.4</v>
      </c>
      <c r="Q48" s="108">
        <v>8.3000000000000007</v>
      </c>
      <c r="R48" s="209">
        <f>SUM(M48:Q48)</f>
        <v>36</v>
      </c>
      <c r="S48" s="271"/>
      <c r="T48" s="302"/>
      <c r="U48" s="2"/>
      <c r="V48" s="49"/>
      <c r="W48" s="48"/>
      <c r="X48" s="48"/>
      <c r="Y48" s="2"/>
      <c r="Z48" s="2"/>
      <c r="AA48" s="2"/>
      <c r="AB48" s="2"/>
    </row>
    <row r="49" spans="1:49" ht="33.75" customHeight="1" thickBot="1" x14ac:dyDescent="0.3">
      <c r="A49" s="285" t="s">
        <v>32</v>
      </c>
      <c r="B49" s="142">
        <v>94.9</v>
      </c>
      <c r="C49" s="486">
        <v>93.8</v>
      </c>
      <c r="D49" s="559">
        <v>27.4</v>
      </c>
      <c r="E49" s="486">
        <v>92.4</v>
      </c>
      <c r="F49" s="537">
        <v>92</v>
      </c>
      <c r="G49" s="526">
        <f t="shared" si="26"/>
        <v>400.5</v>
      </c>
      <c r="H49" s="988"/>
      <c r="I49" s="989"/>
      <c r="J49" s="989"/>
      <c r="K49" s="989"/>
      <c r="L49" s="285" t="s">
        <v>23</v>
      </c>
      <c r="M49" s="19">
        <v>8.8000000000000007</v>
      </c>
      <c r="N49" s="19">
        <v>8.6</v>
      </c>
      <c r="O49" s="19">
        <v>2</v>
      </c>
      <c r="P49" s="19">
        <v>8.4</v>
      </c>
      <c r="Q49" s="108">
        <v>8.3000000000000007</v>
      </c>
      <c r="R49" s="376">
        <f t="shared" si="27"/>
        <v>36.099999999999994</v>
      </c>
      <c r="S49" s="271"/>
      <c r="T49" s="302"/>
      <c r="U49" s="2"/>
      <c r="V49" s="49"/>
      <c r="W49" s="48"/>
      <c r="X49" s="48"/>
      <c r="Y49" s="48"/>
      <c r="Z49" s="48"/>
      <c r="AA49" s="2"/>
      <c r="AB49" s="2"/>
      <c r="AC49" s="2"/>
      <c r="AD49" s="2"/>
    </row>
    <row r="50" spans="1:49" ht="33.75" customHeight="1" x14ac:dyDescent="0.25">
      <c r="A50" s="290" t="s">
        <v>9</v>
      </c>
      <c r="B50" s="131">
        <f>SUM(B43:B49)</f>
        <v>659.09999999999991</v>
      </c>
      <c r="C50" s="128">
        <f t="shared" ref="C50:F50" si="28">SUM(C43:C49)</f>
        <v>655.69999999999993</v>
      </c>
      <c r="D50" s="128">
        <f t="shared" si="28"/>
        <v>189.60000000000002</v>
      </c>
      <c r="E50" s="128">
        <f t="shared" si="28"/>
        <v>642.19999999999993</v>
      </c>
      <c r="F50" s="129">
        <f t="shared" si="28"/>
        <v>644.9</v>
      </c>
      <c r="G50" s="265">
        <f t="shared" si="26"/>
        <v>2791.4999999999995</v>
      </c>
      <c r="H50" s="988"/>
      <c r="I50" s="989"/>
      <c r="J50" s="989"/>
      <c r="K50" s="989"/>
      <c r="L50" s="290" t="s">
        <v>9</v>
      </c>
      <c r="M50" s="133">
        <f>SUM(M43:M49)</f>
        <v>60.8</v>
      </c>
      <c r="N50" s="134">
        <f>SUM(N43:N49)</f>
        <v>59.800000000000004</v>
      </c>
      <c r="O50" s="134">
        <f>SUM(O43:O49)</f>
        <v>13.8</v>
      </c>
      <c r="P50" s="134">
        <f t="shared" ref="P50:Q50" si="29">SUM(P43:P49)</f>
        <v>58.599999999999994</v>
      </c>
      <c r="Q50" s="260">
        <f t="shared" si="29"/>
        <v>57.899999999999991</v>
      </c>
      <c r="R50" s="240">
        <f>SUM(R43:R49)</f>
        <v>250.9</v>
      </c>
      <c r="S50" s="272"/>
      <c r="U50" s="49"/>
      <c r="V50" s="49"/>
      <c r="W50" s="2"/>
      <c r="X50" s="2"/>
      <c r="Y50" s="2"/>
      <c r="Z50" s="2"/>
      <c r="AA50" s="2"/>
      <c r="AB50" s="2"/>
      <c r="AC50" s="2"/>
      <c r="AD50" s="2"/>
    </row>
    <row r="51" spans="1:49" ht="33.75" customHeight="1" x14ac:dyDescent="0.25">
      <c r="A51" s="192" t="s">
        <v>11</v>
      </c>
      <c r="B51" s="23">
        <v>142.97999999999999</v>
      </c>
      <c r="C51" s="24">
        <v>141.54</v>
      </c>
      <c r="D51" s="24">
        <v>144.33000000000001</v>
      </c>
      <c r="E51" s="24">
        <v>140.44999999999999</v>
      </c>
      <c r="F51" s="25">
        <v>140.09</v>
      </c>
      <c r="G51" s="137">
        <f>+((G50/G52)/7)*1000</f>
        <v>140.81416464891038</v>
      </c>
      <c r="H51" s="988"/>
      <c r="I51" s="989"/>
      <c r="J51" s="989"/>
      <c r="K51" s="989"/>
      <c r="L51" s="273" t="s">
        <v>11</v>
      </c>
      <c r="M51" s="23">
        <v>152.5</v>
      </c>
      <c r="N51" s="24">
        <v>152.5</v>
      </c>
      <c r="O51" s="24">
        <v>150</v>
      </c>
      <c r="P51" s="24">
        <v>152</v>
      </c>
      <c r="Q51" s="228">
        <v>150.5</v>
      </c>
      <c r="R51" s="232">
        <f>+((R50/R52)/7)*1000</f>
        <v>151.8765133171913</v>
      </c>
      <c r="S51" s="2"/>
      <c r="U51" s="50"/>
      <c r="V51" s="50"/>
    </row>
    <row r="52" spans="1:49" ht="33.75" customHeight="1" x14ac:dyDescent="0.25">
      <c r="A52" s="193" t="s">
        <v>12</v>
      </c>
      <c r="B52" s="26">
        <v>664</v>
      </c>
      <c r="C52" s="27">
        <v>663</v>
      </c>
      <c r="D52" s="27">
        <v>190</v>
      </c>
      <c r="E52" s="27">
        <v>658</v>
      </c>
      <c r="F52" s="28">
        <v>657</v>
      </c>
      <c r="G52" s="395">
        <f>SUM(B52:F52)</f>
        <v>2832</v>
      </c>
      <c r="H52" s="988"/>
      <c r="I52" s="989"/>
      <c r="J52" s="989"/>
      <c r="K52" s="989"/>
      <c r="L52" s="193" t="s">
        <v>12</v>
      </c>
      <c r="M52" s="257">
        <v>57</v>
      </c>
      <c r="N52" s="275">
        <v>56</v>
      </c>
      <c r="O52" s="275">
        <v>13</v>
      </c>
      <c r="P52" s="275">
        <v>55</v>
      </c>
      <c r="Q52" s="527">
        <v>55</v>
      </c>
      <c r="R52" s="233">
        <f>SUM(M52:Q52)</f>
        <v>236</v>
      </c>
      <c r="S52" s="2"/>
      <c r="U52" s="52"/>
      <c r="V52" s="52"/>
    </row>
    <row r="53" spans="1:49" ht="33.75" customHeight="1" x14ac:dyDescent="0.25">
      <c r="A53" s="194" t="s">
        <v>13</v>
      </c>
      <c r="B53" s="30">
        <f>((((B51*7)*B52)/1000))/7</f>
        <v>94.938719999999989</v>
      </c>
      <c r="C53" s="31">
        <f t="shared" ref="C53:F53" si="30">((((C51*7)*C52)/1000))/7</f>
        <v>93.84102</v>
      </c>
      <c r="D53" s="31">
        <f t="shared" si="30"/>
        <v>27.422700000000003</v>
      </c>
      <c r="E53" s="31">
        <f t="shared" si="30"/>
        <v>92.4161</v>
      </c>
      <c r="F53" s="32">
        <f t="shared" si="30"/>
        <v>92.03913</v>
      </c>
      <c r="G53" s="139">
        <f>((G50*1000)/G52)/7</f>
        <v>140.81416464891041</v>
      </c>
      <c r="H53" s="988"/>
      <c r="I53" s="989"/>
      <c r="J53" s="989"/>
      <c r="K53" s="989"/>
      <c r="L53" s="194" t="s">
        <v>13</v>
      </c>
      <c r="M53" s="30">
        <f>((((M51*7)*M52)/1000)-(M43+M44))/5</f>
        <v>8.729499999999998</v>
      </c>
      <c r="N53" s="31">
        <f>((((N51*7)*N52)/1000)-(N43+N44))/5</f>
        <v>8.5960000000000001</v>
      </c>
      <c r="O53" s="31">
        <f>((((O51*7)*O52)/1000)-(O43+O44))/5</f>
        <v>1.9700000000000002</v>
      </c>
      <c r="P53" s="31">
        <f>((((P51*7)*P52)/1000)-(P43+P44))/5</f>
        <v>8.3840000000000003</v>
      </c>
      <c r="Q53" s="163">
        <f t="shared" ref="Q53" si="31">((((Q51*7)*Q52)/1000)-(Q43+Q44))/5</f>
        <v>8.3085000000000004</v>
      </c>
      <c r="R53" s="234">
        <f>((R50*1000)/R52)/7</f>
        <v>151.87651331719127</v>
      </c>
      <c r="S53" s="43"/>
      <c r="U53" s="52"/>
      <c r="V53" s="52"/>
    </row>
    <row r="54" spans="1:49" ht="33.75" customHeight="1" x14ac:dyDescent="0.25">
      <c r="A54" s="185" t="s">
        <v>14</v>
      </c>
      <c r="B54" s="279">
        <f>((B52*B51)*7)/1000</f>
        <v>664.57103999999993</v>
      </c>
      <c r="C54" s="280">
        <f>((C52*C51)*7)/1000</f>
        <v>656.88713999999993</v>
      </c>
      <c r="D54" s="280">
        <f>((D52*D51)*7)/1000</f>
        <v>191.9589</v>
      </c>
      <c r="E54" s="280">
        <f>((E52*E51)*7)/1000</f>
        <v>646.91269999999997</v>
      </c>
      <c r="F54" s="282">
        <f>((F52*F51)*7)/1000</f>
        <v>644.27391</v>
      </c>
      <c r="G54" s="112"/>
      <c r="H54" s="988"/>
      <c r="I54" s="989"/>
      <c r="J54" s="989"/>
      <c r="K54" s="989"/>
      <c r="L54" s="185" t="s">
        <v>14</v>
      </c>
      <c r="M54" s="279">
        <f>((M52*M51)*7)/1000</f>
        <v>60.847499999999997</v>
      </c>
      <c r="N54" s="280">
        <f>((N52*N51)*7)/1000</f>
        <v>59.78</v>
      </c>
      <c r="O54" s="280">
        <f>((O52*O51)*7)/1000</f>
        <v>13.65</v>
      </c>
      <c r="P54" s="280">
        <f t="shared" ref="P54:Q54" si="32">((P52*P51)*7)/1000</f>
        <v>58.52</v>
      </c>
      <c r="Q54" s="281">
        <f t="shared" si="32"/>
        <v>57.942500000000003</v>
      </c>
      <c r="R54" s="213"/>
      <c r="S54" s="41"/>
    </row>
    <row r="55" spans="1:49" ht="33.75" customHeight="1" thickBot="1" x14ac:dyDescent="0.3">
      <c r="A55" s="195" t="s">
        <v>15</v>
      </c>
      <c r="B55" s="37">
        <f t="shared" ref="B55:E55" si="33">+(B50/B52)/7*1000</f>
        <v>141.80292598967296</v>
      </c>
      <c r="C55" s="38">
        <f t="shared" si="33"/>
        <v>141.28420599008834</v>
      </c>
      <c r="D55" s="38">
        <f t="shared" si="33"/>
        <v>142.55639097744364</v>
      </c>
      <c r="E55" s="38">
        <f t="shared" si="33"/>
        <v>139.42683456361266</v>
      </c>
      <c r="F55" s="39">
        <f>+(F50/F52)/7*1000</f>
        <v>140.22613611654708</v>
      </c>
      <c r="G55" s="140"/>
      <c r="H55" s="988"/>
      <c r="I55" s="989"/>
      <c r="J55" s="989"/>
      <c r="K55" s="989"/>
      <c r="L55" s="195" t="s">
        <v>15</v>
      </c>
      <c r="M55" s="37">
        <f>+(M50/M52)/7*1000</f>
        <v>152.38095238095238</v>
      </c>
      <c r="N55" s="38">
        <f>+(N50/N52)/7*1000</f>
        <v>152.55102040816325</v>
      </c>
      <c r="O55" s="38">
        <f>+(O50/O52)/7*1000</f>
        <v>151.64835164835165</v>
      </c>
      <c r="P55" s="38">
        <f t="shared" ref="P55:Q55" si="34">+(P50/P52)/7*1000</f>
        <v>152.20779220779221</v>
      </c>
      <c r="Q55" s="207">
        <f t="shared" si="34"/>
        <v>150.38961038961034</v>
      </c>
      <c r="R55" s="262"/>
      <c r="S55" s="42"/>
      <c r="U55" s="42"/>
      <c r="V55" s="42"/>
    </row>
    <row r="56" spans="1:49" ht="33.75" customHeight="1" x14ac:dyDescent="0.25">
      <c r="A56" s="41"/>
      <c r="B56" s="43">
        <f>B54-B50</f>
        <v>5.4710400000000163</v>
      </c>
      <c r="C56" s="43">
        <f t="shared" ref="C56:F57" si="35">C54-C50</f>
        <v>1.1871399999999994</v>
      </c>
      <c r="D56" s="43">
        <f t="shared" si="35"/>
        <v>2.3588999999999771</v>
      </c>
      <c r="E56" s="43">
        <f>E54-E50</f>
        <v>4.7127000000000407</v>
      </c>
      <c r="F56" s="43">
        <f t="shared" si="35"/>
        <v>-0.6260899999999765</v>
      </c>
      <c r="G56" s="41"/>
      <c r="H56" s="41"/>
      <c r="I56" s="41"/>
      <c r="J56" s="41"/>
      <c r="K56" s="41"/>
      <c r="L56" s="42"/>
      <c r="M56" s="42">
        <f>M54-M50</f>
        <v>4.7499999999999432E-2</v>
      </c>
      <c r="N56" s="42">
        <f t="shared" ref="N56:Q57" si="36">N54-N50</f>
        <v>-2.0000000000003126E-2</v>
      </c>
      <c r="O56" s="42">
        <f t="shared" si="36"/>
        <v>-0.15000000000000036</v>
      </c>
      <c r="P56" s="42">
        <f t="shared" si="36"/>
        <v>-7.9999999999991189E-2</v>
      </c>
      <c r="Q56" s="42">
        <f t="shared" si="36"/>
        <v>4.2500000000011084E-2</v>
      </c>
      <c r="T56" s="42"/>
      <c r="U56" s="42"/>
      <c r="V56" s="2"/>
      <c r="W56" s="2"/>
      <c r="X56" s="2"/>
      <c r="Y56" s="2"/>
      <c r="Z56" s="2"/>
    </row>
    <row r="57" spans="1:49" ht="33.75" customHeight="1" x14ac:dyDescent="0.25">
      <c r="A57" s="41"/>
      <c r="B57" s="42">
        <f>B55-B51</f>
        <v>-1.1770740103270327</v>
      </c>
      <c r="C57" s="42">
        <f>C55-C51</f>
        <v>-0.25579400991165357</v>
      </c>
      <c r="D57" s="42">
        <f t="shared" si="35"/>
        <v>-1.7736090225563714</v>
      </c>
      <c r="E57" s="42">
        <f>E55-E51</f>
        <v>-1.0231654363873304</v>
      </c>
      <c r="F57" s="42">
        <f>F55-F51</f>
        <v>0.13613611654707825</v>
      </c>
      <c r="G57" s="41"/>
      <c r="H57" s="41"/>
      <c r="I57" s="41"/>
      <c r="J57" s="41"/>
      <c r="K57" s="42"/>
      <c r="L57" s="42"/>
      <c r="M57" s="42">
        <f>M55-M51</f>
        <v>-0.1190476190476204</v>
      </c>
      <c r="N57" s="42">
        <f t="shared" si="36"/>
        <v>5.1020408163253705E-2</v>
      </c>
      <c r="O57" s="42">
        <f>O55-O51</f>
        <v>1.6483516483516496</v>
      </c>
      <c r="P57" s="42">
        <f t="shared" si="36"/>
        <v>0.20779220779220964</v>
      </c>
      <c r="Q57" s="42">
        <f t="shared" si="36"/>
        <v>-0.11038961038966022</v>
      </c>
      <c r="T57" s="43"/>
      <c r="U57" s="43"/>
      <c r="V57" s="2"/>
      <c r="W57" s="2"/>
      <c r="X57" s="2"/>
      <c r="Y57" s="2"/>
      <c r="AC57" s="3"/>
    </row>
    <row r="58" spans="1:49" ht="33.75" customHeight="1" x14ac:dyDescent="0.25">
      <c r="A58" s="41"/>
      <c r="B58" s="287"/>
      <c r="C58" s="287"/>
      <c r="D58" s="287"/>
      <c r="E58" s="287"/>
      <c r="F58" s="287"/>
      <c r="G58" s="264"/>
      <c r="H58" s="41"/>
      <c r="I58" s="41"/>
      <c r="J58" s="41"/>
      <c r="K58" s="41"/>
      <c r="L58" s="41"/>
      <c r="M58" s="41"/>
      <c r="N58" s="41"/>
      <c r="O58" s="42"/>
      <c r="P58" s="42"/>
      <c r="Q58" s="42"/>
      <c r="R58" s="42"/>
      <c r="S58" s="42"/>
      <c r="T58" s="42"/>
      <c r="U58" s="42"/>
      <c r="V58" s="42"/>
      <c r="W58" s="42"/>
      <c r="X58" s="43"/>
      <c r="Y58" s="43"/>
      <c r="Z58" s="43"/>
      <c r="AA58" s="2"/>
      <c r="AB58" s="2"/>
      <c r="AC58" s="2"/>
      <c r="AD58" s="2"/>
      <c r="AH58" s="3"/>
    </row>
    <row r="59" spans="1:49" ht="33.75" customHeight="1" thickBot="1" x14ac:dyDescent="0.3">
      <c r="A59" s="53"/>
      <c r="B59" s="284"/>
      <c r="C59" s="284"/>
      <c r="D59" s="284"/>
      <c r="E59" s="284"/>
      <c r="F59" s="284"/>
      <c r="G59" s="284"/>
      <c r="H59" s="54"/>
      <c r="I59" s="54"/>
      <c r="J59" s="54"/>
      <c r="K59" s="54"/>
      <c r="L59" s="54"/>
      <c r="M59" s="54"/>
      <c r="N59" s="54"/>
      <c r="O59" s="958"/>
      <c r="P59" s="958"/>
      <c r="Q59" s="283"/>
      <c r="R59" s="283"/>
      <c r="S59" s="283"/>
      <c r="T59" s="54"/>
      <c r="U59" s="55"/>
      <c r="Z59" s="43"/>
      <c r="AA59" s="43"/>
      <c r="AB59" s="43"/>
      <c r="AC59" s="2"/>
      <c r="AD59" s="2"/>
      <c r="AE59" s="2"/>
      <c r="AF59" s="2"/>
      <c r="AH59" s="2"/>
      <c r="AI59" s="2"/>
      <c r="AJ59" s="2"/>
    </row>
    <row r="60" spans="1:49" ht="33.75" customHeight="1" x14ac:dyDescent="0.25">
      <c r="A60" s="359" t="s">
        <v>19</v>
      </c>
      <c r="B60" s="986" t="s">
        <v>8</v>
      </c>
      <c r="C60" s="956"/>
      <c r="D60" s="956"/>
      <c r="E60" s="956"/>
      <c r="F60" s="956"/>
      <c r="G60" s="986" t="s">
        <v>30</v>
      </c>
      <c r="H60" s="956"/>
      <c r="I60" s="956"/>
      <c r="J60" s="956"/>
      <c r="K60" s="987"/>
      <c r="L60" s="986" t="s">
        <v>29</v>
      </c>
      <c r="M60" s="956"/>
      <c r="N60" s="956"/>
      <c r="O60" s="956"/>
      <c r="P60" s="987"/>
      <c r="Q60" s="994" t="s">
        <v>31</v>
      </c>
      <c r="R60" s="995"/>
      <c r="S60" s="995"/>
      <c r="T60" s="995"/>
      <c r="U60" s="996"/>
      <c r="V60" s="992" t="s">
        <v>9</v>
      </c>
      <c r="AE60" s="43"/>
      <c r="AF60" s="43"/>
      <c r="AG60" s="43"/>
      <c r="AH60" s="2"/>
      <c r="AI60" s="2"/>
      <c r="AJ60" s="2"/>
      <c r="AK60" s="2"/>
      <c r="AM60" s="2"/>
      <c r="AN60" s="2"/>
      <c r="AO60" s="2"/>
    </row>
    <row r="61" spans="1:49" ht="33.75" customHeight="1" thickBot="1" x14ac:dyDescent="0.3">
      <c r="A61" s="170" t="s">
        <v>34</v>
      </c>
      <c r="B61" s="360"/>
      <c r="C61" s="361"/>
      <c r="D61" s="361"/>
      <c r="E61" s="361"/>
      <c r="F61" s="361"/>
      <c r="G61" s="360"/>
      <c r="H61" s="361"/>
      <c r="I61" s="361"/>
      <c r="J61" s="361"/>
      <c r="K61" s="361"/>
      <c r="L61" s="360"/>
      <c r="M61" s="361"/>
      <c r="N61" s="361"/>
      <c r="O61" s="361"/>
      <c r="P61" s="396"/>
      <c r="Q61" s="360"/>
      <c r="R61" s="361"/>
      <c r="S61" s="361"/>
      <c r="T61" s="361"/>
      <c r="U61" s="397"/>
      <c r="V61" s="993"/>
      <c r="AC61" s="45"/>
      <c r="AD61" s="45"/>
      <c r="AE61" s="45"/>
      <c r="AF61" s="45"/>
      <c r="AG61" s="57"/>
      <c r="AH61" s="57"/>
      <c r="AI61" s="57"/>
      <c r="AJ61" s="57"/>
      <c r="AK61" s="45"/>
      <c r="AL61" s="45"/>
      <c r="AM61" s="58"/>
      <c r="AN61" s="58"/>
      <c r="AO61" s="58"/>
      <c r="AP61" s="2"/>
      <c r="AQ61" s="2"/>
      <c r="AR61" s="2"/>
      <c r="AS61" s="2"/>
      <c r="AU61" s="2"/>
      <c r="AV61" s="2"/>
      <c r="AW61" s="2"/>
    </row>
    <row r="62" spans="1:49" ht="33.75" customHeight="1" thickBot="1" x14ac:dyDescent="0.3">
      <c r="A62" s="170" t="s">
        <v>10</v>
      </c>
      <c r="B62" s="188">
        <v>1</v>
      </c>
      <c r="C62" s="168">
        <v>2</v>
      </c>
      <c r="D62" s="168">
        <v>3</v>
      </c>
      <c r="E62" s="168">
        <v>4</v>
      </c>
      <c r="F62" s="413">
        <v>5</v>
      </c>
      <c r="G62" s="188">
        <v>1</v>
      </c>
      <c r="H62" s="168">
        <v>2</v>
      </c>
      <c r="I62" s="168">
        <v>3</v>
      </c>
      <c r="J62" s="168">
        <v>4</v>
      </c>
      <c r="K62" s="168">
        <v>5</v>
      </c>
      <c r="L62" s="188">
        <v>1</v>
      </c>
      <c r="M62" s="168">
        <v>2</v>
      </c>
      <c r="N62" s="168">
        <v>3</v>
      </c>
      <c r="O62" s="168">
        <v>4</v>
      </c>
      <c r="P62" s="413">
        <v>5</v>
      </c>
      <c r="Q62" s="188">
        <v>1</v>
      </c>
      <c r="R62" s="168">
        <v>2</v>
      </c>
      <c r="S62" s="168">
        <v>3</v>
      </c>
      <c r="T62" s="168">
        <v>4</v>
      </c>
      <c r="U62" s="414">
        <v>5</v>
      </c>
      <c r="V62" s="126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57"/>
      <c r="AH62" s="57"/>
      <c r="AI62" s="57"/>
      <c r="AJ62" s="57"/>
      <c r="AK62" s="45"/>
      <c r="AL62" s="45"/>
      <c r="AM62" s="58"/>
      <c r="AN62" s="58"/>
      <c r="AO62" s="58"/>
      <c r="AP62" s="2"/>
      <c r="AQ62" s="2"/>
      <c r="AR62" s="2"/>
      <c r="AS62" s="2"/>
      <c r="AT62" s="2"/>
      <c r="AU62" s="2"/>
      <c r="AV62" s="2"/>
      <c r="AW62" s="2"/>
    </row>
    <row r="63" spans="1:49" ht="33.75" customHeight="1" x14ac:dyDescent="0.25">
      <c r="A63" s="171" t="s">
        <v>53</v>
      </c>
      <c r="B63" s="446">
        <v>8.8000000000000007</v>
      </c>
      <c r="C63" s="19">
        <v>8.8000000000000007</v>
      </c>
      <c r="D63" s="19">
        <v>2.5</v>
      </c>
      <c r="E63" s="19">
        <v>8.8000000000000007</v>
      </c>
      <c r="F63" s="61">
        <v>8.6999999999999993</v>
      </c>
      <c r="G63" s="446">
        <v>8.6999999999999993</v>
      </c>
      <c r="H63" s="19">
        <v>8.8000000000000007</v>
      </c>
      <c r="I63" s="19">
        <v>2.8</v>
      </c>
      <c r="J63" s="19">
        <v>8.8000000000000007</v>
      </c>
      <c r="K63" s="61">
        <v>8.6999999999999993</v>
      </c>
      <c r="L63" s="446">
        <v>7</v>
      </c>
      <c r="M63" s="19">
        <v>7.3</v>
      </c>
      <c r="N63" s="19">
        <v>2.6</v>
      </c>
      <c r="O63" s="19">
        <v>7.3</v>
      </c>
      <c r="P63" s="20">
        <v>7.3</v>
      </c>
      <c r="Q63" s="18">
        <v>7.6</v>
      </c>
      <c r="R63" s="19">
        <v>7.6</v>
      </c>
      <c r="S63" s="19">
        <v>2.7</v>
      </c>
      <c r="T63" s="19">
        <v>7.6</v>
      </c>
      <c r="U63" s="20">
        <v>7.3</v>
      </c>
      <c r="V63" s="412">
        <f>SUM(B63:U63)</f>
        <v>139.69999999999999</v>
      </c>
      <c r="W63" s="42"/>
      <c r="X63" s="302"/>
      <c r="Y63" s="42"/>
      <c r="Z63" s="42"/>
      <c r="AA63" s="42"/>
      <c r="AB63" s="42"/>
      <c r="AC63" s="2"/>
      <c r="AD63" s="45"/>
      <c r="AE63" s="45"/>
      <c r="AF63" s="45"/>
      <c r="AG63" s="57"/>
      <c r="AH63" s="57"/>
      <c r="AI63" s="57"/>
      <c r="AJ63" s="57"/>
      <c r="AK63" s="45"/>
      <c r="AL63" s="45"/>
      <c r="AM63" s="58"/>
      <c r="AN63" s="58"/>
      <c r="AO63" s="58"/>
      <c r="AP63" s="2"/>
      <c r="AQ63" s="2"/>
      <c r="AR63" s="2"/>
      <c r="AS63" s="2"/>
      <c r="AT63" s="2"/>
      <c r="AU63" s="2"/>
      <c r="AV63" s="2"/>
      <c r="AW63" s="2"/>
    </row>
    <row r="64" spans="1:49" ht="33.75" customHeight="1" x14ac:dyDescent="0.25">
      <c r="A64" s="171" t="s">
        <v>24</v>
      </c>
      <c r="B64" s="446">
        <v>8.8000000000000007</v>
      </c>
      <c r="C64" s="19">
        <v>8.8000000000000007</v>
      </c>
      <c r="D64" s="19">
        <v>2.5</v>
      </c>
      <c r="E64" s="19">
        <v>8.8000000000000007</v>
      </c>
      <c r="F64" s="61">
        <v>8.6999999999999993</v>
      </c>
      <c r="G64" s="446">
        <v>8.6999999999999993</v>
      </c>
      <c r="H64" s="19">
        <v>8.8000000000000007</v>
      </c>
      <c r="I64" s="19">
        <v>2.8</v>
      </c>
      <c r="J64" s="19">
        <v>8.8000000000000007</v>
      </c>
      <c r="K64" s="61">
        <v>8.6999999999999993</v>
      </c>
      <c r="L64" s="446">
        <v>7</v>
      </c>
      <c r="M64" s="19">
        <v>7.3</v>
      </c>
      <c r="N64" s="19">
        <v>2.6</v>
      </c>
      <c r="O64" s="19">
        <v>7.3</v>
      </c>
      <c r="P64" s="20">
        <v>7.3</v>
      </c>
      <c r="Q64" s="18">
        <v>7.6</v>
      </c>
      <c r="R64" s="19">
        <v>7.6</v>
      </c>
      <c r="S64" s="19">
        <v>2.7</v>
      </c>
      <c r="T64" s="19">
        <v>7.6</v>
      </c>
      <c r="U64" s="20">
        <v>7.3</v>
      </c>
      <c r="V64" s="412">
        <f>SUM(B64:U64)</f>
        <v>139.69999999999999</v>
      </c>
      <c r="W64" s="42"/>
      <c r="X64" s="302"/>
      <c r="Y64" s="42"/>
      <c r="Z64" s="42"/>
      <c r="AA64" s="42"/>
      <c r="AB64" s="42"/>
      <c r="AC64" s="2"/>
      <c r="AD64" s="45"/>
      <c r="AE64" s="45"/>
      <c r="AF64" s="45"/>
      <c r="AG64" s="57"/>
      <c r="AH64" s="57"/>
      <c r="AI64" s="57"/>
      <c r="AJ64" s="57"/>
      <c r="AK64" s="45"/>
      <c r="AL64" s="45"/>
      <c r="AM64" s="58"/>
      <c r="AN64" s="58"/>
      <c r="AO64" s="58"/>
      <c r="AP64" s="2"/>
      <c r="AQ64" s="2"/>
      <c r="AR64" s="2"/>
      <c r="AS64" s="2"/>
      <c r="AT64" s="2"/>
      <c r="AU64" s="2"/>
      <c r="AV64" s="2"/>
      <c r="AW64" s="2"/>
    </row>
    <row r="65" spans="1:49" ht="33.75" customHeight="1" x14ac:dyDescent="0.25">
      <c r="A65" s="171" t="s">
        <v>20</v>
      </c>
      <c r="B65" s="446">
        <v>8.8000000000000007</v>
      </c>
      <c r="C65" s="19">
        <v>8.9</v>
      </c>
      <c r="D65" s="19">
        <v>2.5</v>
      </c>
      <c r="E65" s="19">
        <v>8.9</v>
      </c>
      <c r="F65" s="61">
        <v>8.8000000000000007</v>
      </c>
      <c r="G65" s="446">
        <v>8.8000000000000007</v>
      </c>
      <c r="H65" s="19">
        <v>8.9</v>
      </c>
      <c r="I65" s="19">
        <v>2.8</v>
      </c>
      <c r="J65" s="19">
        <v>8.9</v>
      </c>
      <c r="K65" s="61">
        <v>8.9</v>
      </c>
      <c r="L65" s="446">
        <v>7.1</v>
      </c>
      <c r="M65" s="19">
        <v>7.3</v>
      </c>
      <c r="N65" s="19">
        <v>2.6</v>
      </c>
      <c r="O65" s="19">
        <v>7.3</v>
      </c>
      <c r="P65" s="20">
        <v>7.3</v>
      </c>
      <c r="Q65" s="18">
        <v>7.7</v>
      </c>
      <c r="R65" s="19">
        <v>7.7</v>
      </c>
      <c r="S65" s="19">
        <v>2.6</v>
      </c>
      <c r="T65" s="19">
        <v>7.7</v>
      </c>
      <c r="U65" s="20">
        <v>7.3</v>
      </c>
      <c r="V65" s="412">
        <f>SUM(B65:U65)</f>
        <v>140.79999999999998</v>
      </c>
      <c r="W65" s="42"/>
      <c r="X65" s="302"/>
      <c r="Y65" s="42"/>
      <c r="Z65" s="42"/>
      <c r="AA65" s="42"/>
      <c r="AB65" s="42"/>
      <c r="AC65" s="2"/>
      <c r="AD65" s="45"/>
      <c r="AE65" s="45"/>
      <c r="AF65" s="45"/>
      <c r="AG65" s="57"/>
      <c r="AH65" s="57"/>
      <c r="AI65" s="57"/>
      <c r="AJ65" s="57"/>
      <c r="AK65" s="45"/>
      <c r="AL65" s="45"/>
      <c r="AM65" s="58"/>
      <c r="AN65" s="58"/>
      <c r="AO65" s="58"/>
      <c r="AP65" s="2"/>
      <c r="AQ65" s="2"/>
      <c r="AR65" s="2"/>
      <c r="AS65" s="2"/>
      <c r="AT65" s="2"/>
      <c r="AU65" s="2"/>
      <c r="AV65" s="2"/>
      <c r="AW65" s="2"/>
    </row>
    <row r="66" spans="1:49" ht="33.75" customHeight="1" x14ac:dyDescent="0.25">
      <c r="A66" s="171" t="s">
        <v>28</v>
      </c>
      <c r="B66" s="446">
        <v>8.8000000000000007</v>
      </c>
      <c r="C66" s="19">
        <v>8.9</v>
      </c>
      <c r="D66" s="19">
        <v>2.5</v>
      </c>
      <c r="E66" s="19">
        <v>8.9</v>
      </c>
      <c r="F66" s="61">
        <v>8.8000000000000007</v>
      </c>
      <c r="G66" s="446">
        <v>8.8000000000000007</v>
      </c>
      <c r="H66" s="19">
        <v>8.9</v>
      </c>
      <c r="I66" s="19">
        <v>2.6</v>
      </c>
      <c r="J66" s="19">
        <v>8.9</v>
      </c>
      <c r="K66" s="61">
        <v>8.9</v>
      </c>
      <c r="L66" s="446">
        <v>7.1</v>
      </c>
      <c r="M66" s="19">
        <v>7.3</v>
      </c>
      <c r="N66" s="19">
        <v>2.6</v>
      </c>
      <c r="O66" s="19">
        <v>7.3</v>
      </c>
      <c r="P66" s="20">
        <v>7.3</v>
      </c>
      <c r="Q66" s="18">
        <v>7.7</v>
      </c>
      <c r="R66" s="19">
        <v>7.7</v>
      </c>
      <c r="S66" s="19">
        <v>2.6</v>
      </c>
      <c r="T66" s="19">
        <v>7.7</v>
      </c>
      <c r="U66" s="20">
        <v>7.3</v>
      </c>
      <c r="V66" s="412">
        <f t="shared" ref="V66:V70" si="37">SUM(B66:U66)</f>
        <v>140.6</v>
      </c>
      <c r="W66" s="42"/>
      <c r="X66" s="302"/>
      <c r="Y66" s="42"/>
      <c r="Z66" s="42"/>
      <c r="AA66" s="42"/>
      <c r="AB66" s="42"/>
      <c r="AC66" s="2"/>
      <c r="AD66" s="45"/>
      <c r="AE66" s="45"/>
      <c r="AF66" s="45"/>
      <c r="AG66" s="57"/>
      <c r="AH66" s="57"/>
      <c r="AI66" s="57"/>
      <c r="AJ66" s="57"/>
      <c r="AK66" s="45"/>
      <c r="AL66" s="45"/>
      <c r="AM66" s="58"/>
      <c r="AN66" s="58"/>
      <c r="AO66" s="58"/>
      <c r="AP66" s="3"/>
      <c r="AQ66" s="3"/>
      <c r="AR66" s="2"/>
      <c r="AS66" s="2"/>
      <c r="AT66" s="2"/>
      <c r="AU66" s="2"/>
      <c r="AV66" s="2"/>
      <c r="AW66" s="2"/>
    </row>
    <row r="67" spans="1:49" ht="33.75" customHeight="1" x14ac:dyDescent="0.25">
      <c r="A67" s="171" t="s">
        <v>21</v>
      </c>
      <c r="B67" s="446">
        <v>8.8000000000000007</v>
      </c>
      <c r="C67" s="19">
        <v>8.9</v>
      </c>
      <c r="D67" s="19">
        <v>2.5</v>
      </c>
      <c r="E67" s="19">
        <v>8.9</v>
      </c>
      <c r="F67" s="61">
        <v>8.8000000000000007</v>
      </c>
      <c r="G67" s="446">
        <v>8.8000000000000007</v>
      </c>
      <c r="H67" s="19">
        <v>8.9</v>
      </c>
      <c r="I67" s="19">
        <v>2.6</v>
      </c>
      <c r="J67" s="19">
        <v>8.9</v>
      </c>
      <c r="K67" s="61">
        <v>8.9</v>
      </c>
      <c r="L67" s="446">
        <v>7.1</v>
      </c>
      <c r="M67" s="19">
        <v>7.3</v>
      </c>
      <c r="N67" s="19">
        <v>2.6</v>
      </c>
      <c r="O67" s="19">
        <v>7.3</v>
      </c>
      <c r="P67" s="20">
        <v>7.3</v>
      </c>
      <c r="Q67" s="18">
        <v>7.7</v>
      </c>
      <c r="R67" s="19">
        <v>7.7</v>
      </c>
      <c r="S67" s="19">
        <v>2.6</v>
      </c>
      <c r="T67" s="19">
        <v>7.7</v>
      </c>
      <c r="U67" s="20">
        <v>7.3</v>
      </c>
      <c r="V67" s="412">
        <f t="shared" si="37"/>
        <v>140.6</v>
      </c>
      <c r="W67" s="42"/>
      <c r="X67" s="302"/>
      <c r="Y67" s="42"/>
      <c r="Z67" s="42"/>
      <c r="AA67" s="42"/>
      <c r="AB67" s="42"/>
      <c r="AC67" s="2"/>
      <c r="AD67" s="45"/>
      <c r="AE67" s="45"/>
      <c r="AF67" s="45"/>
      <c r="AG67" s="57"/>
      <c r="AH67" s="57"/>
      <c r="AI67" s="57"/>
      <c r="AJ67" s="57"/>
      <c r="AK67" s="45"/>
      <c r="AL67" s="45"/>
      <c r="AM67" s="58"/>
      <c r="AN67" s="58"/>
      <c r="AO67" s="58"/>
      <c r="AP67" s="3"/>
      <c r="AQ67" s="3"/>
      <c r="AR67" s="2"/>
      <c r="AS67" s="2"/>
      <c r="AT67" s="2"/>
      <c r="AU67" s="2"/>
      <c r="AV67" s="2"/>
      <c r="AW67" s="2"/>
    </row>
    <row r="68" spans="1:49" ht="33.75" customHeight="1" x14ac:dyDescent="0.25">
      <c r="A68" s="171" t="s">
        <v>22</v>
      </c>
      <c r="B68" s="446">
        <v>8.8000000000000007</v>
      </c>
      <c r="C68" s="19">
        <v>8.9</v>
      </c>
      <c r="D68" s="19">
        <v>2.5</v>
      </c>
      <c r="E68" s="19">
        <v>8.9</v>
      </c>
      <c r="F68" s="61">
        <v>8.8000000000000007</v>
      </c>
      <c r="G68" s="446">
        <v>8.8000000000000007</v>
      </c>
      <c r="H68" s="19">
        <v>8.9</v>
      </c>
      <c r="I68" s="19">
        <v>2.6</v>
      </c>
      <c r="J68" s="19">
        <v>8.9</v>
      </c>
      <c r="K68" s="61">
        <v>8.9</v>
      </c>
      <c r="L68" s="446">
        <v>7.1</v>
      </c>
      <c r="M68" s="19">
        <v>7.3</v>
      </c>
      <c r="N68" s="19">
        <v>2.6</v>
      </c>
      <c r="O68" s="19">
        <v>7.3</v>
      </c>
      <c r="P68" s="20">
        <v>7.3</v>
      </c>
      <c r="Q68" s="18">
        <v>7.7</v>
      </c>
      <c r="R68" s="19">
        <v>7.7</v>
      </c>
      <c r="S68" s="19">
        <v>2.6</v>
      </c>
      <c r="T68" s="19">
        <v>7.7</v>
      </c>
      <c r="U68" s="20">
        <v>7.3</v>
      </c>
      <c r="V68" s="412">
        <f t="shared" si="37"/>
        <v>140.6</v>
      </c>
      <c r="W68" s="42"/>
      <c r="X68" s="302"/>
      <c r="Y68" s="42"/>
      <c r="Z68" s="42"/>
      <c r="AA68" s="42"/>
      <c r="AB68" s="42"/>
      <c r="AC68" s="2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3"/>
      <c r="AQ68" s="3"/>
      <c r="AT68" s="2"/>
      <c r="AU68" s="2"/>
      <c r="AV68" s="2"/>
      <c r="AW68" s="2"/>
    </row>
    <row r="69" spans="1:49" ht="33.75" customHeight="1" thickBot="1" x14ac:dyDescent="0.3">
      <c r="A69" s="171" t="s">
        <v>23</v>
      </c>
      <c r="B69" s="446">
        <v>8.8000000000000007</v>
      </c>
      <c r="C69" s="19">
        <v>8.9</v>
      </c>
      <c r="D69" s="19">
        <v>2.5</v>
      </c>
      <c r="E69" s="19">
        <v>8.9</v>
      </c>
      <c r="F69" s="61">
        <v>8.8000000000000007</v>
      </c>
      <c r="G69" s="446">
        <v>8.8000000000000007</v>
      </c>
      <c r="H69" s="19">
        <v>8.9</v>
      </c>
      <c r="I69" s="19">
        <v>2.6</v>
      </c>
      <c r="J69" s="19">
        <v>8.9</v>
      </c>
      <c r="K69" s="61">
        <v>8.9</v>
      </c>
      <c r="L69" s="446">
        <v>7.1</v>
      </c>
      <c r="M69" s="19">
        <v>7.3</v>
      </c>
      <c r="N69" s="19">
        <v>2.6</v>
      </c>
      <c r="O69" s="19">
        <v>7.3</v>
      </c>
      <c r="P69" s="20">
        <v>7.3</v>
      </c>
      <c r="Q69" s="18">
        <v>7.7</v>
      </c>
      <c r="R69" s="19">
        <v>7.7</v>
      </c>
      <c r="S69" s="19">
        <v>2.6</v>
      </c>
      <c r="T69" s="19">
        <v>7.7</v>
      </c>
      <c r="U69" s="20">
        <v>7.3</v>
      </c>
      <c r="V69" s="412">
        <f t="shared" si="37"/>
        <v>140.6</v>
      </c>
      <c r="W69" s="42"/>
      <c r="X69" s="302"/>
      <c r="Y69" s="42"/>
      <c r="Z69" s="42"/>
      <c r="AA69" s="42"/>
      <c r="AB69" s="42"/>
      <c r="AC69" s="2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3"/>
      <c r="AQ69" s="3"/>
      <c r="AT69" s="2"/>
      <c r="AU69" s="2"/>
      <c r="AV69" s="2"/>
      <c r="AW69" s="2"/>
    </row>
    <row r="70" spans="1:49" ht="33.75" customHeight="1" thickBot="1" x14ac:dyDescent="0.3">
      <c r="A70" s="170" t="s">
        <v>9</v>
      </c>
      <c r="B70" s="297">
        <f t="shared" ref="B70:U70" si="38">SUM(B63:B69)</f>
        <v>61.599999999999994</v>
      </c>
      <c r="C70" s="298">
        <f t="shared" si="38"/>
        <v>62.099999999999994</v>
      </c>
      <c r="D70" s="298">
        <f t="shared" si="38"/>
        <v>17.5</v>
      </c>
      <c r="E70" s="298">
        <f t="shared" si="38"/>
        <v>62.099999999999994</v>
      </c>
      <c r="F70" s="299">
        <f t="shared" si="38"/>
        <v>61.399999999999991</v>
      </c>
      <c r="G70" s="297">
        <f t="shared" si="38"/>
        <v>61.399999999999991</v>
      </c>
      <c r="H70" s="298">
        <f t="shared" si="38"/>
        <v>62.099999999999994</v>
      </c>
      <c r="I70" s="298">
        <f t="shared" si="38"/>
        <v>18.8</v>
      </c>
      <c r="J70" s="298">
        <f t="shared" si="38"/>
        <v>62.099999999999994</v>
      </c>
      <c r="K70" s="298">
        <f t="shared" si="38"/>
        <v>61.899999999999991</v>
      </c>
      <c r="L70" s="297">
        <f t="shared" si="38"/>
        <v>49.500000000000007</v>
      </c>
      <c r="M70" s="298">
        <f t="shared" si="38"/>
        <v>51.099999999999994</v>
      </c>
      <c r="N70" s="298">
        <f t="shared" si="38"/>
        <v>18.2</v>
      </c>
      <c r="O70" s="298">
        <f t="shared" si="38"/>
        <v>51.099999999999994</v>
      </c>
      <c r="P70" s="299">
        <f t="shared" si="38"/>
        <v>51.099999999999994</v>
      </c>
      <c r="Q70" s="297">
        <f t="shared" si="38"/>
        <v>53.7</v>
      </c>
      <c r="R70" s="298">
        <f t="shared" si="38"/>
        <v>53.7</v>
      </c>
      <c r="S70" s="298">
        <f t="shared" si="38"/>
        <v>18.399999999999999</v>
      </c>
      <c r="T70" s="298">
        <f t="shared" si="38"/>
        <v>53.7</v>
      </c>
      <c r="U70" s="448">
        <f t="shared" si="38"/>
        <v>51.099999999999994</v>
      </c>
      <c r="V70" s="449">
        <f t="shared" si="37"/>
        <v>982.60000000000014</v>
      </c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3"/>
      <c r="AQ70" s="3"/>
      <c r="AR70" s="3"/>
      <c r="AS70" s="3"/>
      <c r="AT70" s="2"/>
      <c r="AU70" s="2"/>
      <c r="AV70" s="2"/>
      <c r="AW70" s="2"/>
    </row>
    <row r="71" spans="1:49" ht="33.75" customHeight="1" x14ac:dyDescent="0.25">
      <c r="A71" s="192" t="s">
        <v>11</v>
      </c>
      <c r="B71" s="357">
        <v>155</v>
      </c>
      <c r="C71" s="358">
        <v>156</v>
      </c>
      <c r="D71" s="358">
        <v>155</v>
      </c>
      <c r="E71" s="358">
        <v>156</v>
      </c>
      <c r="F71" s="358">
        <v>156</v>
      </c>
      <c r="G71" s="357">
        <v>154.5</v>
      </c>
      <c r="H71" s="358">
        <v>156</v>
      </c>
      <c r="I71" s="358">
        <v>156</v>
      </c>
      <c r="J71" s="358">
        <v>156</v>
      </c>
      <c r="K71" s="358">
        <v>155</v>
      </c>
      <c r="L71" s="357">
        <v>153.5</v>
      </c>
      <c r="M71" s="358">
        <v>156</v>
      </c>
      <c r="N71" s="358">
        <v>153.5</v>
      </c>
      <c r="O71" s="358">
        <v>156</v>
      </c>
      <c r="P71" s="358">
        <v>156</v>
      </c>
      <c r="Q71" s="357">
        <v>156</v>
      </c>
      <c r="R71" s="358">
        <v>156</v>
      </c>
      <c r="S71" s="358">
        <v>156</v>
      </c>
      <c r="T71" s="358">
        <v>156</v>
      </c>
      <c r="U71" s="358">
        <v>156</v>
      </c>
      <c r="V71" s="296">
        <f>+((V70/V72)/7)*1000</f>
        <v>155.45008701154882</v>
      </c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3"/>
      <c r="AQ71" s="3"/>
      <c r="AR71" s="3"/>
      <c r="AS71" s="3"/>
      <c r="AT71" s="2"/>
      <c r="AU71" s="2"/>
      <c r="AV71" s="2"/>
      <c r="AW71" s="2"/>
    </row>
    <row r="72" spans="1:49" ht="33.75" customHeight="1" x14ac:dyDescent="0.25">
      <c r="A72" s="193" t="s">
        <v>12</v>
      </c>
      <c r="B72" s="257">
        <v>57</v>
      </c>
      <c r="C72" s="275">
        <v>57</v>
      </c>
      <c r="D72" s="275">
        <v>16</v>
      </c>
      <c r="E72" s="275">
        <v>57</v>
      </c>
      <c r="F72" s="275">
        <v>56</v>
      </c>
      <c r="G72" s="257">
        <v>57</v>
      </c>
      <c r="H72" s="275">
        <v>57</v>
      </c>
      <c r="I72" s="275">
        <v>17</v>
      </c>
      <c r="J72" s="275">
        <v>57</v>
      </c>
      <c r="K72" s="275">
        <v>57</v>
      </c>
      <c r="L72" s="257">
        <v>46</v>
      </c>
      <c r="M72" s="275">
        <v>47</v>
      </c>
      <c r="N72" s="275">
        <v>17</v>
      </c>
      <c r="O72" s="275">
        <v>47</v>
      </c>
      <c r="P72" s="275">
        <v>47</v>
      </c>
      <c r="Q72" s="257">
        <v>49</v>
      </c>
      <c r="R72" s="275">
        <v>49</v>
      </c>
      <c r="S72" s="275">
        <v>17</v>
      </c>
      <c r="T72" s="275">
        <v>49</v>
      </c>
      <c r="U72" s="275">
        <v>47</v>
      </c>
      <c r="V72" s="254">
        <f>SUM(B72:U72)</f>
        <v>903</v>
      </c>
      <c r="AC72" s="59"/>
      <c r="AG72" s="3"/>
      <c r="AH72" s="3"/>
      <c r="AI72" s="3"/>
      <c r="AJ72" s="3"/>
      <c r="AK72" s="3"/>
      <c r="AL72" s="3"/>
    </row>
    <row r="73" spans="1:49" ht="33.75" customHeight="1" x14ac:dyDescent="0.25">
      <c r="A73" s="194" t="s">
        <v>13</v>
      </c>
      <c r="B73" s="30">
        <f>((((B71*7)*B72)/1000)-(B63+B64))/5</f>
        <v>8.8490000000000002</v>
      </c>
      <c r="C73" s="31">
        <f t="shared" ref="C73:F73" si="39">((((C71*7)*C72)/1000)-(C63+C64))/5</f>
        <v>8.928799999999999</v>
      </c>
      <c r="D73" s="31">
        <f t="shared" si="39"/>
        <v>2.472</v>
      </c>
      <c r="E73" s="31">
        <f t="shared" si="39"/>
        <v>8.928799999999999</v>
      </c>
      <c r="F73" s="31">
        <f t="shared" si="39"/>
        <v>8.7504000000000008</v>
      </c>
      <c r="G73" s="30">
        <f>((((G71*7)*G72)/1000)-(G63+G64))/5</f>
        <v>8.8491</v>
      </c>
      <c r="H73" s="31">
        <f t="shared" ref="H73:K73" si="40">((((H71*7)*H72)/1000)-(H63+H64))/5</f>
        <v>8.928799999999999</v>
      </c>
      <c r="I73" s="31">
        <f t="shared" si="40"/>
        <v>2.5928</v>
      </c>
      <c r="J73" s="31">
        <f t="shared" si="40"/>
        <v>8.928799999999999</v>
      </c>
      <c r="K73" s="31">
        <f t="shared" si="40"/>
        <v>8.8889999999999993</v>
      </c>
      <c r="L73" s="30">
        <f>((((L71*7)*L72)/1000)-(L63+L64))/5</f>
        <v>7.0853999999999999</v>
      </c>
      <c r="M73" s="31">
        <f t="shared" ref="M73:P73" si="41">((((M71*7)*M72)/1000)-(M63+M64))/5</f>
        <v>7.3447999999999993</v>
      </c>
      <c r="N73" s="31">
        <f t="shared" si="41"/>
        <v>2.6133000000000002</v>
      </c>
      <c r="O73" s="31">
        <f t="shared" si="41"/>
        <v>7.3447999999999993</v>
      </c>
      <c r="P73" s="31">
        <f t="shared" si="41"/>
        <v>7.3447999999999993</v>
      </c>
      <c r="Q73" s="30">
        <f>((((Q71*7)*Q72)/1000)-(Q63+Q64))/5</f>
        <v>7.6616000000000017</v>
      </c>
      <c r="R73" s="31">
        <f t="shared" ref="R73:U73" si="42">((((R71*7)*R72)/1000)-(R63+R64))/5</f>
        <v>7.6616000000000017</v>
      </c>
      <c r="S73" s="31">
        <f t="shared" si="42"/>
        <v>2.6328</v>
      </c>
      <c r="T73" s="31">
        <f t="shared" si="42"/>
        <v>7.6616000000000017</v>
      </c>
      <c r="U73" s="31">
        <f t="shared" si="42"/>
        <v>7.3447999999999993</v>
      </c>
      <c r="V73" s="139">
        <f>((V70*100)/V72)/7</f>
        <v>15.545008701154883</v>
      </c>
      <c r="AG73" s="3"/>
      <c r="AH73" s="3"/>
      <c r="AI73" s="3"/>
      <c r="AJ73" s="3"/>
      <c r="AK73" s="3"/>
      <c r="AL73" s="3"/>
    </row>
    <row r="74" spans="1:49" ht="33.75" customHeight="1" x14ac:dyDescent="0.25">
      <c r="A74" s="185" t="s">
        <v>14</v>
      </c>
      <c r="B74" s="279">
        <f t="shared" ref="B74:U74" si="43">((B72*B71)*7)/1000</f>
        <v>61.844999999999999</v>
      </c>
      <c r="C74" s="280">
        <f t="shared" si="43"/>
        <v>62.244</v>
      </c>
      <c r="D74" s="280">
        <f t="shared" si="43"/>
        <v>17.36</v>
      </c>
      <c r="E74" s="280">
        <f t="shared" si="43"/>
        <v>62.244</v>
      </c>
      <c r="F74" s="280">
        <f t="shared" si="43"/>
        <v>61.152000000000001</v>
      </c>
      <c r="G74" s="279">
        <f t="shared" si="43"/>
        <v>61.645499999999998</v>
      </c>
      <c r="H74" s="280">
        <f t="shared" si="43"/>
        <v>62.244</v>
      </c>
      <c r="I74" s="280">
        <f t="shared" si="43"/>
        <v>18.564</v>
      </c>
      <c r="J74" s="280">
        <f t="shared" si="43"/>
        <v>62.244</v>
      </c>
      <c r="K74" s="280">
        <f t="shared" si="43"/>
        <v>61.844999999999999</v>
      </c>
      <c r="L74" s="279">
        <f t="shared" si="43"/>
        <v>49.427</v>
      </c>
      <c r="M74" s="280">
        <f t="shared" si="43"/>
        <v>51.323999999999998</v>
      </c>
      <c r="N74" s="280">
        <f t="shared" si="43"/>
        <v>18.266500000000001</v>
      </c>
      <c r="O74" s="280">
        <f t="shared" si="43"/>
        <v>51.323999999999998</v>
      </c>
      <c r="P74" s="280">
        <f t="shared" si="43"/>
        <v>51.323999999999998</v>
      </c>
      <c r="Q74" s="279">
        <f t="shared" si="43"/>
        <v>53.508000000000003</v>
      </c>
      <c r="R74" s="280">
        <f t="shared" si="43"/>
        <v>53.508000000000003</v>
      </c>
      <c r="S74" s="280">
        <f t="shared" si="43"/>
        <v>18.564</v>
      </c>
      <c r="T74" s="280">
        <f t="shared" si="43"/>
        <v>53.508000000000003</v>
      </c>
      <c r="U74" s="280">
        <f t="shared" si="43"/>
        <v>51.323999999999998</v>
      </c>
      <c r="V74" s="112"/>
      <c r="W74" s="41"/>
      <c r="X74" s="41"/>
      <c r="Y74" s="41"/>
      <c r="Z74" s="41"/>
      <c r="AA74" s="41"/>
      <c r="AB74" s="41"/>
      <c r="AL74" s="3"/>
    </row>
    <row r="75" spans="1:49" ht="33.75" customHeight="1" thickBot="1" x14ac:dyDescent="0.3">
      <c r="A75" s="195" t="s">
        <v>15</v>
      </c>
      <c r="B75" s="37">
        <f t="shared" ref="B75:U75" si="44">+(B70/B72)/7*1000</f>
        <v>154.38596491228068</v>
      </c>
      <c r="C75" s="38">
        <f t="shared" si="44"/>
        <v>155.6390977443609</v>
      </c>
      <c r="D75" s="38">
        <f t="shared" si="44"/>
        <v>156.25</v>
      </c>
      <c r="E75" s="38">
        <f t="shared" si="44"/>
        <v>155.6390977443609</v>
      </c>
      <c r="F75" s="38">
        <f t="shared" si="44"/>
        <v>156.63265306122449</v>
      </c>
      <c r="G75" s="37">
        <f t="shared" si="44"/>
        <v>153.88471177944859</v>
      </c>
      <c r="H75" s="38">
        <f t="shared" si="44"/>
        <v>155.6390977443609</v>
      </c>
      <c r="I75" s="38">
        <f t="shared" si="44"/>
        <v>157.98319327731096</v>
      </c>
      <c r="J75" s="38">
        <f t="shared" si="44"/>
        <v>155.6390977443609</v>
      </c>
      <c r="K75" s="38">
        <f t="shared" si="44"/>
        <v>155.13784461152881</v>
      </c>
      <c r="L75" s="37">
        <f t="shared" si="44"/>
        <v>153.72670807453417</v>
      </c>
      <c r="M75" s="38">
        <f t="shared" si="44"/>
        <v>155.31914893617022</v>
      </c>
      <c r="N75" s="38">
        <f t="shared" si="44"/>
        <v>152.94117647058823</v>
      </c>
      <c r="O75" s="38">
        <f t="shared" si="44"/>
        <v>155.31914893617022</v>
      </c>
      <c r="P75" s="38">
        <f t="shared" si="44"/>
        <v>155.31914893617022</v>
      </c>
      <c r="Q75" s="37">
        <f t="shared" si="44"/>
        <v>156.55976676384839</v>
      </c>
      <c r="R75" s="38">
        <f t="shared" si="44"/>
        <v>156.55976676384839</v>
      </c>
      <c r="S75" s="38">
        <f t="shared" si="44"/>
        <v>154.62184873949579</v>
      </c>
      <c r="T75" s="38">
        <f t="shared" si="44"/>
        <v>156.55976676384839</v>
      </c>
      <c r="U75" s="38">
        <f t="shared" si="44"/>
        <v>155.31914893617022</v>
      </c>
      <c r="V75" s="40"/>
      <c r="AL75" s="3"/>
    </row>
    <row r="76" spans="1:49" ht="33.75" customHeight="1" x14ac:dyDescent="0.25">
      <c r="B76" s="43">
        <f>B74-B70</f>
        <v>0.24500000000000455</v>
      </c>
      <c r="C76" s="43">
        <f t="shared" ref="C76:F76" si="45">C74-C70</f>
        <v>0.14400000000000546</v>
      </c>
      <c r="D76" s="43">
        <f t="shared" si="45"/>
        <v>-0.14000000000000057</v>
      </c>
      <c r="E76" s="43">
        <f t="shared" si="45"/>
        <v>0.14400000000000546</v>
      </c>
      <c r="F76" s="43">
        <f t="shared" si="45"/>
        <v>-0.24799999999999045</v>
      </c>
      <c r="G76" s="43">
        <f>G74-G70</f>
        <v>0.24550000000000693</v>
      </c>
      <c r="H76" s="43">
        <f t="shared" ref="H76:K77" si="46">H74-H70</f>
        <v>0.14400000000000546</v>
      </c>
      <c r="I76" s="43">
        <f t="shared" si="46"/>
        <v>-0.23600000000000065</v>
      </c>
      <c r="J76" s="43">
        <f t="shared" si="46"/>
        <v>0.14400000000000546</v>
      </c>
      <c r="K76" s="43">
        <f t="shared" si="46"/>
        <v>-5.499999999999261E-2</v>
      </c>
      <c r="L76" s="43">
        <f>L74-L70</f>
        <v>-7.3000000000007503E-2</v>
      </c>
      <c r="M76" s="43">
        <f t="shared" ref="M76:P76" si="47">M74-M70</f>
        <v>0.22400000000000375</v>
      </c>
      <c r="N76" s="43">
        <f t="shared" si="47"/>
        <v>6.6500000000001336E-2</v>
      </c>
      <c r="O76" s="43">
        <f t="shared" si="47"/>
        <v>0.22400000000000375</v>
      </c>
      <c r="P76" s="43">
        <f t="shared" si="47"/>
        <v>0.22400000000000375</v>
      </c>
      <c r="Q76" s="43">
        <f>Q74-Q70</f>
        <v>-0.19200000000000017</v>
      </c>
      <c r="R76" s="43">
        <f t="shared" ref="R76:U76" si="48">R74-R70</f>
        <v>-0.19200000000000017</v>
      </c>
      <c r="S76" s="43">
        <f t="shared" si="48"/>
        <v>0.16400000000000148</v>
      </c>
      <c r="T76" s="43">
        <f t="shared" si="48"/>
        <v>-0.19200000000000017</v>
      </c>
      <c r="U76" s="43">
        <f t="shared" si="48"/>
        <v>0.22400000000000375</v>
      </c>
    </row>
    <row r="77" spans="1:49" ht="33.75" customHeight="1" x14ac:dyDescent="0.25">
      <c r="B77" s="42">
        <f t="shared" ref="B77:U77" si="49">B75-B71</f>
        <v>-0.6140350877193157</v>
      </c>
      <c r="C77" s="42">
        <f t="shared" si="49"/>
        <v>-0.36090225563910394</v>
      </c>
      <c r="D77" s="42">
        <f t="shared" si="49"/>
        <v>1.25</v>
      </c>
      <c r="E77" s="42">
        <f t="shared" si="49"/>
        <v>-0.36090225563910394</v>
      </c>
      <c r="F77" s="42">
        <f t="shared" si="49"/>
        <v>0.63265306122448806</v>
      </c>
      <c r="G77" s="42">
        <f t="shared" si="49"/>
        <v>-0.61528822055140608</v>
      </c>
      <c r="H77" s="42">
        <f t="shared" si="49"/>
        <v>-0.36090225563910394</v>
      </c>
      <c r="I77" s="42">
        <f>I75-I71</f>
        <v>1.98319327731096</v>
      </c>
      <c r="J77" s="42">
        <f t="shared" si="49"/>
        <v>-0.36090225563910394</v>
      </c>
      <c r="K77" s="42">
        <f t="shared" si="46"/>
        <v>0.13784461152880567</v>
      </c>
      <c r="L77" s="42">
        <f t="shared" si="49"/>
        <v>0.22670807453417297</v>
      </c>
      <c r="M77" s="42">
        <f t="shared" si="49"/>
        <v>-0.68085106382977756</v>
      </c>
      <c r="N77" s="42">
        <f t="shared" si="49"/>
        <v>-0.55882352941176805</v>
      </c>
      <c r="O77" s="42">
        <f t="shared" si="49"/>
        <v>-0.68085106382977756</v>
      </c>
      <c r="P77" s="42">
        <f t="shared" si="49"/>
        <v>-0.68085106382977756</v>
      </c>
      <c r="Q77" s="42">
        <f t="shared" si="49"/>
        <v>0.55976676384838697</v>
      </c>
      <c r="R77" s="42">
        <f t="shared" si="49"/>
        <v>0.55976676384838697</v>
      </c>
      <c r="S77" s="42">
        <f t="shared" si="49"/>
        <v>-1.378151260504211</v>
      </c>
      <c r="T77" s="42">
        <f t="shared" si="49"/>
        <v>0.55976676384838697</v>
      </c>
      <c r="U77" s="42">
        <f t="shared" si="49"/>
        <v>-0.68085106382977756</v>
      </c>
      <c r="V77" s="45"/>
      <c r="W77" s="45"/>
      <c r="X77" s="45"/>
      <c r="Y77" s="45"/>
      <c r="Z77" s="45"/>
      <c r="AA77" s="45"/>
      <c r="AB77" s="45"/>
      <c r="AC77" s="52"/>
    </row>
    <row r="78" spans="1:49" ht="33.75" customHeight="1" x14ac:dyDescent="0.25">
      <c r="B78" s="287"/>
      <c r="C78" s="287"/>
      <c r="D78" s="287"/>
      <c r="E78" s="287"/>
      <c r="F78" s="287"/>
    </row>
    <row r="79" spans="1:49" ht="33.75" customHeight="1" x14ac:dyDescent="0.25">
      <c r="A79" s="45"/>
      <c r="B79" s="283"/>
      <c r="C79" s="283"/>
      <c r="D79" s="283"/>
      <c r="E79" s="283"/>
      <c r="F79" s="283"/>
      <c r="G79" s="58"/>
      <c r="H79" s="45"/>
      <c r="I79" s="45"/>
      <c r="J79" s="45"/>
      <c r="K79" s="45"/>
      <c r="L79" s="45"/>
      <c r="M79" s="45"/>
      <c r="N79" s="45"/>
      <c r="O79" s="45"/>
    </row>
    <row r="80" spans="1:49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21">
    <mergeCell ref="R40:R41"/>
    <mergeCell ref="A3:C3"/>
    <mergeCell ref="E9:G9"/>
    <mergeCell ref="W9:X9"/>
    <mergeCell ref="O11:P11"/>
    <mergeCell ref="B16:H16"/>
    <mergeCell ref="I16:O16"/>
    <mergeCell ref="P16:T16"/>
    <mergeCell ref="U16:Y16"/>
    <mergeCell ref="H17:H18"/>
    <mergeCell ref="O17:O18"/>
    <mergeCell ref="B40:F40"/>
    <mergeCell ref="G40:G42"/>
    <mergeCell ref="M40:Q40"/>
    <mergeCell ref="V60:V61"/>
    <mergeCell ref="H43:K55"/>
    <mergeCell ref="O59:P59"/>
    <mergeCell ref="B60:F60"/>
    <mergeCell ref="G60:K60"/>
    <mergeCell ref="L60:P60"/>
    <mergeCell ref="Q60:U60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44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30</v>
      </c>
      <c r="P11" s="965"/>
      <c r="Q11" s="6"/>
      <c r="R11" s="6"/>
      <c r="S11" s="6"/>
      <c r="T11" s="1"/>
      <c r="U11" s="1"/>
      <c r="V11" s="1" t="s">
        <v>6</v>
      </c>
      <c r="W11" s="95">
        <v>45543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34</v>
      </c>
      <c r="B17" s="425"/>
      <c r="C17" s="168"/>
      <c r="D17" s="168"/>
      <c r="E17" s="168"/>
      <c r="F17" s="168"/>
      <c r="G17" s="204"/>
      <c r="H17" s="997" t="s">
        <v>109</v>
      </c>
      <c r="I17" s="188"/>
      <c r="J17" s="168"/>
      <c r="K17" s="168"/>
      <c r="L17" s="168"/>
      <c r="M17" s="168"/>
      <c r="N17" s="169"/>
      <c r="O17" s="997" t="s">
        <v>109</v>
      </c>
      <c r="P17" s="202"/>
      <c r="Q17" s="174"/>
      <c r="R17" s="174"/>
      <c r="S17" s="174"/>
      <c r="T17" s="203"/>
      <c r="U17" s="186"/>
      <c r="V17" s="174"/>
      <c r="W17" s="174"/>
      <c r="X17" s="174"/>
      <c r="Y17" s="175"/>
      <c r="Z17" s="261" t="s">
        <v>9</v>
      </c>
      <c r="AD17" s="15"/>
      <c r="AE17" s="15"/>
    </row>
    <row r="18" spans="1:40" ht="39.950000000000003" customHeight="1" thickBot="1" x14ac:dyDescent="0.3">
      <c r="A18" s="170" t="s">
        <v>10</v>
      </c>
      <c r="B18" s="425" t="s">
        <v>100</v>
      </c>
      <c r="C18" s="168">
        <v>1</v>
      </c>
      <c r="D18" s="168">
        <v>2</v>
      </c>
      <c r="E18" s="168">
        <v>3</v>
      </c>
      <c r="F18" s="168">
        <v>4</v>
      </c>
      <c r="G18" s="204">
        <v>5</v>
      </c>
      <c r="H18" s="998"/>
      <c r="I18" s="386" t="s">
        <v>100</v>
      </c>
      <c r="J18" s="438">
        <v>1</v>
      </c>
      <c r="K18" s="438">
        <v>2</v>
      </c>
      <c r="L18" s="438">
        <v>3</v>
      </c>
      <c r="M18" s="438">
        <v>4</v>
      </c>
      <c r="N18" s="439">
        <v>5</v>
      </c>
      <c r="O18" s="998"/>
      <c r="P18" s="202">
        <v>1</v>
      </c>
      <c r="Q18" s="174">
        <v>2</v>
      </c>
      <c r="R18" s="174">
        <v>3</v>
      </c>
      <c r="S18" s="174">
        <v>4</v>
      </c>
      <c r="T18" s="203">
        <v>5</v>
      </c>
      <c r="U18" s="186">
        <v>1</v>
      </c>
      <c r="V18" s="174">
        <v>2</v>
      </c>
      <c r="W18" s="174">
        <v>3</v>
      </c>
      <c r="X18" s="174">
        <v>4</v>
      </c>
      <c r="Y18" s="175">
        <v>5</v>
      </c>
      <c r="Z18" s="126"/>
      <c r="AD18" s="2"/>
      <c r="AE18" s="15"/>
    </row>
    <row r="19" spans="1:40" ht="39.950000000000003" customHeight="1" x14ac:dyDescent="0.25">
      <c r="A19" s="171" t="s">
        <v>53</v>
      </c>
      <c r="B19" s="503">
        <v>327.7</v>
      </c>
      <c r="C19" s="504">
        <v>20.6</v>
      </c>
      <c r="D19" s="504">
        <v>20.8</v>
      </c>
      <c r="E19" s="560">
        <v>4.4000000000000004</v>
      </c>
      <c r="F19" s="504">
        <v>21</v>
      </c>
      <c r="G19" s="505">
        <v>21</v>
      </c>
      <c r="H19" s="506">
        <f t="shared" ref="H19:H20" si="0">B19+C19+D19+E19+F19+G19</f>
        <v>415.5</v>
      </c>
      <c r="I19" s="142">
        <v>330.1</v>
      </c>
      <c r="J19" s="504">
        <v>20.9</v>
      </c>
      <c r="K19" s="504">
        <v>21</v>
      </c>
      <c r="L19" s="504">
        <v>3</v>
      </c>
      <c r="M19" s="504">
        <v>20</v>
      </c>
      <c r="N19" s="507">
        <v>19.899999999999999</v>
      </c>
      <c r="O19" s="506">
        <f t="shared" ref="O19:O20" si="1">I19+J19+K19+L19+M19+N19</f>
        <v>414.9</v>
      </c>
      <c r="P19" s="561">
        <v>78.400000000000006</v>
      </c>
      <c r="Q19" s="548">
        <v>79.900000000000006</v>
      </c>
      <c r="R19" s="542">
        <v>27.9</v>
      </c>
      <c r="S19" s="504">
        <v>80.099999999999994</v>
      </c>
      <c r="T19" s="507">
        <v>80.599999999999994</v>
      </c>
      <c r="U19" s="508">
        <v>79.400000000000006</v>
      </c>
      <c r="V19" s="548">
        <v>84</v>
      </c>
      <c r="W19" s="545">
        <v>30.1</v>
      </c>
      <c r="X19" s="504">
        <v>84.2</v>
      </c>
      <c r="Y19" s="507">
        <v>83.5</v>
      </c>
      <c r="Z19" s="209">
        <f>SUM(H19,O19,P19:Y19)</f>
        <v>1538.4999999999998</v>
      </c>
      <c r="AA19" s="301"/>
      <c r="AB19" s="302"/>
      <c r="AD19" s="2"/>
      <c r="AE19" s="15"/>
    </row>
    <row r="20" spans="1:40" ht="39.950000000000003" customHeight="1" x14ac:dyDescent="0.25">
      <c r="A20" s="171" t="s">
        <v>24</v>
      </c>
      <c r="B20" s="503">
        <v>327.7</v>
      </c>
      <c r="C20" s="504">
        <v>20.6</v>
      </c>
      <c r="D20" s="504">
        <v>20.8</v>
      </c>
      <c r="E20" s="504">
        <v>4.4000000000000004</v>
      </c>
      <c r="F20" s="504">
        <v>21</v>
      </c>
      <c r="G20" s="505">
        <v>21</v>
      </c>
      <c r="H20" s="506">
        <f t="shared" si="0"/>
        <v>415.5</v>
      </c>
      <c r="I20" s="142">
        <v>330.1</v>
      </c>
      <c r="J20" s="504">
        <v>20.9</v>
      </c>
      <c r="K20" s="504">
        <v>21</v>
      </c>
      <c r="L20" s="504">
        <v>3</v>
      </c>
      <c r="M20" s="504">
        <v>20</v>
      </c>
      <c r="N20" s="507">
        <v>19.899999999999999</v>
      </c>
      <c r="O20" s="506">
        <f t="shared" si="1"/>
        <v>414.9</v>
      </c>
      <c r="P20" s="563">
        <v>80.8</v>
      </c>
      <c r="Q20" s="504">
        <v>79.900000000000006</v>
      </c>
      <c r="R20" s="504">
        <v>27.9</v>
      </c>
      <c r="S20" s="504">
        <v>80.099999999999994</v>
      </c>
      <c r="T20" s="507">
        <v>80.599999999999994</v>
      </c>
      <c r="U20" s="564">
        <v>81.599999999999994</v>
      </c>
      <c r="V20" s="504">
        <v>84</v>
      </c>
      <c r="W20" s="548">
        <v>31</v>
      </c>
      <c r="X20" s="504">
        <v>84.2</v>
      </c>
      <c r="Y20" s="507">
        <v>83.5</v>
      </c>
      <c r="Z20" s="209">
        <f t="shared" ref="Z20:Z25" si="2">SUM(H20,O20,P20:Y20)</f>
        <v>1543.9999999999998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75" customHeight="1" x14ac:dyDescent="0.25">
      <c r="A21" s="171" t="s">
        <v>20</v>
      </c>
      <c r="B21" s="503">
        <v>327.7</v>
      </c>
      <c r="C21" s="504">
        <v>20.6</v>
      </c>
      <c r="D21" s="504">
        <v>20.8</v>
      </c>
      <c r="E21" s="504">
        <v>4.4000000000000004</v>
      </c>
      <c r="F21" s="504">
        <v>21</v>
      </c>
      <c r="G21" s="505">
        <v>21</v>
      </c>
      <c r="H21" s="506">
        <f t="shared" ref="H21" si="3">B21+C21+D21+E21+F21+G21</f>
        <v>415.5</v>
      </c>
      <c r="I21" s="142">
        <v>330.1</v>
      </c>
      <c r="J21" s="504">
        <v>20.9</v>
      </c>
      <c r="K21" s="504">
        <v>21</v>
      </c>
      <c r="L21" s="542">
        <v>3.7</v>
      </c>
      <c r="M21" s="504">
        <v>20</v>
      </c>
      <c r="N21" s="507">
        <v>19.899999999999999</v>
      </c>
      <c r="O21" s="506">
        <f t="shared" ref="O21" si="4">I21+J21+K21+L21+M21+N21</f>
        <v>415.59999999999997</v>
      </c>
      <c r="P21" s="515">
        <v>80.8</v>
      </c>
      <c r="Q21" s="504">
        <v>79.900000000000006</v>
      </c>
      <c r="R21" s="504">
        <v>27.9</v>
      </c>
      <c r="S21" s="504">
        <v>80.099999999999994</v>
      </c>
      <c r="T21" s="507">
        <v>80.599999999999994</v>
      </c>
      <c r="U21" s="508">
        <v>81.599999999999994</v>
      </c>
      <c r="V21" s="504">
        <v>84</v>
      </c>
      <c r="W21" s="504">
        <v>31</v>
      </c>
      <c r="X21" s="504">
        <v>84.2</v>
      </c>
      <c r="Y21" s="507">
        <v>83.5</v>
      </c>
      <c r="Z21" s="209">
        <f>SUM(H21,O21,P21:Y21)</f>
        <v>1544.6999999999996</v>
      </c>
      <c r="AA21" s="520"/>
      <c r="AB21" s="521"/>
      <c r="AC21" s="522"/>
      <c r="AD21" s="145"/>
      <c r="AE21" s="523"/>
      <c r="AF21" s="522"/>
      <c r="AG21" s="522"/>
      <c r="AH21" s="522"/>
      <c r="AI21" s="522"/>
      <c r="AJ21" s="522"/>
      <c r="AK21" s="522"/>
      <c r="AL21" s="522"/>
      <c r="AM21" s="522"/>
      <c r="AN21" s="522"/>
    </row>
    <row r="22" spans="1:40" ht="39.950000000000003" customHeight="1" x14ac:dyDescent="0.25">
      <c r="A22" s="171" t="s">
        <v>28</v>
      </c>
      <c r="B22" s="503">
        <v>327.7</v>
      </c>
      <c r="C22" s="504">
        <v>20.6</v>
      </c>
      <c r="D22" s="504">
        <v>20.8</v>
      </c>
      <c r="E22" s="504">
        <v>4.4000000000000004</v>
      </c>
      <c r="F22" s="504">
        <v>21</v>
      </c>
      <c r="G22" s="505">
        <v>21</v>
      </c>
      <c r="H22" s="506">
        <f t="shared" ref="H22" si="5">B22+C22+D22+E22+F22+G22</f>
        <v>415.5</v>
      </c>
      <c r="I22" s="142">
        <v>330.1</v>
      </c>
      <c r="J22" s="504">
        <v>20.9</v>
      </c>
      <c r="K22" s="504">
        <v>21</v>
      </c>
      <c r="L22" s="504">
        <v>3.7</v>
      </c>
      <c r="M22" s="504">
        <v>20</v>
      </c>
      <c r="N22" s="507">
        <v>19.899999999999999</v>
      </c>
      <c r="O22" s="506">
        <f t="shared" ref="O22" si="6">I22+J22+K22+L22+M22+N22</f>
        <v>415.59999999999997</v>
      </c>
      <c r="P22" s="515">
        <v>80.8</v>
      </c>
      <c r="Q22" s="504">
        <v>79.900000000000006</v>
      </c>
      <c r="R22" s="504">
        <v>27.9</v>
      </c>
      <c r="S22" s="504">
        <v>80.099999999999994</v>
      </c>
      <c r="T22" s="507">
        <v>80.599999999999994</v>
      </c>
      <c r="U22" s="508">
        <v>81.599999999999994</v>
      </c>
      <c r="V22" s="504">
        <v>84</v>
      </c>
      <c r="W22" s="504">
        <v>31</v>
      </c>
      <c r="X22" s="504">
        <v>84.2</v>
      </c>
      <c r="Y22" s="507">
        <v>83.5</v>
      </c>
      <c r="Z22" s="209">
        <f t="shared" si="2"/>
        <v>1544.6999999999996</v>
      </c>
      <c r="AA22" s="301"/>
      <c r="AB22" s="302"/>
      <c r="AD22" s="2"/>
      <c r="AE22" s="15"/>
    </row>
    <row r="23" spans="1:40" ht="39.950000000000003" customHeight="1" x14ac:dyDescent="0.25">
      <c r="A23" s="171" t="s">
        <v>21</v>
      </c>
      <c r="B23" s="503">
        <v>327.7</v>
      </c>
      <c r="C23" s="504">
        <v>20.6</v>
      </c>
      <c r="D23" s="504">
        <v>20.8</v>
      </c>
      <c r="E23" s="504">
        <v>4.3</v>
      </c>
      <c r="F23" s="504">
        <v>21</v>
      </c>
      <c r="G23" s="505">
        <v>21</v>
      </c>
      <c r="H23" s="506">
        <f t="shared" ref="H23" si="7">B23+C23+D23+E23+F23+G23</f>
        <v>415.40000000000003</v>
      </c>
      <c r="I23" s="142">
        <v>330.1</v>
      </c>
      <c r="J23" s="504">
        <v>20.9</v>
      </c>
      <c r="K23" s="504">
        <v>21</v>
      </c>
      <c r="L23" s="504">
        <v>3.7</v>
      </c>
      <c r="M23" s="504">
        <v>20</v>
      </c>
      <c r="N23" s="507">
        <v>19.899999999999999</v>
      </c>
      <c r="O23" s="506">
        <f t="shared" ref="O23" si="8">I23+J23+K23+L23+M23+N23</f>
        <v>415.59999999999997</v>
      </c>
      <c r="P23" s="515">
        <v>80.599999999999994</v>
      </c>
      <c r="Q23" s="504">
        <v>79.900000000000006</v>
      </c>
      <c r="R23" s="504">
        <v>27.9</v>
      </c>
      <c r="S23" s="504">
        <v>80.099999999999994</v>
      </c>
      <c r="T23" s="507">
        <v>80.599999999999994</v>
      </c>
      <c r="U23" s="508">
        <v>81.400000000000006</v>
      </c>
      <c r="V23" s="504">
        <v>84</v>
      </c>
      <c r="W23" s="504">
        <v>31</v>
      </c>
      <c r="X23" s="504">
        <v>84.2</v>
      </c>
      <c r="Y23" s="507">
        <v>83.5</v>
      </c>
      <c r="Z23" s="509">
        <f t="shared" si="2"/>
        <v>1544.2</v>
      </c>
      <c r="AA23" s="301"/>
      <c r="AB23" s="302"/>
      <c r="AD23" s="2"/>
      <c r="AE23" s="15"/>
    </row>
    <row r="24" spans="1:40" ht="39.950000000000003" customHeight="1" x14ac:dyDescent="0.25">
      <c r="A24" s="171" t="s">
        <v>22</v>
      </c>
      <c r="B24" s="503">
        <v>327.7</v>
      </c>
      <c r="C24" s="504">
        <v>20.6</v>
      </c>
      <c r="D24" s="504">
        <v>20.8</v>
      </c>
      <c r="E24" s="545">
        <v>5.2</v>
      </c>
      <c r="F24" s="504">
        <v>21</v>
      </c>
      <c r="G24" s="505">
        <v>21</v>
      </c>
      <c r="H24" s="506">
        <f t="shared" ref="H24" si="9">B24+C24+D24+E24+F24+G24</f>
        <v>416.3</v>
      </c>
      <c r="I24" s="142">
        <v>330.1</v>
      </c>
      <c r="J24" s="504">
        <v>20.9</v>
      </c>
      <c r="K24" s="504">
        <v>21</v>
      </c>
      <c r="L24" s="560">
        <v>4.3</v>
      </c>
      <c r="M24" s="504">
        <v>20</v>
      </c>
      <c r="N24" s="507">
        <v>19.899999999999999</v>
      </c>
      <c r="O24" s="506">
        <f t="shared" ref="O24" si="10">I24+J24+K24+L24+M24+N24</f>
        <v>416.2</v>
      </c>
      <c r="P24" s="515">
        <v>80.599999999999994</v>
      </c>
      <c r="Q24" s="504">
        <v>79.900000000000006</v>
      </c>
      <c r="R24" s="504">
        <v>27.9</v>
      </c>
      <c r="S24" s="504">
        <v>80.099999999999994</v>
      </c>
      <c r="T24" s="507">
        <v>80.599999999999994</v>
      </c>
      <c r="U24" s="508">
        <v>81.400000000000006</v>
      </c>
      <c r="V24" s="504">
        <v>84</v>
      </c>
      <c r="W24" s="504">
        <v>31</v>
      </c>
      <c r="X24" s="504">
        <v>84.2</v>
      </c>
      <c r="Y24" s="507">
        <v>83.5</v>
      </c>
      <c r="Z24" s="209">
        <f t="shared" si="2"/>
        <v>1545.7</v>
      </c>
      <c r="AA24" s="301"/>
      <c r="AB24" s="302"/>
      <c r="AD24" s="2"/>
      <c r="AE24" s="15"/>
    </row>
    <row r="25" spans="1:40" ht="39.950000000000003" customHeight="1" thickBot="1" x14ac:dyDescent="0.3">
      <c r="A25" s="285" t="s">
        <v>23</v>
      </c>
      <c r="B25" s="503">
        <v>327.7</v>
      </c>
      <c r="C25" s="504">
        <v>20.6</v>
      </c>
      <c r="D25" s="504">
        <v>20.8</v>
      </c>
      <c r="E25" s="504">
        <v>5.2</v>
      </c>
      <c r="F25" s="504">
        <v>21</v>
      </c>
      <c r="G25" s="505">
        <v>20.9</v>
      </c>
      <c r="H25" s="506">
        <f t="shared" ref="H25" si="11">B25+C25+D25+E25+F25+G25</f>
        <v>416.2</v>
      </c>
      <c r="I25" s="142">
        <v>330.1</v>
      </c>
      <c r="J25" s="504">
        <v>20.9</v>
      </c>
      <c r="K25" s="504">
        <v>21</v>
      </c>
      <c r="L25" s="504">
        <v>4.3</v>
      </c>
      <c r="M25" s="504">
        <v>20</v>
      </c>
      <c r="N25" s="507">
        <v>19.899999999999999</v>
      </c>
      <c r="O25" s="506">
        <f t="shared" ref="O25" si="12">I25+J25+K25+L25+M25+N25</f>
        <v>416.2</v>
      </c>
      <c r="P25" s="515">
        <v>80.400000000000006</v>
      </c>
      <c r="Q25" s="504">
        <v>79.8</v>
      </c>
      <c r="R25" s="540">
        <v>28.7</v>
      </c>
      <c r="S25" s="504">
        <v>80.099999999999994</v>
      </c>
      <c r="T25" s="507">
        <v>80.599999999999994</v>
      </c>
      <c r="U25" s="571">
        <v>83.9</v>
      </c>
      <c r="V25" s="504">
        <v>84</v>
      </c>
      <c r="W25" s="504">
        <v>31</v>
      </c>
      <c r="X25" s="504">
        <v>84</v>
      </c>
      <c r="Y25" s="507">
        <v>83.5</v>
      </c>
      <c r="Z25" s="209">
        <f t="shared" si="2"/>
        <v>1548.3999999999999</v>
      </c>
      <c r="AA25" s="301"/>
      <c r="AB25" s="302"/>
      <c r="AD25" s="2"/>
    </row>
    <row r="26" spans="1:40" ht="41.45" customHeight="1" thickBot="1" x14ac:dyDescent="0.3">
      <c r="A26" s="268" t="s">
        <v>9</v>
      </c>
      <c r="B26" s="421"/>
      <c r="C26" s="128">
        <f>SUM(C19:C25)</f>
        <v>144.19999999999999</v>
      </c>
      <c r="D26" s="128">
        <f t="shared" ref="D26:Y26" si="13">SUM(D19:D25)</f>
        <v>145.6</v>
      </c>
      <c r="E26" s="128">
        <f t="shared" si="13"/>
        <v>32.300000000000004</v>
      </c>
      <c r="F26" s="128">
        <f t="shared" si="13"/>
        <v>147</v>
      </c>
      <c r="G26" s="205">
        <f t="shared" si="13"/>
        <v>146.9</v>
      </c>
      <c r="H26" s="436">
        <f>SUM(H19:H25)</f>
        <v>2909.9</v>
      </c>
      <c r="I26" s="131"/>
      <c r="J26" s="128">
        <f t="shared" si="13"/>
        <v>146.30000000000001</v>
      </c>
      <c r="K26" s="128">
        <f>SUM(K19:K25)</f>
        <v>147</v>
      </c>
      <c r="L26" s="128">
        <f t="shared" si="13"/>
        <v>25.7</v>
      </c>
      <c r="M26" s="128">
        <f t="shared" si="13"/>
        <v>140</v>
      </c>
      <c r="N26" s="129">
        <f t="shared" si="13"/>
        <v>139.30000000000001</v>
      </c>
      <c r="O26" s="436">
        <f>SUM(O19:O25)</f>
        <v>2908.9999999999995</v>
      </c>
      <c r="P26" s="127">
        <f t="shared" si="13"/>
        <v>562.4</v>
      </c>
      <c r="Q26" s="128">
        <f t="shared" si="13"/>
        <v>559.19999999999993</v>
      </c>
      <c r="R26" s="128">
        <f t="shared" si="13"/>
        <v>196.1</v>
      </c>
      <c r="S26" s="128">
        <f t="shared" si="13"/>
        <v>560.70000000000005</v>
      </c>
      <c r="T26" s="205">
        <f t="shared" si="13"/>
        <v>564.20000000000005</v>
      </c>
      <c r="U26" s="131">
        <f t="shared" si="13"/>
        <v>570.9</v>
      </c>
      <c r="V26" s="128">
        <f t="shared" si="13"/>
        <v>588</v>
      </c>
      <c r="W26" s="128">
        <f t="shared" si="13"/>
        <v>216.1</v>
      </c>
      <c r="X26" s="128">
        <f t="shared" si="13"/>
        <v>589.20000000000005</v>
      </c>
      <c r="Y26" s="129">
        <f t="shared" si="13"/>
        <v>584.5</v>
      </c>
      <c r="Z26" s="375">
        <f>SUM(Z19,Z20,Z21,Z22,Z23,Z24,Z25)</f>
        <v>10810.199999999999</v>
      </c>
      <c r="AA26" s="301"/>
    </row>
    <row r="27" spans="1:40" s="2" customFormat="1" ht="36.75" customHeight="1" x14ac:dyDescent="0.25">
      <c r="A27" s="192" t="s">
        <v>11</v>
      </c>
      <c r="B27" s="23"/>
      <c r="C27" s="477">
        <v>165.52</v>
      </c>
      <c r="D27" s="477">
        <v>165.52</v>
      </c>
      <c r="E27" s="477">
        <v>160.19</v>
      </c>
      <c r="F27" s="477">
        <v>165.52</v>
      </c>
      <c r="G27" s="477">
        <v>165.52</v>
      </c>
      <c r="H27" s="478"/>
      <c r="I27" s="479"/>
      <c r="J27" s="477">
        <v>165.52</v>
      </c>
      <c r="K27" s="477">
        <v>165.52</v>
      </c>
      <c r="L27" s="477">
        <v>154.69</v>
      </c>
      <c r="M27" s="477">
        <v>163.82</v>
      </c>
      <c r="N27" s="477">
        <v>163.82</v>
      </c>
      <c r="O27" s="478"/>
      <c r="P27" s="480">
        <v>163.82</v>
      </c>
      <c r="Q27" s="477">
        <v>163.82</v>
      </c>
      <c r="R27" s="477">
        <v>154.38</v>
      </c>
      <c r="S27" s="477">
        <v>163.82</v>
      </c>
      <c r="T27" s="481">
        <v>163.82</v>
      </c>
      <c r="U27" s="479">
        <v>163.82</v>
      </c>
      <c r="V27" s="477">
        <v>163.82</v>
      </c>
      <c r="W27" s="477">
        <v>163.82</v>
      </c>
      <c r="X27" s="477">
        <v>163.82</v>
      </c>
      <c r="Y27" s="482">
        <v>163.82</v>
      </c>
      <c r="Z27" s="99">
        <f>(((Z26*1000)/7)/Z28)</f>
        <v>163.78346438798235</v>
      </c>
    </row>
    <row r="28" spans="1:40" s="2" customFormat="1" ht="33" customHeight="1" x14ac:dyDescent="0.25">
      <c r="A28" s="193" t="s">
        <v>12</v>
      </c>
      <c r="B28" s="257"/>
      <c r="C28" s="27">
        <v>579</v>
      </c>
      <c r="D28" s="27">
        <v>585</v>
      </c>
      <c r="E28" s="27">
        <v>171</v>
      </c>
      <c r="F28" s="27">
        <v>590</v>
      </c>
      <c r="G28" s="27">
        <v>589</v>
      </c>
      <c r="H28" s="441"/>
      <c r="I28" s="26"/>
      <c r="J28" s="27">
        <v>587</v>
      </c>
      <c r="K28" s="27">
        <v>591</v>
      </c>
      <c r="L28" s="483">
        <v>175</v>
      </c>
      <c r="M28" s="27">
        <v>592</v>
      </c>
      <c r="N28" s="27">
        <v>588</v>
      </c>
      <c r="O28" s="441"/>
      <c r="P28" s="64">
        <v>491</v>
      </c>
      <c r="Q28" s="27">
        <v>487</v>
      </c>
      <c r="R28" s="27">
        <v>186</v>
      </c>
      <c r="S28" s="27">
        <v>489</v>
      </c>
      <c r="T28" s="483">
        <v>492</v>
      </c>
      <c r="U28" s="27">
        <v>512</v>
      </c>
      <c r="V28" s="27">
        <v>513</v>
      </c>
      <c r="W28" s="27">
        <v>189</v>
      </c>
      <c r="X28" s="27">
        <v>513</v>
      </c>
      <c r="Y28" s="27">
        <v>510</v>
      </c>
      <c r="Z28" s="29">
        <f>SUM(C28:Y28)</f>
        <v>9429</v>
      </c>
      <c r="AA28" s="402"/>
    </row>
    <row r="29" spans="1:40" s="2" customFormat="1" ht="33" customHeight="1" x14ac:dyDescent="0.25">
      <c r="A29" s="444" t="s">
        <v>13</v>
      </c>
      <c r="B29" s="445"/>
      <c r="C29" s="31">
        <f>(C34*C28)/1000</f>
        <v>20.566080000000007</v>
      </c>
      <c r="D29" s="31">
        <f>(D34*D28)/1000</f>
        <v>20.779200000000003</v>
      </c>
      <c r="E29" s="31">
        <f t="shared" ref="E29:G29" si="14">(E34*E28)/1000</f>
        <v>5.16249</v>
      </c>
      <c r="F29" s="31">
        <f t="shared" si="14"/>
        <v>20.956800000000008</v>
      </c>
      <c r="G29" s="31">
        <f t="shared" si="14"/>
        <v>20.921280000000007</v>
      </c>
      <c r="H29" s="442"/>
      <c r="I29" s="30"/>
      <c r="J29" s="31">
        <f>(J34*J28)/1000</f>
        <v>20.850240000000007</v>
      </c>
      <c r="K29" s="31">
        <f t="shared" ref="K29:N29" si="15">(K34*K28)/1000</f>
        <v>20.992320000000007</v>
      </c>
      <c r="L29" s="31">
        <f t="shared" si="15"/>
        <v>4.3207500000000003</v>
      </c>
      <c r="M29" s="31">
        <f t="shared" si="15"/>
        <v>20.021439999999995</v>
      </c>
      <c r="N29" s="31">
        <f t="shared" si="15"/>
        <v>19.886159999999997</v>
      </c>
      <c r="O29" s="442"/>
      <c r="P29" s="65">
        <f>((((P27*7)*P28)/1000))/7</f>
        <v>80.435619999999986</v>
      </c>
      <c r="Q29" s="65">
        <f t="shared" ref="Q29:Y29" si="16">((((Q27*7)*Q28)/1000))/7</f>
        <v>79.78034000000001</v>
      </c>
      <c r="R29" s="65">
        <f t="shared" si="16"/>
        <v>28.714679999999994</v>
      </c>
      <c r="S29" s="65">
        <f t="shared" si="16"/>
        <v>80.107979999999998</v>
      </c>
      <c r="T29" s="65">
        <f t="shared" si="16"/>
        <v>80.599439999999987</v>
      </c>
      <c r="U29" s="65">
        <f t="shared" si="16"/>
        <v>83.875840000000011</v>
      </c>
      <c r="V29" s="65">
        <f t="shared" si="16"/>
        <v>84.039659999999998</v>
      </c>
      <c r="W29" s="65">
        <f t="shared" si="16"/>
        <v>30.961980000000004</v>
      </c>
      <c r="X29" s="65">
        <f t="shared" si="16"/>
        <v>84.039659999999998</v>
      </c>
      <c r="Y29" s="65">
        <f t="shared" si="16"/>
        <v>83.548199999999994</v>
      </c>
      <c r="Z29" s="33"/>
    </row>
    <row r="30" spans="1:40" ht="33.75" customHeight="1" x14ac:dyDescent="0.25">
      <c r="A30" s="185" t="s">
        <v>14</v>
      </c>
      <c r="B30" s="34"/>
      <c r="C30" s="280">
        <f>((C28*C31)*7)/1000</f>
        <v>144.19999999999999</v>
      </c>
      <c r="D30" s="280">
        <f t="shared" ref="D30:G30" si="17">((D28*D31)*7)/1000</f>
        <v>145.6</v>
      </c>
      <c r="E30" s="280">
        <f>((E28*E31)*7)/1000</f>
        <v>32.300000000000004</v>
      </c>
      <c r="F30" s="280">
        <f t="shared" si="17"/>
        <v>147</v>
      </c>
      <c r="G30" s="280">
        <f t="shared" si="17"/>
        <v>146.9</v>
      </c>
      <c r="H30" s="443"/>
      <c r="I30" s="279"/>
      <c r="J30" s="280">
        <f>((J28*J31)*7)/1000</f>
        <v>146.30000000000001</v>
      </c>
      <c r="K30" s="280">
        <f t="shared" ref="K30:N30" si="18">((K28*K31)*7)/1000</f>
        <v>147</v>
      </c>
      <c r="L30" s="280">
        <f t="shared" si="18"/>
        <v>25.7</v>
      </c>
      <c r="M30" s="280">
        <f t="shared" si="18"/>
        <v>140</v>
      </c>
      <c r="N30" s="280">
        <f t="shared" si="18"/>
        <v>139.30000000000004</v>
      </c>
      <c r="O30" s="443"/>
      <c r="P30" s="325">
        <f t="shared" ref="P30:Y30" si="19">((P28*P27)*7)/1000</f>
        <v>563.04933999999992</v>
      </c>
      <c r="Q30" s="280">
        <f t="shared" si="19"/>
        <v>558.46238000000005</v>
      </c>
      <c r="R30" s="280">
        <f t="shared" si="19"/>
        <v>201.00276000000002</v>
      </c>
      <c r="S30" s="280">
        <f t="shared" si="19"/>
        <v>560.75585999999998</v>
      </c>
      <c r="T30" s="281">
        <f t="shared" si="19"/>
        <v>564.19608000000005</v>
      </c>
      <c r="U30" s="279">
        <f t="shared" si="19"/>
        <v>587.13088000000005</v>
      </c>
      <c r="V30" s="280">
        <f t="shared" si="19"/>
        <v>588.27761999999996</v>
      </c>
      <c r="W30" s="280">
        <f t="shared" si="19"/>
        <v>216.73385999999999</v>
      </c>
      <c r="X30" s="280">
        <f t="shared" si="19"/>
        <v>588.27761999999996</v>
      </c>
      <c r="Y30" s="282">
        <f t="shared" si="19"/>
        <v>584.8374</v>
      </c>
      <c r="Z30" s="36"/>
    </row>
    <row r="31" spans="1:40" ht="33.75" customHeight="1" thickBot="1" x14ac:dyDescent="0.3">
      <c r="A31" s="195" t="s">
        <v>15</v>
      </c>
      <c r="B31" s="423"/>
      <c r="C31" s="38">
        <f>+(C26/C28)/7*1000</f>
        <v>35.578583765112263</v>
      </c>
      <c r="D31" s="38">
        <f t="shared" ref="D31:Y31" si="20">+(D26/D28)/7*1000</f>
        <v>35.555555555555557</v>
      </c>
      <c r="E31" s="38">
        <f t="shared" si="20"/>
        <v>26.984126984126988</v>
      </c>
      <c r="F31" s="38">
        <f t="shared" si="20"/>
        <v>35.593220338983052</v>
      </c>
      <c r="G31" s="38">
        <f t="shared" si="20"/>
        <v>35.629396070822217</v>
      </c>
      <c r="H31" s="259"/>
      <c r="I31" s="37"/>
      <c r="J31" s="38">
        <f t="shared" si="20"/>
        <v>35.604770017035776</v>
      </c>
      <c r="K31" s="38">
        <f t="shared" si="20"/>
        <v>35.532994923857871</v>
      </c>
      <c r="L31" s="38">
        <f t="shared" si="20"/>
        <v>20.979591836734695</v>
      </c>
      <c r="M31" s="38">
        <f t="shared" si="20"/>
        <v>33.783783783783782</v>
      </c>
      <c r="N31" s="38">
        <f t="shared" si="20"/>
        <v>33.843537414965994</v>
      </c>
      <c r="O31" s="259"/>
      <c r="P31" s="67">
        <f t="shared" si="20"/>
        <v>163.63107361070701</v>
      </c>
      <c r="Q31" s="38">
        <f t="shared" si="20"/>
        <v>164.03637430331472</v>
      </c>
      <c r="R31" s="38">
        <f t="shared" si="20"/>
        <v>150.61443932411672</v>
      </c>
      <c r="S31" s="38">
        <f t="shared" si="20"/>
        <v>163.80368098159508</v>
      </c>
      <c r="T31" s="207">
        <f t="shared" si="20"/>
        <v>163.82113821138211</v>
      </c>
      <c r="U31" s="37">
        <f t="shared" si="20"/>
        <v>159.29129464285714</v>
      </c>
      <c r="V31" s="38">
        <f t="shared" si="20"/>
        <v>163.74269005847952</v>
      </c>
      <c r="W31" s="38">
        <f t="shared" si="20"/>
        <v>163.34089191232047</v>
      </c>
      <c r="X31" s="38">
        <f t="shared" si="20"/>
        <v>164.07685881370094</v>
      </c>
      <c r="Y31" s="39">
        <f t="shared" si="20"/>
        <v>163.72549019607843</v>
      </c>
      <c r="Z31" s="40"/>
    </row>
    <row r="32" spans="1:40" ht="33.75" customHeight="1" x14ac:dyDescent="0.25">
      <c r="A32" s="41"/>
      <c r="B32" s="41"/>
      <c r="C32" s="42">
        <f>C30-C26</f>
        <v>0</v>
      </c>
      <c r="D32" s="42">
        <f t="shared" ref="D32:Y33" si="21">D30-D26</f>
        <v>0</v>
      </c>
      <c r="E32" s="42">
        <f t="shared" si="21"/>
        <v>0</v>
      </c>
      <c r="F32" s="42">
        <f t="shared" si="21"/>
        <v>0</v>
      </c>
      <c r="G32" s="42">
        <f t="shared" si="21"/>
        <v>0</v>
      </c>
      <c r="H32" s="42"/>
      <c r="I32" s="42"/>
      <c r="J32" s="42">
        <f t="shared" si="21"/>
        <v>0</v>
      </c>
      <c r="K32" s="42">
        <f>K30-K26</f>
        <v>0</v>
      </c>
      <c r="L32" s="42">
        <f t="shared" si="21"/>
        <v>0</v>
      </c>
      <c r="M32" s="42">
        <f t="shared" si="21"/>
        <v>0</v>
      </c>
      <c r="N32" s="42">
        <f t="shared" si="21"/>
        <v>0</v>
      </c>
      <c r="O32" s="42"/>
      <c r="P32" s="42">
        <f t="shared" si="21"/>
        <v>0.6493399999999383</v>
      </c>
      <c r="Q32" s="42">
        <f t="shared" si="21"/>
        <v>-0.73761999999987893</v>
      </c>
      <c r="R32" s="42">
        <f t="shared" si="21"/>
        <v>4.9027600000000291</v>
      </c>
      <c r="S32" s="42">
        <f t="shared" si="21"/>
        <v>5.5859999999938736E-2</v>
      </c>
      <c r="T32" s="42">
        <f t="shared" si="21"/>
        <v>-3.9199999999937063E-3</v>
      </c>
      <c r="U32" s="42">
        <f t="shared" si="21"/>
        <v>16.23088000000007</v>
      </c>
      <c r="V32" s="42">
        <f t="shared" si="21"/>
        <v>0.27761999999995624</v>
      </c>
      <c r="W32" s="42">
        <f t="shared" si="21"/>
        <v>0.63385999999999854</v>
      </c>
      <c r="X32" s="42">
        <f t="shared" si="21"/>
        <v>-0.92238000000008924</v>
      </c>
      <c r="Y32" s="42">
        <f t="shared" si="21"/>
        <v>0.33740000000000236</v>
      </c>
      <c r="Z32" s="48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</row>
    <row r="33" spans="1:38" ht="31.5" customHeight="1" x14ac:dyDescent="0.25">
      <c r="A33" s="41"/>
      <c r="B33" s="41"/>
      <c r="C33" s="42">
        <f>C31-C34</f>
        <v>5.8583765112253161E-2</v>
      </c>
      <c r="D33" s="42">
        <f t="shared" ref="D33:G33" si="22">D31-D34</f>
        <v>3.5555555555546903E-2</v>
      </c>
      <c r="E33" s="42">
        <f t="shared" si="22"/>
        <v>-3.20587301587301</v>
      </c>
      <c r="F33" s="42">
        <f t="shared" si="22"/>
        <v>7.32203389830417E-2</v>
      </c>
      <c r="G33" s="42">
        <f t="shared" si="22"/>
        <v>0.10939607082220704</v>
      </c>
      <c r="H33" s="42"/>
      <c r="I33" s="42"/>
      <c r="J33" s="42">
        <f t="shared" ref="J33:N33" si="23">J31-J34</f>
        <v>8.4770017035765477E-2</v>
      </c>
      <c r="K33" s="42">
        <f t="shared" si="23"/>
        <v>1.2994923857860385E-2</v>
      </c>
      <c r="L33" s="42">
        <f t="shared" si="23"/>
        <v>-3.7104081632653028</v>
      </c>
      <c r="M33" s="42">
        <f t="shared" si="23"/>
        <v>-3.6216216216210739E-2</v>
      </c>
      <c r="N33" s="42">
        <f t="shared" si="23"/>
        <v>2.353741496600037E-2</v>
      </c>
      <c r="O33" s="42"/>
      <c r="P33" s="42">
        <f t="shared" si="21"/>
        <v>-0.18892638929298755</v>
      </c>
      <c r="Q33" s="42">
        <f t="shared" si="21"/>
        <v>0.21637430331472274</v>
      </c>
      <c r="R33" s="42">
        <f t="shared" si="21"/>
        <v>-3.7655606758832789</v>
      </c>
      <c r="S33" s="42">
        <f t="shared" si="21"/>
        <v>-1.6319018404914232E-2</v>
      </c>
      <c r="T33" s="42">
        <f t="shared" si="21"/>
        <v>1.1382113821127859E-3</v>
      </c>
      <c r="U33" s="42">
        <f t="shared" si="21"/>
        <v>-4.5287053571428544</v>
      </c>
      <c r="V33" s="42">
        <f t="shared" si="21"/>
        <v>-7.7309941520468328E-2</v>
      </c>
      <c r="W33" s="42">
        <f t="shared" si="21"/>
        <v>-0.47910808767952062</v>
      </c>
      <c r="X33" s="42">
        <f t="shared" si="21"/>
        <v>0.25685881370094421</v>
      </c>
      <c r="Y33" s="42">
        <f t="shared" si="21"/>
        <v>-9.4509803921567936E-2</v>
      </c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thickBot="1" x14ac:dyDescent="0.3">
      <c r="A34" s="41"/>
      <c r="B34" s="41"/>
      <c r="C34" s="42">
        <f>C27-$B$35</f>
        <v>35.52000000000001</v>
      </c>
      <c r="D34" s="42">
        <f t="shared" ref="D34:G34" si="24">D27-$B$35</f>
        <v>35.52000000000001</v>
      </c>
      <c r="E34" s="42">
        <f t="shared" si="24"/>
        <v>30.189999999999998</v>
      </c>
      <c r="F34" s="42">
        <f t="shared" si="24"/>
        <v>35.52000000000001</v>
      </c>
      <c r="G34" s="42">
        <f t="shared" si="24"/>
        <v>35.52000000000001</v>
      </c>
      <c r="H34" s="42"/>
      <c r="I34" s="42"/>
      <c r="J34" s="42">
        <f>J27-$I$35</f>
        <v>35.52000000000001</v>
      </c>
      <c r="K34" s="42">
        <f t="shared" ref="K34:N34" si="25">K27-$I$35</f>
        <v>35.52000000000001</v>
      </c>
      <c r="L34" s="42">
        <f t="shared" si="25"/>
        <v>24.689999999999998</v>
      </c>
      <c r="M34" s="42">
        <f t="shared" si="25"/>
        <v>33.819999999999993</v>
      </c>
      <c r="N34" s="42">
        <f t="shared" si="25"/>
        <v>33.819999999999993</v>
      </c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1"/>
    </row>
    <row r="35" spans="1:38" ht="33.75" customHeight="1" x14ac:dyDescent="0.25">
      <c r="A35" s="41"/>
      <c r="B35" s="501">
        <v>130</v>
      </c>
      <c r="C35" s="500">
        <f>(B35*D35)/1000</f>
        <v>326.82</v>
      </c>
      <c r="D35" s="432">
        <f>SUM(C28:G28)</f>
        <v>2514</v>
      </c>
      <c r="E35" s="42"/>
      <c r="F35" s="42"/>
      <c r="G35" s="42"/>
      <c r="H35" s="42"/>
      <c r="I35" s="514">
        <v>130</v>
      </c>
      <c r="J35" s="431">
        <f>(I35*K35)/1000</f>
        <v>329.29</v>
      </c>
      <c r="K35" s="432">
        <f>SUM(J28:N28)</f>
        <v>2533</v>
      </c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30" t="s">
        <v>106</v>
      </c>
      <c r="C36" s="500" t="s">
        <v>107</v>
      </c>
      <c r="D36" s="431" t="s">
        <v>108</v>
      </c>
      <c r="E36" s="42"/>
      <c r="F36" s="42"/>
      <c r="G36" s="42"/>
      <c r="H36" s="42"/>
      <c r="I36" s="430" t="s">
        <v>106</v>
      </c>
      <c r="J36" s="431" t="s">
        <v>107</v>
      </c>
      <c r="K36" s="431" t="s">
        <v>108</v>
      </c>
      <c r="L36" s="42"/>
      <c r="M36" s="42"/>
      <c r="N36" s="534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264"/>
      <c r="L37" s="42"/>
      <c r="M37" s="42"/>
      <c r="N37" s="534"/>
      <c r="O37" s="42"/>
      <c r="P37" s="264"/>
      <c r="Q37" s="42"/>
      <c r="R37" s="42"/>
      <c r="S37" s="42"/>
      <c r="T37" s="42"/>
      <c r="U37" s="264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1"/>
    </row>
    <row r="38" spans="1:38" ht="33.75" customHeight="1" x14ac:dyDescent="0.25">
      <c r="A38" s="41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1"/>
    </row>
    <row r="39" spans="1:38" s="2" customFormat="1" ht="33.75" customHeight="1" thickBot="1" x14ac:dyDescent="0.3">
      <c r="B39" s="43"/>
      <c r="C39" s="350"/>
      <c r="D39" s="350"/>
      <c r="E39" s="350"/>
      <c r="F39" s="350"/>
      <c r="G39" s="350"/>
      <c r="H39" s="318"/>
      <c r="I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3"/>
    </row>
    <row r="40" spans="1:38" ht="33.75" customHeight="1" thickBot="1" x14ac:dyDescent="0.3">
      <c r="A40" s="69" t="s">
        <v>16</v>
      </c>
      <c r="B40" s="973" t="s">
        <v>17</v>
      </c>
      <c r="C40" s="974"/>
      <c r="D40" s="974"/>
      <c r="E40" s="974"/>
      <c r="F40" s="974"/>
      <c r="G40" s="977" t="s">
        <v>9</v>
      </c>
      <c r="H40" s="47"/>
      <c r="L40" s="426" t="s">
        <v>18</v>
      </c>
      <c r="M40" s="980" t="s">
        <v>17</v>
      </c>
      <c r="N40" s="972"/>
      <c r="O40" s="972"/>
      <c r="P40" s="972"/>
      <c r="Q40" s="990"/>
      <c r="R40" s="977" t="s">
        <v>9</v>
      </c>
      <c r="S40" s="269"/>
      <c r="U40" s="45"/>
      <c r="V40" s="45"/>
      <c r="W40" s="46"/>
      <c r="X40" s="3"/>
      <c r="Y40" s="45"/>
      <c r="Z40" s="45"/>
      <c r="AA40" s="45"/>
      <c r="AB40" s="3"/>
    </row>
    <row r="41" spans="1:38" ht="33.75" customHeight="1" thickBot="1" x14ac:dyDescent="0.3">
      <c r="A41" s="170" t="s">
        <v>34</v>
      </c>
      <c r="B41" s="141"/>
      <c r="C41" s="118"/>
      <c r="D41" s="118"/>
      <c r="E41" s="118"/>
      <c r="F41" s="121"/>
      <c r="G41" s="985"/>
      <c r="H41" s="47"/>
      <c r="I41" s="47"/>
      <c r="J41" s="47"/>
      <c r="K41" s="47"/>
      <c r="L41" s="428" t="s">
        <v>33</v>
      </c>
      <c r="M41" s="168">
        <v>1</v>
      </c>
      <c r="N41" s="249">
        <v>2</v>
      </c>
      <c r="O41" s="249">
        <v>3</v>
      </c>
      <c r="P41" s="249"/>
      <c r="Q41" s="250"/>
      <c r="R41" s="979"/>
      <c r="S41" s="2"/>
      <c r="U41" s="47"/>
      <c r="V41" s="47"/>
      <c r="W41" s="3"/>
      <c r="X41" s="46"/>
      <c r="Y41" s="3"/>
      <c r="Z41" s="45"/>
      <c r="AA41" s="45"/>
      <c r="AB41" s="45"/>
    </row>
    <row r="42" spans="1:38" ht="33.75" customHeight="1" thickBot="1" x14ac:dyDescent="0.3">
      <c r="A42" s="170" t="s">
        <v>10</v>
      </c>
      <c r="B42" s="11">
        <v>1</v>
      </c>
      <c r="C42" s="16">
        <v>2</v>
      </c>
      <c r="D42" s="16">
        <v>3</v>
      </c>
      <c r="E42" s="16">
        <v>4</v>
      </c>
      <c r="F42" s="107">
        <v>5</v>
      </c>
      <c r="G42" s="984"/>
      <c r="H42" s="47"/>
      <c r="I42" s="47"/>
      <c r="J42" s="47"/>
      <c r="K42" s="47"/>
      <c r="L42" s="427" t="s">
        <v>10</v>
      </c>
      <c r="M42" s="114">
        <v>1</v>
      </c>
      <c r="N42" s="114">
        <v>2</v>
      </c>
      <c r="O42" s="114">
        <v>3</v>
      </c>
      <c r="P42" s="114">
        <v>4</v>
      </c>
      <c r="Q42" s="116">
        <v>5</v>
      </c>
      <c r="R42" s="126"/>
      <c r="S42" s="270"/>
      <c r="U42" s="47"/>
      <c r="V42" s="47"/>
      <c r="W42" s="48"/>
      <c r="X42" s="48"/>
      <c r="Y42" s="2"/>
      <c r="Z42" s="2"/>
      <c r="AA42" s="2"/>
      <c r="AB42" s="2"/>
    </row>
    <row r="43" spans="1:38" ht="33.75" customHeight="1" x14ac:dyDescent="0.25">
      <c r="A43" s="171" t="s">
        <v>32</v>
      </c>
      <c r="B43" s="142">
        <v>94.7</v>
      </c>
      <c r="C43" s="559">
        <v>95.5</v>
      </c>
      <c r="D43" s="486">
        <v>27.4</v>
      </c>
      <c r="E43" s="559">
        <v>94.4</v>
      </c>
      <c r="F43" s="562">
        <v>94</v>
      </c>
      <c r="G43" s="509">
        <f t="shared" ref="G43:G50" si="26">SUM(B43:F43)</f>
        <v>406</v>
      </c>
      <c r="H43" s="988"/>
      <c r="I43" s="989"/>
      <c r="J43" s="989"/>
      <c r="K43" s="989"/>
      <c r="L43" s="171" t="s">
        <v>53</v>
      </c>
      <c r="M43" s="19">
        <v>8.6999999999999993</v>
      </c>
      <c r="N43" s="19">
        <v>8.6</v>
      </c>
      <c r="O43" s="19">
        <v>2</v>
      </c>
      <c r="P43" s="19">
        <v>8.4</v>
      </c>
      <c r="Q43" s="108">
        <v>8.3000000000000007</v>
      </c>
      <c r="R43" s="209">
        <f t="shared" ref="R43:R49" si="27">SUM(M43:Q43)</f>
        <v>36</v>
      </c>
      <c r="S43" s="271"/>
      <c r="T43" s="302"/>
      <c r="U43" s="2"/>
      <c r="V43" s="49"/>
      <c r="W43" s="48"/>
      <c r="X43" s="48"/>
      <c r="Y43" s="2"/>
      <c r="Z43" s="2"/>
      <c r="AA43" s="2"/>
      <c r="AB43" s="2"/>
    </row>
    <row r="44" spans="1:38" ht="33.75" customHeight="1" x14ac:dyDescent="0.25">
      <c r="A44" s="171" t="s">
        <v>24</v>
      </c>
      <c r="B44" s="565">
        <v>95.4</v>
      </c>
      <c r="C44" s="486">
        <v>95.3</v>
      </c>
      <c r="D44" s="486">
        <v>27.4</v>
      </c>
      <c r="E44" s="566">
        <v>96.3</v>
      </c>
      <c r="F44" s="537">
        <v>93.9</v>
      </c>
      <c r="G44" s="509">
        <f t="shared" si="26"/>
        <v>408.29999999999995</v>
      </c>
      <c r="H44" s="988"/>
      <c r="I44" s="989"/>
      <c r="J44" s="989"/>
      <c r="K44" s="989"/>
      <c r="L44" s="171" t="s">
        <v>24</v>
      </c>
      <c r="M44" s="19">
        <v>8.6999999999999993</v>
      </c>
      <c r="N44" s="19">
        <v>8.6</v>
      </c>
      <c r="O44" s="19">
        <v>2</v>
      </c>
      <c r="P44" s="19">
        <v>8.4</v>
      </c>
      <c r="Q44" s="108">
        <v>8.3000000000000007</v>
      </c>
      <c r="R44" s="209">
        <f t="shared" si="27"/>
        <v>36</v>
      </c>
      <c r="S44" s="271"/>
      <c r="T44" s="302"/>
      <c r="U44" s="2"/>
      <c r="V44" s="49"/>
      <c r="W44" s="48"/>
      <c r="X44" s="48"/>
      <c r="Y44" s="2"/>
      <c r="Z44" s="2"/>
      <c r="AA44" s="2"/>
      <c r="AB44" s="2"/>
    </row>
    <row r="45" spans="1:38" ht="33.75" customHeight="1" x14ac:dyDescent="0.25">
      <c r="A45" s="171" t="s">
        <v>20</v>
      </c>
      <c r="B45" s="142">
        <v>95</v>
      </c>
      <c r="C45" s="486">
        <v>94.7</v>
      </c>
      <c r="D45" s="566">
        <v>28</v>
      </c>
      <c r="E45" s="486">
        <v>96</v>
      </c>
      <c r="F45" s="537">
        <v>93.5</v>
      </c>
      <c r="G45" s="509">
        <f t="shared" si="26"/>
        <v>407.2</v>
      </c>
      <c r="H45" s="988"/>
      <c r="I45" s="989"/>
      <c r="J45" s="989"/>
      <c r="K45" s="989"/>
      <c r="L45" s="171" t="s">
        <v>20</v>
      </c>
      <c r="M45" s="19">
        <v>8.8000000000000007</v>
      </c>
      <c r="N45" s="19">
        <v>8.6</v>
      </c>
      <c r="O45" s="19">
        <v>1.7</v>
      </c>
      <c r="P45" s="19">
        <v>8.4</v>
      </c>
      <c r="Q45" s="108">
        <v>8.3000000000000007</v>
      </c>
      <c r="R45" s="209">
        <f t="shared" si="27"/>
        <v>35.799999999999997</v>
      </c>
      <c r="S45" s="271"/>
      <c r="T45" s="302"/>
      <c r="U45" s="2"/>
      <c r="V45" s="49"/>
      <c r="W45" s="48"/>
      <c r="X45" s="48"/>
      <c r="Y45" s="2"/>
      <c r="Z45" s="2"/>
      <c r="AA45" s="2"/>
      <c r="AB45" s="2"/>
    </row>
    <row r="46" spans="1:38" ht="33.75" customHeight="1" x14ac:dyDescent="0.25">
      <c r="A46" s="171" t="s">
        <v>28</v>
      </c>
      <c r="B46" s="142">
        <v>94.8</v>
      </c>
      <c r="C46" s="566">
        <v>96.4</v>
      </c>
      <c r="D46" s="486">
        <v>27.9</v>
      </c>
      <c r="E46" s="567">
        <v>98.2</v>
      </c>
      <c r="F46" s="537">
        <v>93.5</v>
      </c>
      <c r="G46" s="509">
        <f t="shared" si="26"/>
        <v>410.8</v>
      </c>
      <c r="H46" s="988"/>
      <c r="I46" s="989"/>
      <c r="J46" s="989"/>
      <c r="K46" s="989"/>
      <c r="L46" s="171" t="s">
        <v>28</v>
      </c>
      <c r="M46" s="19">
        <v>8.8000000000000007</v>
      </c>
      <c r="N46" s="19">
        <v>8.6</v>
      </c>
      <c r="O46" s="19">
        <v>1.7</v>
      </c>
      <c r="P46" s="19">
        <v>8.4</v>
      </c>
      <c r="Q46" s="108">
        <v>8.3000000000000007</v>
      </c>
      <c r="R46" s="209">
        <f t="shared" si="27"/>
        <v>35.799999999999997</v>
      </c>
      <c r="S46" s="271"/>
      <c r="T46" s="302"/>
      <c r="U46" s="2"/>
      <c r="V46" s="49"/>
      <c r="W46" s="48"/>
      <c r="X46" s="48"/>
      <c r="Y46" s="2"/>
      <c r="Z46" s="2"/>
      <c r="AA46" s="2"/>
      <c r="AB46" s="2"/>
    </row>
    <row r="47" spans="1:38" ht="33.75" customHeight="1" x14ac:dyDescent="0.25">
      <c r="A47" s="171" t="s">
        <v>21</v>
      </c>
      <c r="B47" s="142">
        <v>94.2</v>
      </c>
      <c r="C47" s="486">
        <v>96.3</v>
      </c>
      <c r="D47" s="486">
        <v>27.9</v>
      </c>
      <c r="E47" s="486">
        <v>98.2</v>
      </c>
      <c r="F47" s="568">
        <v>95.7</v>
      </c>
      <c r="G47" s="509">
        <f t="shared" si="26"/>
        <v>412.3</v>
      </c>
      <c r="H47" s="988"/>
      <c r="I47" s="989"/>
      <c r="J47" s="989"/>
      <c r="K47" s="989"/>
      <c r="L47" s="171" t="s">
        <v>21</v>
      </c>
      <c r="M47" s="19">
        <v>8.8000000000000007</v>
      </c>
      <c r="N47" s="19">
        <v>8.6</v>
      </c>
      <c r="O47" s="19">
        <v>1.7</v>
      </c>
      <c r="P47" s="19">
        <v>8.4</v>
      </c>
      <c r="Q47" s="108">
        <v>8.3000000000000007</v>
      </c>
      <c r="R47" s="209">
        <f>SUM(M47:Q47)</f>
        <v>35.799999999999997</v>
      </c>
      <c r="S47" s="271"/>
      <c r="T47" s="302"/>
      <c r="U47" s="2"/>
      <c r="V47" s="49"/>
      <c r="W47" s="48"/>
      <c r="X47" s="48"/>
      <c r="Y47" s="2"/>
      <c r="Z47" s="2"/>
      <c r="AA47" s="2"/>
      <c r="AB47" s="2"/>
    </row>
    <row r="48" spans="1:38" ht="33.75" customHeight="1" x14ac:dyDescent="0.25">
      <c r="A48" s="171" t="s">
        <v>22</v>
      </c>
      <c r="B48" s="570">
        <v>96.6</v>
      </c>
      <c r="C48" s="486">
        <v>96.3</v>
      </c>
      <c r="D48" s="569">
        <v>28.4</v>
      </c>
      <c r="E48" s="486">
        <v>98.2</v>
      </c>
      <c r="F48" s="537">
        <v>95.7</v>
      </c>
      <c r="G48" s="509">
        <f t="shared" si="26"/>
        <v>415.2</v>
      </c>
      <c r="H48" s="988"/>
      <c r="I48" s="989"/>
      <c r="J48" s="989"/>
      <c r="K48" s="989"/>
      <c r="L48" s="171" t="s">
        <v>22</v>
      </c>
      <c r="M48" s="19">
        <v>8.8000000000000007</v>
      </c>
      <c r="N48" s="19">
        <v>8.6</v>
      </c>
      <c r="O48" s="19">
        <v>1.7</v>
      </c>
      <c r="P48" s="19">
        <v>8.4</v>
      </c>
      <c r="Q48" s="108">
        <v>8.1</v>
      </c>
      <c r="R48" s="209">
        <f>SUM(M48:Q48)</f>
        <v>35.6</v>
      </c>
      <c r="S48" s="271"/>
      <c r="T48" s="302"/>
      <c r="U48" s="2"/>
      <c r="V48" s="49"/>
      <c r="W48" s="48"/>
      <c r="X48" s="48"/>
      <c r="Y48" s="2"/>
      <c r="Z48" s="2"/>
      <c r="AA48" s="2"/>
      <c r="AB48" s="2"/>
    </row>
    <row r="49" spans="1:49" ht="33.75" customHeight="1" thickBot="1" x14ac:dyDescent="0.3">
      <c r="A49" s="285" t="s">
        <v>32</v>
      </c>
      <c r="B49" s="142">
        <v>96.6</v>
      </c>
      <c r="C49" s="569">
        <v>98.5</v>
      </c>
      <c r="D49" s="486">
        <v>28.4</v>
      </c>
      <c r="E49" s="572">
        <v>100.8</v>
      </c>
      <c r="F49" s="537">
        <v>95.5</v>
      </c>
      <c r="G49" s="526">
        <f t="shared" si="26"/>
        <v>419.8</v>
      </c>
      <c r="H49" s="988"/>
      <c r="I49" s="989"/>
      <c r="J49" s="989"/>
      <c r="K49" s="989"/>
      <c r="L49" s="285" t="s">
        <v>23</v>
      </c>
      <c r="M49" s="19">
        <v>8.8000000000000007</v>
      </c>
      <c r="N49" s="19">
        <v>8.6</v>
      </c>
      <c r="O49" s="19">
        <v>1.8</v>
      </c>
      <c r="P49" s="19">
        <v>8.5</v>
      </c>
      <c r="Q49" s="108">
        <v>8.1</v>
      </c>
      <c r="R49" s="376">
        <f t="shared" si="27"/>
        <v>35.799999999999997</v>
      </c>
      <c r="S49" s="271"/>
      <c r="T49" s="302"/>
      <c r="U49" s="2"/>
      <c r="V49" s="49"/>
      <c r="W49" s="48"/>
      <c r="X49" s="48"/>
      <c r="Y49" s="48"/>
      <c r="Z49" s="48"/>
      <c r="AA49" s="2"/>
      <c r="AB49" s="2"/>
      <c r="AC49" s="2"/>
      <c r="AD49" s="2"/>
    </row>
    <row r="50" spans="1:49" ht="33.75" customHeight="1" x14ac:dyDescent="0.25">
      <c r="A50" s="290" t="s">
        <v>9</v>
      </c>
      <c r="B50" s="131">
        <f>SUM(B43:B49)</f>
        <v>667.30000000000007</v>
      </c>
      <c r="C50" s="128">
        <f t="shared" ref="C50:F50" si="28">SUM(C43:C49)</f>
        <v>673</v>
      </c>
      <c r="D50" s="128">
        <f t="shared" si="28"/>
        <v>195.4</v>
      </c>
      <c r="E50" s="128">
        <f t="shared" si="28"/>
        <v>682.09999999999991</v>
      </c>
      <c r="F50" s="129">
        <f t="shared" si="28"/>
        <v>661.8</v>
      </c>
      <c r="G50" s="265">
        <f t="shared" si="26"/>
        <v>2879.6000000000004</v>
      </c>
      <c r="H50" s="988"/>
      <c r="I50" s="989"/>
      <c r="J50" s="989"/>
      <c r="K50" s="989"/>
      <c r="L50" s="290" t="s">
        <v>9</v>
      </c>
      <c r="M50" s="133">
        <f>SUM(M43:M49)</f>
        <v>61.399999999999991</v>
      </c>
      <c r="N50" s="134">
        <f>SUM(N43:N49)</f>
        <v>60.2</v>
      </c>
      <c r="O50" s="134">
        <f>SUM(O43:O49)</f>
        <v>12.6</v>
      </c>
      <c r="P50" s="134">
        <f t="shared" ref="P50:Q50" si="29">SUM(P43:P49)</f>
        <v>58.9</v>
      </c>
      <c r="Q50" s="260">
        <f t="shared" si="29"/>
        <v>57.7</v>
      </c>
      <c r="R50" s="240">
        <f>SUM(R43:R49)</f>
        <v>250.79999999999995</v>
      </c>
      <c r="S50" s="272"/>
      <c r="U50" s="49"/>
      <c r="V50" s="49"/>
      <c r="W50" s="2"/>
      <c r="X50" s="2"/>
      <c r="Y50" s="2"/>
      <c r="Z50" s="2"/>
      <c r="AA50" s="2"/>
      <c r="AB50" s="2"/>
      <c r="AC50" s="2"/>
      <c r="AD50" s="2"/>
    </row>
    <row r="51" spans="1:49" ht="33.75" customHeight="1" x14ac:dyDescent="0.25">
      <c r="A51" s="192" t="s">
        <v>11</v>
      </c>
      <c r="B51" s="23">
        <v>148.41</v>
      </c>
      <c r="C51" s="24">
        <v>150.9</v>
      </c>
      <c r="D51" s="24">
        <v>150.9</v>
      </c>
      <c r="E51" s="24">
        <v>154.38999999999999</v>
      </c>
      <c r="F51" s="25">
        <v>146.51</v>
      </c>
      <c r="G51" s="137">
        <f>+((G50/G52)/7)*1000</f>
        <v>147.07594872056796</v>
      </c>
      <c r="H51" s="988"/>
      <c r="I51" s="989"/>
      <c r="J51" s="989"/>
      <c r="K51" s="989"/>
      <c r="L51" s="273" t="s">
        <v>11</v>
      </c>
      <c r="M51" s="23">
        <v>154</v>
      </c>
      <c r="N51" s="24">
        <v>153.5</v>
      </c>
      <c r="O51" s="24">
        <v>151</v>
      </c>
      <c r="P51" s="24">
        <v>153</v>
      </c>
      <c r="Q51" s="228">
        <v>151.5</v>
      </c>
      <c r="R51" s="232">
        <f>+((R50/R52)/7)*1000</f>
        <v>153.11355311355308</v>
      </c>
      <c r="S51" s="2"/>
      <c r="U51" s="50"/>
      <c r="V51" s="50"/>
    </row>
    <row r="52" spans="1:49" ht="33.75" customHeight="1" x14ac:dyDescent="0.25">
      <c r="A52" s="193" t="s">
        <v>12</v>
      </c>
      <c r="B52" s="26">
        <v>651</v>
      </c>
      <c r="C52" s="27">
        <v>653</v>
      </c>
      <c r="D52" s="27">
        <v>188</v>
      </c>
      <c r="E52" s="27">
        <v>653</v>
      </c>
      <c r="F52" s="28">
        <v>652</v>
      </c>
      <c r="G52" s="395">
        <f>SUM(B52:F52)</f>
        <v>2797</v>
      </c>
      <c r="H52" s="988"/>
      <c r="I52" s="989"/>
      <c r="J52" s="989"/>
      <c r="K52" s="989"/>
      <c r="L52" s="193" t="s">
        <v>12</v>
      </c>
      <c r="M52" s="257">
        <v>57</v>
      </c>
      <c r="N52" s="275">
        <v>56</v>
      </c>
      <c r="O52" s="275">
        <v>12</v>
      </c>
      <c r="P52" s="275">
        <v>55</v>
      </c>
      <c r="Q52" s="527">
        <v>54</v>
      </c>
      <c r="R52" s="233">
        <f>SUM(M52:Q52)</f>
        <v>234</v>
      </c>
      <c r="S52" s="2"/>
      <c r="U52" s="52"/>
      <c r="V52" s="52"/>
    </row>
    <row r="53" spans="1:49" ht="33.75" customHeight="1" x14ac:dyDescent="0.25">
      <c r="A53" s="194" t="s">
        <v>13</v>
      </c>
      <c r="B53" s="30">
        <f>((((B51*7)*B52)/1000))/7</f>
        <v>96.614909999999981</v>
      </c>
      <c r="C53" s="31">
        <f t="shared" ref="C53:F53" si="30">((((C51*7)*C52)/1000))/7</f>
        <v>98.537700000000001</v>
      </c>
      <c r="D53" s="31">
        <f t="shared" si="30"/>
        <v>28.369199999999999</v>
      </c>
      <c r="E53" s="31">
        <f t="shared" si="30"/>
        <v>100.81667000000002</v>
      </c>
      <c r="F53" s="32">
        <f t="shared" si="30"/>
        <v>95.52452000000001</v>
      </c>
      <c r="G53" s="139">
        <f>((G50*1000)/G52)/7</f>
        <v>147.07594872056799</v>
      </c>
      <c r="H53" s="988"/>
      <c r="I53" s="989"/>
      <c r="J53" s="989"/>
      <c r="K53" s="989"/>
      <c r="L53" s="194" t="s">
        <v>13</v>
      </c>
      <c r="M53" s="30">
        <f>((((M51*7)*M52)/1000)-(M43+M44))/5</f>
        <v>8.8092000000000006</v>
      </c>
      <c r="N53" s="31">
        <f>((((N51*7)*N52)/1000)-(N43+N44))/5</f>
        <v>8.5943999999999985</v>
      </c>
      <c r="O53" s="31">
        <f>((((O51*7)*O52)/1000)-(O43+O44))/5</f>
        <v>1.7367999999999999</v>
      </c>
      <c r="P53" s="31">
        <f>((((P51*7)*P52)/1000)-(P43+P44))/5</f>
        <v>8.4210000000000012</v>
      </c>
      <c r="Q53" s="163">
        <f t="shared" ref="Q53" si="31">((((Q51*7)*Q52)/1000)-(Q43+Q44))/5</f>
        <v>8.1334</v>
      </c>
      <c r="R53" s="234">
        <f>((R50*1000)/R52)/7</f>
        <v>153.11355311355308</v>
      </c>
      <c r="S53" s="43"/>
      <c r="U53" s="52"/>
      <c r="V53" s="52"/>
    </row>
    <row r="54" spans="1:49" ht="33.75" customHeight="1" x14ac:dyDescent="0.25">
      <c r="A54" s="185" t="s">
        <v>14</v>
      </c>
      <c r="B54" s="279">
        <f>((B52*B51)*7)/1000</f>
        <v>676.30436999999995</v>
      </c>
      <c r="C54" s="280">
        <f>((C52*C51)*7)/1000</f>
        <v>689.76390000000004</v>
      </c>
      <c r="D54" s="280">
        <f>((D52*D51)*7)/1000</f>
        <v>198.58439999999999</v>
      </c>
      <c r="E54" s="280">
        <f>((E52*E51)*7)/1000</f>
        <v>705.71668999999997</v>
      </c>
      <c r="F54" s="282">
        <f>((F52*F51)*7)/1000</f>
        <v>668.67163999999991</v>
      </c>
      <c r="G54" s="112"/>
      <c r="H54" s="988"/>
      <c r="I54" s="989"/>
      <c r="J54" s="989"/>
      <c r="K54" s="989"/>
      <c r="L54" s="185" t="s">
        <v>14</v>
      </c>
      <c r="M54" s="279">
        <f>((M52*M51)*7)/1000</f>
        <v>61.445999999999998</v>
      </c>
      <c r="N54" s="280">
        <f>((N52*N51)*7)/1000</f>
        <v>60.171999999999997</v>
      </c>
      <c r="O54" s="280">
        <f>((O52*O51)*7)/1000</f>
        <v>12.683999999999999</v>
      </c>
      <c r="P54" s="280">
        <f t="shared" ref="P54:Q54" si="32">((P52*P51)*7)/1000</f>
        <v>58.905000000000001</v>
      </c>
      <c r="Q54" s="281">
        <f t="shared" si="32"/>
        <v>57.267000000000003</v>
      </c>
      <c r="R54" s="213"/>
      <c r="S54" s="41"/>
    </row>
    <row r="55" spans="1:49" ht="33.75" customHeight="1" thickBot="1" x14ac:dyDescent="0.3">
      <c r="A55" s="195" t="s">
        <v>15</v>
      </c>
      <c r="B55" s="37">
        <f t="shared" ref="B55:E55" si="33">+(B50/B52)/7*1000</f>
        <v>146.43405749396535</v>
      </c>
      <c r="C55" s="38">
        <f t="shared" si="33"/>
        <v>147.23255305184858</v>
      </c>
      <c r="D55" s="38">
        <f t="shared" si="33"/>
        <v>148.48024316109422</v>
      </c>
      <c r="E55" s="38">
        <f t="shared" si="33"/>
        <v>149.22336469043969</v>
      </c>
      <c r="F55" s="39">
        <f>+(F50/F52)/7*1000</f>
        <v>145.00438212094656</v>
      </c>
      <c r="G55" s="140"/>
      <c r="H55" s="988"/>
      <c r="I55" s="989"/>
      <c r="J55" s="989"/>
      <c r="K55" s="989"/>
      <c r="L55" s="195" t="s">
        <v>15</v>
      </c>
      <c r="M55" s="37">
        <f>+(M50/M52)/7*1000</f>
        <v>153.88471177944859</v>
      </c>
      <c r="N55" s="38">
        <f>+(N50/N52)/7*1000</f>
        <v>153.57142857142856</v>
      </c>
      <c r="O55" s="38">
        <f>+(O50/O52)/7*1000</f>
        <v>150</v>
      </c>
      <c r="P55" s="38">
        <f t="shared" ref="P55:Q55" si="34">+(P50/P52)/7*1000</f>
        <v>152.98701298701297</v>
      </c>
      <c r="Q55" s="207">
        <f t="shared" si="34"/>
        <v>152.64550264550266</v>
      </c>
      <c r="R55" s="262"/>
      <c r="S55" s="42"/>
      <c r="U55" s="42"/>
      <c r="V55" s="42"/>
    </row>
    <row r="56" spans="1:49" ht="33.75" customHeight="1" x14ac:dyDescent="0.25">
      <c r="A56" s="41"/>
      <c r="B56" s="43">
        <f>B54-B50</f>
        <v>9.0043699999998807</v>
      </c>
      <c r="C56" s="43">
        <f t="shared" ref="C56:F57" si="35">C54-C50</f>
        <v>16.763900000000035</v>
      </c>
      <c r="D56" s="43">
        <f t="shared" si="35"/>
        <v>3.1843999999999824</v>
      </c>
      <c r="E56" s="43">
        <f>E54-E50</f>
        <v>23.616690000000062</v>
      </c>
      <c r="F56" s="43">
        <f t="shared" si="35"/>
        <v>6.8716399999999567</v>
      </c>
      <c r="G56" s="41"/>
      <c r="H56" s="41"/>
      <c r="I56" s="41"/>
      <c r="J56" s="41"/>
      <c r="K56" s="41"/>
      <c r="L56" s="42"/>
      <c r="M56" s="42">
        <f>M54-M50</f>
        <v>4.600000000000648E-2</v>
      </c>
      <c r="N56" s="42">
        <f t="shared" ref="N56:Q57" si="36">N54-N50</f>
        <v>-2.8000000000005798E-2</v>
      </c>
      <c r="O56" s="42">
        <f t="shared" si="36"/>
        <v>8.3999999999999631E-2</v>
      </c>
      <c r="P56" s="42">
        <f t="shared" si="36"/>
        <v>5.000000000002558E-3</v>
      </c>
      <c r="Q56" s="42">
        <f t="shared" si="36"/>
        <v>-0.43299999999999983</v>
      </c>
      <c r="T56" s="42"/>
      <c r="U56" s="42"/>
      <c r="V56" s="2"/>
      <c r="W56" s="2"/>
      <c r="X56" s="2"/>
      <c r="Y56" s="2"/>
      <c r="Z56" s="2"/>
    </row>
    <row r="57" spans="1:49" ht="33.75" customHeight="1" x14ac:dyDescent="0.25">
      <c r="A57" s="41"/>
      <c r="B57" s="42">
        <f>B55-B51</f>
        <v>-1.9759425060346416</v>
      </c>
      <c r="C57" s="42">
        <f>C55-C51</f>
        <v>-3.6674469481514222</v>
      </c>
      <c r="D57" s="42">
        <f t="shared" si="35"/>
        <v>-2.4197568389057835</v>
      </c>
      <c r="E57" s="42">
        <f>E55-E51</f>
        <v>-5.1666353095602915</v>
      </c>
      <c r="F57" s="42">
        <f>F55-F51</f>
        <v>-1.5056178790534318</v>
      </c>
      <c r="G57" s="41"/>
      <c r="H57" s="41"/>
      <c r="I57" s="41"/>
      <c r="J57" s="41"/>
      <c r="K57" s="42"/>
      <c r="L57" s="42"/>
      <c r="M57" s="42">
        <f>M55-M51</f>
        <v>-0.11528822055140608</v>
      </c>
      <c r="N57" s="42">
        <f t="shared" si="36"/>
        <v>7.1428571428555188E-2</v>
      </c>
      <c r="O57" s="42">
        <f>O55-O51</f>
        <v>-1</v>
      </c>
      <c r="P57" s="42">
        <f t="shared" si="36"/>
        <v>-1.2987012987025537E-2</v>
      </c>
      <c r="Q57" s="42">
        <f t="shared" si="36"/>
        <v>1.1455026455026598</v>
      </c>
      <c r="T57" s="43"/>
      <c r="U57" s="43"/>
      <c r="V57" s="2"/>
      <c r="W57" s="2"/>
      <c r="X57" s="2"/>
      <c r="Y57" s="2"/>
      <c r="AC57" s="3"/>
    </row>
    <row r="58" spans="1:49" ht="33.75" customHeight="1" x14ac:dyDescent="0.25">
      <c r="A58" s="41"/>
      <c r="B58" s="287"/>
      <c r="C58" s="287"/>
      <c r="D58" s="287"/>
      <c r="E58" s="287"/>
      <c r="F58" s="287"/>
      <c r="G58" s="264"/>
      <c r="H58" s="41"/>
      <c r="I58" s="41"/>
      <c r="J58" s="41"/>
      <c r="K58" s="41"/>
      <c r="L58" s="41"/>
      <c r="M58" s="41"/>
      <c r="N58" s="41"/>
      <c r="O58" s="42"/>
      <c r="P58" s="42"/>
      <c r="Q58" s="42"/>
      <c r="R58" s="42"/>
      <c r="S58" s="42"/>
      <c r="T58" s="42"/>
      <c r="U58" s="42"/>
      <c r="V58" s="42"/>
      <c r="W58" s="42"/>
      <c r="X58" s="43"/>
      <c r="Y58" s="43"/>
      <c r="Z58" s="43"/>
      <c r="AA58" s="2"/>
      <c r="AB58" s="2"/>
      <c r="AC58" s="2"/>
      <c r="AD58" s="2"/>
      <c r="AH58" s="3"/>
    </row>
    <row r="59" spans="1:49" ht="33.75" customHeight="1" thickBot="1" x14ac:dyDescent="0.3">
      <c r="A59" s="53"/>
      <c r="B59" s="284"/>
      <c r="C59" s="284"/>
      <c r="D59" s="284"/>
      <c r="E59" s="284"/>
      <c r="F59" s="284"/>
      <c r="G59" s="284"/>
      <c r="H59" s="54"/>
      <c r="I59" s="54"/>
      <c r="J59" s="54"/>
      <c r="K59" s="54"/>
      <c r="L59" s="54"/>
      <c r="M59" s="54"/>
      <c r="N59" s="54"/>
      <c r="O59" s="958"/>
      <c r="P59" s="958"/>
      <c r="Q59" s="283"/>
      <c r="R59" s="283"/>
      <c r="S59" s="283"/>
      <c r="T59" s="54"/>
      <c r="U59" s="55"/>
      <c r="Z59" s="43"/>
      <c r="AA59" s="43"/>
      <c r="AB59" s="43"/>
      <c r="AC59" s="2"/>
      <c r="AD59" s="2"/>
      <c r="AE59" s="2"/>
      <c r="AF59" s="2"/>
      <c r="AH59" s="2"/>
      <c r="AI59" s="2"/>
      <c r="AJ59" s="2"/>
    </row>
    <row r="60" spans="1:49" ht="33.75" customHeight="1" x14ac:dyDescent="0.25">
      <c r="A60" s="359" t="s">
        <v>19</v>
      </c>
      <c r="B60" s="986" t="s">
        <v>8</v>
      </c>
      <c r="C60" s="956"/>
      <c r="D60" s="956"/>
      <c r="E60" s="956"/>
      <c r="F60" s="956"/>
      <c r="G60" s="986" t="s">
        <v>30</v>
      </c>
      <c r="H60" s="956"/>
      <c r="I60" s="956"/>
      <c r="J60" s="956"/>
      <c r="K60" s="987"/>
      <c r="L60" s="986" t="s">
        <v>29</v>
      </c>
      <c r="M60" s="956"/>
      <c r="N60" s="956"/>
      <c r="O60" s="956"/>
      <c r="P60" s="987"/>
      <c r="Q60" s="994" t="s">
        <v>31</v>
      </c>
      <c r="R60" s="995"/>
      <c r="S60" s="995"/>
      <c r="T60" s="995"/>
      <c r="U60" s="996"/>
      <c r="V60" s="992" t="s">
        <v>9</v>
      </c>
      <c r="AE60" s="43"/>
      <c r="AF60" s="43"/>
      <c r="AG60" s="43"/>
      <c r="AH60" s="2"/>
      <c r="AI60" s="2"/>
      <c r="AJ60" s="2"/>
      <c r="AK60" s="2"/>
      <c r="AM60" s="2"/>
      <c r="AN60" s="2"/>
      <c r="AO60" s="2"/>
    </row>
    <row r="61" spans="1:49" ht="33.75" customHeight="1" thickBot="1" x14ac:dyDescent="0.3">
      <c r="A61" s="170" t="s">
        <v>34</v>
      </c>
      <c r="B61" s="360"/>
      <c r="C61" s="361"/>
      <c r="D61" s="361"/>
      <c r="E61" s="361"/>
      <c r="F61" s="361"/>
      <c r="G61" s="360"/>
      <c r="H61" s="361"/>
      <c r="I61" s="361"/>
      <c r="J61" s="361"/>
      <c r="K61" s="361"/>
      <c r="L61" s="360"/>
      <c r="M61" s="361"/>
      <c r="N61" s="361"/>
      <c r="O61" s="361"/>
      <c r="P61" s="396"/>
      <c r="Q61" s="360"/>
      <c r="R61" s="361"/>
      <c r="S61" s="361"/>
      <c r="T61" s="361"/>
      <c r="U61" s="397"/>
      <c r="V61" s="993"/>
      <c r="AC61" s="45"/>
      <c r="AD61" s="45"/>
      <c r="AE61" s="45"/>
      <c r="AF61" s="45"/>
      <c r="AG61" s="57"/>
      <c r="AH61" s="57"/>
      <c r="AI61" s="57"/>
      <c r="AJ61" s="57"/>
      <c r="AK61" s="45"/>
      <c r="AL61" s="45"/>
      <c r="AM61" s="58"/>
      <c r="AN61" s="58"/>
      <c r="AO61" s="58"/>
      <c r="AP61" s="2"/>
      <c r="AQ61" s="2"/>
      <c r="AR61" s="2"/>
      <c r="AS61" s="2"/>
      <c r="AU61" s="2"/>
      <c r="AV61" s="2"/>
      <c r="AW61" s="2"/>
    </row>
    <row r="62" spans="1:49" ht="33.75" customHeight="1" thickBot="1" x14ac:dyDescent="0.3">
      <c r="A62" s="170" t="s">
        <v>10</v>
      </c>
      <c r="B62" s="188">
        <v>1</v>
      </c>
      <c r="C62" s="168">
        <v>2</v>
      </c>
      <c r="D62" s="168">
        <v>3</v>
      </c>
      <c r="E62" s="168">
        <v>4</v>
      </c>
      <c r="F62" s="413">
        <v>5</v>
      </c>
      <c r="G62" s="188">
        <v>1</v>
      </c>
      <c r="H62" s="168">
        <v>2</v>
      </c>
      <c r="I62" s="168">
        <v>3</v>
      </c>
      <c r="J62" s="168">
        <v>4</v>
      </c>
      <c r="K62" s="168">
        <v>5</v>
      </c>
      <c r="L62" s="188">
        <v>1</v>
      </c>
      <c r="M62" s="168">
        <v>2</v>
      </c>
      <c r="N62" s="168">
        <v>3</v>
      </c>
      <c r="O62" s="168">
        <v>4</v>
      </c>
      <c r="P62" s="413">
        <v>5</v>
      </c>
      <c r="Q62" s="188">
        <v>1</v>
      </c>
      <c r="R62" s="168">
        <v>2</v>
      </c>
      <c r="S62" s="168">
        <v>3</v>
      </c>
      <c r="T62" s="168">
        <v>4</v>
      </c>
      <c r="U62" s="414">
        <v>5</v>
      </c>
      <c r="V62" s="126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57"/>
      <c r="AH62" s="57"/>
      <c r="AI62" s="57"/>
      <c r="AJ62" s="57"/>
      <c r="AK62" s="45"/>
      <c r="AL62" s="45"/>
      <c r="AM62" s="58"/>
      <c r="AN62" s="58"/>
      <c r="AO62" s="58"/>
      <c r="AP62" s="2"/>
      <c r="AQ62" s="2"/>
      <c r="AR62" s="2"/>
      <c r="AS62" s="2"/>
      <c r="AT62" s="2"/>
      <c r="AU62" s="2"/>
      <c r="AV62" s="2"/>
      <c r="AW62" s="2"/>
    </row>
    <row r="63" spans="1:49" ht="33.75" customHeight="1" x14ac:dyDescent="0.25">
      <c r="A63" s="171" t="s">
        <v>53</v>
      </c>
      <c r="B63" s="446">
        <v>8.8000000000000007</v>
      </c>
      <c r="C63" s="19">
        <v>8.9</v>
      </c>
      <c r="D63" s="19">
        <v>2.5</v>
      </c>
      <c r="E63" s="19">
        <v>8.9</v>
      </c>
      <c r="F63" s="61">
        <v>8.8000000000000007</v>
      </c>
      <c r="G63" s="446">
        <v>8.8000000000000007</v>
      </c>
      <c r="H63" s="19">
        <v>8.9</v>
      </c>
      <c r="I63" s="19">
        <v>2.7</v>
      </c>
      <c r="J63" s="19">
        <v>8.9</v>
      </c>
      <c r="K63" s="61">
        <v>8.8000000000000007</v>
      </c>
      <c r="L63" s="446">
        <v>7.1</v>
      </c>
      <c r="M63" s="19">
        <v>7.3</v>
      </c>
      <c r="N63" s="19">
        <v>2.6</v>
      </c>
      <c r="O63" s="19">
        <v>7.3</v>
      </c>
      <c r="P63" s="20">
        <v>7.3</v>
      </c>
      <c r="Q63" s="18">
        <v>7.7</v>
      </c>
      <c r="R63" s="19">
        <v>7.7</v>
      </c>
      <c r="S63" s="19">
        <v>2.7</v>
      </c>
      <c r="T63" s="19">
        <v>7.7</v>
      </c>
      <c r="U63" s="20">
        <v>7.3</v>
      </c>
      <c r="V63" s="412">
        <f>SUM(B63:U63)</f>
        <v>140.69999999999999</v>
      </c>
      <c r="W63" s="42"/>
      <c r="X63" s="302"/>
      <c r="Y63" s="42"/>
      <c r="Z63" s="42"/>
      <c r="AA63" s="42"/>
      <c r="AB63" s="42"/>
      <c r="AC63" s="2"/>
      <c r="AD63" s="45"/>
      <c r="AE63" s="45"/>
      <c r="AF63" s="45"/>
      <c r="AG63" s="57"/>
      <c r="AH63" s="57"/>
      <c r="AI63" s="57"/>
      <c r="AJ63" s="57"/>
      <c r="AK63" s="45"/>
      <c r="AL63" s="45"/>
      <c r="AM63" s="58"/>
      <c r="AN63" s="58"/>
      <c r="AO63" s="58"/>
      <c r="AP63" s="2"/>
      <c r="AQ63" s="2"/>
      <c r="AR63" s="2"/>
      <c r="AS63" s="2"/>
      <c r="AT63" s="2"/>
      <c r="AU63" s="2"/>
      <c r="AV63" s="2"/>
      <c r="AW63" s="2"/>
    </row>
    <row r="64" spans="1:49" ht="33.75" customHeight="1" x14ac:dyDescent="0.25">
      <c r="A64" s="171" t="s">
        <v>24</v>
      </c>
      <c r="B64" s="446">
        <v>8.8000000000000007</v>
      </c>
      <c r="C64" s="19">
        <v>8.9</v>
      </c>
      <c r="D64" s="19">
        <v>2.5</v>
      </c>
      <c r="E64" s="19">
        <v>8.9</v>
      </c>
      <c r="F64" s="61">
        <v>8.8000000000000007</v>
      </c>
      <c r="G64" s="446">
        <v>8.8000000000000007</v>
      </c>
      <c r="H64" s="19">
        <v>8.9</v>
      </c>
      <c r="I64" s="19">
        <v>2.7</v>
      </c>
      <c r="J64" s="19">
        <v>8.9</v>
      </c>
      <c r="K64" s="61">
        <v>8.8000000000000007</v>
      </c>
      <c r="L64" s="446">
        <v>7.1</v>
      </c>
      <c r="M64" s="19">
        <v>7.3</v>
      </c>
      <c r="N64" s="19">
        <v>2.6</v>
      </c>
      <c r="O64" s="19">
        <v>7.1</v>
      </c>
      <c r="P64" s="20">
        <v>7.3</v>
      </c>
      <c r="Q64" s="18">
        <v>7.7</v>
      </c>
      <c r="R64" s="19">
        <v>7.7</v>
      </c>
      <c r="S64" s="19">
        <v>2.5</v>
      </c>
      <c r="T64" s="19">
        <v>7.7</v>
      </c>
      <c r="U64" s="20">
        <v>7.3</v>
      </c>
      <c r="V64" s="412">
        <f>SUM(B64:U64)</f>
        <v>140.29999999999998</v>
      </c>
      <c r="W64" s="42"/>
      <c r="X64" s="302"/>
      <c r="Y64" s="42"/>
      <c r="Z64" s="42"/>
      <c r="AA64" s="42"/>
      <c r="AB64" s="42"/>
      <c r="AC64" s="2"/>
      <c r="AD64" s="45"/>
      <c r="AE64" s="45"/>
      <c r="AF64" s="45"/>
      <c r="AG64" s="57"/>
      <c r="AH64" s="57"/>
      <c r="AI64" s="57"/>
      <c r="AJ64" s="57"/>
      <c r="AK64" s="45"/>
      <c r="AL64" s="45"/>
      <c r="AM64" s="58"/>
      <c r="AN64" s="58"/>
      <c r="AO64" s="58"/>
      <c r="AP64" s="2"/>
      <c r="AQ64" s="2"/>
      <c r="AR64" s="2"/>
      <c r="AS64" s="2"/>
      <c r="AT64" s="2"/>
      <c r="AU64" s="2"/>
      <c r="AV64" s="2"/>
      <c r="AW64" s="2"/>
    </row>
    <row r="65" spans="1:49" ht="33.75" customHeight="1" x14ac:dyDescent="0.25">
      <c r="A65" s="171" t="s">
        <v>20</v>
      </c>
      <c r="B65" s="446">
        <v>9</v>
      </c>
      <c r="C65" s="19">
        <v>9</v>
      </c>
      <c r="D65" s="19">
        <v>2.5</v>
      </c>
      <c r="E65" s="19">
        <v>9</v>
      </c>
      <c r="F65" s="61">
        <v>8.8000000000000007</v>
      </c>
      <c r="G65" s="446">
        <v>8.9</v>
      </c>
      <c r="H65" s="19">
        <v>9</v>
      </c>
      <c r="I65" s="19">
        <v>2.7</v>
      </c>
      <c r="J65" s="19">
        <v>9</v>
      </c>
      <c r="K65" s="61">
        <v>9</v>
      </c>
      <c r="L65" s="446">
        <v>7.1</v>
      </c>
      <c r="M65" s="19">
        <v>7.4</v>
      </c>
      <c r="N65" s="19">
        <v>2.6</v>
      </c>
      <c r="O65" s="19">
        <v>7.3</v>
      </c>
      <c r="P65" s="20">
        <v>7.4</v>
      </c>
      <c r="Q65" s="18">
        <v>7.7</v>
      </c>
      <c r="R65" s="19">
        <v>7.7</v>
      </c>
      <c r="S65" s="19">
        <v>2.5</v>
      </c>
      <c r="T65" s="19">
        <v>7.7</v>
      </c>
      <c r="U65" s="20">
        <v>7.4</v>
      </c>
      <c r="V65" s="412">
        <f>SUM(B65:U65)</f>
        <v>141.70000000000002</v>
      </c>
      <c r="W65" s="42"/>
      <c r="X65" s="302"/>
      <c r="Y65" s="42"/>
      <c r="Z65" s="42"/>
      <c r="AA65" s="42"/>
      <c r="AB65" s="42"/>
      <c r="AC65" s="2"/>
      <c r="AD65" s="45"/>
      <c r="AE65" s="45"/>
      <c r="AF65" s="45"/>
      <c r="AG65" s="57"/>
      <c r="AH65" s="57"/>
      <c r="AI65" s="57"/>
      <c r="AJ65" s="57"/>
      <c r="AK65" s="45"/>
      <c r="AL65" s="45"/>
      <c r="AM65" s="58"/>
      <c r="AN65" s="58"/>
      <c r="AO65" s="58"/>
      <c r="AP65" s="2"/>
      <c r="AQ65" s="2"/>
      <c r="AR65" s="2"/>
      <c r="AS65" s="2"/>
      <c r="AT65" s="2"/>
      <c r="AU65" s="2"/>
      <c r="AV65" s="2"/>
      <c r="AW65" s="2"/>
    </row>
    <row r="66" spans="1:49" ht="33.75" customHeight="1" x14ac:dyDescent="0.25">
      <c r="A66" s="171" t="s">
        <v>28</v>
      </c>
      <c r="B66" s="446">
        <v>9</v>
      </c>
      <c r="C66" s="19">
        <v>9</v>
      </c>
      <c r="D66" s="19">
        <v>2.6</v>
      </c>
      <c r="E66" s="19">
        <v>9</v>
      </c>
      <c r="F66" s="61">
        <v>8.9</v>
      </c>
      <c r="G66" s="446">
        <v>8.9</v>
      </c>
      <c r="H66" s="19">
        <v>9</v>
      </c>
      <c r="I66" s="19">
        <v>2.7</v>
      </c>
      <c r="J66" s="19">
        <v>9</v>
      </c>
      <c r="K66" s="61">
        <v>9.1</v>
      </c>
      <c r="L66" s="446">
        <v>7.2</v>
      </c>
      <c r="M66" s="19">
        <v>7.4</v>
      </c>
      <c r="N66" s="19">
        <v>2.6</v>
      </c>
      <c r="O66" s="19">
        <v>7.3</v>
      </c>
      <c r="P66" s="20">
        <v>7.4</v>
      </c>
      <c r="Q66" s="18">
        <v>7.7</v>
      </c>
      <c r="R66" s="19">
        <v>7.7</v>
      </c>
      <c r="S66" s="19">
        <v>2.5</v>
      </c>
      <c r="T66" s="19">
        <v>7.7</v>
      </c>
      <c r="U66" s="20">
        <v>7.4</v>
      </c>
      <c r="V66" s="412">
        <f t="shared" ref="V66:V70" si="37">SUM(B66:U66)</f>
        <v>142.1</v>
      </c>
      <c r="W66" s="42"/>
      <c r="X66" s="302"/>
      <c r="Y66" s="42"/>
      <c r="Z66" s="42"/>
      <c r="AA66" s="42"/>
      <c r="AB66" s="42"/>
      <c r="AC66" s="2"/>
      <c r="AD66" s="45"/>
      <c r="AE66" s="45"/>
      <c r="AF66" s="45"/>
      <c r="AG66" s="57"/>
      <c r="AH66" s="57"/>
      <c r="AI66" s="57"/>
      <c r="AJ66" s="57"/>
      <c r="AK66" s="45"/>
      <c r="AL66" s="45"/>
      <c r="AM66" s="58"/>
      <c r="AN66" s="58"/>
      <c r="AO66" s="58"/>
      <c r="AP66" s="3"/>
      <c r="AQ66" s="3"/>
      <c r="AR66" s="2"/>
      <c r="AS66" s="2"/>
      <c r="AT66" s="2"/>
      <c r="AU66" s="2"/>
      <c r="AV66" s="2"/>
      <c r="AW66" s="2"/>
    </row>
    <row r="67" spans="1:49" ht="33.75" customHeight="1" x14ac:dyDescent="0.25">
      <c r="A67" s="171" t="s">
        <v>21</v>
      </c>
      <c r="B67" s="446">
        <v>9</v>
      </c>
      <c r="C67" s="19">
        <v>9</v>
      </c>
      <c r="D67" s="19">
        <v>2.6</v>
      </c>
      <c r="E67" s="19">
        <v>9</v>
      </c>
      <c r="F67" s="61">
        <v>8.9</v>
      </c>
      <c r="G67" s="446">
        <v>8.9</v>
      </c>
      <c r="H67" s="19">
        <v>9</v>
      </c>
      <c r="I67" s="19">
        <v>2.7</v>
      </c>
      <c r="J67" s="19">
        <v>9</v>
      </c>
      <c r="K67" s="61">
        <v>9.1</v>
      </c>
      <c r="L67" s="446">
        <v>7.2</v>
      </c>
      <c r="M67" s="19">
        <v>7.4</v>
      </c>
      <c r="N67" s="19">
        <v>2.4</v>
      </c>
      <c r="O67" s="19">
        <v>7.3</v>
      </c>
      <c r="P67" s="20">
        <v>7.4</v>
      </c>
      <c r="Q67" s="18">
        <v>7.5</v>
      </c>
      <c r="R67" s="19">
        <v>7.7</v>
      </c>
      <c r="S67" s="19">
        <v>2.5</v>
      </c>
      <c r="T67" s="19">
        <v>7.7</v>
      </c>
      <c r="U67" s="20">
        <v>7.4</v>
      </c>
      <c r="V67" s="412">
        <f t="shared" si="37"/>
        <v>141.70000000000002</v>
      </c>
      <c r="W67" s="42"/>
      <c r="X67" s="302"/>
      <c r="Y67" s="42"/>
      <c r="Z67" s="42"/>
      <c r="AA67" s="42"/>
      <c r="AB67" s="42"/>
      <c r="AC67" s="2"/>
      <c r="AD67" s="45"/>
      <c r="AE67" s="45"/>
      <c r="AF67" s="45"/>
      <c r="AG67" s="57"/>
      <c r="AH67" s="57"/>
      <c r="AI67" s="57"/>
      <c r="AJ67" s="57"/>
      <c r="AK67" s="45"/>
      <c r="AL67" s="45"/>
      <c r="AM67" s="58"/>
      <c r="AN67" s="58"/>
      <c r="AO67" s="58"/>
      <c r="AP67" s="3"/>
      <c r="AQ67" s="3"/>
      <c r="AR67" s="2"/>
      <c r="AS67" s="2"/>
      <c r="AT67" s="2"/>
      <c r="AU67" s="2"/>
      <c r="AV67" s="2"/>
      <c r="AW67" s="2"/>
    </row>
    <row r="68" spans="1:49" ht="33.75" customHeight="1" x14ac:dyDescent="0.25">
      <c r="A68" s="171" t="s">
        <v>22</v>
      </c>
      <c r="B68" s="446">
        <v>9</v>
      </c>
      <c r="C68" s="19">
        <v>9</v>
      </c>
      <c r="D68" s="19">
        <v>2.6</v>
      </c>
      <c r="E68" s="19">
        <v>9</v>
      </c>
      <c r="F68" s="61">
        <v>8.9</v>
      </c>
      <c r="G68" s="446">
        <v>8.9</v>
      </c>
      <c r="H68" s="19">
        <v>9</v>
      </c>
      <c r="I68" s="19">
        <v>2.7</v>
      </c>
      <c r="J68" s="19">
        <v>9</v>
      </c>
      <c r="K68" s="61">
        <v>9.1</v>
      </c>
      <c r="L68" s="446">
        <v>7.2</v>
      </c>
      <c r="M68" s="19">
        <v>7.4</v>
      </c>
      <c r="N68" s="19">
        <v>2.4</v>
      </c>
      <c r="O68" s="19">
        <v>7.3</v>
      </c>
      <c r="P68" s="20">
        <v>7.4</v>
      </c>
      <c r="Q68" s="18">
        <v>7.5</v>
      </c>
      <c r="R68" s="19">
        <v>7.7</v>
      </c>
      <c r="S68" s="19">
        <v>2.5</v>
      </c>
      <c r="T68" s="19">
        <v>7.7</v>
      </c>
      <c r="U68" s="20">
        <v>7.4</v>
      </c>
      <c r="V68" s="412">
        <f t="shared" si="37"/>
        <v>141.70000000000002</v>
      </c>
      <c r="W68" s="42"/>
      <c r="X68" s="302"/>
      <c r="Y68" s="42"/>
      <c r="Z68" s="42"/>
      <c r="AA68" s="42"/>
      <c r="AB68" s="42"/>
      <c r="AC68" s="2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3"/>
      <c r="AQ68" s="3"/>
      <c r="AT68" s="2"/>
      <c r="AU68" s="2"/>
      <c r="AV68" s="2"/>
      <c r="AW68" s="2"/>
    </row>
    <row r="69" spans="1:49" ht="33.75" customHeight="1" thickBot="1" x14ac:dyDescent="0.3">
      <c r="A69" s="171" t="s">
        <v>23</v>
      </c>
      <c r="B69" s="446">
        <v>9</v>
      </c>
      <c r="C69" s="19">
        <v>9</v>
      </c>
      <c r="D69" s="19">
        <v>2.6</v>
      </c>
      <c r="E69" s="19">
        <v>9</v>
      </c>
      <c r="F69" s="61">
        <v>8.9</v>
      </c>
      <c r="G69" s="446">
        <v>8.9</v>
      </c>
      <c r="H69" s="19">
        <v>9</v>
      </c>
      <c r="I69" s="19">
        <v>2.7</v>
      </c>
      <c r="J69" s="19">
        <v>9</v>
      </c>
      <c r="K69" s="61">
        <v>9.1</v>
      </c>
      <c r="L69" s="446">
        <v>7.2</v>
      </c>
      <c r="M69" s="19">
        <v>7.4</v>
      </c>
      <c r="N69" s="19">
        <v>2.4</v>
      </c>
      <c r="O69" s="19">
        <v>7.3</v>
      </c>
      <c r="P69" s="20">
        <v>7.4</v>
      </c>
      <c r="Q69" s="18">
        <v>7.5</v>
      </c>
      <c r="R69" s="19">
        <v>7.8</v>
      </c>
      <c r="S69" s="19">
        <v>2.5</v>
      </c>
      <c r="T69" s="19">
        <v>7.8</v>
      </c>
      <c r="U69" s="20">
        <v>7.4</v>
      </c>
      <c r="V69" s="412">
        <f t="shared" si="37"/>
        <v>141.9</v>
      </c>
      <c r="W69" s="42"/>
      <c r="X69" s="302"/>
      <c r="Y69" s="42"/>
      <c r="Z69" s="42"/>
      <c r="AA69" s="42"/>
      <c r="AB69" s="42"/>
      <c r="AC69" s="2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3"/>
      <c r="AQ69" s="3"/>
      <c r="AT69" s="2"/>
      <c r="AU69" s="2"/>
      <c r="AV69" s="2"/>
      <c r="AW69" s="2"/>
    </row>
    <row r="70" spans="1:49" ht="33.75" customHeight="1" thickBot="1" x14ac:dyDescent="0.3">
      <c r="A70" s="170" t="s">
        <v>9</v>
      </c>
      <c r="B70" s="297">
        <f t="shared" ref="B70:U70" si="38">SUM(B63:B69)</f>
        <v>62.6</v>
      </c>
      <c r="C70" s="298">
        <f t="shared" si="38"/>
        <v>62.8</v>
      </c>
      <c r="D70" s="298">
        <f t="shared" si="38"/>
        <v>17.899999999999999</v>
      </c>
      <c r="E70" s="298">
        <f t="shared" si="38"/>
        <v>62.8</v>
      </c>
      <c r="F70" s="299">
        <f t="shared" si="38"/>
        <v>62</v>
      </c>
      <c r="G70" s="297">
        <f t="shared" si="38"/>
        <v>62.099999999999994</v>
      </c>
      <c r="H70" s="298">
        <f t="shared" si="38"/>
        <v>62.8</v>
      </c>
      <c r="I70" s="298">
        <f t="shared" si="38"/>
        <v>18.899999999999999</v>
      </c>
      <c r="J70" s="298">
        <f t="shared" si="38"/>
        <v>62.8</v>
      </c>
      <c r="K70" s="298">
        <f t="shared" si="38"/>
        <v>63.000000000000007</v>
      </c>
      <c r="L70" s="297">
        <f t="shared" si="38"/>
        <v>50.1</v>
      </c>
      <c r="M70" s="298">
        <f t="shared" si="38"/>
        <v>51.599999999999994</v>
      </c>
      <c r="N70" s="298">
        <f t="shared" si="38"/>
        <v>17.600000000000001</v>
      </c>
      <c r="O70" s="298">
        <f t="shared" si="38"/>
        <v>50.899999999999991</v>
      </c>
      <c r="P70" s="299">
        <f t="shared" si="38"/>
        <v>51.599999999999994</v>
      </c>
      <c r="Q70" s="297">
        <f t="shared" si="38"/>
        <v>53.3</v>
      </c>
      <c r="R70" s="298">
        <f t="shared" si="38"/>
        <v>54</v>
      </c>
      <c r="S70" s="298">
        <f t="shared" si="38"/>
        <v>17.7</v>
      </c>
      <c r="T70" s="298">
        <f t="shared" si="38"/>
        <v>54</v>
      </c>
      <c r="U70" s="448">
        <f t="shared" si="38"/>
        <v>51.599999999999994</v>
      </c>
      <c r="V70" s="449">
        <f t="shared" si="37"/>
        <v>990.10000000000014</v>
      </c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3"/>
      <c r="AQ70" s="3"/>
      <c r="AR70" s="3"/>
      <c r="AS70" s="3"/>
      <c r="AT70" s="2"/>
      <c r="AU70" s="2"/>
      <c r="AV70" s="2"/>
      <c r="AW70" s="2"/>
    </row>
    <row r="71" spans="1:49" ht="33.75" customHeight="1" x14ac:dyDescent="0.25">
      <c r="A71" s="192" t="s">
        <v>11</v>
      </c>
      <c r="B71" s="357">
        <v>157</v>
      </c>
      <c r="C71" s="358">
        <v>157.5</v>
      </c>
      <c r="D71" s="358">
        <v>157</v>
      </c>
      <c r="E71" s="358">
        <v>157.5</v>
      </c>
      <c r="F71" s="358">
        <v>157.5</v>
      </c>
      <c r="G71" s="357">
        <v>155.5</v>
      </c>
      <c r="H71" s="358">
        <v>157.5</v>
      </c>
      <c r="I71" s="358">
        <v>157.5</v>
      </c>
      <c r="J71" s="358">
        <v>157.5</v>
      </c>
      <c r="K71" s="358">
        <v>157</v>
      </c>
      <c r="L71" s="357">
        <v>154.5</v>
      </c>
      <c r="M71" s="358">
        <v>157.5</v>
      </c>
      <c r="N71" s="358">
        <v>154.5</v>
      </c>
      <c r="O71" s="358">
        <v>157.5</v>
      </c>
      <c r="P71" s="358">
        <v>157.5</v>
      </c>
      <c r="Q71" s="357">
        <v>157</v>
      </c>
      <c r="R71" s="358">
        <v>157.5</v>
      </c>
      <c r="S71" s="358">
        <v>157.5</v>
      </c>
      <c r="T71" s="358">
        <v>157.5</v>
      </c>
      <c r="U71" s="358">
        <v>157.5</v>
      </c>
      <c r="V71" s="296">
        <f>+((V70/V72)/7)*1000</f>
        <v>157.33354520896236</v>
      </c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3"/>
      <c r="AQ71" s="3"/>
      <c r="AR71" s="3"/>
      <c r="AS71" s="3"/>
      <c r="AT71" s="2"/>
      <c r="AU71" s="2"/>
      <c r="AV71" s="2"/>
      <c r="AW71" s="2"/>
    </row>
    <row r="72" spans="1:49" ht="33.75" customHeight="1" x14ac:dyDescent="0.25">
      <c r="A72" s="193" t="s">
        <v>12</v>
      </c>
      <c r="B72" s="257">
        <v>57</v>
      </c>
      <c r="C72" s="275">
        <v>57</v>
      </c>
      <c r="D72" s="275">
        <v>16</v>
      </c>
      <c r="E72" s="275">
        <v>57</v>
      </c>
      <c r="F72" s="275">
        <v>56</v>
      </c>
      <c r="G72" s="257">
        <v>57</v>
      </c>
      <c r="H72" s="275">
        <v>57</v>
      </c>
      <c r="I72" s="275">
        <v>17</v>
      </c>
      <c r="J72" s="275">
        <v>57</v>
      </c>
      <c r="K72" s="275">
        <v>57</v>
      </c>
      <c r="L72" s="257">
        <v>46</v>
      </c>
      <c r="M72" s="275">
        <v>47</v>
      </c>
      <c r="N72" s="275">
        <v>16</v>
      </c>
      <c r="O72" s="275">
        <v>46</v>
      </c>
      <c r="P72" s="275">
        <v>47</v>
      </c>
      <c r="Q72" s="257">
        <v>48</v>
      </c>
      <c r="R72" s="275">
        <v>49</v>
      </c>
      <c r="S72" s="275">
        <v>16</v>
      </c>
      <c r="T72" s="275">
        <v>49</v>
      </c>
      <c r="U72" s="275">
        <v>47</v>
      </c>
      <c r="V72" s="254">
        <f>SUM(B72:U72)</f>
        <v>899</v>
      </c>
      <c r="AC72" s="59"/>
      <c r="AG72" s="3"/>
      <c r="AH72" s="3"/>
      <c r="AI72" s="3"/>
      <c r="AJ72" s="3"/>
      <c r="AK72" s="3"/>
      <c r="AL72" s="3"/>
    </row>
    <row r="73" spans="1:49" ht="33.75" customHeight="1" x14ac:dyDescent="0.25">
      <c r="A73" s="194" t="s">
        <v>13</v>
      </c>
      <c r="B73" s="30">
        <f>((((B71*7)*B72)/1000)-(B63+B64))/5</f>
        <v>9.0085999999999995</v>
      </c>
      <c r="C73" s="31">
        <f t="shared" ref="C73:F73" si="39">((((C71*7)*C72)/1000)-(C63+C64))/5</f>
        <v>9.0085000000000015</v>
      </c>
      <c r="D73" s="31">
        <f t="shared" si="39"/>
        <v>2.5167999999999999</v>
      </c>
      <c r="E73" s="31">
        <f t="shared" si="39"/>
        <v>9.0085000000000015</v>
      </c>
      <c r="F73" s="31">
        <f t="shared" si="39"/>
        <v>8.8279999999999994</v>
      </c>
      <c r="G73" s="30">
        <f>((((G71*7)*G72)/1000)-(G63+G64))/5</f>
        <v>8.8888999999999996</v>
      </c>
      <c r="H73" s="31">
        <f t="shared" ref="H73:K73" si="40">((((H71*7)*H72)/1000)-(H63+H64))/5</f>
        <v>9.0085000000000015</v>
      </c>
      <c r="I73" s="31">
        <f t="shared" si="40"/>
        <v>2.6684999999999999</v>
      </c>
      <c r="J73" s="31">
        <f t="shared" si="40"/>
        <v>9.0085000000000015</v>
      </c>
      <c r="K73" s="31">
        <f t="shared" si="40"/>
        <v>9.0085999999999995</v>
      </c>
      <c r="L73" s="30">
        <f>((((L71*7)*L72)/1000)-(L63+L64))/5</f>
        <v>7.1098000000000017</v>
      </c>
      <c r="M73" s="31">
        <f t="shared" ref="M73:P73" si="41">((((M71*7)*M72)/1000)-(M63+M64))/5</f>
        <v>7.4435000000000002</v>
      </c>
      <c r="N73" s="31">
        <f t="shared" si="41"/>
        <v>2.4207999999999998</v>
      </c>
      <c r="O73" s="31">
        <f t="shared" si="41"/>
        <v>7.2630000000000008</v>
      </c>
      <c r="P73" s="31">
        <f t="shared" si="41"/>
        <v>7.4435000000000002</v>
      </c>
      <c r="Q73" s="30">
        <f>((((Q71*7)*Q72)/1000)-(Q63+Q64))/5</f>
        <v>7.4704000000000006</v>
      </c>
      <c r="R73" s="31">
        <f t="shared" ref="R73:U73" si="42">((((R71*7)*R72)/1000)-(R63+R64))/5</f>
        <v>7.7245000000000008</v>
      </c>
      <c r="S73" s="31">
        <f t="shared" si="42"/>
        <v>2.4880000000000004</v>
      </c>
      <c r="T73" s="31">
        <f t="shared" si="42"/>
        <v>7.7245000000000008</v>
      </c>
      <c r="U73" s="31">
        <f t="shared" si="42"/>
        <v>7.4435000000000002</v>
      </c>
      <c r="V73" s="139">
        <f>((V70*100)/V72)/7</f>
        <v>15.733354520896237</v>
      </c>
      <c r="AG73" s="3"/>
      <c r="AH73" s="3"/>
      <c r="AI73" s="3"/>
      <c r="AJ73" s="3"/>
      <c r="AK73" s="3"/>
      <c r="AL73" s="3"/>
    </row>
    <row r="74" spans="1:49" ht="33.75" customHeight="1" x14ac:dyDescent="0.25">
      <c r="A74" s="185" t="s">
        <v>14</v>
      </c>
      <c r="B74" s="279">
        <f t="shared" ref="B74:U74" si="43">((B72*B71)*7)/1000</f>
        <v>62.643000000000001</v>
      </c>
      <c r="C74" s="280">
        <f t="shared" si="43"/>
        <v>62.842500000000001</v>
      </c>
      <c r="D74" s="280">
        <f t="shared" si="43"/>
        <v>17.584</v>
      </c>
      <c r="E74" s="280">
        <f t="shared" si="43"/>
        <v>62.842500000000001</v>
      </c>
      <c r="F74" s="280">
        <f t="shared" si="43"/>
        <v>61.74</v>
      </c>
      <c r="G74" s="279">
        <f t="shared" si="43"/>
        <v>62.044499999999999</v>
      </c>
      <c r="H74" s="280">
        <f t="shared" si="43"/>
        <v>62.842500000000001</v>
      </c>
      <c r="I74" s="280">
        <f t="shared" si="43"/>
        <v>18.7425</v>
      </c>
      <c r="J74" s="280">
        <f t="shared" si="43"/>
        <v>62.842500000000001</v>
      </c>
      <c r="K74" s="280">
        <f t="shared" si="43"/>
        <v>62.643000000000001</v>
      </c>
      <c r="L74" s="279">
        <f t="shared" si="43"/>
        <v>49.749000000000002</v>
      </c>
      <c r="M74" s="280">
        <f t="shared" si="43"/>
        <v>51.817500000000003</v>
      </c>
      <c r="N74" s="280">
        <f t="shared" si="43"/>
        <v>17.303999999999998</v>
      </c>
      <c r="O74" s="280">
        <f t="shared" si="43"/>
        <v>50.715000000000003</v>
      </c>
      <c r="P74" s="280">
        <f t="shared" si="43"/>
        <v>51.817500000000003</v>
      </c>
      <c r="Q74" s="279">
        <f t="shared" si="43"/>
        <v>52.752000000000002</v>
      </c>
      <c r="R74" s="280">
        <f t="shared" si="43"/>
        <v>54.022500000000001</v>
      </c>
      <c r="S74" s="280">
        <f t="shared" si="43"/>
        <v>17.64</v>
      </c>
      <c r="T74" s="280">
        <f t="shared" si="43"/>
        <v>54.022500000000001</v>
      </c>
      <c r="U74" s="280">
        <f t="shared" si="43"/>
        <v>51.817500000000003</v>
      </c>
      <c r="V74" s="112"/>
      <c r="W74" s="41"/>
      <c r="X74" s="41"/>
      <c r="Y74" s="41"/>
      <c r="Z74" s="41"/>
      <c r="AA74" s="41"/>
      <c r="AB74" s="41"/>
      <c r="AL74" s="3"/>
    </row>
    <row r="75" spans="1:49" ht="33.75" customHeight="1" thickBot="1" x14ac:dyDescent="0.3">
      <c r="A75" s="195" t="s">
        <v>15</v>
      </c>
      <c r="B75" s="37">
        <f t="shared" ref="B75:U75" si="44">+(B70/B72)/7*1000</f>
        <v>156.89223057644111</v>
      </c>
      <c r="C75" s="38">
        <f t="shared" si="44"/>
        <v>157.39348370927317</v>
      </c>
      <c r="D75" s="38">
        <f t="shared" si="44"/>
        <v>159.82142857142856</v>
      </c>
      <c r="E75" s="38">
        <f t="shared" si="44"/>
        <v>157.39348370927317</v>
      </c>
      <c r="F75" s="38">
        <f t="shared" si="44"/>
        <v>158.16326530612247</v>
      </c>
      <c r="G75" s="37">
        <f t="shared" si="44"/>
        <v>155.6390977443609</v>
      </c>
      <c r="H75" s="38">
        <f t="shared" si="44"/>
        <v>157.39348370927317</v>
      </c>
      <c r="I75" s="38">
        <f t="shared" si="44"/>
        <v>158.82352941176467</v>
      </c>
      <c r="J75" s="38">
        <f t="shared" si="44"/>
        <v>157.39348370927317</v>
      </c>
      <c r="K75" s="38">
        <f t="shared" si="44"/>
        <v>157.89473684210529</v>
      </c>
      <c r="L75" s="37">
        <f t="shared" si="44"/>
        <v>155.59006211180125</v>
      </c>
      <c r="M75" s="38">
        <f t="shared" si="44"/>
        <v>156.83890577507594</v>
      </c>
      <c r="N75" s="38">
        <f t="shared" si="44"/>
        <v>157.14285714285717</v>
      </c>
      <c r="O75" s="38">
        <f t="shared" si="44"/>
        <v>158.07453416149065</v>
      </c>
      <c r="P75" s="38">
        <f t="shared" si="44"/>
        <v>156.83890577507594</v>
      </c>
      <c r="Q75" s="37">
        <f t="shared" si="44"/>
        <v>158.63095238095238</v>
      </c>
      <c r="R75" s="38">
        <f t="shared" si="44"/>
        <v>157.43440233236151</v>
      </c>
      <c r="S75" s="38">
        <f t="shared" si="44"/>
        <v>158.03571428571428</v>
      </c>
      <c r="T75" s="38">
        <f t="shared" si="44"/>
        <v>157.43440233236151</v>
      </c>
      <c r="U75" s="38">
        <f t="shared" si="44"/>
        <v>156.83890577507594</v>
      </c>
      <c r="V75" s="40"/>
      <c r="AL75" s="3"/>
    </row>
    <row r="76" spans="1:49" ht="33.75" customHeight="1" x14ac:dyDescent="0.25">
      <c r="B76" s="43">
        <f>B74-B70</f>
        <v>4.2999999999999261E-2</v>
      </c>
      <c r="C76" s="43">
        <f t="shared" ref="C76:F76" si="45">C74-C70</f>
        <v>4.2500000000003979E-2</v>
      </c>
      <c r="D76" s="43">
        <f t="shared" si="45"/>
        <v>-0.31599999999999895</v>
      </c>
      <c r="E76" s="43">
        <f t="shared" si="45"/>
        <v>4.2500000000003979E-2</v>
      </c>
      <c r="F76" s="43">
        <f t="shared" si="45"/>
        <v>-0.25999999999999801</v>
      </c>
      <c r="G76" s="43">
        <f>G74-G70</f>
        <v>-5.5499999999994998E-2</v>
      </c>
      <c r="H76" s="43">
        <f t="shared" ref="H76:K77" si="46">H74-H70</f>
        <v>4.2500000000003979E-2</v>
      </c>
      <c r="I76" s="43">
        <f t="shared" si="46"/>
        <v>-0.15749999999999886</v>
      </c>
      <c r="J76" s="43">
        <f t="shared" si="46"/>
        <v>4.2500000000003979E-2</v>
      </c>
      <c r="K76" s="43">
        <f t="shared" si="46"/>
        <v>-0.35700000000000642</v>
      </c>
      <c r="L76" s="43">
        <f>L74-L70</f>
        <v>-0.35099999999999909</v>
      </c>
      <c r="M76" s="43">
        <f t="shared" ref="M76:P76" si="47">M74-M70</f>
        <v>0.21750000000000824</v>
      </c>
      <c r="N76" s="43">
        <f t="shared" si="47"/>
        <v>-0.29600000000000293</v>
      </c>
      <c r="O76" s="43">
        <f t="shared" si="47"/>
        <v>-0.18499999999998806</v>
      </c>
      <c r="P76" s="43">
        <f t="shared" si="47"/>
        <v>0.21750000000000824</v>
      </c>
      <c r="Q76" s="43">
        <f>Q74-Q70</f>
        <v>-0.54799999999999471</v>
      </c>
      <c r="R76" s="43">
        <f t="shared" ref="R76:U76" si="48">R74-R70</f>
        <v>2.2500000000000853E-2</v>
      </c>
      <c r="S76" s="43">
        <f t="shared" si="48"/>
        <v>-5.9999999999998721E-2</v>
      </c>
      <c r="T76" s="43">
        <f t="shared" si="48"/>
        <v>2.2500000000000853E-2</v>
      </c>
      <c r="U76" s="43">
        <f t="shared" si="48"/>
        <v>0.21750000000000824</v>
      </c>
    </row>
    <row r="77" spans="1:49" ht="33.75" customHeight="1" x14ac:dyDescent="0.25">
      <c r="B77" s="42">
        <f t="shared" ref="B77:U77" si="49">B75-B71</f>
        <v>-0.10776942355889219</v>
      </c>
      <c r="C77" s="42">
        <f t="shared" si="49"/>
        <v>-0.10651629072683022</v>
      </c>
      <c r="D77" s="42">
        <f t="shared" si="49"/>
        <v>2.8214285714285552</v>
      </c>
      <c r="E77" s="42">
        <f t="shared" si="49"/>
        <v>-0.10651629072683022</v>
      </c>
      <c r="F77" s="42">
        <f t="shared" si="49"/>
        <v>0.6632653061224687</v>
      </c>
      <c r="G77" s="42">
        <f t="shared" si="49"/>
        <v>0.13909774436089606</v>
      </c>
      <c r="H77" s="42">
        <f t="shared" si="49"/>
        <v>-0.10651629072683022</v>
      </c>
      <c r="I77" s="42">
        <f>I75-I71</f>
        <v>1.3235294117646674</v>
      </c>
      <c r="J77" s="42">
        <f t="shared" si="49"/>
        <v>-0.10651629072683022</v>
      </c>
      <c r="K77" s="42">
        <f t="shared" si="46"/>
        <v>0.89473684210528859</v>
      </c>
      <c r="L77" s="42">
        <f t="shared" si="49"/>
        <v>1.0900621118012452</v>
      </c>
      <c r="M77" s="42">
        <f t="shared" si="49"/>
        <v>-0.66109422492405656</v>
      </c>
      <c r="N77" s="42">
        <f t="shared" si="49"/>
        <v>2.6428571428571672</v>
      </c>
      <c r="O77" s="42">
        <f t="shared" si="49"/>
        <v>0.57453416149064651</v>
      </c>
      <c r="P77" s="42">
        <f t="shared" si="49"/>
        <v>-0.66109422492405656</v>
      </c>
      <c r="Q77" s="42">
        <f t="shared" si="49"/>
        <v>1.6309523809523796</v>
      </c>
      <c r="R77" s="42">
        <f t="shared" si="49"/>
        <v>-6.5597667638485291E-2</v>
      </c>
      <c r="S77" s="42">
        <f t="shared" si="49"/>
        <v>0.53571428571427759</v>
      </c>
      <c r="T77" s="42">
        <f t="shared" si="49"/>
        <v>-6.5597667638485291E-2</v>
      </c>
      <c r="U77" s="42">
        <f t="shared" si="49"/>
        <v>-0.66109422492405656</v>
      </c>
      <c r="V77" s="45"/>
      <c r="W77" s="45"/>
      <c r="X77" s="45"/>
      <c r="Y77" s="45"/>
      <c r="Z77" s="45"/>
      <c r="AA77" s="45"/>
      <c r="AB77" s="45"/>
      <c r="AC77" s="52"/>
    </row>
    <row r="78" spans="1:49" ht="33.75" customHeight="1" x14ac:dyDescent="0.25">
      <c r="B78" s="287"/>
      <c r="C78" s="287"/>
      <c r="D78" s="287"/>
      <c r="E78" s="287"/>
      <c r="F78" s="287"/>
    </row>
    <row r="79" spans="1:49" ht="33.75" customHeight="1" x14ac:dyDescent="0.25">
      <c r="A79" s="45"/>
      <c r="B79" s="283"/>
      <c r="C79" s="283"/>
      <c r="D79" s="283"/>
      <c r="E79" s="283"/>
      <c r="F79" s="283"/>
      <c r="G79" s="58"/>
      <c r="H79" s="45"/>
      <c r="I79" s="45"/>
      <c r="J79" s="45"/>
      <c r="K79" s="45"/>
      <c r="L79" s="45"/>
      <c r="M79" s="45"/>
      <c r="N79" s="45"/>
      <c r="O79" s="45"/>
    </row>
    <row r="80" spans="1:49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21">
    <mergeCell ref="V60:V61"/>
    <mergeCell ref="H43:K55"/>
    <mergeCell ref="O59:P59"/>
    <mergeCell ref="B60:F60"/>
    <mergeCell ref="G60:K60"/>
    <mergeCell ref="L60:P60"/>
    <mergeCell ref="Q60:U60"/>
    <mergeCell ref="R40:R41"/>
    <mergeCell ref="A3:C3"/>
    <mergeCell ref="E9:G9"/>
    <mergeCell ref="W9:X9"/>
    <mergeCell ref="O11:P11"/>
    <mergeCell ref="B16:H16"/>
    <mergeCell ref="I16:O16"/>
    <mergeCell ref="P16:T16"/>
    <mergeCell ref="U16:Y16"/>
    <mergeCell ref="H17:H18"/>
    <mergeCell ref="O17:O18"/>
    <mergeCell ref="B40:F40"/>
    <mergeCell ref="G40:G42"/>
    <mergeCell ref="M40:Q40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44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31</v>
      </c>
      <c r="P11" s="965"/>
      <c r="Q11" s="6"/>
      <c r="R11" s="6"/>
      <c r="S11" s="6"/>
      <c r="T11" s="1"/>
      <c r="U11" s="1"/>
      <c r="V11" s="1" t="s">
        <v>6</v>
      </c>
      <c r="W11" s="95">
        <v>45546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34</v>
      </c>
      <c r="B17" s="425"/>
      <c r="C17" s="168"/>
      <c r="D17" s="168"/>
      <c r="E17" s="168"/>
      <c r="F17" s="168"/>
      <c r="G17" s="204"/>
      <c r="H17" s="997" t="s">
        <v>109</v>
      </c>
      <c r="I17" s="188"/>
      <c r="J17" s="168"/>
      <c r="K17" s="168"/>
      <c r="L17" s="168"/>
      <c r="M17" s="168"/>
      <c r="N17" s="169"/>
      <c r="O17" s="997" t="s">
        <v>109</v>
      </c>
      <c r="P17" s="202"/>
      <c r="Q17" s="174"/>
      <c r="R17" s="174"/>
      <c r="S17" s="174"/>
      <c r="T17" s="203"/>
      <c r="U17" s="186"/>
      <c r="V17" s="174"/>
      <c r="W17" s="174"/>
      <c r="X17" s="174"/>
      <c r="Y17" s="175"/>
      <c r="Z17" s="261" t="s">
        <v>9</v>
      </c>
      <c r="AD17" s="15"/>
      <c r="AE17" s="15"/>
    </row>
    <row r="18" spans="1:40" ht="39.950000000000003" customHeight="1" thickBot="1" x14ac:dyDescent="0.3">
      <c r="A18" s="170" t="s">
        <v>10</v>
      </c>
      <c r="B18" s="425" t="s">
        <v>100</v>
      </c>
      <c r="C18" s="168">
        <v>1</v>
      </c>
      <c r="D18" s="168">
        <v>2</v>
      </c>
      <c r="E18" s="168">
        <v>3</v>
      </c>
      <c r="F18" s="168">
        <v>4</v>
      </c>
      <c r="G18" s="204">
        <v>5</v>
      </c>
      <c r="H18" s="998"/>
      <c r="I18" s="386" t="s">
        <v>100</v>
      </c>
      <c r="J18" s="438">
        <v>1</v>
      </c>
      <c r="K18" s="438">
        <v>2</v>
      </c>
      <c r="L18" s="438">
        <v>3</v>
      </c>
      <c r="M18" s="438">
        <v>4</v>
      </c>
      <c r="N18" s="439">
        <v>5</v>
      </c>
      <c r="O18" s="998"/>
      <c r="P18" s="202">
        <v>1</v>
      </c>
      <c r="Q18" s="174">
        <v>2</v>
      </c>
      <c r="R18" s="174">
        <v>3</v>
      </c>
      <c r="S18" s="174">
        <v>4</v>
      </c>
      <c r="T18" s="203">
        <v>5</v>
      </c>
      <c r="U18" s="186">
        <v>1</v>
      </c>
      <c r="V18" s="174">
        <v>2</v>
      </c>
      <c r="W18" s="174">
        <v>3</v>
      </c>
      <c r="X18" s="174">
        <v>4</v>
      </c>
      <c r="Y18" s="175">
        <v>5</v>
      </c>
      <c r="Z18" s="126"/>
      <c r="AD18" s="2"/>
      <c r="AE18" s="15"/>
    </row>
    <row r="19" spans="1:40" ht="39.950000000000003" customHeight="1" x14ac:dyDescent="0.25">
      <c r="A19" s="171" t="s">
        <v>53</v>
      </c>
      <c r="B19" s="503">
        <v>326.60000000000002</v>
      </c>
      <c r="C19" s="504">
        <v>20.6</v>
      </c>
      <c r="D19" s="504">
        <v>20.8</v>
      </c>
      <c r="E19" s="504">
        <v>5.0999999999999996</v>
      </c>
      <c r="F19" s="504">
        <v>21</v>
      </c>
      <c r="G19" s="505">
        <v>20.9</v>
      </c>
      <c r="H19" s="506">
        <f t="shared" ref="H19:H21" si="0">B19+C19+D19+E19+F19+G19</f>
        <v>415.00000000000006</v>
      </c>
      <c r="I19" s="142">
        <v>328.9</v>
      </c>
      <c r="J19" s="504">
        <v>20.9</v>
      </c>
      <c r="K19" s="504">
        <v>21</v>
      </c>
      <c r="L19" s="504">
        <v>4.3</v>
      </c>
      <c r="M19" s="504">
        <v>20</v>
      </c>
      <c r="N19" s="507">
        <v>19.899999999999999</v>
      </c>
      <c r="O19" s="506">
        <f t="shared" ref="O19:O21" si="1">I19+J19+K19+L19+M19+N19</f>
        <v>414.99999999999994</v>
      </c>
      <c r="P19" s="515">
        <v>80.400000000000006</v>
      </c>
      <c r="Q19" s="504">
        <v>79.599999999999994</v>
      </c>
      <c r="R19" s="504">
        <v>28.4</v>
      </c>
      <c r="S19" s="504">
        <v>80.099999999999994</v>
      </c>
      <c r="T19" s="507">
        <v>80.599999999999994</v>
      </c>
      <c r="U19" s="508">
        <v>83.9</v>
      </c>
      <c r="V19" s="504">
        <v>84</v>
      </c>
      <c r="W19" s="504">
        <v>30.6</v>
      </c>
      <c r="X19" s="504">
        <v>84</v>
      </c>
      <c r="Y19" s="507">
        <v>83.5</v>
      </c>
      <c r="Z19" s="209">
        <f>SUM(H19,O19,P19:Y19)</f>
        <v>1545.1</v>
      </c>
      <c r="AA19" s="301"/>
      <c r="AB19" s="302"/>
      <c r="AD19" s="2"/>
      <c r="AE19" s="15"/>
    </row>
    <row r="20" spans="1:40" ht="39.950000000000003" customHeight="1" x14ac:dyDescent="0.25">
      <c r="A20" s="171" t="s">
        <v>24</v>
      </c>
      <c r="B20" s="503">
        <v>326.60000000000002</v>
      </c>
      <c r="C20" s="504">
        <v>20.6</v>
      </c>
      <c r="D20" s="504">
        <v>20.8</v>
      </c>
      <c r="E20" s="504">
        <v>5.0999999999999996</v>
      </c>
      <c r="F20" s="504">
        <v>21</v>
      </c>
      <c r="G20" s="505">
        <v>20.9</v>
      </c>
      <c r="H20" s="506">
        <f t="shared" si="0"/>
        <v>415.00000000000006</v>
      </c>
      <c r="I20" s="142">
        <v>328.9</v>
      </c>
      <c r="J20" s="504">
        <v>20.9</v>
      </c>
      <c r="K20" s="504">
        <v>21</v>
      </c>
      <c r="L20" s="545">
        <v>5</v>
      </c>
      <c r="M20" s="504">
        <v>20</v>
      </c>
      <c r="N20" s="507">
        <v>19.899999999999999</v>
      </c>
      <c r="O20" s="506">
        <f t="shared" si="1"/>
        <v>415.69999999999993</v>
      </c>
      <c r="P20" s="515">
        <v>80.400000000000006</v>
      </c>
      <c r="Q20" s="504">
        <v>79.599999999999994</v>
      </c>
      <c r="R20" s="504">
        <v>28.4</v>
      </c>
      <c r="S20" s="504">
        <v>80.099999999999994</v>
      </c>
      <c r="T20" s="507">
        <v>80.599999999999994</v>
      </c>
      <c r="U20" s="508">
        <v>83.9</v>
      </c>
      <c r="V20" s="504">
        <v>84</v>
      </c>
      <c r="W20" s="504">
        <v>30.6</v>
      </c>
      <c r="X20" s="504">
        <v>84</v>
      </c>
      <c r="Y20" s="507">
        <v>83.5</v>
      </c>
      <c r="Z20" s="209">
        <f t="shared" ref="Z20:Z25" si="2">SUM(H20,O20,P20:Y20)</f>
        <v>1545.8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75" customHeight="1" x14ac:dyDescent="0.25">
      <c r="A21" s="171" t="s">
        <v>20</v>
      </c>
      <c r="B21" s="503">
        <v>326.60000000000002</v>
      </c>
      <c r="C21" s="504">
        <v>20.6</v>
      </c>
      <c r="D21" s="504">
        <v>20.7</v>
      </c>
      <c r="E21" s="548">
        <v>6</v>
      </c>
      <c r="F21" s="504">
        <v>21</v>
      </c>
      <c r="G21" s="505">
        <v>20.9</v>
      </c>
      <c r="H21" s="506">
        <f t="shared" si="0"/>
        <v>415.8</v>
      </c>
      <c r="I21" s="142">
        <v>328.9</v>
      </c>
      <c r="J21" s="504">
        <v>20.9</v>
      </c>
      <c r="K21" s="504">
        <v>21</v>
      </c>
      <c r="L21" s="504">
        <v>5</v>
      </c>
      <c r="M21" s="504">
        <v>20</v>
      </c>
      <c r="N21" s="507">
        <v>19.899999999999999</v>
      </c>
      <c r="O21" s="506">
        <f t="shared" si="1"/>
        <v>415.69999999999993</v>
      </c>
      <c r="P21" s="515">
        <v>80.400000000000006</v>
      </c>
      <c r="Q21" s="504">
        <v>79.599999999999994</v>
      </c>
      <c r="R21" s="504">
        <v>28.4</v>
      </c>
      <c r="S21" s="504">
        <v>80.099999999999994</v>
      </c>
      <c r="T21" s="507">
        <v>80.599999999999994</v>
      </c>
      <c r="U21" s="508">
        <v>83.9</v>
      </c>
      <c r="V21" s="504">
        <v>84</v>
      </c>
      <c r="W21" s="504">
        <v>30.6</v>
      </c>
      <c r="X21" s="504">
        <v>84</v>
      </c>
      <c r="Y21" s="507">
        <v>83.5</v>
      </c>
      <c r="Z21" s="509">
        <f t="shared" si="2"/>
        <v>1546.6</v>
      </c>
      <c r="AA21" s="520"/>
      <c r="AB21" s="521"/>
      <c r="AC21" s="522"/>
      <c r="AD21" s="145"/>
      <c r="AE21" s="523"/>
      <c r="AF21" s="522"/>
      <c r="AG21" s="522"/>
      <c r="AH21" s="522"/>
      <c r="AI21" s="522"/>
      <c r="AJ21" s="522"/>
      <c r="AK21" s="522"/>
      <c r="AL21" s="522"/>
      <c r="AM21" s="522"/>
      <c r="AN21" s="522"/>
    </row>
    <row r="22" spans="1:40" ht="39.950000000000003" customHeight="1" x14ac:dyDescent="0.25">
      <c r="A22" s="171" t="s">
        <v>28</v>
      </c>
      <c r="B22" s="503"/>
      <c r="C22" s="504"/>
      <c r="D22" s="504"/>
      <c r="E22" s="504"/>
      <c r="F22" s="504"/>
      <c r="G22" s="505"/>
      <c r="H22" s="506"/>
      <c r="I22" s="142"/>
      <c r="J22" s="504"/>
      <c r="K22" s="504"/>
      <c r="L22" s="504"/>
      <c r="M22" s="504"/>
      <c r="N22" s="507"/>
      <c r="O22" s="506"/>
      <c r="P22" s="515"/>
      <c r="Q22" s="504"/>
      <c r="R22" s="504"/>
      <c r="S22" s="504"/>
      <c r="T22" s="507"/>
      <c r="U22" s="508"/>
      <c r="V22" s="504"/>
      <c r="W22" s="504"/>
      <c r="X22" s="504"/>
      <c r="Y22" s="507"/>
      <c r="Z22" s="209">
        <f t="shared" si="2"/>
        <v>0</v>
      </c>
      <c r="AA22" s="301"/>
      <c r="AB22" s="302"/>
      <c r="AD22" s="2"/>
      <c r="AE22" s="15"/>
    </row>
    <row r="23" spans="1:40" ht="39.950000000000003" customHeight="1" x14ac:dyDescent="0.25">
      <c r="A23" s="171" t="s">
        <v>21</v>
      </c>
      <c r="B23" s="503"/>
      <c r="C23" s="504"/>
      <c r="D23" s="504"/>
      <c r="E23" s="504"/>
      <c r="F23" s="504"/>
      <c r="G23" s="505"/>
      <c r="H23" s="506"/>
      <c r="I23" s="142"/>
      <c r="J23" s="504"/>
      <c r="K23" s="504"/>
      <c r="L23" s="504"/>
      <c r="M23" s="504"/>
      <c r="N23" s="507"/>
      <c r="O23" s="506"/>
      <c r="P23" s="515"/>
      <c r="Q23" s="504"/>
      <c r="R23" s="504"/>
      <c r="S23" s="504"/>
      <c r="T23" s="507"/>
      <c r="U23" s="508"/>
      <c r="V23" s="504"/>
      <c r="W23" s="504"/>
      <c r="X23" s="504"/>
      <c r="Y23" s="507"/>
      <c r="Z23" s="509">
        <f t="shared" si="2"/>
        <v>0</v>
      </c>
      <c r="AA23" s="301"/>
      <c r="AB23" s="302"/>
      <c r="AD23" s="2"/>
      <c r="AE23" s="15"/>
    </row>
    <row r="24" spans="1:40" ht="39.950000000000003" customHeight="1" x14ac:dyDescent="0.25">
      <c r="A24" s="171" t="s">
        <v>22</v>
      </c>
      <c r="B24" s="503"/>
      <c r="C24" s="504"/>
      <c r="D24" s="504"/>
      <c r="E24" s="504"/>
      <c r="F24" s="504"/>
      <c r="G24" s="505"/>
      <c r="H24" s="506"/>
      <c r="I24" s="142"/>
      <c r="J24" s="504"/>
      <c r="K24" s="504"/>
      <c r="L24" s="504"/>
      <c r="M24" s="504"/>
      <c r="N24" s="507"/>
      <c r="O24" s="506"/>
      <c r="P24" s="515"/>
      <c r="Q24" s="504"/>
      <c r="R24" s="504"/>
      <c r="S24" s="504"/>
      <c r="T24" s="507"/>
      <c r="U24" s="508"/>
      <c r="V24" s="504"/>
      <c r="W24" s="504"/>
      <c r="X24" s="504"/>
      <c r="Y24" s="507"/>
      <c r="Z24" s="209">
        <f t="shared" si="2"/>
        <v>0</v>
      </c>
      <c r="AA24" s="301"/>
      <c r="AB24" s="302"/>
      <c r="AD24" s="2"/>
      <c r="AE24" s="15"/>
    </row>
    <row r="25" spans="1:40" ht="39.950000000000003" customHeight="1" thickBot="1" x14ac:dyDescent="0.3">
      <c r="A25" s="285" t="s">
        <v>23</v>
      </c>
      <c r="B25" s="503"/>
      <c r="C25" s="504"/>
      <c r="D25" s="504"/>
      <c r="E25" s="504"/>
      <c r="F25" s="504"/>
      <c r="G25" s="505"/>
      <c r="H25" s="506"/>
      <c r="I25" s="142"/>
      <c r="J25" s="504"/>
      <c r="K25" s="504"/>
      <c r="L25" s="504"/>
      <c r="M25" s="504"/>
      <c r="N25" s="507"/>
      <c r="O25" s="506"/>
      <c r="P25" s="515"/>
      <c r="Q25" s="504"/>
      <c r="R25" s="504"/>
      <c r="S25" s="504"/>
      <c r="T25" s="507"/>
      <c r="U25" s="508"/>
      <c r="V25" s="504"/>
      <c r="W25" s="504"/>
      <c r="X25" s="504"/>
      <c r="Y25" s="507"/>
      <c r="Z25" s="209">
        <f t="shared" si="2"/>
        <v>0</v>
      </c>
      <c r="AA25" s="301"/>
      <c r="AB25" s="302"/>
      <c r="AD25" s="2"/>
    </row>
    <row r="26" spans="1:40" ht="41.45" customHeight="1" thickBot="1" x14ac:dyDescent="0.3">
      <c r="A26" s="268" t="s">
        <v>9</v>
      </c>
      <c r="B26" s="421"/>
      <c r="C26" s="128">
        <f>SUM(C19:C25)</f>
        <v>61.800000000000004</v>
      </c>
      <c r="D26" s="128">
        <f t="shared" ref="D26:Y26" si="3">SUM(D19:D25)</f>
        <v>62.3</v>
      </c>
      <c r="E26" s="128">
        <f t="shared" si="3"/>
        <v>16.2</v>
      </c>
      <c r="F26" s="128">
        <f t="shared" si="3"/>
        <v>63</v>
      </c>
      <c r="G26" s="205">
        <f t="shared" si="3"/>
        <v>62.699999999999996</v>
      </c>
      <c r="H26" s="436">
        <f>SUM(H19:H25)</f>
        <v>1245.8000000000002</v>
      </c>
      <c r="I26" s="131"/>
      <c r="J26" s="128">
        <f t="shared" si="3"/>
        <v>62.699999999999996</v>
      </c>
      <c r="K26" s="128">
        <f>SUM(K19:K25)</f>
        <v>63</v>
      </c>
      <c r="L26" s="128">
        <f t="shared" si="3"/>
        <v>14.3</v>
      </c>
      <c r="M26" s="128">
        <f t="shared" si="3"/>
        <v>60</v>
      </c>
      <c r="N26" s="129">
        <f t="shared" si="3"/>
        <v>59.699999999999996</v>
      </c>
      <c r="O26" s="436">
        <f>SUM(O19:O25)</f>
        <v>1246.3999999999996</v>
      </c>
      <c r="P26" s="127">
        <f t="shared" si="3"/>
        <v>241.20000000000002</v>
      </c>
      <c r="Q26" s="128">
        <f t="shared" si="3"/>
        <v>238.79999999999998</v>
      </c>
      <c r="R26" s="128">
        <f t="shared" si="3"/>
        <v>85.199999999999989</v>
      </c>
      <c r="S26" s="128">
        <f t="shared" si="3"/>
        <v>240.29999999999998</v>
      </c>
      <c r="T26" s="205">
        <f t="shared" si="3"/>
        <v>241.79999999999998</v>
      </c>
      <c r="U26" s="131">
        <f t="shared" si="3"/>
        <v>251.70000000000002</v>
      </c>
      <c r="V26" s="128">
        <f t="shared" si="3"/>
        <v>252</v>
      </c>
      <c r="W26" s="128">
        <f t="shared" si="3"/>
        <v>91.800000000000011</v>
      </c>
      <c r="X26" s="128">
        <f t="shared" si="3"/>
        <v>252</v>
      </c>
      <c r="Y26" s="129">
        <f t="shared" si="3"/>
        <v>250.5</v>
      </c>
      <c r="Z26" s="375">
        <f>SUM(Z19,Z20,Z21,Z22,Z23,Z24,Z25)</f>
        <v>4637.5</v>
      </c>
      <c r="AA26" s="301"/>
    </row>
    <row r="27" spans="1:40" s="2" customFormat="1" ht="36.75" customHeight="1" x14ac:dyDescent="0.25">
      <c r="A27" s="192" t="s">
        <v>11</v>
      </c>
      <c r="B27" s="23"/>
      <c r="C27" s="477">
        <v>165.52</v>
      </c>
      <c r="D27" s="477">
        <v>165.52</v>
      </c>
      <c r="E27" s="477">
        <v>165.52</v>
      </c>
      <c r="F27" s="477">
        <v>165.52</v>
      </c>
      <c r="G27" s="477">
        <v>165.52</v>
      </c>
      <c r="H27" s="478"/>
      <c r="I27" s="479"/>
      <c r="J27" s="477">
        <v>165.52</v>
      </c>
      <c r="K27" s="477">
        <v>165.52</v>
      </c>
      <c r="L27" s="477">
        <v>159.07</v>
      </c>
      <c r="M27" s="477">
        <v>163.82</v>
      </c>
      <c r="N27" s="477">
        <v>163.82</v>
      </c>
      <c r="O27" s="478"/>
      <c r="P27" s="480">
        <v>163.82</v>
      </c>
      <c r="Q27" s="477">
        <v>163.82</v>
      </c>
      <c r="R27" s="477">
        <v>154.38</v>
      </c>
      <c r="S27" s="477">
        <v>163.82</v>
      </c>
      <c r="T27" s="481">
        <v>163.82</v>
      </c>
      <c r="U27" s="479">
        <v>163.82</v>
      </c>
      <c r="V27" s="477">
        <v>163.82</v>
      </c>
      <c r="W27" s="477">
        <v>163.82</v>
      </c>
      <c r="X27" s="477">
        <v>163.82</v>
      </c>
      <c r="Y27" s="482">
        <v>163.82</v>
      </c>
      <c r="Z27" s="99">
        <f>(((Z26*1000)/7)/Z28)</f>
        <v>70.37391119609093</v>
      </c>
    </row>
    <row r="28" spans="1:40" s="2" customFormat="1" ht="33" customHeight="1" x14ac:dyDescent="0.25">
      <c r="A28" s="193" t="s">
        <v>12</v>
      </c>
      <c r="B28" s="257"/>
      <c r="C28" s="27">
        <v>579</v>
      </c>
      <c r="D28" s="27">
        <v>583</v>
      </c>
      <c r="E28" s="27">
        <v>168</v>
      </c>
      <c r="F28" s="27">
        <v>590</v>
      </c>
      <c r="G28" s="27">
        <v>588</v>
      </c>
      <c r="H28" s="441"/>
      <c r="I28" s="26"/>
      <c r="J28" s="27">
        <v>587</v>
      </c>
      <c r="K28" s="27">
        <v>591</v>
      </c>
      <c r="L28" s="483">
        <v>172</v>
      </c>
      <c r="M28" s="27">
        <v>592</v>
      </c>
      <c r="N28" s="27">
        <v>587</v>
      </c>
      <c r="O28" s="441"/>
      <c r="P28" s="64">
        <v>491</v>
      </c>
      <c r="Q28" s="27">
        <v>486</v>
      </c>
      <c r="R28" s="27">
        <v>184</v>
      </c>
      <c r="S28" s="27">
        <v>489</v>
      </c>
      <c r="T28" s="483">
        <v>492</v>
      </c>
      <c r="U28" s="27">
        <v>512</v>
      </c>
      <c r="V28" s="27">
        <v>513</v>
      </c>
      <c r="W28" s="27">
        <v>187</v>
      </c>
      <c r="X28" s="27">
        <v>513</v>
      </c>
      <c r="Y28" s="27">
        <v>510</v>
      </c>
      <c r="Z28" s="29">
        <f>SUM(C28:Y28)</f>
        <v>9414</v>
      </c>
      <c r="AA28" s="402"/>
    </row>
    <row r="29" spans="1:40" s="2" customFormat="1" ht="33" customHeight="1" x14ac:dyDescent="0.25">
      <c r="A29" s="444" t="s">
        <v>13</v>
      </c>
      <c r="B29" s="445"/>
      <c r="C29" s="31">
        <f>(C34*C28)/1000</f>
        <v>20.566080000000007</v>
      </c>
      <c r="D29" s="31">
        <f>(D34*D28)/1000</f>
        <v>20.708160000000007</v>
      </c>
      <c r="E29" s="31">
        <f t="shared" ref="E29:G29" si="4">(E34*E28)/1000</f>
        <v>5.9673600000000011</v>
      </c>
      <c r="F29" s="31">
        <f t="shared" si="4"/>
        <v>20.956800000000008</v>
      </c>
      <c r="G29" s="31">
        <f t="shared" si="4"/>
        <v>20.885760000000005</v>
      </c>
      <c r="H29" s="442"/>
      <c r="I29" s="30"/>
      <c r="J29" s="31">
        <f>(J34*J28)/1000</f>
        <v>20.850240000000007</v>
      </c>
      <c r="K29" s="31">
        <f t="shared" ref="K29:N29" si="5">(K34*K28)/1000</f>
        <v>20.992320000000007</v>
      </c>
      <c r="L29" s="31">
        <f t="shared" si="5"/>
        <v>5.0000399999999994</v>
      </c>
      <c r="M29" s="31">
        <f t="shared" si="5"/>
        <v>20.021439999999995</v>
      </c>
      <c r="N29" s="31">
        <f t="shared" si="5"/>
        <v>19.852339999999998</v>
      </c>
      <c r="O29" s="442"/>
      <c r="P29" s="65">
        <f>((((P27*7)*P28)/1000))/7</f>
        <v>80.435619999999986</v>
      </c>
      <c r="Q29" s="65">
        <f t="shared" ref="Q29:Y29" si="6">((((Q27*7)*Q28)/1000))/7</f>
        <v>79.616520000000008</v>
      </c>
      <c r="R29" s="65">
        <f t="shared" si="6"/>
        <v>28.405919999999998</v>
      </c>
      <c r="S29" s="65">
        <f t="shared" si="6"/>
        <v>80.107979999999998</v>
      </c>
      <c r="T29" s="65">
        <f t="shared" si="6"/>
        <v>80.599439999999987</v>
      </c>
      <c r="U29" s="65">
        <f t="shared" si="6"/>
        <v>83.875840000000011</v>
      </c>
      <c r="V29" s="65">
        <f t="shared" si="6"/>
        <v>84.039659999999998</v>
      </c>
      <c r="W29" s="65">
        <f t="shared" si="6"/>
        <v>30.634340000000002</v>
      </c>
      <c r="X29" s="65">
        <f t="shared" si="6"/>
        <v>84.039659999999998</v>
      </c>
      <c r="Y29" s="65">
        <f t="shared" si="6"/>
        <v>83.548199999999994</v>
      </c>
      <c r="Z29" s="33"/>
    </row>
    <row r="30" spans="1:40" ht="33.75" customHeight="1" x14ac:dyDescent="0.25">
      <c r="A30" s="185" t="s">
        <v>14</v>
      </c>
      <c r="B30" s="34"/>
      <c r="C30" s="280">
        <f>((C28*C31)*7)/1000</f>
        <v>61.800000000000004</v>
      </c>
      <c r="D30" s="280">
        <f t="shared" ref="D30:G30" si="7">((D28*D31)*7)/1000</f>
        <v>62.3</v>
      </c>
      <c r="E30" s="280">
        <f>((E28*E31)*7)/1000</f>
        <v>16.199999999999996</v>
      </c>
      <c r="F30" s="280">
        <f t="shared" si="7"/>
        <v>62.999999999999986</v>
      </c>
      <c r="G30" s="280">
        <f t="shared" si="7"/>
        <v>62.699999999999989</v>
      </c>
      <c r="H30" s="443"/>
      <c r="I30" s="279"/>
      <c r="J30" s="280">
        <f>((J28*J31)*7)/1000</f>
        <v>62.7</v>
      </c>
      <c r="K30" s="280">
        <f t="shared" ref="K30:N30" si="8">((K28*K31)*7)/1000</f>
        <v>63</v>
      </c>
      <c r="L30" s="280">
        <f t="shared" si="8"/>
        <v>14.299999999999999</v>
      </c>
      <c r="M30" s="280">
        <f t="shared" si="8"/>
        <v>59.999999999999993</v>
      </c>
      <c r="N30" s="280">
        <f t="shared" si="8"/>
        <v>59.699999999999996</v>
      </c>
      <c r="O30" s="443"/>
      <c r="P30" s="325">
        <f t="shared" ref="P30:Y30" si="9">((P28*P27)*7)/1000</f>
        <v>563.04933999999992</v>
      </c>
      <c r="Q30" s="280">
        <f t="shared" si="9"/>
        <v>557.31563999999992</v>
      </c>
      <c r="R30" s="280">
        <f t="shared" si="9"/>
        <v>198.84144000000001</v>
      </c>
      <c r="S30" s="280">
        <f t="shared" si="9"/>
        <v>560.75585999999998</v>
      </c>
      <c r="T30" s="281">
        <f t="shared" si="9"/>
        <v>564.19608000000005</v>
      </c>
      <c r="U30" s="279">
        <f t="shared" si="9"/>
        <v>587.13088000000005</v>
      </c>
      <c r="V30" s="280">
        <f t="shared" si="9"/>
        <v>588.27761999999996</v>
      </c>
      <c r="W30" s="280">
        <f t="shared" si="9"/>
        <v>214.44038</v>
      </c>
      <c r="X30" s="280">
        <f t="shared" si="9"/>
        <v>588.27761999999996</v>
      </c>
      <c r="Y30" s="282">
        <f t="shared" si="9"/>
        <v>584.8374</v>
      </c>
      <c r="Z30" s="36"/>
    </row>
    <row r="31" spans="1:40" ht="33.75" customHeight="1" thickBot="1" x14ac:dyDescent="0.3">
      <c r="A31" s="195" t="s">
        <v>15</v>
      </c>
      <c r="B31" s="423"/>
      <c r="C31" s="38">
        <f>+(C26/C28)/7*1000</f>
        <v>15.247964470762401</v>
      </c>
      <c r="D31" s="38">
        <f t="shared" ref="D31:Y31" si="10">+(D26/D28)/7*1000</f>
        <v>15.265866209262436</v>
      </c>
      <c r="E31" s="38">
        <f t="shared" si="10"/>
        <v>13.77551020408163</v>
      </c>
      <c r="F31" s="38">
        <f t="shared" si="10"/>
        <v>15.254237288135592</v>
      </c>
      <c r="G31" s="38">
        <f t="shared" si="10"/>
        <v>15.233236151603496</v>
      </c>
      <c r="H31" s="259"/>
      <c r="I31" s="37"/>
      <c r="J31" s="38">
        <f t="shared" si="10"/>
        <v>15.259187150158189</v>
      </c>
      <c r="K31" s="38">
        <f t="shared" si="10"/>
        <v>15.228426395939087</v>
      </c>
      <c r="L31" s="38">
        <f t="shared" si="10"/>
        <v>11.877076411960132</v>
      </c>
      <c r="M31" s="38">
        <f t="shared" si="10"/>
        <v>14.478764478764479</v>
      </c>
      <c r="N31" s="38">
        <f t="shared" si="10"/>
        <v>14.529082501825261</v>
      </c>
      <c r="O31" s="259"/>
      <c r="P31" s="67">
        <f t="shared" si="10"/>
        <v>70.177480360779754</v>
      </c>
      <c r="Q31" s="38">
        <f t="shared" si="10"/>
        <v>70.194003527336861</v>
      </c>
      <c r="R31" s="38">
        <f t="shared" si="10"/>
        <v>66.14906832298135</v>
      </c>
      <c r="S31" s="38">
        <f t="shared" si="10"/>
        <v>70.201577563540738</v>
      </c>
      <c r="T31" s="207">
        <f t="shared" si="10"/>
        <v>70.209059233449466</v>
      </c>
      <c r="U31" s="37">
        <f t="shared" si="10"/>
        <v>70.228794642857153</v>
      </c>
      <c r="V31" s="38">
        <f t="shared" si="10"/>
        <v>70.175438596491219</v>
      </c>
      <c r="W31" s="38">
        <f t="shared" si="10"/>
        <v>70.129870129870142</v>
      </c>
      <c r="X31" s="38">
        <f t="shared" si="10"/>
        <v>70.175438596491219</v>
      </c>
      <c r="Y31" s="39">
        <f t="shared" si="10"/>
        <v>70.168067226890756</v>
      </c>
      <c r="Z31" s="40"/>
    </row>
    <row r="32" spans="1:40" ht="33.75" customHeight="1" x14ac:dyDescent="0.25">
      <c r="A32" s="41"/>
      <c r="B32" s="41"/>
      <c r="C32" s="42">
        <f>C30-C26</f>
        <v>0</v>
      </c>
      <c r="D32" s="42">
        <f t="shared" ref="D32:Y33" si="11">D30-D26</f>
        <v>0</v>
      </c>
      <c r="E32" s="42">
        <f t="shared" si="11"/>
        <v>0</v>
      </c>
      <c r="F32" s="42">
        <f t="shared" si="11"/>
        <v>0</v>
      </c>
      <c r="G32" s="42">
        <f t="shared" si="11"/>
        <v>0</v>
      </c>
      <c r="H32" s="42"/>
      <c r="I32" s="42"/>
      <c r="J32" s="42">
        <f t="shared" si="11"/>
        <v>0</v>
      </c>
      <c r="K32" s="42">
        <f>K30-K26</f>
        <v>0</v>
      </c>
      <c r="L32" s="42">
        <f t="shared" si="11"/>
        <v>0</v>
      </c>
      <c r="M32" s="42">
        <f t="shared" si="11"/>
        <v>0</v>
      </c>
      <c r="N32" s="42">
        <f t="shared" si="11"/>
        <v>0</v>
      </c>
      <c r="O32" s="42"/>
      <c r="P32" s="42">
        <f t="shared" si="11"/>
        <v>321.84933999999987</v>
      </c>
      <c r="Q32" s="42">
        <f t="shared" si="11"/>
        <v>318.51563999999996</v>
      </c>
      <c r="R32" s="42">
        <f t="shared" si="11"/>
        <v>113.64144000000002</v>
      </c>
      <c r="S32" s="42">
        <f t="shared" si="11"/>
        <v>320.45586000000003</v>
      </c>
      <c r="T32" s="42">
        <f t="shared" si="11"/>
        <v>322.3960800000001</v>
      </c>
      <c r="U32" s="42">
        <f t="shared" si="11"/>
        <v>335.43088</v>
      </c>
      <c r="V32" s="42">
        <f t="shared" si="11"/>
        <v>336.27761999999996</v>
      </c>
      <c r="W32" s="42">
        <f t="shared" si="11"/>
        <v>122.64037999999999</v>
      </c>
      <c r="X32" s="42">
        <f t="shared" si="11"/>
        <v>336.27761999999996</v>
      </c>
      <c r="Y32" s="42">
        <f t="shared" si="11"/>
        <v>334.3374</v>
      </c>
      <c r="Z32" s="48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</row>
    <row r="33" spans="1:38" ht="31.5" customHeight="1" x14ac:dyDescent="0.25">
      <c r="A33" s="41"/>
      <c r="B33" s="41"/>
      <c r="C33" s="42">
        <f>C31-C34</f>
        <v>-20.272035529237609</v>
      </c>
      <c r="D33" s="42">
        <f t="shared" ref="D33:G33" si="12">D31-D34</f>
        <v>-20.254133790737576</v>
      </c>
      <c r="E33" s="42">
        <f t="shared" si="12"/>
        <v>-21.74448979591838</v>
      </c>
      <c r="F33" s="42">
        <f t="shared" si="12"/>
        <v>-20.265762711864419</v>
      </c>
      <c r="G33" s="42">
        <f t="shared" si="12"/>
        <v>-20.286763848396514</v>
      </c>
      <c r="H33" s="42"/>
      <c r="I33" s="42"/>
      <c r="J33" s="42">
        <f t="shared" ref="J33:N33" si="13">J31-J34</f>
        <v>-20.26081284984182</v>
      </c>
      <c r="K33" s="42">
        <f t="shared" si="13"/>
        <v>-20.291573604060922</v>
      </c>
      <c r="L33" s="42">
        <f t="shared" si="13"/>
        <v>-17.192923588039861</v>
      </c>
      <c r="M33" s="42">
        <f t="shared" si="13"/>
        <v>-19.341235521235514</v>
      </c>
      <c r="N33" s="42">
        <f t="shared" si="13"/>
        <v>-19.290917498174732</v>
      </c>
      <c r="O33" s="42"/>
      <c r="P33" s="42">
        <f t="shared" si="11"/>
        <v>-93.642519639220239</v>
      </c>
      <c r="Q33" s="42">
        <f t="shared" si="11"/>
        <v>-93.625996472663132</v>
      </c>
      <c r="R33" s="42">
        <f t="shared" si="11"/>
        <v>-88.230931677018646</v>
      </c>
      <c r="S33" s="42">
        <f t="shared" si="11"/>
        <v>-93.618422436459255</v>
      </c>
      <c r="T33" s="42">
        <f t="shared" si="11"/>
        <v>-93.610940766550527</v>
      </c>
      <c r="U33" s="42">
        <f t="shared" si="11"/>
        <v>-93.59120535714284</v>
      </c>
      <c r="V33" s="42">
        <f t="shared" si="11"/>
        <v>-93.644561403508774</v>
      </c>
      <c r="W33" s="42">
        <f t="shared" si="11"/>
        <v>-93.690129870129851</v>
      </c>
      <c r="X33" s="42">
        <f t="shared" si="11"/>
        <v>-93.644561403508774</v>
      </c>
      <c r="Y33" s="42">
        <f t="shared" si="11"/>
        <v>-93.651932773109237</v>
      </c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thickBot="1" x14ac:dyDescent="0.3">
      <c r="A34" s="41"/>
      <c r="B34" s="41"/>
      <c r="C34" s="42">
        <f>C27-$B$35</f>
        <v>35.52000000000001</v>
      </c>
      <c r="D34" s="42">
        <f t="shared" ref="D34:G34" si="14">D27-$B$35</f>
        <v>35.52000000000001</v>
      </c>
      <c r="E34" s="42">
        <f t="shared" si="14"/>
        <v>35.52000000000001</v>
      </c>
      <c r="F34" s="42">
        <f t="shared" si="14"/>
        <v>35.52000000000001</v>
      </c>
      <c r="G34" s="42">
        <f t="shared" si="14"/>
        <v>35.52000000000001</v>
      </c>
      <c r="H34" s="42"/>
      <c r="I34" s="42"/>
      <c r="J34" s="42">
        <f>J27-$I$35</f>
        <v>35.52000000000001</v>
      </c>
      <c r="K34" s="42">
        <f t="shared" ref="K34:N34" si="15">K27-$I$35</f>
        <v>35.52000000000001</v>
      </c>
      <c r="L34" s="42">
        <f t="shared" si="15"/>
        <v>29.069999999999993</v>
      </c>
      <c r="M34" s="42">
        <f t="shared" si="15"/>
        <v>33.819999999999993</v>
      </c>
      <c r="N34" s="42">
        <f t="shared" si="15"/>
        <v>33.819999999999993</v>
      </c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1"/>
    </row>
    <row r="35" spans="1:38" ht="33.75" customHeight="1" x14ac:dyDescent="0.25">
      <c r="A35" s="41"/>
      <c r="B35" s="501">
        <v>130</v>
      </c>
      <c r="C35" s="500">
        <f>(B35*D35)/1000</f>
        <v>326.04000000000002</v>
      </c>
      <c r="D35" s="432">
        <f>SUM(C28:G28)</f>
        <v>2508</v>
      </c>
      <c r="E35" s="42"/>
      <c r="F35" s="42"/>
      <c r="G35" s="42"/>
      <c r="H35" s="42"/>
      <c r="I35" s="514">
        <v>130</v>
      </c>
      <c r="J35" s="431">
        <f>(I35*K35)/1000</f>
        <v>328.77</v>
      </c>
      <c r="K35" s="432">
        <f>SUM(J28:N28)</f>
        <v>2529</v>
      </c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30" t="s">
        <v>106</v>
      </c>
      <c r="C36" s="500" t="s">
        <v>107</v>
      </c>
      <c r="D36" s="431" t="s">
        <v>108</v>
      </c>
      <c r="E36" s="42"/>
      <c r="F36" s="42"/>
      <c r="G36" s="42"/>
      <c r="H36" s="42"/>
      <c r="I36" s="430" t="s">
        <v>106</v>
      </c>
      <c r="J36" s="431" t="s">
        <v>107</v>
      </c>
      <c r="K36" s="431" t="s">
        <v>108</v>
      </c>
      <c r="L36" s="42"/>
      <c r="M36" s="42"/>
      <c r="N36" s="534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264"/>
      <c r="L37" s="42"/>
      <c r="M37" s="42"/>
      <c r="N37" s="534"/>
      <c r="O37" s="42"/>
      <c r="P37" s="264"/>
      <c r="Q37" s="42"/>
      <c r="R37" s="42"/>
      <c r="S37" s="42"/>
      <c r="T37" s="42"/>
      <c r="U37" s="264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1"/>
    </row>
    <row r="38" spans="1:38" ht="33.75" customHeight="1" x14ac:dyDescent="0.25">
      <c r="A38" s="41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1"/>
    </row>
    <row r="39" spans="1:38" s="2" customFormat="1" ht="33.75" customHeight="1" thickBot="1" x14ac:dyDescent="0.3">
      <c r="B39" s="43"/>
      <c r="C39" s="350"/>
      <c r="D39" s="350"/>
      <c r="E39" s="350"/>
      <c r="F39" s="350"/>
      <c r="G39" s="350"/>
      <c r="H39" s="318"/>
      <c r="I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3"/>
    </row>
    <row r="40" spans="1:38" ht="33.75" customHeight="1" thickBot="1" x14ac:dyDescent="0.3">
      <c r="A40" s="69" t="s">
        <v>16</v>
      </c>
      <c r="B40" s="973" t="s">
        <v>17</v>
      </c>
      <c r="C40" s="974"/>
      <c r="D40" s="974"/>
      <c r="E40" s="974"/>
      <c r="F40" s="974"/>
      <c r="G40" s="977" t="s">
        <v>9</v>
      </c>
      <c r="H40" s="47"/>
      <c r="L40" s="426" t="s">
        <v>18</v>
      </c>
      <c r="M40" s="980" t="s">
        <v>17</v>
      </c>
      <c r="N40" s="972"/>
      <c r="O40" s="972"/>
      <c r="P40" s="972"/>
      <c r="Q40" s="990"/>
      <c r="R40" s="977" t="s">
        <v>9</v>
      </c>
      <c r="S40" s="269"/>
      <c r="U40" s="45"/>
      <c r="V40" s="45"/>
      <c r="W40" s="46"/>
      <c r="X40" s="3"/>
      <c r="Y40" s="45"/>
      <c r="Z40" s="45"/>
      <c r="AA40" s="45"/>
      <c r="AB40" s="3"/>
    </row>
    <row r="41" spans="1:38" ht="33.75" customHeight="1" thickBot="1" x14ac:dyDescent="0.3">
      <c r="A41" s="170" t="s">
        <v>34</v>
      </c>
      <c r="B41" s="141"/>
      <c r="C41" s="118"/>
      <c r="D41" s="118"/>
      <c r="E41" s="118"/>
      <c r="F41" s="121"/>
      <c r="G41" s="985"/>
      <c r="H41" s="47"/>
      <c r="I41" s="47"/>
      <c r="J41" s="47"/>
      <c r="K41" s="47"/>
      <c r="L41" s="428" t="s">
        <v>33</v>
      </c>
      <c r="M41" s="168">
        <v>1</v>
      </c>
      <c r="N41" s="249">
        <v>2</v>
      </c>
      <c r="O41" s="249">
        <v>3</v>
      </c>
      <c r="P41" s="249"/>
      <c r="Q41" s="250"/>
      <c r="R41" s="979"/>
      <c r="S41" s="2"/>
      <c r="U41" s="47"/>
      <c r="V41" s="47"/>
      <c r="W41" s="3"/>
      <c r="X41" s="46"/>
      <c r="Y41" s="3"/>
      <c r="Z41" s="45"/>
      <c r="AA41" s="45"/>
      <c r="AB41" s="45"/>
    </row>
    <row r="42" spans="1:38" ht="33.75" customHeight="1" thickBot="1" x14ac:dyDescent="0.3">
      <c r="A42" s="170" t="s">
        <v>10</v>
      </c>
      <c r="B42" s="11">
        <v>1</v>
      </c>
      <c r="C42" s="16">
        <v>2</v>
      </c>
      <c r="D42" s="16">
        <v>3</v>
      </c>
      <c r="E42" s="16">
        <v>4</v>
      </c>
      <c r="F42" s="107">
        <v>5</v>
      </c>
      <c r="G42" s="984"/>
      <c r="H42" s="47"/>
      <c r="I42" s="47"/>
      <c r="J42" s="47"/>
      <c r="K42" s="47"/>
      <c r="L42" s="427" t="s">
        <v>10</v>
      </c>
      <c r="M42" s="114">
        <v>1</v>
      </c>
      <c r="N42" s="114">
        <v>2</v>
      </c>
      <c r="O42" s="114">
        <v>3</v>
      </c>
      <c r="P42" s="114">
        <v>4</v>
      </c>
      <c r="Q42" s="116">
        <v>5</v>
      </c>
      <c r="R42" s="126"/>
      <c r="S42" s="270"/>
      <c r="U42" s="47"/>
      <c r="V42" s="47"/>
      <c r="W42" s="48"/>
      <c r="X42" s="48"/>
      <c r="Y42" s="2"/>
      <c r="Z42" s="2"/>
      <c r="AA42" s="2"/>
      <c r="AB42" s="2"/>
    </row>
    <row r="43" spans="1:38" ht="33.75" customHeight="1" x14ac:dyDescent="0.25">
      <c r="A43" s="171" t="s">
        <v>32</v>
      </c>
      <c r="B43" s="573">
        <v>98.5</v>
      </c>
      <c r="C43" s="486">
        <v>98.5</v>
      </c>
      <c r="D43" s="486">
        <v>27.6</v>
      </c>
      <c r="E43" s="486">
        <v>100.7</v>
      </c>
      <c r="F43" s="574">
        <v>97.8</v>
      </c>
      <c r="G43" s="509">
        <f t="shared" ref="G43:G50" si="16">SUM(B43:F43)</f>
        <v>423.1</v>
      </c>
      <c r="H43" s="988"/>
      <c r="I43" s="989"/>
      <c r="J43" s="989"/>
      <c r="K43" s="989"/>
      <c r="L43" s="171" t="s">
        <v>53</v>
      </c>
      <c r="M43" s="19">
        <v>8.8000000000000007</v>
      </c>
      <c r="N43" s="19">
        <v>8.6</v>
      </c>
      <c r="O43" s="19">
        <v>1.6</v>
      </c>
      <c r="P43" s="19">
        <v>8.4</v>
      </c>
      <c r="Q43" s="108">
        <v>8.1999999999999993</v>
      </c>
      <c r="R43" s="209">
        <f t="shared" ref="R43:R49" si="17">SUM(M43:Q43)</f>
        <v>35.599999999999994</v>
      </c>
      <c r="S43" s="271"/>
      <c r="T43" s="302"/>
      <c r="U43" s="2"/>
      <c r="V43" s="49"/>
      <c r="W43" s="48"/>
      <c r="X43" s="48"/>
      <c r="Y43" s="2"/>
      <c r="Z43" s="2"/>
      <c r="AA43" s="2"/>
      <c r="AB43" s="2"/>
    </row>
    <row r="44" spans="1:38" ht="33.75" customHeight="1" x14ac:dyDescent="0.25">
      <c r="A44" s="171" t="s">
        <v>24</v>
      </c>
      <c r="B44" s="142">
        <v>98.2</v>
      </c>
      <c r="C44" s="486">
        <v>97.8</v>
      </c>
      <c r="D44" s="486">
        <v>27.7</v>
      </c>
      <c r="E44" s="486">
        <v>100.5</v>
      </c>
      <c r="F44" s="537">
        <v>97.4</v>
      </c>
      <c r="G44" s="509">
        <f t="shared" si="16"/>
        <v>421.6</v>
      </c>
      <c r="H44" s="988"/>
      <c r="I44" s="989"/>
      <c r="J44" s="989"/>
      <c r="K44" s="989"/>
      <c r="L44" s="171" t="s">
        <v>24</v>
      </c>
      <c r="M44" s="19">
        <v>8.8000000000000007</v>
      </c>
      <c r="N44" s="19">
        <v>8.6</v>
      </c>
      <c r="O44" s="19">
        <v>1.7</v>
      </c>
      <c r="P44" s="19">
        <v>8.5</v>
      </c>
      <c r="Q44" s="108">
        <v>8.1999999999999993</v>
      </c>
      <c r="R44" s="209">
        <f t="shared" si="17"/>
        <v>35.799999999999997</v>
      </c>
      <c r="S44" s="271"/>
      <c r="T44" s="302"/>
      <c r="U44" s="2"/>
      <c r="V44" s="49"/>
      <c r="W44" s="48"/>
      <c r="X44" s="48"/>
      <c r="Y44" s="2"/>
      <c r="Z44" s="2"/>
      <c r="AA44" s="2"/>
      <c r="AB44" s="2"/>
    </row>
    <row r="45" spans="1:38" ht="33.75" customHeight="1" x14ac:dyDescent="0.25">
      <c r="A45" s="171" t="s">
        <v>20</v>
      </c>
      <c r="B45" s="475">
        <v>100.4</v>
      </c>
      <c r="C45" s="486">
        <v>97.8</v>
      </c>
      <c r="D45" s="572">
        <v>28.1</v>
      </c>
      <c r="E45" s="486">
        <v>100.4</v>
      </c>
      <c r="F45" s="575">
        <v>99.8</v>
      </c>
      <c r="G45" s="509">
        <f t="shared" si="16"/>
        <v>426.5</v>
      </c>
      <c r="H45" s="988"/>
      <c r="I45" s="989"/>
      <c r="J45" s="989"/>
      <c r="K45" s="989"/>
      <c r="L45" s="171" t="s">
        <v>20</v>
      </c>
      <c r="M45" s="19">
        <v>8.8000000000000007</v>
      </c>
      <c r="N45" s="19">
        <v>8.6</v>
      </c>
      <c r="O45" s="19">
        <v>1.7</v>
      </c>
      <c r="P45" s="19">
        <v>8.4</v>
      </c>
      <c r="Q45" s="108">
        <v>8.1999999999999993</v>
      </c>
      <c r="R45" s="209">
        <f t="shared" si="17"/>
        <v>35.700000000000003</v>
      </c>
      <c r="S45" s="271"/>
      <c r="T45" s="302"/>
      <c r="U45" s="2"/>
      <c r="V45" s="49"/>
      <c r="W45" s="48"/>
      <c r="X45" s="48"/>
      <c r="Y45" s="2"/>
      <c r="Z45" s="2"/>
      <c r="AA45" s="2"/>
      <c r="AB45" s="2"/>
    </row>
    <row r="46" spans="1:38" ht="33.75" customHeight="1" x14ac:dyDescent="0.25">
      <c r="A46" s="171" t="s">
        <v>28</v>
      </c>
      <c r="B46" s="142"/>
      <c r="C46" s="486"/>
      <c r="D46" s="486"/>
      <c r="E46" s="486"/>
      <c r="F46" s="537"/>
      <c r="G46" s="509">
        <f t="shared" si="16"/>
        <v>0</v>
      </c>
      <c r="H46" s="988"/>
      <c r="I46" s="989"/>
      <c r="J46" s="989"/>
      <c r="K46" s="989"/>
      <c r="L46" s="171" t="s">
        <v>28</v>
      </c>
      <c r="M46" s="19"/>
      <c r="N46" s="19"/>
      <c r="O46" s="19"/>
      <c r="P46" s="19"/>
      <c r="Q46" s="108"/>
      <c r="R46" s="209">
        <f t="shared" si="17"/>
        <v>0</v>
      </c>
      <c r="S46" s="271"/>
      <c r="T46" s="302"/>
      <c r="U46" s="2"/>
      <c r="V46" s="49"/>
      <c r="W46" s="48"/>
      <c r="X46" s="48"/>
      <c r="Y46" s="2"/>
      <c r="Z46" s="2"/>
      <c r="AA46" s="2"/>
      <c r="AB46" s="2"/>
    </row>
    <row r="47" spans="1:38" ht="33.75" customHeight="1" x14ac:dyDescent="0.25">
      <c r="A47" s="171" t="s">
        <v>21</v>
      </c>
      <c r="B47" s="142"/>
      <c r="C47" s="486"/>
      <c r="D47" s="486"/>
      <c r="E47" s="486"/>
      <c r="F47" s="537"/>
      <c r="G47" s="509">
        <f t="shared" si="16"/>
        <v>0</v>
      </c>
      <c r="H47" s="988"/>
      <c r="I47" s="989"/>
      <c r="J47" s="989"/>
      <c r="K47" s="989"/>
      <c r="L47" s="171" t="s">
        <v>21</v>
      </c>
      <c r="M47" s="19"/>
      <c r="N47" s="19"/>
      <c r="O47" s="19"/>
      <c r="P47" s="19"/>
      <c r="Q47" s="108"/>
      <c r="R47" s="209">
        <f>SUM(M47:Q47)</f>
        <v>0</v>
      </c>
      <c r="S47" s="271"/>
      <c r="T47" s="302"/>
      <c r="U47" s="2"/>
      <c r="V47" s="49"/>
      <c r="W47" s="48"/>
      <c r="X47" s="48"/>
      <c r="Y47" s="2"/>
      <c r="Z47" s="2"/>
      <c r="AA47" s="2"/>
      <c r="AB47" s="2"/>
    </row>
    <row r="48" spans="1:38" ht="33.75" customHeight="1" x14ac:dyDescent="0.25">
      <c r="A48" s="171" t="s">
        <v>22</v>
      </c>
      <c r="B48" s="142"/>
      <c r="C48" s="486"/>
      <c r="D48" s="486"/>
      <c r="E48" s="486"/>
      <c r="F48" s="537"/>
      <c r="G48" s="509">
        <f t="shared" si="16"/>
        <v>0</v>
      </c>
      <c r="H48" s="988"/>
      <c r="I48" s="989"/>
      <c r="J48" s="989"/>
      <c r="K48" s="989"/>
      <c r="L48" s="171" t="s">
        <v>22</v>
      </c>
      <c r="M48" s="19"/>
      <c r="N48" s="19"/>
      <c r="O48" s="19"/>
      <c r="P48" s="19"/>
      <c r="Q48" s="108"/>
      <c r="R48" s="209">
        <f>SUM(M48:Q48)</f>
        <v>0</v>
      </c>
      <c r="S48" s="271"/>
      <c r="T48" s="302"/>
      <c r="U48" s="2"/>
      <c r="V48" s="49"/>
      <c r="W48" s="48"/>
      <c r="X48" s="48"/>
      <c r="Y48" s="2"/>
      <c r="Z48" s="2"/>
      <c r="AA48" s="2"/>
      <c r="AB48" s="2"/>
    </row>
    <row r="49" spans="1:49" ht="33.75" customHeight="1" thickBot="1" x14ac:dyDescent="0.3">
      <c r="A49" s="285" t="s">
        <v>32</v>
      </c>
      <c r="B49" s="142"/>
      <c r="C49" s="486"/>
      <c r="D49" s="486"/>
      <c r="E49" s="486"/>
      <c r="F49" s="537"/>
      <c r="G49" s="526">
        <f t="shared" si="16"/>
        <v>0</v>
      </c>
      <c r="H49" s="988"/>
      <c r="I49" s="989"/>
      <c r="J49" s="989"/>
      <c r="K49" s="989"/>
      <c r="L49" s="285" t="s">
        <v>23</v>
      </c>
      <c r="M49" s="19"/>
      <c r="N49" s="19"/>
      <c r="O49" s="19"/>
      <c r="P49" s="19"/>
      <c r="Q49" s="108"/>
      <c r="R49" s="376">
        <f t="shared" si="17"/>
        <v>0</v>
      </c>
      <c r="S49" s="271"/>
      <c r="T49" s="302"/>
      <c r="U49" s="2"/>
      <c r="V49" s="49"/>
      <c r="W49" s="48"/>
      <c r="X49" s="48"/>
      <c r="Y49" s="48"/>
      <c r="Z49" s="48"/>
      <c r="AA49" s="2"/>
      <c r="AB49" s="2"/>
      <c r="AC49" s="2"/>
      <c r="AD49" s="2"/>
    </row>
    <row r="50" spans="1:49" ht="33.75" customHeight="1" x14ac:dyDescent="0.25">
      <c r="A50" s="290" t="s">
        <v>9</v>
      </c>
      <c r="B50" s="131">
        <f>SUM(B43:B49)</f>
        <v>297.10000000000002</v>
      </c>
      <c r="C50" s="128">
        <f t="shared" ref="C50:F50" si="18">SUM(C43:C49)</f>
        <v>294.10000000000002</v>
      </c>
      <c r="D50" s="128">
        <f t="shared" si="18"/>
        <v>83.4</v>
      </c>
      <c r="E50" s="128">
        <f t="shared" si="18"/>
        <v>301.60000000000002</v>
      </c>
      <c r="F50" s="129">
        <f t="shared" si="18"/>
        <v>295</v>
      </c>
      <c r="G50" s="265">
        <f t="shared" si="16"/>
        <v>1271.2</v>
      </c>
      <c r="H50" s="988"/>
      <c r="I50" s="989"/>
      <c r="J50" s="989"/>
      <c r="K50" s="989"/>
      <c r="L50" s="290" t="s">
        <v>9</v>
      </c>
      <c r="M50" s="133">
        <f>SUM(M43:M49)</f>
        <v>26.400000000000002</v>
      </c>
      <c r="N50" s="134">
        <f>SUM(N43:N49)</f>
        <v>25.799999999999997</v>
      </c>
      <c r="O50" s="134">
        <f>SUM(O43:O49)</f>
        <v>5</v>
      </c>
      <c r="P50" s="134">
        <f t="shared" ref="P50:Q50" si="19">SUM(P43:P49)</f>
        <v>25.299999999999997</v>
      </c>
      <c r="Q50" s="260">
        <f t="shared" si="19"/>
        <v>24.599999999999998</v>
      </c>
      <c r="R50" s="240">
        <f>SUM(R43:R49)</f>
        <v>107.1</v>
      </c>
      <c r="S50" s="272"/>
      <c r="U50" s="49"/>
      <c r="V50" s="49"/>
      <c r="W50" s="2"/>
      <c r="X50" s="2"/>
      <c r="Y50" s="2"/>
      <c r="Z50" s="2"/>
      <c r="AA50" s="2"/>
      <c r="AB50" s="2"/>
      <c r="AC50" s="2"/>
      <c r="AD50" s="2"/>
    </row>
    <row r="51" spans="1:49" ht="33.75" customHeight="1" x14ac:dyDescent="0.25">
      <c r="A51" s="192" t="s">
        <v>11</v>
      </c>
      <c r="B51" s="23">
        <v>154.97999999999999</v>
      </c>
      <c r="C51" s="24">
        <v>150.9</v>
      </c>
      <c r="D51" s="24">
        <v>154.63999999999999</v>
      </c>
      <c r="E51" s="24">
        <v>154.38999999999999</v>
      </c>
      <c r="F51" s="25">
        <v>154.30000000000001</v>
      </c>
      <c r="G51" s="137">
        <f>+((G50/G52)/7)*1000</f>
        <v>65.441441441441441</v>
      </c>
      <c r="H51" s="988"/>
      <c r="I51" s="989"/>
      <c r="J51" s="989"/>
      <c r="K51" s="989"/>
      <c r="L51" s="273" t="s">
        <v>11</v>
      </c>
      <c r="M51" s="23">
        <v>155</v>
      </c>
      <c r="N51" s="24">
        <v>153.5</v>
      </c>
      <c r="O51" s="24">
        <v>151</v>
      </c>
      <c r="P51" s="24">
        <v>153</v>
      </c>
      <c r="Q51" s="228">
        <v>151.5</v>
      </c>
      <c r="R51" s="232">
        <f>+((R50/R52)/7)*1000</f>
        <v>65.665236051502134</v>
      </c>
      <c r="S51" s="2"/>
      <c r="U51" s="50"/>
      <c r="V51" s="50"/>
    </row>
    <row r="52" spans="1:49" ht="33.75" customHeight="1" x14ac:dyDescent="0.25">
      <c r="A52" s="193" t="s">
        <v>12</v>
      </c>
      <c r="B52" s="26">
        <v>648</v>
      </c>
      <c r="C52" s="27">
        <v>648</v>
      </c>
      <c r="D52" s="27">
        <v>182</v>
      </c>
      <c r="E52" s="27">
        <v>650</v>
      </c>
      <c r="F52" s="28">
        <v>647</v>
      </c>
      <c r="G52" s="395">
        <f>SUM(B52:F52)</f>
        <v>2775</v>
      </c>
      <c r="H52" s="988"/>
      <c r="I52" s="989"/>
      <c r="J52" s="989"/>
      <c r="K52" s="989"/>
      <c r="L52" s="193" t="s">
        <v>12</v>
      </c>
      <c r="M52" s="257">
        <v>57</v>
      </c>
      <c r="N52" s="275">
        <v>56</v>
      </c>
      <c r="O52" s="275">
        <v>11</v>
      </c>
      <c r="P52" s="275">
        <v>55</v>
      </c>
      <c r="Q52" s="527">
        <v>54</v>
      </c>
      <c r="R52" s="233">
        <f>SUM(M52:Q52)</f>
        <v>233</v>
      </c>
      <c r="S52" s="2"/>
      <c r="U52" s="52"/>
      <c r="V52" s="52"/>
    </row>
    <row r="53" spans="1:49" ht="33.75" customHeight="1" x14ac:dyDescent="0.25">
      <c r="A53" s="194" t="s">
        <v>13</v>
      </c>
      <c r="B53" s="30">
        <f>((((B51*7)*B52)/1000))/7</f>
        <v>100.42703999999999</v>
      </c>
      <c r="C53" s="31">
        <f t="shared" ref="C53:F53" si="20">((((C51*7)*C52)/1000))/7</f>
        <v>97.783199999999994</v>
      </c>
      <c r="D53" s="31">
        <f t="shared" si="20"/>
        <v>28.144480000000005</v>
      </c>
      <c r="E53" s="31">
        <f t="shared" si="20"/>
        <v>100.35350000000001</v>
      </c>
      <c r="F53" s="32">
        <f t="shared" si="20"/>
        <v>99.832100000000011</v>
      </c>
      <c r="G53" s="139">
        <f>((G50*1000)/G52)/7</f>
        <v>65.441441441441441</v>
      </c>
      <c r="H53" s="988"/>
      <c r="I53" s="989"/>
      <c r="J53" s="989"/>
      <c r="K53" s="989"/>
      <c r="L53" s="194" t="s">
        <v>13</v>
      </c>
      <c r="M53" s="30">
        <f>((((M51*7)*M52)/1000)-(M43+M44))/5</f>
        <v>8.8490000000000002</v>
      </c>
      <c r="N53" s="31">
        <f>((((N51*7)*N52)/1000)-(N43+N44))/5</f>
        <v>8.5943999999999985</v>
      </c>
      <c r="O53" s="31">
        <f>((((O51*7)*O52)/1000)-(O43+O44))/5</f>
        <v>1.6654000000000004</v>
      </c>
      <c r="P53" s="31">
        <f>((((P51*7)*P52)/1000)-(P43+P44))/5</f>
        <v>8.4009999999999998</v>
      </c>
      <c r="Q53" s="163">
        <f t="shared" ref="Q53" si="21">((((Q51*7)*Q52)/1000)-(Q43+Q44))/5</f>
        <v>8.1734000000000009</v>
      </c>
      <c r="R53" s="234">
        <f>((R50*1000)/R52)/7</f>
        <v>65.665236051502148</v>
      </c>
      <c r="S53" s="43"/>
      <c r="U53" s="52"/>
      <c r="V53" s="52"/>
    </row>
    <row r="54" spans="1:49" ht="33.75" customHeight="1" x14ac:dyDescent="0.25">
      <c r="A54" s="185" t="s">
        <v>14</v>
      </c>
      <c r="B54" s="279">
        <f>((B52*B51)*7)/1000</f>
        <v>702.98927999999989</v>
      </c>
      <c r="C54" s="280">
        <f>((C52*C51)*7)/1000</f>
        <v>684.48239999999998</v>
      </c>
      <c r="D54" s="280">
        <f>((D52*D51)*7)/1000</f>
        <v>197.01136</v>
      </c>
      <c r="E54" s="280">
        <f>((E52*E51)*7)/1000</f>
        <v>702.47449999999992</v>
      </c>
      <c r="F54" s="282">
        <f>((F52*F51)*7)/1000</f>
        <v>698.82470000000012</v>
      </c>
      <c r="G54" s="112"/>
      <c r="H54" s="988"/>
      <c r="I54" s="989"/>
      <c r="J54" s="989"/>
      <c r="K54" s="989"/>
      <c r="L54" s="185" t="s">
        <v>14</v>
      </c>
      <c r="M54" s="279">
        <f>((M52*M51)*7)/1000</f>
        <v>61.844999999999999</v>
      </c>
      <c r="N54" s="280">
        <f>((N52*N51)*7)/1000</f>
        <v>60.171999999999997</v>
      </c>
      <c r="O54" s="280">
        <f>((O52*O51)*7)/1000</f>
        <v>11.627000000000001</v>
      </c>
      <c r="P54" s="280">
        <f t="shared" ref="P54:Q54" si="22">((P52*P51)*7)/1000</f>
        <v>58.905000000000001</v>
      </c>
      <c r="Q54" s="281">
        <f t="shared" si="22"/>
        <v>57.267000000000003</v>
      </c>
      <c r="R54" s="213"/>
      <c r="S54" s="41"/>
    </row>
    <row r="55" spans="1:49" ht="33.75" customHeight="1" thickBot="1" x14ac:dyDescent="0.3">
      <c r="A55" s="195" t="s">
        <v>15</v>
      </c>
      <c r="B55" s="37">
        <f t="shared" ref="B55:E55" si="23">+(B50/B52)/7*1000</f>
        <v>65.498236331569672</v>
      </c>
      <c r="C55" s="38">
        <f t="shared" si="23"/>
        <v>64.836860670194014</v>
      </c>
      <c r="D55" s="38">
        <f t="shared" si="23"/>
        <v>65.46310832025118</v>
      </c>
      <c r="E55" s="38">
        <f t="shared" si="23"/>
        <v>66.285714285714292</v>
      </c>
      <c r="F55" s="39">
        <f>+(F50/F52)/7*1000</f>
        <v>65.135791565466988</v>
      </c>
      <c r="G55" s="140"/>
      <c r="H55" s="988"/>
      <c r="I55" s="989"/>
      <c r="J55" s="989"/>
      <c r="K55" s="989"/>
      <c r="L55" s="195" t="s">
        <v>15</v>
      </c>
      <c r="M55" s="37">
        <f>+(M50/M52)/7*1000</f>
        <v>66.165413533834595</v>
      </c>
      <c r="N55" s="38">
        <f>+(N50/N52)/7*1000</f>
        <v>65.816326530612244</v>
      </c>
      <c r="O55" s="38">
        <f>+(O50/O52)/7*1000</f>
        <v>64.935064935064929</v>
      </c>
      <c r="P55" s="38">
        <f t="shared" ref="P55:Q55" si="24">+(P50/P52)/7*1000</f>
        <v>65.714285714285708</v>
      </c>
      <c r="Q55" s="207">
        <f t="shared" si="24"/>
        <v>65.079365079365076</v>
      </c>
      <c r="R55" s="262"/>
      <c r="S55" s="42"/>
      <c r="U55" s="42"/>
      <c r="V55" s="42"/>
    </row>
    <row r="56" spans="1:49" ht="33.75" customHeight="1" x14ac:dyDescent="0.25">
      <c r="A56" s="41"/>
      <c r="B56" s="43">
        <f>B54-B50</f>
        <v>405.88927999999987</v>
      </c>
      <c r="C56" s="43">
        <f t="shared" ref="C56:F57" si="25">C54-C50</f>
        <v>390.38239999999996</v>
      </c>
      <c r="D56" s="43">
        <f t="shared" si="25"/>
        <v>113.61135999999999</v>
      </c>
      <c r="E56" s="43">
        <f>E54-E50</f>
        <v>400.8744999999999</v>
      </c>
      <c r="F56" s="43">
        <f t="shared" si="25"/>
        <v>403.82470000000012</v>
      </c>
      <c r="G56" s="41"/>
      <c r="H56" s="41"/>
      <c r="I56" s="41"/>
      <c r="J56" s="41"/>
      <c r="K56" s="41"/>
      <c r="L56" s="42"/>
      <c r="M56" s="42">
        <f>M54-M50</f>
        <v>35.444999999999993</v>
      </c>
      <c r="N56" s="42">
        <f t="shared" ref="N56:Q57" si="26">N54-N50</f>
        <v>34.372</v>
      </c>
      <c r="O56" s="42">
        <f t="shared" si="26"/>
        <v>6.6270000000000007</v>
      </c>
      <c r="P56" s="42">
        <f t="shared" si="26"/>
        <v>33.605000000000004</v>
      </c>
      <c r="Q56" s="42">
        <f t="shared" si="26"/>
        <v>32.667000000000002</v>
      </c>
      <c r="T56" s="42"/>
      <c r="U56" s="42"/>
      <c r="V56" s="2"/>
      <c r="W56" s="2"/>
      <c r="X56" s="2"/>
      <c r="Y56" s="2"/>
      <c r="Z56" s="2"/>
    </row>
    <row r="57" spans="1:49" ht="33.75" customHeight="1" x14ac:dyDescent="0.25">
      <c r="A57" s="41"/>
      <c r="B57" s="42">
        <f>B55-B51</f>
        <v>-89.481763668430318</v>
      </c>
      <c r="C57" s="42">
        <f>C55-C51</f>
        <v>-86.063139329805992</v>
      </c>
      <c r="D57" s="42">
        <f t="shared" si="25"/>
        <v>-89.176891679748806</v>
      </c>
      <c r="E57" s="42">
        <f>E55-E51</f>
        <v>-88.104285714285695</v>
      </c>
      <c r="F57" s="42">
        <f>F55-F51</f>
        <v>-89.164208434533023</v>
      </c>
      <c r="G57" s="41"/>
      <c r="H57" s="41"/>
      <c r="I57" s="41"/>
      <c r="J57" s="41"/>
      <c r="K57" s="42"/>
      <c r="L57" s="42"/>
      <c r="M57" s="42">
        <f>M55-M51</f>
        <v>-88.834586466165405</v>
      </c>
      <c r="N57" s="42">
        <f t="shared" si="26"/>
        <v>-87.683673469387756</v>
      </c>
      <c r="O57" s="42">
        <f>O55-O51</f>
        <v>-86.064935064935071</v>
      </c>
      <c r="P57" s="42">
        <f t="shared" si="26"/>
        <v>-87.285714285714292</v>
      </c>
      <c r="Q57" s="42">
        <f t="shared" si="26"/>
        <v>-86.420634920634924</v>
      </c>
      <c r="T57" s="43"/>
      <c r="U57" s="43"/>
      <c r="V57" s="2"/>
      <c r="W57" s="2"/>
      <c r="X57" s="2"/>
      <c r="Y57" s="2"/>
      <c r="AC57" s="3"/>
    </row>
    <row r="58" spans="1:49" ht="33.75" customHeight="1" x14ac:dyDescent="0.25">
      <c r="A58" s="41"/>
      <c r="B58" s="287"/>
      <c r="C58" s="287"/>
      <c r="D58" s="287"/>
      <c r="E58" s="287"/>
      <c r="F58" s="287"/>
      <c r="G58" s="264"/>
      <c r="H58" s="41"/>
      <c r="I58" s="41"/>
      <c r="J58" s="41"/>
      <c r="K58" s="41"/>
      <c r="L58" s="41"/>
      <c r="M58" s="41"/>
      <c r="N58" s="41"/>
      <c r="O58" s="42"/>
      <c r="P58" s="42"/>
      <c r="Q58" s="42"/>
      <c r="R58" s="42"/>
      <c r="S58" s="42"/>
      <c r="T58" s="42"/>
      <c r="U58" s="42"/>
      <c r="V58" s="42"/>
      <c r="W58" s="42"/>
      <c r="X58" s="43"/>
      <c r="Y58" s="43"/>
      <c r="Z58" s="43"/>
      <c r="AA58" s="2"/>
      <c r="AB58" s="2"/>
      <c r="AC58" s="2"/>
      <c r="AD58" s="2"/>
      <c r="AH58" s="3"/>
    </row>
    <row r="59" spans="1:49" ht="33.75" customHeight="1" thickBot="1" x14ac:dyDescent="0.3">
      <c r="A59" s="53"/>
      <c r="B59" s="284"/>
      <c r="C59" s="284"/>
      <c r="D59" s="284"/>
      <c r="E59" s="284"/>
      <c r="F59" s="284"/>
      <c r="G59" s="284"/>
      <c r="H59" s="54"/>
      <c r="I59" s="54"/>
      <c r="J59" s="54"/>
      <c r="K59" s="54"/>
      <c r="L59" s="54"/>
      <c r="M59" s="54"/>
      <c r="N59" s="54"/>
      <c r="O59" s="958"/>
      <c r="P59" s="958"/>
      <c r="Q59" s="283"/>
      <c r="R59" s="283"/>
      <c r="S59" s="283"/>
      <c r="T59" s="54"/>
      <c r="U59" s="55"/>
      <c r="Z59" s="43"/>
      <c r="AA59" s="43"/>
      <c r="AB59" s="43"/>
      <c r="AC59" s="2"/>
      <c r="AD59" s="2"/>
      <c r="AE59" s="2"/>
      <c r="AF59" s="2"/>
      <c r="AH59" s="2"/>
      <c r="AI59" s="2"/>
      <c r="AJ59" s="2"/>
    </row>
    <row r="60" spans="1:49" ht="33.75" customHeight="1" x14ac:dyDescent="0.25">
      <c r="A60" s="359" t="s">
        <v>19</v>
      </c>
      <c r="B60" s="986" t="s">
        <v>8</v>
      </c>
      <c r="C60" s="956"/>
      <c r="D60" s="956"/>
      <c r="E60" s="956"/>
      <c r="F60" s="956"/>
      <c r="G60" s="986" t="s">
        <v>30</v>
      </c>
      <c r="H60" s="956"/>
      <c r="I60" s="956"/>
      <c r="J60" s="956"/>
      <c r="K60" s="987"/>
      <c r="L60" s="986" t="s">
        <v>29</v>
      </c>
      <c r="M60" s="956"/>
      <c r="N60" s="956"/>
      <c r="O60" s="956"/>
      <c r="P60" s="987"/>
      <c r="Q60" s="994" t="s">
        <v>31</v>
      </c>
      <c r="R60" s="995"/>
      <c r="S60" s="995"/>
      <c r="T60" s="995"/>
      <c r="U60" s="996"/>
      <c r="V60" s="992" t="s">
        <v>9</v>
      </c>
      <c r="AE60" s="43"/>
      <c r="AF60" s="43"/>
      <c r="AG60" s="43"/>
      <c r="AH60" s="2"/>
      <c r="AI60" s="2"/>
      <c r="AJ60" s="2"/>
      <c r="AK60" s="2"/>
      <c r="AM60" s="2"/>
      <c r="AN60" s="2"/>
      <c r="AO60" s="2"/>
    </row>
    <row r="61" spans="1:49" ht="33.75" customHeight="1" thickBot="1" x14ac:dyDescent="0.3">
      <c r="A61" s="170" t="s">
        <v>34</v>
      </c>
      <c r="B61" s="360"/>
      <c r="C61" s="361"/>
      <c r="D61" s="361"/>
      <c r="E61" s="361"/>
      <c r="F61" s="361"/>
      <c r="G61" s="360"/>
      <c r="H61" s="361"/>
      <c r="I61" s="361"/>
      <c r="J61" s="361"/>
      <c r="K61" s="361"/>
      <c r="L61" s="360"/>
      <c r="M61" s="361"/>
      <c r="N61" s="361"/>
      <c r="O61" s="361"/>
      <c r="P61" s="396"/>
      <c r="Q61" s="360"/>
      <c r="R61" s="361"/>
      <c r="S61" s="361"/>
      <c r="T61" s="361"/>
      <c r="U61" s="397"/>
      <c r="V61" s="993"/>
      <c r="AC61" s="45"/>
      <c r="AD61" s="45"/>
      <c r="AE61" s="45"/>
      <c r="AF61" s="45"/>
      <c r="AG61" s="57"/>
      <c r="AH61" s="57"/>
      <c r="AI61" s="57"/>
      <c r="AJ61" s="57"/>
      <c r="AK61" s="45"/>
      <c r="AL61" s="45"/>
      <c r="AM61" s="58"/>
      <c r="AN61" s="58"/>
      <c r="AO61" s="58"/>
      <c r="AP61" s="2"/>
      <c r="AQ61" s="2"/>
      <c r="AR61" s="2"/>
      <c r="AS61" s="2"/>
      <c r="AU61" s="2"/>
      <c r="AV61" s="2"/>
      <c r="AW61" s="2"/>
    </row>
    <row r="62" spans="1:49" ht="33.75" customHeight="1" thickBot="1" x14ac:dyDescent="0.3">
      <c r="A62" s="170" t="s">
        <v>10</v>
      </c>
      <c r="B62" s="188">
        <v>1</v>
      </c>
      <c r="C62" s="168">
        <v>2</v>
      </c>
      <c r="D62" s="168">
        <v>3</v>
      </c>
      <c r="E62" s="168">
        <v>4</v>
      </c>
      <c r="F62" s="413">
        <v>5</v>
      </c>
      <c r="G62" s="188">
        <v>1</v>
      </c>
      <c r="H62" s="168">
        <v>2</v>
      </c>
      <c r="I62" s="168">
        <v>3</v>
      </c>
      <c r="J62" s="168">
        <v>4</v>
      </c>
      <c r="K62" s="168">
        <v>5</v>
      </c>
      <c r="L62" s="188">
        <v>1</v>
      </c>
      <c r="M62" s="168">
        <v>2</v>
      </c>
      <c r="N62" s="168">
        <v>3</v>
      </c>
      <c r="O62" s="168">
        <v>4</v>
      </c>
      <c r="P62" s="413">
        <v>5</v>
      </c>
      <c r="Q62" s="188">
        <v>1</v>
      </c>
      <c r="R62" s="168">
        <v>2</v>
      </c>
      <c r="S62" s="168">
        <v>3</v>
      </c>
      <c r="T62" s="168">
        <v>4</v>
      </c>
      <c r="U62" s="414">
        <v>5</v>
      </c>
      <c r="V62" s="126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57"/>
      <c r="AH62" s="57"/>
      <c r="AI62" s="57"/>
      <c r="AJ62" s="57"/>
      <c r="AK62" s="45"/>
      <c r="AL62" s="45"/>
      <c r="AM62" s="58"/>
      <c r="AN62" s="58"/>
      <c r="AO62" s="58"/>
      <c r="AP62" s="2"/>
      <c r="AQ62" s="2"/>
      <c r="AR62" s="2"/>
      <c r="AS62" s="2"/>
      <c r="AT62" s="2"/>
      <c r="AU62" s="2"/>
      <c r="AV62" s="2"/>
      <c r="AW62" s="2"/>
    </row>
    <row r="63" spans="1:49" ht="33.75" customHeight="1" x14ac:dyDescent="0.25">
      <c r="A63" s="171" t="s">
        <v>53</v>
      </c>
      <c r="B63" s="446">
        <v>8.9</v>
      </c>
      <c r="C63" s="19">
        <v>9</v>
      </c>
      <c r="D63" s="19">
        <v>2.2999999999999998</v>
      </c>
      <c r="E63" s="19">
        <v>9</v>
      </c>
      <c r="F63" s="61">
        <v>8.8000000000000007</v>
      </c>
      <c r="G63" s="446">
        <v>8.8000000000000007</v>
      </c>
      <c r="H63" s="19">
        <v>9</v>
      </c>
      <c r="I63" s="19">
        <v>2.4</v>
      </c>
      <c r="J63" s="19">
        <v>9</v>
      </c>
      <c r="K63" s="61">
        <v>9</v>
      </c>
      <c r="L63" s="446">
        <v>7.2</v>
      </c>
      <c r="M63" s="19">
        <v>7.4</v>
      </c>
      <c r="N63" s="19">
        <v>2.4</v>
      </c>
      <c r="O63" s="19">
        <v>7.3</v>
      </c>
      <c r="P63" s="20">
        <v>7.4</v>
      </c>
      <c r="Q63" s="18">
        <v>7.6</v>
      </c>
      <c r="R63" s="19">
        <v>7.8</v>
      </c>
      <c r="S63" s="19">
        <v>2.5</v>
      </c>
      <c r="T63" s="19">
        <v>7.7</v>
      </c>
      <c r="U63" s="20">
        <v>7.4</v>
      </c>
      <c r="V63" s="412">
        <f>SUM(B63:U63)</f>
        <v>140.9</v>
      </c>
      <c r="W63" s="42"/>
      <c r="X63" s="302"/>
      <c r="Y63" s="42"/>
      <c r="Z63" s="42"/>
      <c r="AA63" s="42"/>
      <c r="AB63" s="42"/>
      <c r="AC63" s="2"/>
      <c r="AD63" s="45"/>
      <c r="AE63" s="45"/>
      <c r="AF63" s="45"/>
      <c r="AG63" s="57"/>
      <c r="AH63" s="57"/>
      <c r="AI63" s="57"/>
      <c r="AJ63" s="57"/>
      <c r="AK63" s="45"/>
      <c r="AL63" s="45"/>
      <c r="AM63" s="58"/>
      <c r="AN63" s="58"/>
      <c r="AO63" s="58"/>
      <c r="AP63" s="2"/>
      <c r="AQ63" s="2"/>
      <c r="AR63" s="2"/>
      <c r="AS63" s="2"/>
      <c r="AT63" s="2"/>
      <c r="AU63" s="2"/>
      <c r="AV63" s="2"/>
      <c r="AW63" s="2"/>
    </row>
    <row r="64" spans="1:49" ht="33.75" customHeight="1" x14ac:dyDescent="0.25">
      <c r="A64" s="171" t="s">
        <v>24</v>
      </c>
      <c r="B64" s="446">
        <v>9</v>
      </c>
      <c r="C64" s="19">
        <v>9</v>
      </c>
      <c r="D64" s="19">
        <v>2.4</v>
      </c>
      <c r="E64" s="19">
        <v>9</v>
      </c>
      <c r="F64" s="61">
        <v>8.8000000000000007</v>
      </c>
      <c r="G64" s="446">
        <v>8.8000000000000007</v>
      </c>
      <c r="H64" s="19">
        <v>9</v>
      </c>
      <c r="I64" s="19">
        <v>2.4</v>
      </c>
      <c r="J64" s="19">
        <v>9</v>
      </c>
      <c r="K64" s="61">
        <v>9</v>
      </c>
      <c r="L64" s="446">
        <v>7.2</v>
      </c>
      <c r="M64" s="19">
        <v>7.4</v>
      </c>
      <c r="N64" s="19">
        <v>2.4</v>
      </c>
      <c r="O64" s="19">
        <v>7.3</v>
      </c>
      <c r="P64" s="20">
        <v>7.4</v>
      </c>
      <c r="Q64" s="18">
        <v>7.6</v>
      </c>
      <c r="R64" s="19">
        <v>7.8</v>
      </c>
      <c r="S64" s="19">
        <v>2.2999999999999998</v>
      </c>
      <c r="T64" s="19">
        <v>7.8</v>
      </c>
      <c r="U64" s="20">
        <v>7.4</v>
      </c>
      <c r="V64" s="412">
        <f>SUM(B64:U64)</f>
        <v>141.00000000000003</v>
      </c>
      <c r="W64" s="42"/>
      <c r="X64" s="302"/>
      <c r="Y64" s="42"/>
      <c r="Z64" s="42"/>
      <c r="AA64" s="42"/>
      <c r="AB64" s="42"/>
      <c r="AC64" s="2"/>
      <c r="AD64" s="45"/>
      <c r="AE64" s="45"/>
      <c r="AF64" s="45"/>
      <c r="AG64" s="57"/>
      <c r="AH64" s="57"/>
      <c r="AI64" s="57"/>
      <c r="AJ64" s="57"/>
      <c r="AK64" s="45"/>
      <c r="AL64" s="45"/>
      <c r="AM64" s="58"/>
      <c r="AN64" s="58"/>
      <c r="AO64" s="58"/>
      <c r="AP64" s="2"/>
      <c r="AQ64" s="2"/>
      <c r="AR64" s="2"/>
      <c r="AS64" s="2"/>
      <c r="AT64" s="2"/>
      <c r="AU64" s="2"/>
      <c r="AV64" s="2"/>
      <c r="AW64" s="2"/>
    </row>
    <row r="65" spans="1:49" ht="33.75" customHeight="1" x14ac:dyDescent="0.25">
      <c r="A65" s="171" t="s">
        <v>20</v>
      </c>
      <c r="B65" s="446">
        <v>8.9</v>
      </c>
      <c r="C65" s="19">
        <v>9</v>
      </c>
      <c r="D65" s="19">
        <v>2.4</v>
      </c>
      <c r="E65" s="19">
        <v>9</v>
      </c>
      <c r="F65" s="61">
        <v>8.9</v>
      </c>
      <c r="G65" s="446">
        <v>8.9</v>
      </c>
      <c r="H65" s="19">
        <v>8.8000000000000007</v>
      </c>
      <c r="I65" s="19">
        <v>2.2999999999999998</v>
      </c>
      <c r="J65" s="19">
        <v>8.8000000000000007</v>
      </c>
      <c r="K65" s="61">
        <v>8.9</v>
      </c>
      <c r="L65" s="446">
        <v>7.1</v>
      </c>
      <c r="M65" s="19">
        <v>7.5</v>
      </c>
      <c r="N65" s="19">
        <v>2.2999999999999998</v>
      </c>
      <c r="O65" s="19">
        <v>7.3</v>
      </c>
      <c r="P65" s="20">
        <v>7.5</v>
      </c>
      <c r="Q65" s="18">
        <v>7.6</v>
      </c>
      <c r="R65" s="19">
        <v>7.8</v>
      </c>
      <c r="S65" s="19">
        <v>2.4</v>
      </c>
      <c r="T65" s="19">
        <v>7.8</v>
      </c>
      <c r="U65" s="20">
        <v>7.5</v>
      </c>
      <c r="V65" s="412">
        <f>SUM(B65:U65)</f>
        <v>140.69999999999999</v>
      </c>
      <c r="W65" s="42"/>
      <c r="X65" s="302"/>
      <c r="Y65" s="42"/>
      <c r="Z65" s="42"/>
      <c r="AA65" s="42"/>
      <c r="AB65" s="42"/>
      <c r="AC65" s="2"/>
      <c r="AD65" s="45"/>
      <c r="AE65" s="45"/>
      <c r="AF65" s="45"/>
      <c r="AG65" s="57"/>
      <c r="AH65" s="57"/>
      <c r="AI65" s="57"/>
      <c r="AJ65" s="57"/>
      <c r="AK65" s="45"/>
      <c r="AL65" s="45"/>
      <c r="AM65" s="58"/>
      <c r="AN65" s="58"/>
      <c r="AO65" s="58"/>
      <c r="AP65" s="2"/>
      <c r="AQ65" s="2"/>
      <c r="AR65" s="2"/>
      <c r="AS65" s="2"/>
      <c r="AT65" s="2"/>
      <c r="AU65" s="2"/>
      <c r="AV65" s="2"/>
      <c r="AW65" s="2"/>
    </row>
    <row r="66" spans="1:49" ht="33.75" customHeight="1" x14ac:dyDescent="0.25">
      <c r="A66" s="171" t="s">
        <v>28</v>
      </c>
      <c r="B66" s="446"/>
      <c r="C66" s="19"/>
      <c r="D66" s="19"/>
      <c r="E66" s="19"/>
      <c r="F66" s="61"/>
      <c r="G66" s="446"/>
      <c r="H66" s="19"/>
      <c r="I66" s="19"/>
      <c r="J66" s="19"/>
      <c r="K66" s="61"/>
      <c r="L66" s="446"/>
      <c r="M66" s="19"/>
      <c r="N66" s="19"/>
      <c r="O66" s="19"/>
      <c r="P66" s="20"/>
      <c r="Q66" s="18"/>
      <c r="R66" s="19"/>
      <c r="S66" s="19"/>
      <c r="T66" s="19"/>
      <c r="U66" s="20"/>
      <c r="V66" s="412">
        <f t="shared" ref="V66:V70" si="27">SUM(B66:U66)</f>
        <v>0</v>
      </c>
      <c r="W66" s="42"/>
      <c r="X66" s="302"/>
      <c r="Y66" s="42"/>
      <c r="Z66" s="42"/>
      <c r="AA66" s="42"/>
      <c r="AB66" s="42"/>
      <c r="AC66" s="2"/>
      <c r="AD66" s="45"/>
      <c r="AE66" s="45"/>
      <c r="AF66" s="45"/>
      <c r="AG66" s="57"/>
      <c r="AH66" s="57"/>
      <c r="AI66" s="57"/>
      <c r="AJ66" s="57"/>
      <c r="AK66" s="45"/>
      <c r="AL66" s="45"/>
      <c r="AM66" s="58"/>
      <c r="AN66" s="58"/>
      <c r="AO66" s="58"/>
      <c r="AP66" s="3"/>
      <c r="AQ66" s="3"/>
      <c r="AR66" s="2"/>
      <c r="AS66" s="2"/>
      <c r="AT66" s="2"/>
      <c r="AU66" s="2"/>
      <c r="AV66" s="2"/>
      <c r="AW66" s="2"/>
    </row>
    <row r="67" spans="1:49" ht="33.75" customHeight="1" x14ac:dyDescent="0.25">
      <c r="A67" s="171" t="s">
        <v>21</v>
      </c>
      <c r="B67" s="446"/>
      <c r="C67" s="19"/>
      <c r="D67" s="19"/>
      <c r="E67" s="19"/>
      <c r="F67" s="61"/>
      <c r="G67" s="446"/>
      <c r="H67" s="19"/>
      <c r="I67" s="19"/>
      <c r="J67" s="19"/>
      <c r="K67" s="61"/>
      <c r="L67" s="446"/>
      <c r="M67" s="19"/>
      <c r="N67" s="19"/>
      <c r="O67" s="19"/>
      <c r="P67" s="20"/>
      <c r="Q67" s="18"/>
      <c r="R67" s="19"/>
      <c r="S67" s="19"/>
      <c r="T67" s="19"/>
      <c r="U67" s="20"/>
      <c r="V67" s="412">
        <f t="shared" si="27"/>
        <v>0</v>
      </c>
      <c r="W67" s="42"/>
      <c r="X67" s="302"/>
      <c r="Y67" s="42"/>
      <c r="Z67" s="42"/>
      <c r="AA67" s="42"/>
      <c r="AB67" s="42"/>
      <c r="AC67" s="2"/>
      <c r="AD67" s="45"/>
      <c r="AE67" s="45"/>
      <c r="AF67" s="45"/>
      <c r="AG67" s="57"/>
      <c r="AH67" s="57"/>
      <c r="AI67" s="57"/>
      <c r="AJ67" s="57"/>
      <c r="AK67" s="45"/>
      <c r="AL67" s="45"/>
      <c r="AM67" s="58"/>
      <c r="AN67" s="58"/>
      <c r="AO67" s="58"/>
      <c r="AP67" s="3"/>
      <c r="AQ67" s="3"/>
      <c r="AR67" s="2"/>
      <c r="AS67" s="2"/>
      <c r="AT67" s="2"/>
      <c r="AU67" s="2"/>
      <c r="AV67" s="2"/>
      <c r="AW67" s="2"/>
    </row>
    <row r="68" spans="1:49" ht="33.75" customHeight="1" x14ac:dyDescent="0.25">
      <c r="A68" s="171" t="s">
        <v>22</v>
      </c>
      <c r="B68" s="446"/>
      <c r="C68" s="19"/>
      <c r="D68" s="19"/>
      <c r="E68" s="19"/>
      <c r="F68" s="61"/>
      <c r="G68" s="446"/>
      <c r="H68" s="19"/>
      <c r="I68" s="19"/>
      <c r="J68" s="19"/>
      <c r="K68" s="61"/>
      <c r="L68" s="446"/>
      <c r="M68" s="19"/>
      <c r="N68" s="19"/>
      <c r="O68" s="19"/>
      <c r="P68" s="20"/>
      <c r="Q68" s="18"/>
      <c r="R68" s="19"/>
      <c r="S68" s="19"/>
      <c r="T68" s="19"/>
      <c r="U68" s="20"/>
      <c r="V68" s="412">
        <f t="shared" si="27"/>
        <v>0</v>
      </c>
      <c r="W68" s="42"/>
      <c r="X68" s="302"/>
      <c r="Y68" s="42"/>
      <c r="Z68" s="42"/>
      <c r="AA68" s="42"/>
      <c r="AB68" s="42"/>
      <c r="AC68" s="2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3"/>
      <c r="AQ68" s="3"/>
      <c r="AT68" s="2"/>
      <c r="AU68" s="2"/>
      <c r="AV68" s="2"/>
      <c r="AW68" s="2"/>
    </row>
    <row r="69" spans="1:49" ht="33.75" customHeight="1" thickBot="1" x14ac:dyDescent="0.3">
      <c r="A69" s="171" t="s">
        <v>23</v>
      </c>
      <c r="B69" s="446"/>
      <c r="C69" s="19"/>
      <c r="D69" s="19"/>
      <c r="E69" s="19"/>
      <c r="F69" s="61"/>
      <c r="G69" s="446"/>
      <c r="H69" s="19"/>
      <c r="I69" s="19"/>
      <c r="J69" s="19"/>
      <c r="K69" s="61"/>
      <c r="L69" s="446"/>
      <c r="M69" s="19"/>
      <c r="N69" s="19"/>
      <c r="O69" s="19"/>
      <c r="P69" s="20"/>
      <c r="Q69" s="18"/>
      <c r="R69" s="19"/>
      <c r="S69" s="19"/>
      <c r="T69" s="19"/>
      <c r="U69" s="20"/>
      <c r="V69" s="412">
        <f t="shared" si="27"/>
        <v>0</v>
      </c>
      <c r="W69" s="42"/>
      <c r="X69" s="302"/>
      <c r="Y69" s="42"/>
      <c r="Z69" s="42"/>
      <c r="AA69" s="42"/>
      <c r="AB69" s="42"/>
      <c r="AC69" s="2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3"/>
      <c r="AQ69" s="3"/>
      <c r="AT69" s="2"/>
      <c r="AU69" s="2"/>
      <c r="AV69" s="2"/>
      <c r="AW69" s="2"/>
    </row>
    <row r="70" spans="1:49" ht="33.75" customHeight="1" thickBot="1" x14ac:dyDescent="0.3">
      <c r="A70" s="170" t="s">
        <v>9</v>
      </c>
      <c r="B70" s="297">
        <f t="shared" ref="B70:U70" si="28">SUM(B63:B69)</f>
        <v>26.799999999999997</v>
      </c>
      <c r="C70" s="298">
        <f t="shared" si="28"/>
        <v>27</v>
      </c>
      <c r="D70" s="298">
        <f t="shared" si="28"/>
        <v>7.1</v>
      </c>
      <c r="E70" s="298">
        <f t="shared" si="28"/>
        <v>27</v>
      </c>
      <c r="F70" s="299">
        <f t="shared" si="28"/>
        <v>26.5</v>
      </c>
      <c r="G70" s="297">
        <f t="shared" si="28"/>
        <v>26.5</v>
      </c>
      <c r="H70" s="298">
        <f t="shared" si="28"/>
        <v>26.8</v>
      </c>
      <c r="I70" s="298">
        <f t="shared" si="28"/>
        <v>7.1</v>
      </c>
      <c r="J70" s="298">
        <f t="shared" si="28"/>
        <v>26.8</v>
      </c>
      <c r="K70" s="298">
        <f t="shared" si="28"/>
        <v>26.9</v>
      </c>
      <c r="L70" s="297">
        <f t="shared" si="28"/>
        <v>21.5</v>
      </c>
      <c r="M70" s="298">
        <f t="shared" si="28"/>
        <v>22.3</v>
      </c>
      <c r="N70" s="298">
        <f t="shared" si="28"/>
        <v>7.1</v>
      </c>
      <c r="O70" s="298">
        <f t="shared" si="28"/>
        <v>21.9</v>
      </c>
      <c r="P70" s="299">
        <f t="shared" si="28"/>
        <v>22.3</v>
      </c>
      <c r="Q70" s="297">
        <f t="shared" si="28"/>
        <v>22.799999999999997</v>
      </c>
      <c r="R70" s="298">
        <f t="shared" si="28"/>
        <v>23.4</v>
      </c>
      <c r="S70" s="298">
        <f t="shared" si="28"/>
        <v>7.1999999999999993</v>
      </c>
      <c r="T70" s="298">
        <f t="shared" si="28"/>
        <v>23.3</v>
      </c>
      <c r="U70" s="448">
        <f t="shared" si="28"/>
        <v>22.3</v>
      </c>
      <c r="V70" s="449">
        <f t="shared" si="27"/>
        <v>422.6</v>
      </c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3"/>
      <c r="AQ70" s="3"/>
      <c r="AR70" s="3"/>
      <c r="AS70" s="3"/>
      <c r="AT70" s="2"/>
      <c r="AU70" s="2"/>
      <c r="AV70" s="2"/>
      <c r="AW70" s="2"/>
    </row>
    <row r="71" spans="1:49" ht="33.75" customHeight="1" x14ac:dyDescent="0.25">
      <c r="A71" s="192" t="s">
        <v>11</v>
      </c>
      <c r="B71" s="357">
        <v>157</v>
      </c>
      <c r="C71" s="358">
        <v>158.5</v>
      </c>
      <c r="D71" s="358">
        <v>157</v>
      </c>
      <c r="E71" s="358">
        <v>157.5</v>
      </c>
      <c r="F71" s="358">
        <v>158.5</v>
      </c>
      <c r="G71" s="357">
        <v>155.5</v>
      </c>
      <c r="H71" s="358">
        <v>158.5</v>
      </c>
      <c r="I71" s="358">
        <v>157.5</v>
      </c>
      <c r="J71" s="358">
        <v>158.5</v>
      </c>
      <c r="K71" s="358">
        <v>157</v>
      </c>
      <c r="L71" s="357">
        <v>154.5</v>
      </c>
      <c r="M71" s="358">
        <v>158.5</v>
      </c>
      <c r="N71" s="358">
        <v>154.5</v>
      </c>
      <c r="O71" s="358">
        <v>158.5</v>
      </c>
      <c r="P71" s="358">
        <v>158.5</v>
      </c>
      <c r="Q71" s="357">
        <v>158</v>
      </c>
      <c r="R71" s="358">
        <v>158.5</v>
      </c>
      <c r="S71" s="358">
        <v>158.5</v>
      </c>
      <c r="T71" s="358">
        <v>158.5</v>
      </c>
      <c r="U71" s="358">
        <v>158.5</v>
      </c>
      <c r="V71" s="296">
        <f>+((V70/V72)/7)*1000</f>
        <v>67.756934423601109</v>
      </c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3"/>
      <c r="AQ71" s="3"/>
      <c r="AR71" s="3"/>
      <c r="AS71" s="3"/>
      <c r="AT71" s="2"/>
      <c r="AU71" s="2"/>
      <c r="AV71" s="2"/>
      <c r="AW71" s="2"/>
    </row>
    <row r="72" spans="1:49" ht="33.75" customHeight="1" x14ac:dyDescent="0.25">
      <c r="A72" s="193" t="s">
        <v>12</v>
      </c>
      <c r="B72" s="257">
        <v>56</v>
      </c>
      <c r="C72" s="275">
        <v>57</v>
      </c>
      <c r="D72" s="275">
        <v>15</v>
      </c>
      <c r="E72" s="275">
        <v>57</v>
      </c>
      <c r="F72" s="275">
        <v>57</v>
      </c>
      <c r="G72" s="257">
        <v>56</v>
      </c>
      <c r="H72" s="275">
        <v>56</v>
      </c>
      <c r="I72" s="275">
        <v>15</v>
      </c>
      <c r="J72" s="275">
        <v>56</v>
      </c>
      <c r="K72" s="275">
        <v>57</v>
      </c>
      <c r="L72" s="257">
        <v>46</v>
      </c>
      <c r="M72" s="275">
        <v>47</v>
      </c>
      <c r="N72" s="275">
        <v>15</v>
      </c>
      <c r="O72" s="275">
        <v>46</v>
      </c>
      <c r="P72" s="275">
        <v>47</v>
      </c>
      <c r="Q72" s="257">
        <v>48</v>
      </c>
      <c r="R72" s="275">
        <v>49</v>
      </c>
      <c r="S72" s="275">
        <v>15</v>
      </c>
      <c r="T72" s="275">
        <v>49</v>
      </c>
      <c r="U72" s="275">
        <v>47</v>
      </c>
      <c r="V72" s="254">
        <f>SUM(B72:U72)</f>
        <v>891</v>
      </c>
      <c r="AC72" s="59"/>
      <c r="AG72" s="3"/>
      <c r="AH72" s="3"/>
      <c r="AI72" s="3"/>
      <c r="AJ72" s="3"/>
      <c r="AK72" s="3"/>
      <c r="AL72" s="3"/>
    </row>
    <row r="73" spans="1:49" ht="33.75" customHeight="1" x14ac:dyDescent="0.25">
      <c r="A73" s="194" t="s">
        <v>13</v>
      </c>
      <c r="B73" s="30">
        <f>((((B71*7)*B72)/1000)-(B63+B64))/5</f>
        <v>8.7287999999999997</v>
      </c>
      <c r="C73" s="31">
        <f t="shared" ref="C73:F73" si="29">((((C71*7)*C72)/1000)-(C63+C64))/5</f>
        <v>9.0483000000000011</v>
      </c>
      <c r="D73" s="31">
        <f t="shared" si="29"/>
        <v>2.3570000000000002</v>
      </c>
      <c r="E73" s="31">
        <f t="shared" si="29"/>
        <v>8.9685000000000006</v>
      </c>
      <c r="F73" s="31">
        <f t="shared" si="29"/>
        <v>9.1282999999999994</v>
      </c>
      <c r="G73" s="30">
        <f>((((G71*7)*G72)/1000)-(G63+G64))/5</f>
        <v>8.6712000000000007</v>
      </c>
      <c r="H73" s="31">
        <f t="shared" ref="H73:K73" si="30">((((H71*7)*H72)/1000)-(H63+H64))/5</f>
        <v>8.8263999999999996</v>
      </c>
      <c r="I73" s="31">
        <f t="shared" si="30"/>
        <v>2.3475000000000001</v>
      </c>
      <c r="J73" s="31">
        <f t="shared" si="30"/>
        <v>8.8263999999999996</v>
      </c>
      <c r="K73" s="31">
        <f t="shared" si="30"/>
        <v>8.9285999999999994</v>
      </c>
      <c r="L73" s="30">
        <f>((((L71*7)*L72)/1000)-(L63+L64))/5</f>
        <v>7.0698000000000008</v>
      </c>
      <c r="M73" s="31">
        <f t="shared" ref="M73:P73" si="31">((((M71*7)*M72)/1000)-(M63+M64))/5</f>
        <v>7.4693000000000014</v>
      </c>
      <c r="N73" s="31">
        <f t="shared" si="31"/>
        <v>2.2845</v>
      </c>
      <c r="O73" s="31">
        <f t="shared" si="31"/>
        <v>7.2873999999999999</v>
      </c>
      <c r="P73" s="31">
        <f t="shared" si="31"/>
        <v>7.4693000000000014</v>
      </c>
      <c r="Q73" s="30">
        <f>((((Q71*7)*Q72)/1000)-(Q63+Q64))/5</f>
        <v>7.5776000000000012</v>
      </c>
      <c r="R73" s="31">
        <f t="shared" ref="R73:U73" si="32">((((R71*7)*R72)/1000)-(R63+R64))/5</f>
        <v>7.753099999999999</v>
      </c>
      <c r="S73" s="31">
        <f t="shared" si="32"/>
        <v>2.3684999999999996</v>
      </c>
      <c r="T73" s="31">
        <f t="shared" si="32"/>
        <v>7.7730999999999995</v>
      </c>
      <c r="U73" s="31">
        <f t="shared" si="32"/>
        <v>7.4693000000000014</v>
      </c>
      <c r="V73" s="139">
        <f>((V70*100)/V72)/7</f>
        <v>6.775693442360109</v>
      </c>
      <c r="AG73" s="3"/>
      <c r="AH73" s="3"/>
      <c r="AI73" s="3"/>
      <c r="AJ73" s="3"/>
      <c r="AK73" s="3"/>
      <c r="AL73" s="3"/>
    </row>
    <row r="74" spans="1:49" ht="33.75" customHeight="1" x14ac:dyDescent="0.25">
      <c r="A74" s="185" t="s">
        <v>14</v>
      </c>
      <c r="B74" s="279">
        <f t="shared" ref="B74:U74" si="33">((B72*B71)*7)/1000</f>
        <v>61.543999999999997</v>
      </c>
      <c r="C74" s="280">
        <f t="shared" si="33"/>
        <v>63.241500000000002</v>
      </c>
      <c r="D74" s="280">
        <f t="shared" si="33"/>
        <v>16.484999999999999</v>
      </c>
      <c r="E74" s="280">
        <f t="shared" si="33"/>
        <v>62.842500000000001</v>
      </c>
      <c r="F74" s="280">
        <f t="shared" si="33"/>
        <v>63.241500000000002</v>
      </c>
      <c r="G74" s="279">
        <f t="shared" si="33"/>
        <v>60.956000000000003</v>
      </c>
      <c r="H74" s="280">
        <f t="shared" si="33"/>
        <v>62.131999999999998</v>
      </c>
      <c r="I74" s="280">
        <f t="shared" si="33"/>
        <v>16.537500000000001</v>
      </c>
      <c r="J74" s="280">
        <f t="shared" si="33"/>
        <v>62.131999999999998</v>
      </c>
      <c r="K74" s="280">
        <f t="shared" si="33"/>
        <v>62.643000000000001</v>
      </c>
      <c r="L74" s="279">
        <f t="shared" si="33"/>
        <v>49.749000000000002</v>
      </c>
      <c r="M74" s="280">
        <f t="shared" si="33"/>
        <v>52.146500000000003</v>
      </c>
      <c r="N74" s="280">
        <f t="shared" si="33"/>
        <v>16.2225</v>
      </c>
      <c r="O74" s="280">
        <f t="shared" si="33"/>
        <v>51.036999999999999</v>
      </c>
      <c r="P74" s="280">
        <f t="shared" si="33"/>
        <v>52.146500000000003</v>
      </c>
      <c r="Q74" s="279">
        <f t="shared" si="33"/>
        <v>53.088000000000001</v>
      </c>
      <c r="R74" s="280">
        <f t="shared" si="33"/>
        <v>54.365499999999997</v>
      </c>
      <c r="S74" s="280">
        <f t="shared" si="33"/>
        <v>16.642499999999998</v>
      </c>
      <c r="T74" s="280">
        <f t="shared" si="33"/>
        <v>54.365499999999997</v>
      </c>
      <c r="U74" s="280">
        <f t="shared" si="33"/>
        <v>52.146500000000003</v>
      </c>
      <c r="V74" s="112"/>
      <c r="W74" s="41"/>
      <c r="X74" s="41"/>
      <c r="Y74" s="41"/>
      <c r="Z74" s="41"/>
      <c r="AA74" s="41"/>
      <c r="AB74" s="41"/>
      <c r="AL74" s="3"/>
    </row>
    <row r="75" spans="1:49" ht="33.75" customHeight="1" thickBot="1" x14ac:dyDescent="0.3">
      <c r="A75" s="195" t="s">
        <v>15</v>
      </c>
      <c r="B75" s="37">
        <f t="shared" ref="B75:U75" si="34">+(B70/B72)/7*1000</f>
        <v>68.367346938775512</v>
      </c>
      <c r="C75" s="38">
        <f t="shared" si="34"/>
        <v>67.669172932330824</v>
      </c>
      <c r="D75" s="38">
        <f t="shared" si="34"/>
        <v>67.61904761904762</v>
      </c>
      <c r="E75" s="38">
        <f t="shared" si="34"/>
        <v>67.669172932330824</v>
      </c>
      <c r="F75" s="38">
        <f t="shared" si="34"/>
        <v>66.416040100250626</v>
      </c>
      <c r="G75" s="37">
        <f t="shared" si="34"/>
        <v>67.602040816326522</v>
      </c>
      <c r="H75" s="38">
        <f t="shared" si="34"/>
        <v>68.367346938775512</v>
      </c>
      <c r="I75" s="38">
        <f t="shared" si="34"/>
        <v>67.61904761904762</v>
      </c>
      <c r="J75" s="38">
        <f t="shared" si="34"/>
        <v>68.367346938775512</v>
      </c>
      <c r="K75" s="38">
        <f t="shared" si="34"/>
        <v>67.418546365914779</v>
      </c>
      <c r="L75" s="37">
        <f t="shared" si="34"/>
        <v>66.770186335403722</v>
      </c>
      <c r="M75" s="38">
        <f t="shared" si="34"/>
        <v>67.781155015197569</v>
      </c>
      <c r="N75" s="38">
        <f t="shared" si="34"/>
        <v>67.61904761904762</v>
      </c>
      <c r="O75" s="38">
        <f t="shared" si="34"/>
        <v>68.012422360248451</v>
      </c>
      <c r="P75" s="38">
        <f t="shared" si="34"/>
        <v>67.781155015197569</v>
      </c>
      <c r="Q75" s="37">
        <f t="shared" si="34"/>
        <v>67.857142857142847</v>
      </c>
      <c r="R75" s="38">
        <f t="shared" si="34"/>
        <v>68.22157434402331</v>
      </c>
      <c r="S75" s="38">
        <f t="shared" si="34"/>
        <v>68.571428571428555</v>
      </c>
      <c r="T75" s="38">
        <f t="shared" si="34"/>
        <v>67.930029154518962</v>
      </c>
      <c r="U75" s="38">
        <f t="shared" si="34"/>
        <v>67.781155015197569</v>
      </c>
      <c r="V75" s="40"/>
      <c r="AL75" s="3"/>
    </row>
    <row r="76" spans="1:49" ht="33.75" customHeight="1" x14ac:dyDescent="0.25">
      <c r="B76" s="43">
        <f>B74-B70</f>
        <v>34.744</v>
      </c>
      <c r="C76" s="43">
        <f t="shared" ref="C76:F76" si="35">C74-C70</f>
        <v>36.241500000000002</v>
      </c>
      <c r="D76" s="43">
        <f t="shared" si="35"/>
        <v>9.3849999999999998</v>
      </c>
      <c r="E76" s="43">
        <f t="shared" si="35"/>
        <v>35.842500000000001</v>
      </c>
      <c r="F76" s="43">
        <f t="shared" si="35"/>
        <v>36.741500000000002</v>
      </c>
      <c r="G76" s="43">
        <f>G74-G70</f>
        <v>34.456000000000003</v>
      </c>
      <c r="H76" s="43">
        <f t="shared" ref="H76:K77" si="36">H74-H70</f>
        <v>35.331999999999994</v>
      </c>
      <c r="I76" s="43">
        <f t="shared" si="36"/>
        <v>9.4375000000000018</v>
      </c>
      <c r="J76" s="43">
        <f t="shared" si="36"/>
        <v>35.331999999999994</v>
      </c>
      <c r="K76" s="43">
        <f t="shared" si="36"/>
        <v>35.743000000000002</v>
      </c>
      <c r="L76" s="43">
        <f>L74-L70</f>
        <v>28.249000000000002</v>
      </c>
      <c r="M76" s="43">
        <f t="shared" ref="M76:P76" si="37">M74-M70</f>
        <v>29.846500000000002</v>
      </c>
      <c r="N76" s="43">
        <f t="shared" si="37"/>
        <v>9.1225000000000005</v>
      </c>
      <c r="O76" s="43">
        <f t="shared" si="37"/>
        <v>29.137</v>
      </c>
      <c r="P76" s="43">
        <f t="shared" si="37"/>
        <v>29.846500000000002</v>
      </c>
      <c r="Q76" s="43">
        <f>Q74-Q70</f>
        <v>30.288000000000004</v>
      </c>
      <c r="R76" s="43">
        <f t="shared" ref="R76:U76" si="38">R74-R70</f>
        <v>30.965499999999999</v>
      </c>
      <c r="S76" s="43">
        <f t="shared" si="38"/>
        <v>9.442499999999999</v>
      </c>
      <c r="T76" s="43">
        <f t="shared" si="38"/>
        <v>31.065499999999997</v>
      </c>
      <c r="U76" s="43">
        <f t="shared" si="38"/>
        <v>29.846500000000002</v>
      </c>
    </row>
    <row r="77" spans="1:49" ht="33.75" customHeight="1" x14ac:dyDescent="0.25">
      <c r="B77" s="42">
        <f t="shared" ref="B77:U77" si="39">B75-B71</f>
        <v>-88.632653061224488</v>
      </c>
      <c r="C77" s="42">
        <f t="shared" si="39"/>
        <v>-90.830827067669176</v>
      </c>
      <c r="D77" s="42">
        <f t="shared" si="39"/>
        <v>-89.38095238095238</v>
      </c>
      <c r="E77" s="42">
        <f t="shared" si="39"/>
        <v>-89.830827067669176</v>
      </c>
      <c r="F77" s="42">
        <f t="shared" si="39"/>
        <v>-92.083959899749374</v>
      </c>
      <c r="G77" s="42">
        <f t="shared" si="39"/>
        <v>-87.897959183673478</v>
      </c>
      <c r="H77" s="42">
        <f t="shared" si="39"/>
        <v>-90.132653061224488</v>
      </c>
      <c r="I77" s="42">
        <f>I75-I71</f>
        <v>-89.88095238095238</v>
      </c>
      <c r="J77" s="42">
        <f t="shared" si="39"/>
        <v>-90.132653061224488</v>
      </c>
      <c r="K77" s="42">
        <f t="shared" si="36"/>
        <v>-89.581453634085221</v>
      </c>
      <c r="L77" s="42">
        <f t="shared" si="39"/>
        <v>-87.729813664596278</v>
      </c>
      <c r="M77" s="42">
        <f t="shared" si="39"/>
        <v>-90.718844984802431</v>
      </c>
      <c r="N77" s="42">
        <f t="shared" si="39"/>
        <v>-86.88095238095238</v>
      </c>
      <c r="O77" s="42">
        <f t="shared" si="39"/>
        <v>-90.487577639751549</v>
      </c>
      <c r="P77" s="42">
        <f t="shared" si="39"/>
        <v>-90.718844984802431</v>
      </c>
      <c r="Q77" s="42">
        <f t="shared" si="39"/>
        <v>-90.142857142857153</v>
      </c>
      <c r="R77" s="42">
        <f t="shared" si="39"/>
        <v>-90.27842565597669</v>
      </c>
      <c r="S77" s="42">
        <f t="shared" si="39"/>
        <v>-89.928571428571445</v>
      </c>
      <c r="T77" s="42">
        <f t="shared" si="39"/>
        <v>-90.569970845481038</v>
      </c>
      <c r="U77" s="42">
        <f t="shared" si="39"/>
        <v>-90.718844984802431</v>
      </c>
      <c r="V77" s="45"/>
      <c r="W77" s="45"/>
      <c r="X77" s="45"/>
      <c r="Y77" s="45"/>
      <c r="Z77" s="45"/>
      <c r="AA77" s="45"/>
      <c r="AB77" s="45"/>
      <c r="AC77" s="52"/>
    </row>
    <row r="78" spans="1:49" ht="33.75" customHeight="1" x14ac:dyDescent="0.25">
      <c r="B78" s="287"/>
      <c r="C78" s="287"/>
      <c r="D78" s="287"/>
      <c r="E78" s="287"/>
      <c r="F78" s="287"/>
    </row>
    <row r="79" spans="1:49" ht="33.75" customHeight="1" x14ac:dyDescent="0.25">
      <c r="A79" s="45"/>
      <c r="B79" s="283"/>
      <c r="C79" s="283"/>
      <c r="D79" s="283"/>
      <c r="E79" s="283"/>
      <c r="F79" s="283"/>
      <c r="G79" s="58"/>
      <c r="H79" s="45"/>
      <c r="I79" s="45"/>
      <c r="J79" s="45"/>
      <c r="K79" s="45"/>
      <c r="L79" s="45"/>
      <c r="M79" s="45"/>
      <c r="N79" s="45"/>
      <c r="O79" s="45"/>
    </row>
    <row r="80" spans="1:49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21">
    <mergeCell ref="V60:V61"/>
    <mergeCell ref="H43:K55"/>
    <mergeCell ref="O59:P59"/>
    <mergeCell ref="B60:F60"/>
    <mergeCell ref="G60:K60"/>
    <mergeCell ref="L60:P60"/>
    <mergeCell ref="Q60:U60"/>
    <mergeCell ref="R40:R41"/>
    <mergeCell ref="A3:C3"/>
    <mergeCell ref="E9:G9"/>
    <mergeCell ref="W9:X9"/>
    <mergeCell ref="O11:P11"/>
    <mergeCell ref="B16:H16"/>
    <mergeCell ref="I16:O16"/>
    <mergeCell ref="P16:T16"/>
    <mergeCell ref="U16:Y16"/>
    <mergeCell ref="H17:H18"/>
    <mergeCell ref="O17:O18"/>
    <mergeCell ref="B40:F40"/>
    <mergeCell ref="G40:G42"/>
    <mergeCell ref="M40:Q40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44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31</v>
      </c>
      <c r="P11" s="965"/>
      <c r="Q11" s="6"/>
      <c r="R11" s="6"/>
      <c r="S11" s="6"/>
      <c r="T11" s="1"/>
      <c r="U11" s="1"/>
      <c r="V11" s="1" t="s">
        <v>6</v>
      </c>
      <c r="W11" s="95">
        <v>45550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34</v>
      </c>
      <c r="B17" s="425"/>
      <c r="C17" s="168"/>
      <c r="D17" s="168"/>
      <c r="E17" s="168"/>
      <c r="F17" s="168"/>
      <c r="G17" s="204"/>
      <c r="H17" s="997" t="s">
        <v>109</v>
      </c>
      <c r="I17" s="188"/>
      <c r="J17" s="168"/>
      <c r="K17" s="168"/>
      <c r="L17" s="168"/>
      <c r="M17" s="168"/>
      <c r="N17" s="169"/>
      <c r="O17" s="997" t="s">
        <v>109</v>
      </c>
      <c r="P17" s="202"/>
      <c r="Q17" s="174"/>
      <c r="R17" s="174"/>
      <c r="S17" s="174"/>
      <c r="T17" s="203"/>
      <c r="U17" s="186"/>
      <c r="V17" s="174"/>
      <c r="W17" s="174"/>
      <c r="X17" s="174"/>
      <c r="Y17" s="175"/>
      <c r="Z17" s="261" t="s">
        <v>9</v>
      </c>
      <c r="AD17" s="15"/>
      <c r="AE17" s="15"/>
    </row>
    <row r="18" spans="1:40" ht="39.950000000000003" customHeight="1" thickBot="1" x14ac:dyDescent="0.3">
      <c r="A18" s="170" t="s">
        <v>10</v>
      </c>
      <c r="B18" s="425" t="s">
        <v>100</v>
      </c>
      <c r="C18" s="168">
        <v>1</v>
      </c>
      <c r="D18" s="168">
        <v>2</v>
      </c>
      <c r="E18" s="168">
        <v>3</v>
      </c>
      <c r="F18" s="168">
        <v>4</v>
      </c>
      <c r="G18" s="204">
        <v>5</v>
      </c>
      <c r="H18" s="998"/>
      <c r="I18" s="386" t="s">
        <v>100</v>
      </c>
      <c r="J18" s="438">
        <v>1</v>
      </c>
      <c r="K18" s="438">
        <v>2</v>
      </c>
      <c r="L18" s="438">
        <v>3</v>
      </c>
      <c r="M18" s="438">
        <v>4</v>
      </c>
      <c r="N18" s="439">
        <v>5</v>
      </c>
      <c r="O18" s="998"/>
      <c r="P18" s="202">
        <v>1</v>
      </c>
      <c r="Q18" s="174">
        <v>2</v>
      </c>
      <c r="R18" s="174">
        <v>3</v>
      </c>
      <c r="S18" s="174">
        <v>4</v>
      </c>
      <c r="T18" s="203">
        <v>5</v>
      </c>
      <c r="U18" s="186">
        <v>1</v>
      </c>
      <c r="V18" s="174">
        <v>2</v>
      </c>
      <c r="W18" s="174">
        <v>3</v>
      </c>
      <c r="X18" s="174">
        <v>4</v>
      </c>
      <c r="Y18" s="175">
        <v>5</v>
      </c>
      <c r="Z18" s="126"/>
      <c r="AD18" s="2"/>
      <c r="AE18" s="15"/>
    </row>
    <row r="19" spans="1:40" ht="39.950000000000003" customHeight="1" x14ac:dyDescent="0.25">
      <c r="A19" s="171" t="s">
        <v>53</v>
      </c>
      <c r="B19" s="503">
        <v>326.60000000000002</v>
      </c>
      <c r="C19" s="504">
        <v>20.6</v>
      </c>
      <c r="D19" s="504">
        <v>20.8</v>
      </c>
      <c r="E19" s="504">
        <v>5.0999999999999996</v>
      </c>
      <c r="F19" s="504">
        <v>21</v>
      </c>
      <c r="G19" s="505">
        <v>20.9</v>
      </c>
      <c r="H19" s="506">
        <f t="shared" ref="H19:H21" si="0">B19+C19+D19+E19+F19+G19</f>
        <v>415.00000000000006</v>
      </c>
      <c r="I19" s="142">
        <v>328.9</v>
      </c>
      <c r="J19" s="504">
        <v>20.9</v>
      </c>
      <c r="K19" s="504">
        <v>21</v>
      </c>
      <c r="L19" s="504">
        <v>4.3</v>
      </c>
      <c r="M19" s="504">
        <v>20</v>
      </c>
      <c r="N19" s="507">
        <v>19.899999999999999</v>
      </c>
      <c r="O19" s="506">
        <f t="shared" ref="O19:O21" si="1">I19+J19+K19+L19+M19+N19</f>
        <v>414.99999999999994</v>
      </c>
      <c r="P19" s="515">
        <v>80.400000000000006</v>
      </c>
      <c r="Q19" s="504">
        <v>79.599999999999994</v>
      </c>
      <c r="R19" s="504">
        <v>28.4</v>
      </c>
      <c r="S19" s="504">
        <v>80.099999999999994</v>
      </c>
      <c r="T19" s="507">
        <v>80.599999999999994</v>
      </c>
      <c r="U19" s="508">
        <v>83.9</v>
      </c>
      <c r="V19" s="504">
        <v>84</v>
      </c>
      <c r="W19" s="504">
        <v>30.6</v>
      </c>
      <c r="X19" s="504">
        <v>84</v>
      </c>
      <c r="Y19" s="507">
        <v>83.5</v>
      </c>
      <c r="Z19" s="209">
        <f>SUM(H19,O19,P19:Y19)</f>
        <v>1545.1</v>
      </c>
      <c r="AA19" s="301"/>
      <c r="AB19" s="302"/>
      <c r="AD19" s="2"/>
      <c r="AE19" s="15"/>
    </row>
    <row r="20" spans="1:40" ht="39.950000000000003" customHeight="1" x14ac:dyDescent="0.25">
      <c r="A20" s="171" t="s">
        <v>24</v>
      </c>
      <c r="B20" s="503">
        <v>326.60000000000002</v>
      </c>
      <c r="C20" s="504">
        <v>20.6</v>
      </c>
      <c r="D20" s="504">
        <v>20.8</v>
      </c>
      <c r="E20" s="504">
        <v>5.0999999999999996</v>
      </c>
      <c r="F20" s="504">
        <v>21</v>
      </c>
      <c r="G20" s="505">
        <v>20.9</v>
      </c>
      <c r="H20" s="506">
        <f t="shared" si="0"/>
        <v>415.00000000000006</v>
      </c>
      <c r="I20" s="142">
        <v>328.9</v>
      </c>
      <c r="J20" s="504">
        <v>20.9</v>
      </c>
      <c r="K20" s="504">
        <v>21</v>
      </c>
      <c r="L20" s="545">
        <v>5</v>
      </c>
      <c r="M20" s="504">
        <v>20</v>
      </c>
      <c r="N20" s="507">
        <v>19.899999999999999</v>
      </c>
      <c r="O20" s="506">
        <f t="shared" si="1"/>
        <v>415.69999999999993</v>
      </c>
      <c r="P20" s="515">
        <v>80.400000000000006</v>
      </c>
      <c r="Q20" s="504">
        <v>79.599999999999994</v>
      </c>
      <c r="R20" s="504">
        <v>28.4</v>
      </c>
      <c r="S20" s="504">
        <v>80.099999999999994</v>
      </c>
      <c r="T20" s="507">
        <v>80.599999999999994</v>
      </c>
      <c r="U20" s="508">
        <v>83.9</v>
      </c>
      <c r="V20" s="504">
        <v>84</v>
      </c>
      <c r="W20" s="504">
        <v>30.6</v>
      </c>
      <c r="X20" s="504">
        <v>84</v>
      </c>
      <c r="Y20" s="507">
        <v>83.5</v>
      </c>
      <c r="Z20" s="209">
        <f t="shared" ref="Z20:Z25" si="2">SUM(H20,O20,P20:Y20)</f>
        <v>1545.8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75" customHeight="1" x14ac:dyDescent="0.25">
      <c r="A21" s="171" t="s">
        <v>20</v>
      </c>
      <c r="B21" s="503">
        <v>326.60000000000002</v>
      </c>
      <c r="C21" s="504">
        <v>20.6</v>
      </c>
      <c r="D21" s="504">
        <v>20.7</v>
      </c>
      <c r="E21" s="548">
        <v>6</v>
      </c>
      <c r="F21" s="504">
        <v>21</v>
      </c>
      <c r="G21" s="505">
        <v>20.9</v>
      </c>
      <c r="H21" s="506">
        <f t="shared" si="0"/>
        <v>415.8</v>
      </c>
      <c r="I21" s="142">
        <v>328.9</v>
      </c>
      <c r="J21" s="504">
        <v>20.9</v>
      </c>
      <c r="K21" s="504">
        <v>21</v>
      </c>
      <c r="L21" s="504">
        <v>5</v>
      </c>
      <c r="M21" s="504">
        <v>20</v>
      </c>
      <c r="N21" s="507">
        <v>19.899999999999999</v>
      </c>
      <c r="O21" s="506">
        <f t="shared" si="1"/>
        <v>415.69999999999993</v>
      </c>
      <c r="P21" s="515">
        <v>80.400000000000006</v>
      </c>
      <c r="Q21" s="504">
        <v>79.599999999999994</v>
      </c>
      <c r="R21" s="504">
        <v>28.4</v>
      </c>
      <c r="S21" s="504">
        <v>80.099999999999994</v>
      </c>
      <c r="T21" s="507">
        <v>80.599999999999994</v>
      </c>
      <c r="U21" s="508">
        <v>83.9</v>
      </c>
      <c r="V21" s="504">
        <v>84</v>
      </c>
      <c r="W21" s="504">
        <v>30.6</v>
      </c>
      <c r="X21" s="504">
        <v>84</v>
      </c>
      <c r="Y21" s="507">
        <v>83.5</v>
      </c>
      <c r="Z21" s="509">
        <f t="shared" si="2"/>
        <v>1546.6</v>
      </c>
      <c r="AA21" s="520"/>
      <c r="AB21" s="521"/>
      <c r="AC21" s="522"/>
      <c r="AD21" s="145"/>
      <c r="AE21" s="523"/>
      <c r="AF21" s="522"/>
      <c r="AG21" s="522"/>
      <c r="AH21" s="522"/>
      <c r="AI21" s="522"/>
      <c r="AJ21" s="522"/>
      <c r="AK21" s="522"/>
      <c r="AL21" s="522"/>
      <c r="AM21" s="522"/>
      <c r="AN21" s="522"/>
    </row>
    <row r="22" spans="1:40" ht="39.950000000000003" customHeight="1" x14ac:dyDescent="0.25">
      <c r="A22" s="171" t="s">
        <v>28</v>
      </c>
      <c r="B22" s="503">
        <v>326.60000000000002</v>
      </c>
      <c r="C22" s="504">
        <v>20.6</v>
      </c>
      <c r="D22" s="504">
        <v>20.7</v>
      </c>
      <c r="E22" s="504">
        <v>5.9</v>
      </c>
      <c r="F22" s="504">
        <v>21</v>
      </c>
      <c r="G22" s="505">
        <v>20.9</v>
      </c>
      <c r="H22" s="506">
        <v>415.7</v>
      </c>
      <c r="I22" s="142">
        <v>328.9</v>
      </c>
      <c r="J22" s="504">
        <v>20.9</v>
      </c>
      <c r="K22" s="504">
        <v>21</v>
      </c>
      <c r="L22" s="504">
        <v>5</v>
      </c>
      <c r="M22" s="504">
        <v>20</v>
      </c>
      <c r="N22" s="507">
        <v>19.8</v>
      </c>
      <c r="O22" s="506">
        <v>415.59999999999997</v>
      </c>
      <c r="P22" s="515">
        <v>80.400000000000006</v>
      </c>
      <c r="Q22" s="504">
        <v>79.8</v>
      </c>
      <c r="R22" s="504">
        <v>28.4</v>
      </c>
      <c r="S22" s="504">
        <v>80.099999999999994</v>
      </c>
      <c r="T22" s="507">
        <v>80.599999999999994</v>
      </c>
      <c r="U22" s="508">
        <v>83.9</v>
      </c>
      <c r="V22" s="504">
        <v>84</v>
      </c>
      <c r="W22" s="504">
        <v>30.6</v>
      </c>
      <c r="X22" s="504">
        <v>83.7</v>
      </c>
      <c r="Y22" s="507">
        <v>83.5</v>
      </c>
      <c r="Z22" s="209">
        <f t="shared" si="2"/>
        <v>1546.2999999999997</v>
      </c>
      <c r="AA22" s="301"/>
      <c r="AB22" s="302"/>
      <c r="AD22" s="2"/>
      <c r="AE22" s="15"/>
    </row>
    <row r="23" spans="1:40" ht="39.950000000000003" customHeight="1" x14ac:dyDescent="0.25">
      <c r="A23" s="171" t="s">
        <v>21</v>
      </c>
      <c r="B23" s="503">
        <v>326.60000000000002</v>
      </c>
      <c r="C23" s="504">
        <v>20.6</v>
      </c>
      <c r="D23" s="504">
        <v>20.7</v>
      </c>
      <c r="E23" s="504">
        <v>5.9</v>
      </c>
      <c r="F23" s="504">
        <v>21</v>
      </c>
      <c r="G23" s="505">
        <v>20.9</v>
      </c>
      <c r="H23" s="506">
        <v>415.7</v>
      </c>
      <c r="I23" s="142">
        <v>328.9</v>
      </c>
      <c r="J23" s="504">
        <v>20.9</v>
      </c>
      <c r="K23" s="504">
        <v>21</v>
      </c>
      <c r="L23" s="504">
        <v>5</v>
      </c>
      <c r="M23" s="504">
        <v>20</v>
      </c>
      <c r="N23" s="507">
        <v>19.8</v>
      </c>
      <c r="O23" s="506">
        <v>415.59999999999997</v>
      </c>
      <c r="P23" s="515">
        <v>80.400000000000006</v>
      </c>
      <c r="Q23" s="504">
        <v>79.8</v>
      </c>
      <c r="R23" s="545">
        <v>29.2</v>
      </c>
      <c r="S23" s="504">
        <v>80.099999999999994</v>
      </c>
      <c r="T23" s="507">
        <v>80.599999999999994</v>
      </c>
      <c r="U23" s="508">
        <v>83.9</v>
      </c>
      <c r="V23" s="504">
        <v>84</v>
      </c>
      <c r="W23" s="504">
        <v>30.6</v>
      </c>
      <c r="X23" s="504">
        <v>83.7</v>
      </c>
      <c r="Y23" s="507">
        <v>83.5</v>
      </c>
      <c r="Z23" s="509">
        <f t="shared" si="2"/>
        <v>1547.1</v>
      </c>
      <c r="AA23" s="301"/>
      <c r="AB23" s="302"/>
      <c r="AD23" s="2"/>
      <c r="AE23" s="15"/>
    </row>
    <row r="24" spans="1:40" ht="39.950000000000003" customHeight="1" x14ac:dyDescent="0.25">
      <c r="A24" s="171" t="s">
        <v>22</v>
      </c>
      <c r="B24" s="503">
        <v>326.60000000000002</v>
      </c>
      <c r="C24" s="504">
        <v>20.6</v>
      </c>
      <c r="D24" s="504">
        <v>20.7</v>
      </c>
      <c r="E24" s="504">
        <v>5.9</v>
      </c>
      <c r="F24" s="504">
        <v>21</v>
      </c>
      <c r="G24" s="505">
        <v>20.9</v>
      </c>
      <c r="H24" s="506">
        <v>415.7</v>
      </c>
      <c r="I24" s="142">
        <v>328.9</v>
      </c>
      <c r="J24" s="504">
        <v>20.8</v>
      </c>
      <c r="K24" s="504">
        <v>21</v>
      </c>
      <c r="L24" s="548">
        <v>5.8</v>
      </c>
      <c r="M24" s="504">
        <v>20</v>
      </c>
      <c r="N24" s="507">
        <v>19.8</v>
      </c>
      <c r="O24" s="506">
        <v>415.59999999999997</v>
      </c>
      <c r="P24" s="515">
        <v>80.400000000000006</v>
      </c>
      <c r="Q24" s="504">
        <v>79.8</v>
      </c>
      <c r="R24" s="504">
        <v>29.2</v>
      </c>
      <c r="S24" s="504">
        <v>80.099999999999994</v>
      </c>
      <c r="T24" s="507">
        <v>80.599999999999994</v>
      </c>
      <c r="U24" s="508">
        <v>83.9</v>
      </c>
      <c r="V24" s="504">
        <v>84</v>
      </c>
      <c r="W24" s="504">
        <v>30.6</v>
      </c>
      <c r="X24" s="504">
        <v>83.7</v>
      </c>
      <c r="Y24" s="507">
        <v>83.5</v>
      </c>
      <c r="Z24" s="209">
        <f t="shared" si="2"/>
        <v>1547.1</v>
      </c>
      <c r="AA24" s="301"/>
      <c r="AB24" s="302"/>
      <c r="AD24" s="2"/>
      <c r="AE24" s="15"/>
    </row>
    <row r="25" spans="1:40" ht="39.950000000000003" customHeight="1" thickBot="1" x14ac:dyDescent="0.3">
      <c r="A25" s="285" t="s">
        <v>23</v>
      </c>
      <c r="B25" s="503">
        <v>326.60000000000002</v>
      </c>
      <c r="C25" s="504">
        <v>20.6</v>
      </c>
      <c r="D25" s="504">
        <v>20.7</v>
      </c>
      <c r="E25" s="504">
        <v>5.8</v>
      </c>
      <c r="F25" s="504">
        <v>21</v>
      </c>
      <c r="G25" s="505">
        <v>20.9</v>
      </c>
      <c r="H25" s="506">
        <v>415.7</v>
      </c>
      <c r="I25" s="142">
        <v>328.9</v>
      </c>
      <c r="J25" s="504">
        <v>20.8</v>
      </c>
      <c r="K25" s="504">
        <v>21</v>
      </c>
      <c r="L25" s="504">
        <v>5.7</v>
      </c>
      <c r="M25" s="504">
        <v>20</v>
      </c>
      <c r="N25" s="507">
        <v>19.8</v>
      </c>
      <c r="O25" s="506">
        <v>415.59999999999997</v>
      </c>
      <c r="P25" s="515">
        <v>80.400000000000006</v>
      </c>
      <c r="Q25" s="504">
        <v>79.8</v>
      </c>
      <c r="R25" s="504">
        <v>29.2</v>
      </c>
      <c r="S25" s="504">
        <v>80.099999999999994</v>
      </c>
      <c r="T25" s="507">
        <v>80.599999999999994</v>
      </c>
      <c r="U25" s="508">
        <v>83.9</v>
      </c>
      <c r="V25" s="504">
        <v>84</v>
      </c>
      <c r="W25" s="504">
        <v>30.6</v>
      </c>
      <c r="X25" s="504">
        <v>83.7</v>
      </c>
      <c r="Y25" s="507">
        <v>83.5</v>
      </c>
      <c r="Z25" s="209">
        <f t="shared" si="2"/>
        <v>1547.1</v>
      </c>
      <c r="AA25" s="301"/>
      <c r="AB25" s="302"/>
      <c r="AD25" s="2"/>
    </row>
    <row r="26" spans="1:40" ht="41.45" customHeight="1" thickBot="1" x14ac:dyDescent="0.3">
      <c r="A26" s="268" t="s">
        <v>9</v>
      </c>
      <c r="B26" s="421"/>
      <c r="C26" s="128">
        <f>SUM(C19:C25)</f>
        <v>144.19999999999999</v>
      </c>
      <c r="D26" s="128">
        <f t="shared" ref="D26:Y26" si="3">SUM(D19:D25)</f>
        <v>145.1</v>
      </c>
      <c r="E26" s="128">
        <f t="shared" si="3"/>
        <v>39.699999999999996</v>
      </c>
      <c r="F26" s="128">
        <f t="shared" si="3"/>
        <v>147</v>
      </c>
      <c r="G26" s="205">
        <f t="shared" si="3"/>
        <v>146.30000000000001</v>
      </c>
      <c r="H26" s="436">
        <f>SUM(H19:H25)</f>
        <v>2908.6</v>
      </c>
      <c r="I26" s="131"/>
      <c r="J26" s="128">
        <f t="shared" si="3"/>
        <v>146.1</v>
      </c>
      <c r="K26" s="128">
        <f>SUM(K19:K25)</f>
        <v>147</v>
      </c>
      <c r="L26" s="128">
        <f t="shared" si="3"/>
        <v>35.800000000000004</v>
      </c>
      <c r="M26" s="128">
        <f t="shared" si="3"/>
        <v>140</v>
      </c>
      <c r="N26" s="129">
        <f t="shared" si="3"/>
        <v>138.9</v>
      </c>
      <c r="O26" s="436">
        <f>SUM(O19:O25)</f>
        <v>2908.7999999999993</v>
      </c>
      <c r="P26" s="127">
        <f t="shared" si="3"/>
        <v>562.79999999999995</v>
      </c>
      <c r="Q26" s="128">
        <f t="shared" si="3"/>
        <v>558</v>
      </c>
      <c r="R26" s="128">
        <f t="shared" si="3"/>
        <v>201.19999999999996</v>
      </c>
      <c r="S26" s="128">
        <f t="shared" si="3"/>
        <v>560.70000000000005</v>
      </c>
      <c r="T26" s="205">
        <f t="shared" si="3"/>
        <v>564.20000000000005</v>
      </c>
      <c r="U26" s="131">
        <f t="shared" si="3"/>
        <v>587.29999999999995</v>
      </c>
      <c r="V26" s="128">
        <f t="shared" si="3"/>
        <v>588</v>
      </c>
      <c r="W26" s="128">
        <f t="shared" si="3"/>
        <v>214.2</v>
      </c>
      <c r="X26" s="128">
        <f t="shared" si="3"/>
        <v>586.79999999999995</v>
      </c>
      <c r="Y26" s="129">
        <f t="shared" si="3"/>
        <v>584.5</v>
      </c>
      <c r="Z26" s="375">
        <f>SUM(Z19,Z20,Z21,Z22,Z23,Z24,Z25)</f>
        <v>10825.1</v>
      </c>
      <c r="AA26" s="301"/>
    </row>
    <row r="27" spans="1:40" s="2" customFormat="1" ht="36.75" customHeight="1" x14ac:dyDescent="0.25">
      <c r="A27" s="192" t="s">
        <v>11</v>
      </c>
      <c r="B27" s="23"/>
      <c r="C27" s="477">
        <v>165.52</v>
      </c>
      <c r="D27" s="477">
        <v>165.52</v>
      </c>
      <c r="E27" s="477">
        <v>165.52</v>
      </c>
      <c r="F27" s="477">
        <v>165.52</v>
      </c>
      <c r="G27" s="477">
        <v>165.52</v>
      </c>
      <c r="H27" s="478"/>
      <c r="I27" s="479"/>
      <c r="J27" s="477">
        <v>165.52</v>
      </c>
      <c r="K27" s="477">
        <v>165.52</v>
      </c>
      <c r="L27" s="477">
        <v>163.82</v>
      </c>
      <c r="M27" s="477">
        <v>163.82</v>
      </c>
      <c r="N27" s="477">
        <v>163.82</v>
      </c>
      <c r="O27" s="478"/>
      <c r="P27" s="480">
        <v>163.82</v>
      </c>
      <c r="Q27" s="477">
        <v>163.82</v>
      </c>
      <c r="R27" s="477">
        <v>158.91999999999999</v>
      </c>
      <c r="S27" s="477">
        <v>163.82</v>
      </c>
      <c r="T27" s="481">
        <v>163.82</v>
      </c>
      <c r="U27" s="479">
        <v>163.82</v>
      </c>
      <c r="V27" s="477">
        <v>163.82</v>
      </c>
      <c r="W27" s="477">
        <v>163.82</v>
      </c>
      <c r="X27" s="477">
        <v>163.82</v>
      </c>
      <c r="Y27" s="482">
        <v>163.82</v>
      </c>
      <c r="Z27" s="99">
        <f>(((Z26*1000)/7)/Z28)</f>
        <v>164.48020178077613</v>
      </c>
    </row>
    <row r="28" spans="1:40" s="2" customFormat="1" ht="33" customHeight="1" x14ac:dyDescent="0.25">
      <c r="A28" s="193" t="s">
        <v>12</v>
      </c>
      <c r="B28" s="257"/>
      <c r="C28" s="27">
        <v>579</v>
      </c>
      <c r="D28" s="27">
        <v>583</v>
      </c>
      <c r="E28" s="27">
        <v>163</v>
      </c>
      <c r="F28" s="27">
        <v>590</v>
      </c>
      <c r="G28" s="27">
        <v>587</v>
      </c>
      <c r="H28" s="441"/>
      <c r="I28" s="26"/>
      <c r="J28" s="27">
        <v>586</v>
      </c>
      <c r="K28" s="27">
        <v>591</v>
      </c>
      <c r="L28" s="483">
        <v>170</v>
      </c>
      <c r="M28" s="27">
        <v>592</v>
      </c>
      <c r="N28" s="27">
        <v>585</v>
      </c>
      <c r="O28" s="441"/>
      <c r="P28" s="64">
        <v>491</v>
      </c>
      <c r="Q28" s="27">
        <v>487</v>
      </c>
      <c r="R28" s="27">
        <v>184</v>
      </c>
      <c r="S28" s="27">
        <v>489</v>
      </c>
      <c r="T28" s="483">
        <v>492</v>
      </c>
      <c r="U28" s="27">
        <v>512</v>
      </c>
      <c r="V28" s="27">
        <v>513</v>
      </c>
      <c r="W28" s="27">
        <v>187</v>
      </c>
      <c r="X28" s="27">
        <v>511</v>
      </c>
      <c r="Y28" s="27">
        <v>510</v>
      </c>
      <c r="Z28" s="29">
        <f>SUM(C28:Y28)</f>
        <v>9402</v>
      </c>
      <c r="AA28" s="402"/>
    </row>
    <row r="29" spans="1:40" s="2" customFormat="1" ht="33" customHeight="1" x14ac:dyDescent="0.25">
      <c r="A29" s="444" t="s">
        <v>13</v>
      </c>
      <c r="B29" s="445"/>
      <c r="C29" s="31">
        <f>(C34*C28)/1000</f>
        <v>20.566080000000007</v>
      </c>
      <c r="D29" s="31">
        <f>(D34*D28)/1000</f>
        <v>20.708160000000007</v>
      </c>
      <c r="E29" s="31">
        <f t="shared" ref="E29:G29" si="4">(E34*E28)/1000</f>
        <v>5.789760000000002</v>
      </c>
      <c r="F29" s="31">
        <f t="shared" si="4"/>
        <v>20.956800000000008</v>
      </c>
      <c r="G29" s="31">
        <f t="shared" si="4"/>
        <v>20.850240000000007</v>
      </c>
      <c r="H29" s="442"/>
      <c r="I29" s="30"/>
      <c r="J29" s="31">
        <f>(J34*J28)/1000</f>
        <v>20.814720000000005</v>
      </c>
      <c r="K29" s="31">
        <f t="shared" ref="K29:N29" si="5">(K34*K28)/1000</f>
        <v>20.992320000000007</v>
      </c>
      <c r="L29" s="31">
        <f t="shared" si="5"/>
        <v>5.7493999999999987</v>
      </c>
      <c r="M29" s="31">
        <f t="shared" si="5"/>
        <v>20.021439999999995</v>
      </c>
      <c r="N29" s="31">
        <f t="shared" si="5"/>
        <v>19.784699999999997</v>
      </c>
      <c r="O29" s="442"/>
      <c r="P29" s="65">
        <f>((((P27*7)*P28)/1000))/7</f>
        <v>80.435619999999986</v>
      </c>
      <c r="Q29" s="65">
        <f t="shared" ref="Q29:Y29" si="6">((((Q27*7)*Q28)/1000))/7</f>
        <v>79.78034000000001</v>
      </c>
      <c r="R29" s="65">
        <f t="shared" si="6"/>
        <v>29.241279999999993</v>
      </c>
      <c r="S29" s="65">
        <f t="shared" si="6"/>
        <v>80.107979999999998</v>
      </c>
      <c r="T29" s="65">
        <f t="shared" si="6"/>
        <v>80.599439999999987</v>
      </c>
      <c r="U29" s="65">
        <f t="shared" si="6"/>
        <v>83.875840000000011</v>
      </c>
      <c r="V29" s="65">
        <f t="shared" si="6"/>
        <v>84.039659999999998</v>
      </c>
      <c r="W29" s="65">
        <f t="shared" si="6"/>
        <v>30.634340000000002</v>
      </c>
      <c r="X29" s="65">
        <f t="shared" si="6"/>
        <v>83.71202000000001</v>
      </c>
      <c r="Y29" s="65">
        <f t="shared" si="6"/>
        <v>83.548199999999994</v>
      </c>
      <c r="Z29" s="33"/>
    </row>
    <row r="30" spans="1:40" ht="33.75" customHeight="1" x14ac:dyDescent="0.25">
      <c r="A30" s="185" t="s">
        <v>14</v>
      </c>
      <c r="B30" s="34"/>
      <c r="C30" s="280">
        <f>((C28*C31)*7)/1000</f>
        <v>144.19999999999999</v>
      </c>
      <c r="D30" s="280">
        <f t="shared" ref="D30:G30" si="7">((D28*D31)*7)/1000</f>
        <v>145.1</v>
      </c>
      <c r="E30" s="280">
        <f>((E28*E31)*7)/1000</f>
        <v>39.699999999999996</v>
      </c>
      <c r="F30" s="280">
        <f t="shared" si="7"/>
        <v>147</v>
      </c>
      <c r="G30" s="280">
        <f t="shared" si="7"/>
        <v>146.30000000000001</v>
      </c>
      <c r="H30" s="443"/>
      <c r="I30" s="279"/>
      <c r="J30" s="280">
        <f>((J28*J31)*7)/1000</f>
        <v>146.09999999999997</v>
      </c>
      <c r="K30" s="280">
        <f t="shared" ref="K30:N30" si="8">((K28*K31)*7)/1000</f>
        <v>147</v>
      </c>
      <c r="L30" s="280">
        <f t="shared" si="8"/>
        <v>35.799999999999997</v>
      </c>
      <c r="M30" s="280">
        <f t="shared" si="8"/>
        <v>140</v>
      </c>
      <c r="N30" s="280">
        <f t="shared" si="8"/>
        <v>138.9</v>
      </c>
      <c r="O30" s="443"/>
      <c r="P30" s="325">
        <f t="shared" ref="P30:Y30" si="9">((P28*P27)*7)/1000</f>
        <v>563.04933999999992</v>
      </c>
      <c r="Q30" s="280">
        <f t="shared" si="9"/>
        <v>558.46238000000005</v>
      </c>
      <c r="R30" s="280">
        <f t="shared" si="9"/>
        <v>204.68895999999998</v>
      </c>
      <c r="S30" s="280">
        <f t="shared" si="9"/>
        <v>560.75585999999998</v>
      </c>
      <c r="T30" s="281">
        <f t="shared" si="9"/>
        <v>564.19608000000005</v>
      </c>
      <c r="U30" s="279">
        <f t="shared" si="9"/>
        <v>587.13088000000005</v>
      </c>
      <c r="V30" s="280">
        <f t="shared" si="9"/>
        <v>588.27761999999996</v>
      </c>
      <c r="W30" s="280">
        <f t="shared" si="9"/>
        <v>214.44038</v>
      </c>
      <c r="X30" s="280">
        <f t="shared" si="9"/>
        <v>585.98413999999991</v>
      </c>
      <c r="Y30" s="282">
        <f t="shared" si="9"/>
        <v>584.8374</v>
      </c>
      <c r="Z30" s="36"/>
    </row>
    <row r="31" spans="1:40" ht="33.75" customHeight="1" thickBot="1" x14ac:dyDescent="0.3">
      <c r="A31" s="195" t="s">
        <v>15</v>
      </c>
      <c r="B31" s="423"/>
      <c r="C31" s="38">
        <f>+(C26/C28)/7*1000</f>
        <v>35.578583765112263</v>
      </c>
      <c r="D31" s="38">
        <f t="shared" ref="D31:Y31" si="10">+(D26/D28)/7*1000</f>
        <v>35.555011026709138</v>
      </c>
      <c r="E31" s="38">
        <f t="shared" si="10"/>
        <v>34.794040315512703</v>
      </c>
      <c r="F31" s="38">
        <f t="shared" si="10"/>
        <v>35.593220338983052</v>
      </c>
      <c r="G31" s="38">
        <f t="shared" si="10"/>
        <v>35.604770017035776</v>
      </c>
      <c r="H31" s="259"/>
      <c r="I31" s="37"/>
      <c r="J31" s="38">
        <f t="shared" si="10"/>
        <v>35.616772306192097</v>
      </c>
      <c r="K31" s="38">
        <f t="shared" si="10"/>
        <v>35.532994923857871</v>
      </c>
      <c r="L31" s="38">
        <f t="shared" si="10"/>
        <v>30.084033613445381</v>
      </c>
      <c r="M31" s="38">
        <f t="shared" si="10"/>
        <v>33.783783783783782</v>
      </c>
      <c r="N31" s="38">
        <f t="shared" si="10"/>
        <v>33.91941391941392</v>
      </c>
      <c r="O31" s="259"/>
      <c r="P31" s="67">
        <f t="shared" si="10"/>
        <v>163.74745417515274</v>
      </c>
      <c r="Q31" s="38">
        <f t="shared" si="10"/>
        <v>163.68436491639775</v>
      </c>
      <c r="R31" s="38">
        <f t="shared" si="10"/>
        <v>156.21118012422357</v>
      </c>
      <c r="S31" s="38">
        <f t="shared" si="10"/>
        <v>163.80368098159508</v>
      </c>
      <c r="T31" s="207">
        <f t="shared" si="10"/>
        <v>163.82113821138211</v>
      </c>
      <c r="U31" s="37">
        <f t="shared" si="10"/>
        <v>163.86718749999997</v>
      </c>
      <c r="V31" s="38">
        <f t="shared" si="10"/>
        <v>163.74269005847952</v>
      </c>
      <c r="W31" s="38">
        <f t="shared" si="10"/>
        <v>163.63636363636363</v>
      </c>
      <c r="X31" s="38">
        <f t="shared" si="10"/>
        <v>164.0480849874196</v>
      </c>
      <c r="Y31" s="39">
        <f t="shared" si="10"/>
        <v>163.72549019607843</v>
      </c>
      <c r="Z31" s="40"/>
    </row>
    <row r="32" spans="1:40" ht="33.75" customHeight="1" x14ac:dyDescent="0.25">
      <c r="A32" s="41"/>
      <c r="B32" s="41"/>
      <c r="C32" s="42">
        <f>C30-C26</f>
        <v>0</v>
      </c>
      <c r="D32" s="42">
        <f t="shared" ref="D32:Y33" si="11">D30-D26</f>
        <v>0</v>
      </c>
      <c r="E32" s="42">
        <f t="shared" si="11"/>
        <v>0</v>
      </c>
      <c r="F32" s="42">
        <f t="shared" si="11"/>
        <v>0</v>
      </c>
      <c r="G32" s="42">
        <f t="shared" si="11"/>
        <v>0</v>
      </c>
      <c r="H32" s="42"/>
      <c r="I32" s="42"/>
      <c r="J32" s="42">
        <f t="shared" si="11"/>
        <v>0</v>
      </c>
      <c r="K32" s="42">
        <f>K30-K26</f>
        <v>0</v>
      </c>
      <c r="L32" s="42">
        <f t="shared" si="11"/>
        <v>0</v>
      </c>
      <c r="M32" s="42">
        <f t="shared" si="11"/>
        <v>0</v>
      </c>
      <c r="N32" s="42">
        <f t="shared" si="11"/>
        <v>0</v>
      </c>
      <c r="O32" s="42"/>
      <c r="P32" s="42">
        <f t="shared" si="11"/>
        <v>0.24933999999996104</v>
      </c>
      <c r="Q32" s="42">
        <f t="shared" si="11"/>
        <v>0.46238000000005286</v>
      </c>
      <c r="R32" s="42">
        <f t="shared" si="11"/>
        <v>3.48896000000002</v>
      </c>
      <c r="S32" s="42">
        <f t="shared" si="11"/>
        <v>5.5859999999938736E-2</v>
      </c>
      <c r="T32" s="42">
        <f t="shared" si="11"/>
        <v>-3.9199999999937063E-3</v>
      </c>
      <c r="U32" s="42">
        <f t="shared" si="11"/>
        <v>-0.16911999999990712</v>
      </c>
      <c r="V32" s="42">
        <f t="shared" si="11"/>
        <v>0.27761999999995624</v>
      </c>
      <c r="W32" s="42">
        <f t="shared" si="11"/>
        <v>0.24038000000001603</v>
      </c>
      <c r="X32" s="42">
        <f t="shared" si="11"/>
        <v>-0.81586000000004333</v>
      </c>
      <c r="Y32" s="42">
        <f t="shared" si="11"/>
        <v>0.33740000000000236</v>
      </c>
      <c r="Z32" s="48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</row>
    <row r="33" spans="1:38" ht="31.5" customHeight="1" x14ac:dyDescent="0.25">
      <c r="A33" s="41"/>
      <c r="B33" s="41"/>
      <c r="C33" s="42">
        <f>C31-C34</f>
        <v>5.8583765112253161E-2</v>
      </c>
      <c r="D33" s="42">
        <f t="shared" ref="D33:G33" si="12">D31-D34</f>
        <v>3.5011026709128146E-2</v>
      </c>
      <c r="E33" s="42">
        <f t="shared" si="12"/>
        <v>-0.7259596844873073</v>
      </c>
      <c r="F33" s="42">
        <f t="shared" si="12"/>
        <v>7.32203389830417E-2</v>
      </c>
      <c r="G33" s="42">
        <f t="shared" si="12"/>
        <v>8.4770017035765477E-2</v>
      </c>
      <c r="H33" s="42"/>
      <c r="I33" s="42"/>
      <c r="J33" s="42">
        <f t="shared" ref="J33:N33" si="13">J31-J34</f>
        <v>9.6772306192086432E-2</v>
      </c>
      <c r="K33" s="42">
        <f t="shared" si="13"/>
        <v>1.2994923857860385E-2</v>
      </c>
      <c r="L33" s="42">
        <f t="shared" si="13"/>
        <v>-3.7359663865546118</v>
      </c>
      <c r="M33" s="42">
        <f t="shared" si="13"/>
        <v>-3.6216216216210739E-2</v>
      </c>
      <c r="N33" s="42">
        <f t="shared" si="13"/>
        <v>9.9413919413926521E-2</v>
      </c>
      <c r="O33" s="42"/>
      <c r="P33" s="42">
        <f t="shared" si="11"/>
        <v>-7.2545824847253471E-2</v>
      </c>
      <c r="Q33" s="42">
        <f t="shared" si="11"/>
        <v>-0.13563508360223864</v>
      </c>
      <c r="R33" s="42">
        <f t="shared" si="11"/>
        <v>-2.7088198757764133</v>
      </c>
      <c r="S33" s="42">
        <f t="shared" si="11"/>
        <v>-1.6319018404914232E-2</v>
      </c>
      <c r="T33" s="42">
        <f t="shared" si="11"/>
        <v>1.1382113821127859E-3</v>
      </c>
      <c r="U33" s="42">
        <f t="shared" si="11"/>
        <v>4.71874999999784E-2</v>
      </c>
      <c r="V33" s="42">
        <f t="shared" si="11"/>
        <v>-7.7309941520468328E-2</v>
      </c>
      <c r="W33" s="42">
        <f t="shared" si="11"/>
        <v>-0.18363636363636715</v>
      </c>
      <c r="X33" s="42">
        <f t="shared" si="11"/>
        <v>0.22808498741960648</v>
      </c>
      <c r="Y33" s="42">
        <f t="shared" si="11"/>
        <v>-9.4509803921567936E-2</v>
      </c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thickBot="1" x14ac:dyDescent="0.3">
      <c r="A34" s="41"/>
      <c r="B34" s="41"/>
      <c r="C34" s="42">
        <f>C27-$B$35</f>
        <v>35.52000000000001</v>
      </c>
      <c r="D34" s="42">
        <f t="shared" ref="D34:G34" si="14">D27-$B$35</f>
        <v>35.52000000000001</v>
      </c>
      <c r="E34" s="42">
        <f t="shared" si="14"/>
        <v>35.52000000000001</v>
      </c>
      <c r="F34" s="42">
        <f t="shared" si="14"/>
        <v>35.52000000000001</v>
      </c>
      <c r="G34" s="42">
        <f t="shared" si="14"/>
        <v>35.52000000000001</v>
      </c>
      <c r="H34" s="42"/>
      <c r="I34" s="42"/>
      <c r="J34" s="42">
        <f>J27-$I$35</f>
        <v>35.52000000000001</v>
      </c>
      <c r="K34" s="42">
        <f t="shared" ref="K34:N34" si="15">K27-$I$35</f>
        <v>35.52000000000001</v>
      </c>
      <c r="L34" s="42">
        <f t="shared" si="15"/>
        <v>33.819999999999993</v>
      </c>
      <c r="M34" s="42">
        <f t="shared" si="15"/>
        <v>33.819999999999993</v>
      </c>
      <c r="N34" s="42">
        <f t="shared" si="15"/>
        <v>33.819999999999993</v>
      </c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1"/>
    </row>
    <row r="35" spans="1:38" ht="33.75" customHeight="1" x14ac:dyDescent="0.25">
      <c r="A35" s="41"/>
      <c r="B35" s="501">
        <v>130</v>
      </c>
      <c r="C35" s="500">
        <f>(B35*D35)/1000</f>
        <v>325.26</v>
      </c>
      <c r="D35" s="432">
        <f>SUM(C28:G28)</f>
        <v>2502</v>
      </c>
      <c r="E35" s="42"/>
      <c r="F35" s="42"/>
      <c r="G35" s="42"/>
      <c r="H35" s="42"/>
      <c r="I35" s="514">
        <v>130</v>
      </c>
      <c r="J35" s="431">
        <f>(I35*K35)/1000</f>
        <v>328.12</v>
      </c>
      <c r="K35" s="432">
        <f>SUM(J28:N28)</f>
        <v>2524</v>
      </c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30" t="s">
        <v>106</v>
      </c>
      <c r="C36" s="500" t="s">
        <v>107</v>
      </c>
      <c r="D36" s="431" t="s">
        <v>108</v>
      </c>
      <c r="E36" s="42"/>
      <c r="F36" s="42"/>
      <c r="G36" s="42"/>
      <c r="H36" s="42"/>
      <c r="I36" s="430" t="s">
        <v>106</v>
      </c>
      <c r="J36" s="431" t="s">
        <v>107</v>
      </c>
      <c r="K36" s="431" t="s">
        <v>108</v>
      </c>
      <c r="L36" s="42"/>
      <c r="M36" s="42"/>
      <c r="N36" s="534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264"/>
      <c r="L37" s="42"/>
      <c r="M37" s="42"/>
      <c r="N37" s="534"/>
      <c r="O37" s="42"/>
      <c r="P37" s="264"/>
      <c r="Q37" s="42"/>
      <c r="R37" s="42"/>
      <c r="S37" s="42"/>
      <c r="T37" s="42"/>
      <c r="U37" s="264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1"/>
    </row>
    <row r="38" spans="1:38" ht="33.75" customHeight="1" x14ac:dyDescent="0.25">
      <c r="A38" s="41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1"/>
    </row>
    <row r="39" spans="1:38" s="2" customFormat="1" ht="33.75" customHeight="1" thickBot="1" x14ac:dyDescent="0.3">
      <c r="B39" s="43"/>
      <c r="C39" s="350"/>
      <c r="D39" s="350"/>
      <c r="E39" s="350"/>
      <c r="F39" s="350"/>
      <c r="G39" s="350"/>
      <c r="H39" s="318"/>
      <c r="I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3"/>
    </row>
    <row r="40" spans="1:38" ht="33.75" customHeight="1" thickBot="1" x14ac:dyDescent="0.3">
      <c r="A40" s="69" t="s">
        <v>16</v>
      </c>
      <c r="B40" s="973" t="s">
        <v>17</v>
      </c>
      <c r="C40" s="974"/>
      <c r="D40" s="974"/>
      <c r="E40" s="974"/>
      <c r="F40" s="974"/>
      <c r="G40" s="977" t="s">
        <v>9</v>
      </c>
      <c r="H40" s="47"/>
      <c r="L40" s="426" t="s">
        <v>18</v>
      </c>
      <c r="M40" s="980" t="s">
        <v>17</v>
      </c>
      <c r="N40" s="972"/>
      <c r="O40" s="972"/>
      <c r="P40" s="972"/>
      <c r="Q40" s="990"/>
      <c r="R40" s="977" t="s">
        <v>9</v>
      </c>
      <c r="S40" s="269"/>
      <c r="U40" s="45"/>
      <c r="V40" s="45"/>
      <c r="W40" s="46"/>
      <c r="X40" s="3"/>
      <c r="Y40" s="45"/>
      <c r="Z40" s="45"/>
      <c r="AA40" s="45"/>
      <c r="AB40" s="3"/>
    </row>
    <row r="41" spans="1:38" ht="33.75" customHeight="1" thickBot="1" x14ac:dyDescent="0.3">
      <c r="A41" s="170" t="s">
        <v>34</v>
      </c>
      <c r="B41" s="141"/>
      <c r="C41" s="118"/>
      <c r="D41" s="118"/>
      <c r="E41" s="118"/>
      <c r="F41" s="121"/>
      <c r="G41" s="985"/>
      <c r="H41" s="47"/>
      <c r="I41" s="47"/>
      <c r="J41" s="47"/>
      <c r="K41" s="47"/>
      <c r="L41" s="428" t="s">
        <v>33</v>
      </c>
      <c r="M41" s="168">
        <v>1</v>
      </c>
      <c r="N41" s="249">
        <v>2</v>
      </c>
      <c r="O41" s="249">
        <v>3</v>
      </c>
      <c r="P41" s="249"/>
      <c r="Q41" s="250"/>
      <c r="R41" s="979"/>
      <c r="S41" s="2"/>
      <c r="U41" s="47"/>
      <c r="V41" s="47"/>
      <c r="W41" s="3"/>
      <c r="X41" s="46"/>
      <c r="Y41" s="3"/>
      <c r="Z41" s="45"/>
      <c r="AA41" s="45"/>
      <c r="AB41" s="45"/>
    </row>
    <row r="42" spans="1:38" ht="33.75" customHeight="1" thickBot="1" x14ac:dyDescent="0.3">
      <c r="A42" s="170" t="s">
        <v>10</v>
      </c>
      <c r="B42" s="11">
        <v>1</v>
      </c>
      <c r="C42" s="16">
        <v>2</v>
      </c>
      <c r="D42" s="16">
        <v>3</v>
      </c>
      <c r="E42" s="16">
        <v>4</v>
      </c>
      <c r="F42" s="107">
        <v>5</v>
      </c>
      <c r="G42" s="984"/>
      <c r="H42" s="47"/>
      <c r="I42" s="47"/>
      <c r="J42" s="47"/>
      <c r="K42" s="47"/>
      <c r="L42" s="427" t="s">
        <v>10</v>
      </c>
      <c r="M42" s="114">
        <v>1</v>
      </c>
      <c r="N42" s="114">
        <v>2</v>
      </c>
      <c r="O42" s="114">
        <v>3</v>
      </c>
      <c r="P42" s="114">
        <v>4</v>
      </c>
      <c r="Q42" s="116">
        <v>5</v>
      </c>
      <c r="R42" s="126"/>
      <c r="S42" s="270"/>
      <c r="U42" s="47"/>
      <c r="V42" s="47"/>
      <c r="W42" s="48"/>
      <c r="X42" s="48"/>
      <c r="Y42" s="2"/>
      <c r="Z42" s="2"/>
      <c r="AA42" s="2"/>
      <c r="AB42" s="2"/>
    </row>
    <row r="43" spans="1:38" ht="33.75" customHeight="1" x14ac:dyDescent="0.25">
      <c r="A43" s="171" t="s">
        <v>32</v>
      </c>
      <c r="B43" s="573">
        <v>98.5</v>
      </c>
      <c r="C43" s="486">
        <v>98.5</v>
      </c>
      <c r="D43" s="486">
        <v>27.6</v>
      </c>
      <c r="E43" s="486">
        <v>100.7</v>
      </c>
      <c r="F43" s="574">
        <v>97.8</v>
      </c>
      <c r="G43" s="509">
        <f t="shared" ref="G43:G50" si="16">SUM(B43:F43)</f>
        <v>423.1</v>
      </c>
      <c r="H43" s="988"/>
      <c r="I43" s="989"/>
      <c r="J43" s="989"/>
      <c r="K43" s="989"/>
      <c r="L43" s="171" t="s">
        <v>53</v>
      </c>
      <c r="M43" s="19">
        <v>8.8000000000000007</v>
      </c>
      <c r="N43" s="19">
        <v>8.6</v>
      </c>
      <c r="O43" s="19">
        <v>1.6</v>
      </c>
      <c r="P43" s="19">
        <v>8.4</v>
      </c>
      <c r="Q43" s="108">
        <v>8.1999999999999993</v>
      </c>
      <c r="R43" s="209">
        <f t="shared" ref="R43:R49" si="17">SUM(M43:Q43)</f>
        <v>35.599999999999994</v>
      </c>
      <c r="S43" s="271"/>
      <c r="T43" s="302"/>
      <c r="U43" s="2"/>
      <c r="V43" s="49"/>
      <c r="W43" s="48"/>
      <c r="X43" s="48"/>
      <c r="Y43" s="2"/>
      <c r="Z43" s="2"/>
      <c r="AA43" s="2"/>
      <c r="AB43" s="2"/>
    </row>
    <row r="44" spans="1:38" ht="33.75" customHeight="1" x14ac:dyDescent="0.25">
      <c r="A44" s="171" t="s">
        <v>24</v>
      </c>
      <c r="B44" s="142">
        <v>98.2</v>
      </c>
      <c r="C44" s="486">
        <v>97.8</v>
      </c>
      <c r="D44" s="486">
        <v>27.7</v>
      </c>
      <c r="E44" s="486">
        <v>100.5</v>
      </c>
      <c r="F44" s="537">
        <v>97.4</v>
      </c>
      <c r="G44" s="509">
        <f t="shared" si="16"/>
        <v>421.6</v>
      </c>
      <c r="H44" s="988"/>
      <c r="I44" s="989"/>
      <c r="J44" s="989"/>
      <c r="K44" s="989"/>
      <c r="L44" s="171" t="s">
        <v>24</v>
      </c>
      <c r="M44" s="19">
        <v>8.8000000000000007</v>
      </c>
      <c r="N44" s="19">
        <v>8.6</v>
      </c>
      <c r="O44" s="19">
        <v>1.7</v>
      </c>
      <c r="P44" s="19">
        <v>8.5</v>
      </c>
      <c r="Q44" s="108">
        <v>8.1999999999999993</v>
      </c>
      <c r="R44" s="209">
        <f t="shared" si="17"/>
        <v>35.799999999999997</v>
      </c>
      <c r="S44" s="271"/>
      <c r="T44" s="302"/>
      <c r="U44" s="2"/>
      <c r="V44" s="49"/>
      <c r="W44" s="48"/>
      <c r="X44" s="48"/>
      <c r="Y44" s="2"/>
      <c r="Z44" s="2"/>
      <c r="AA44" s="2"/>
      <c r="AB44" s="2"/>
    </row>
    <row r="45" spans="1:38" ht="33.75" customHeight="1" x14ac:dyDescent="0.25">
      <c r="A45" s="171" t="s">
        <v>20</v>
      </c>
      <c r="B45" s="475">
        <v>100.4</v>
      </c>
      <c r="C45" s="486">
        <v>97.8</v>
      </c>
      <c r="D45" s="572">
        <v>28.1</v>
      </c>
      <c r="E45" s="486">
        <v>100.4</v>
      </c>
      <c r="F45" s="575">
        <v>99.8</v>
      </c>
      <c r="G45" s="509">
        <f t="shared" si="16"/>
        <v>426.5</v>
      </c>
      <c r="H45" s="988"/>
      <c r="I45" s="989"/>
      <c r="J45" s="989"/>
      <c r="K45" s="989"/>
      <c r="L45" s="171" t="s">
        <v>20</v>
      </c>
      <c r="M45" s="19">
        <v>8.8000000000000007</v>
      </c>
      <c r="N45" s="19">
        <v>8.6</v>
      </c>
      <c r="O45" s="19">
        <v>1.7</v>
      </c>
      <c r="P45" s="19">
        <v>8.4</v>
      </c>
      <c r="Q45" s="108">
        <v>8.1999999999999993</v>
      </c>
      <c r="R45" s="209">
        <f t="shared" si="17"/>
        <v>35.700000000000003</v>
      </c>
      <c r="S45" s="271"/>
      <c r="T45" s="302"/>
      <c r="U45" s="2"/>
      <c r="V45" s="49"/>
      <c r="W45" s="48"/>
      <c r="X45" s="48"/>
      <c r="Y45" s="2"/>
      <c r="Z45" s="2"/>
      <c r="AA45" s="2"/>
      <c r="AB45" s="2"/>
    </row>
    <row r="46" spans="1:38" ht="33.75" customHeight="1" x14ac:dyDescent="0.25">
      <c r="A46" s="171" t="s">
        <v>28</v>
      </c>
      <c r="B46" s="142">
        <v>100.3</v>
      </c>
      <c r="C46" s="572">
        <v>99.7</v>
      </c>
      <c r="D46" s="486">
        <v>28.1</v>
      </c>
      <c r="E46" s="486">
        <v>100.2</v>
      </c>
      <c r="F46" s="537">
        <v>99.4</v>
      </c>
      <c r="G46" s="509">
        <f t="shared" si="16"/>
        <v>427.70000000000005</v>
      </c>
      <c r="H46" s="988"/>
      <c r="I46" s="989"/>
      <c r="J46" s="989"/>
      <c r="K46" s="989"/>
      <c r="L46" s="171" t="s">
        <v>28</v>
      </c>
      <c r="M46" s="19">
        <v>8.8000000000000007</v>
      </c>
      <c r="N46" s="19">
        <v>8.6</v>
      </c>
      <c r="O46" s="19">
        <v>1.7</v>
      </c>
      <c r="P46" s="19">
        <v>8.5</v>
      </c>
      <c r="Q46" s="108">
        <v>8.1999999999999993</v>
      </c>
      <c r="R46" s="209">
        <f t="shared" si="17"/>
        <v>35.799999999999997</v>
      </c>
      <c r="S46" s="271"/>
      <c r="T46" s="302"/>
      <c r="U46" s="2"/>
      <c r="V46" s="49"/>
      <c r="W46" s="48"/>
      <c r="X46" s="48"/>
      <c r="Y46" s="2"/>
      <c r="Z46" s="2"/>
      <c r="AA46" s="2"/>
      <c r="AB46" s="2"/>
    </row>
    <row r="47" spans="1:38" ht="33.75" customHeight="1" x14ac:dyDescent="0.25">
      <c r="A47" s="171" t="s">
        <v>21</v>
      </c>
      <c r="B47" s="142">
        <v>100.1</v>
      </c>
      <c r="C47" s="486">
        <v>99.6</v>
      </c>
      <c r="D47" s="578">
        <v>28.7</v>
      </c>
      <c r="E47" s="578">
        <v>102.8</v>
      </c>
      <c r="F47" s="537">
        <v>99.2</v>
      </c>
      <c r="G47" s="509">
        <f t="shared" si="16"/>
        <v>430.4</v>
      </c>
      <c r="H47" s="988"/>
      <c r="I47" s="989"/>
      <c r="J47" s="989"/>
      <c r="K47" s="989"/>
      <c r="L47" s="171" t="s">
        <v>21</v>
      </c>
      <c r="M47" s="19">
        <v>8.8000000000000007</v>
      </c>
      <c r="N47" s="19">
        <v>8.6</v>
      </c>
      <c r="O47" s="19">
        <v>1.7</v>
      </c>
      <c r="P47" s="19">
        <v>8.5</v>
      </c>
      <c r="Q47" s="108">
        <v>8.1999999999999993</v>
      </c>
      <c r="R47" s="209">
        <f>SUM(M47:Q47)</f>
        <v>35.799999999999997</v>
      </c>
      <c r="S47" s="271"/>
      <c r="T47" s="302"/>
      <c r="U47" s="2"/>
      <c r="V47" s="49"/>
      <c r="W47" s="48"/>
      <c r="X47" s="48"/>
      <c r="Y47" s="2"/>
      <c r="Z47" s="2"/>
      <c r="AA47" s="2"/>
      <c r="AB47" s="2"/>
    </row>
    <row r="48" spans="1:38" ht="33.75" customHeight="1" x14ac:dyDescent="0.25">
      <c r="A48" s="171" t="s">
        <v>22</v>
      </c>
      <c r="B48" s="142">
        <v>100.1</v>
      </c>
      <c r="C48" s="486">
        <v>99.3</v>
      </c>
      <c r="D48" s="486">
        <v>28.6</v>
      </c>
      <c r="E48" s="486">
        <v>102.8</v>
      </c>
      <c r="F48" s="537">
        <v>99.1</v>
      </c>
      <c r="G48" s="509">
        <f t="shared" si="16"/>
        <v>429.9</v>
      </c>
      <c r="H48" s="988"/>
      <c r="I48" s="989"/>
      <c r="J48" s="989"/>
      <c r="K48" s="989"/>
      <c r="L48" s="171" t="s">
        <v>22</v>
      </c>
      <c r="M48" s="19">
        <v>8.8000000000000007</v>
      </c>
      <c r="N48" s="19">
        <v>8.6</v>
      </c>
      <c r="O48" s="19">
        <v>1.7</v>
      </c>
      <c r="P48" s="19">
        <v>8.5</v>
      </c>
      <c r="Q48" s="108">
        <v>8.1999999999999993</v>
      </c>
      <c r="R48" s="209">
        <f>SUM(M48:Q48)</f>
        <v>35.799999999999997</v>
      </c>
      <c r="S48" s="271"/>
      <c r="T48" s="302"/>
      <c r="U48" s="2"/>
      <c r="V48" s="49"/>
      <c r="W48" s="48"/>
      <c r="X48" s="48"/>
      <c r="Y48" s="2"/>
      <c r="Z48" s="2"/>
      <c r="AA48" s="2"/>
      <c r="AB48" s="2"/>
    </row>
    <row r="49" spans="1:49" ht="33.75" customHeight="1" thickBot="1" x14ac:dyDescent="0.3">
      <c r="A49" s="285" t="s">
        <v>32</v>
      </c>
      <c r="B49" s="579">
        <v>102.5</v>
      </c>
      <c r="C49" s="486">
        <v>99.1</v>
      </c>
      <c r="D49" s="486">
        <v>28.2</v>
      </c>
      <c r="E49" s="486">
        <v>102.5</v>
      </c>
      <c r="F49" s="537">
        <v>101.6</v>
      </c>
      <c r="G49" s="526">
        <f t="shared" si="16"/>
        <v>433.9</v>
      </c>
      <c r="H49" s="988"/>
      <c r="I49" s="989"/>
      <c r="J49" s="989"/>
      <c r="K49" s="989"/>
      <c r="L49" s="285" t="s">
        <v>23</v>
      </c>
      <c r="M49" s="19">
        <v>8.8000000000000007</v>
      </c>
      <c r="N49" s="19">
        <v>8.6</v>
      </c>
      <c r="O49" s="19">
        <v>1.7</v>
      </c>
      <c r="P49" s="19">
        <v>8.5</v>
      </c>
      <c r="Q49" s="108">
        <v>8.1999999999999993</v>
      </c>
      <c r="R49" s="376">
        <f t="shared" si="17"/>
        <v>35.799999999999997</v>
      </c>
      <c r="S49" s="271"/>
      <c r="T49" s="302"/>
      <c r="U49" s="2"/>
      <c r="V49" s="49"/>
      <c r="W49" s="48"/>
      <c r="X49" s="48"/>
      <c r="Y49" s="48"/>
      <c r="Z49" s="48"/>
      <c r="AA49" s="2"/>
      <c r="AB49" s="2"/>
      <c r="AC49" s="2"/>
      <c r="AD49" s="2"/>
    </row>
    <row r="50" spans="1:49" ht="33.75" customHeight="1" x14ac:dyDescent="0.25">
      <c r="A50" s="290" t="s">
        <v>9</v>
      </c>
      <c r="B50" s="131">
        <f>SUM(B43:B49)</f>
        <v>700.1</v>
      </c>
      <c r="C50" s="128">
        <f t="shared" ref="C50:F50" si="18">SUM(C43:C49)</f>
        <v>691.8</v>
      </c>
      <c r="D50" s="128">
        <f t="shared" si="18"/>
        <v>196.99999999999997</v>
      </c>
      <c r="E50" s="128">
        <f t="shared" si="18"/>
        <v>709.9</v>
      </c>
      <c r="F50" s="129">
        <f t="shared" si="18"/>
        <v>694.3</v>
      </c>
      <c r="G50" s="265">
        <f t="shared" si="16"/>
        <v>2993.1000000000004</v>
      </c>
      <c r="H50" s="988"/>
      <c r="I50" s="989"/>
      <c r="J50" s="989"/>
      <c r="K50" s="989"/>
      <c r="L50" s="290" t="s">
        <v>9</v>
      </c>
      <c r="M50" s="133">
        <f>SUM(M43:M49)</f>
        <v>61.599999999999994</v>
      </c>
      <c r="N50" s="134">
        <f>SUM(N43:N49)</f>
        <v>60.2</v>
      </c>
      <c r="O50" s="134">
        <f>SUM(O43:O49)</f>
        <v>11.799999999999999</v>
      </c>
      <c r="P50" s="134">
        <f t="shared" ref="P50:Q50" si="19">SUM(P43:P49)</f>
        <v>59.3</v>
      </c>
      <c r="Q50" s="260">
        <f t="shared" si="19"/>
        <v>57.400000000000006</v>
      </c>
      <c r="R50" s="240">
        <f>SUM(R43:R49)</f>
        <v>250.3</v>
      </c>
      <c r="S50" s="272"/>
      <c r="U50" s="49"/>
      <c r="V50" s="49"/>
      <c r="W50" s="2"/>
      <c r="X50" s="2"/>
      <c r="Y50" s="2"/>
      <c r="Z50" s="2"/>
      <c r="AA50" s="2"/>
      <c r="AB50" s="2"/>
      <c r="AC50" s="2"/>
      <c r="AD50" s="2"/>
    </row>
    <row r="51" spans="1:49" ht="33.75" customHeight="1" x14ac:dyDescent="0.25">
      <c r="A51" s="192" t="s">
        <v>11</v>
      </c>
      <c r="B51" s="23">
        <v>158.69999999999999</v>
      </c>
      <c r="C51" s="24">
        <v>154.63999999999999</v>
      </c>
      <c r="D51" s="24">
        <v>158.69999999999999</v>
      </c>
      <c r="E51" s="24">
        <v>158.69999999999999</v>
      </c>
      <c r="F51" s="25">
        <v>158.69999999999999</v>
      </c>
      <c r="G51" s="137">
        <f>+((G50/G52)/7)*1000</f>
        <v>155.42919457859483</v>
      </c>
      <c r="H51" s="988"/>
      <c r="I51" s="989"/>
      <c r="J51" s="989"/>
      <c r="K51" s="989"/>
      <c r="L51" s="273" t="s">
        <v>11</v>
      </c>
      <c r="M51" s="23">
        <v>155</v>
      </c>
      <c r="N51" s="24">
        <v>153.5</v>
      </c>
      <c r="O51" s="24">
        <v>151</v>
      </c>
      <c r="P51" s="24">
        <v>153</v>
      </c>
      <c r="Q51" s="228">
        <v>151.5</v>
      </c>
      <c r="R51" s="232">
        <f>+((R50/R52)/7)*1000</f>
        <v>153.46413243408952</v>
      </c>
      <c r="S51" s="2"/>
      <c r="U51" s="50"/>
      <c r="V51" s="50"/>
    </row>
    <row r="52" spans="1:49" ht="33.75" customHeight="1" x14ac:dyDescent="0.25">
      <c r="A52" s="193" t="s">
        <v>12</v>
      </c>
      <c r="B52" s="26">
        <v>646</v>
      </c>
      <c r="C52" s="27">
        <v>641</v>
      </c>
      <c r="D52" s="27">
        <v>178</v>
      </c>
      <c r="E52" s="27">
        <v>646</v>
      </c>
      <c r="F52" s="28">
        <v>640</v>
      </c>
      <c r="G52" s="395">
        <f>SUM(B52:F52)</f>
        <v>2751</v>
      </c>
      <c r="H52" s="988"/>
      <c r="I52" s="989"/>
      <c r="J52" s="989"/>
      <c r="K52" s="989"/>
      <c r="L52" s="193" t="s">
        <v>12</v>
      </c>
      <c r="M52" s="257">
        <v>57</v>
      </c>
      <c r="N52" s="275">
        <v>56</v>
      </c>
      <c r="O52" s="275">
        <v>11</v>
      </c>
      <c r="P52" s="275">
        <v>55</v>
      </c>
      <c r="Q52" s="527">
        <v>54</v>
      </c>
      <c r="R52" s="233">
        <f>SUM(M52:Q52)</f>
        <v>233</v>
      </c>
      <c r="S52" s="2"/>
      <c r="U52" s="52"/>
      <c r="V52" s="52"/>
    </row>
    <row r="53" spans="1:49" ht="33.75" customHeight="1" x14ac:dyDescent="0.25">
      <c r="A53" s="194" t="s">
        <v>13</v>
      </c>
      <c r="B53" s="30">
        <f>((((B51*7)*B52)/1000))/7</f>
        <v>102.52019999999997</v>
      </c>
      <c r="C53" s="31">
        <f t="shared" ref="C53:F53" si="20">((((C51*7)*C52)/1000))/7</f>
        <v>99.12424</v>
      </c>
      <c r="D53" s="31">
        <f t="shared" si="20"/>
        <v>28.2486</v>
      </c>
      <c r="E53" s="31">
        <f t="shared" si="20"/>
        <v>102.52019999999997</v>
      </c>
      <c r="F53" s="32">
        <f t="shared" si="20"/>
        <v>101.56799999999998</v>
      </c>
      <c r="G53" s="139">
        <f>((G50*1000)/G52)/7</f>
        <v>155.42919457859483</v>
      </c>
      <c r="H53" s="988"/>
      <c r="I53" s="989"/>
      <c r="J53" s="989"/>
      <c r="K53" s="989"/>
      <c r="L53" s="194" t="s">
        <v>13</v>
      </c>
      <c r="M53" s="30">
        <f>((((M51*7)*M52)/1000)-(M43+M44))/5</f>
        <v>8.8490000000000002</v>
      </c>
      <c r="N53" s="31">
        <f>((((N51*7)*N52)/1000)-(N43+N44))/5</f>
        <v>8.5943999999999985</v>
      </c>
      <c r="O53" s="31">
        <f>((((O51*7)*O52)/1000)-(O43+O44))/5</f>
        <v>1.6654000000000004</v>
      </c>
      <c r="P53" s="31">
        <f>((((P51*7)*P52)/1000)-(P43+P44))/5</f>
        <v>8.4009999999999998</v>
      </c>
      <c r="Q53" s="163">
        <f t="shared" ref="Q53" si="21">((((Q51*7)*Q52)/1000)-(Q43+Q44))/5</f>
        <v>8.1734000000000009</v>
      </c>
      <c r="R53" s="234">
        <f>((R50*1000)/R52)/7</f>
        <v>153.46413243408952</v>
      </c>
      <c r="S53" s="43"/>
      <c r="U53" s="52"/>
      <c r="V53" s="52"/>
    </row>
    <row r="54" spans="1:49" ht="33.75" customHeight="1" x14ac:dyDescent="0.25">
      <c r="A54" s="185" t="s">
        <v>14</v>
      </c>
      <c r="B54" s="279">
        <f>((B52*B51)*7)/1000</f>
        <v>717.64139999999998</v>
      </c>
      <c r="C54" s="280">
        <f>((C52*C51)*7)/1000</f>
        <v>693.8696799999999</v>
      </c>
      <c r="D54" s="280">
        <f>((D52*D51)*7)/1000</f>
        <v>197.74019999999999</v>
      </c>
      <c r="E54" s="280">
        <f>((E52*E51)*7)/1000</f>
        <v>717.64139999999998</v>
      </c>
      <c r="F54" s="282">
        <f>((F52*F51)*7)/1000</f>
        <v>710.976</v>
      </c>
      <c r="G54" s="112"/>
      <c r="H54" s="988"/>
      <c r="I54" s="989"/>
      <c r="J54" s="989"/>
      <c r="K54" s="989"/>
      <c r="L54" s="185" t="s">
        <v>14</v>
      </c>
      <c r="M54" s="279">
        <f>((M52*M51)*7)/1000</f>
        <v>61.844999999999999</v>
      </c>
      <c r="N54" s="280">
        <f>((N52*N51)*7)/1000</f>
        <v>60.171999999999997</v>
      </c>
      <c r="O54" s="280">
        <f>((O52*O51)*7)/1000</f>
        <v>11.627000000000001</v>
      </c>
      <c r="P54" s="280">
        <f t="shared" ref="P54:Q54" si="22">((P52*P51)*7)/1000</f>
        <v>58.905000000000001</v>
      </c>
      <c r="Q54" s="281">
        <f t="shared" si="22"/>
        <v>57.267000000000003</v>
      </c>
      <c r="R54" s="213"/>
      <c r="S54" s="41"/>
    </row>
    <row r="55" spans="1:49" ht="33.75" customHeight="1" thickBot="1" x14ac:dyDescent="0.3">
      <c r="A55" s="195" t="s">
        <v>15</v>
      </c>
      <c r="B55" s="37">
        <f t="shared" ref="B55:E55" si="23">+(B50/B52)/7*1000</f>
        <v>154.82087571870855</v>
      </c>
      <c r="C55" s="38">
        <f t="shared" si="23"/>
        <v>154.17873857811455</v>
      </c>
      <c r="D55" s="38">
        <f t="shared" si="23"/>
        <v>158.10593900481541</v>
      </c>
      <c r="E55" s="38">
        <f t="shared" si="23"/>
        <v>156.98805838124724</v>
      </c>
      <c r="F55" s="39">
        <f>+(F50/F52)/7*1000</f>
        <v>154.97767857142856</v>
      </c>
      <c r="G55" s="140"/>
      <c r="H55" s="988"/>
      <c r="I55" s="989"/>
      <c r="J55" s="989"/>
      <c r="K55" s="989"/>
      <c r="L55" s="195" t="s">
        <v>15</v>
      </c>
      <c r="M55" s="37">
        <f>+(M50/M52)/7*1000</f>
        <v>154.38596491228068</v>
      </c>
      <c r="N55" s="38">
        <f>+(N50/N52)/7*1000</f>
        <v>153.57142857142856</v>
      </c>
      <c r="O55" s="38">
        <f>+(O50/O52)/7*1000</f>
        <v>153.2467532467532</v>
      </c>
      <c r="P55" s="38">
        <f t="shared" ref="P55:Q55" si="24">+(P50/P52)/7*1000</f>
        <v>154.02597402597402</v>
      </c>
      <c r="Q55" s="207">
        <f t="shared" si="24"/>
        <v>151.85185185185188</v>
      </c>
      <c r="R55" s="262"/>
      <c r="S55" s="42"/>
      <c r="U55" s="42"/>
      <c r="V55" s="42"/>
    </row>
    <row r="56" spans="1:49" ht="33.75" customHeight="1" x14ac:dyDescent="0.25">
      <c r="A56" s="41"/>
      <c r="B56" s="43">
        <f>B54-B50</f>
        <v>17.541399999999953</v>
      </c>
      <c r="C56" s="43">
        <f t="shared" ref="C56:F57" si="25">C54-C50</f>
        <v>2.0696799999999484</v>
      </c>
      <c r="D56" s="43">
        <f t="shared" si="25"/>
        <v>0.74020000000001573</v>
      </c>
      <c r="E56" s="43">
        <f>E54-E50</f>
        <v>7.7413999999999987</v>
      </c>
      <c r="F56" s="43">
        <f t="shared" si="25"/>
        <v>16.676000000000045</v>
      </c>
      <c r="G56" s="41"/>
      <c r="H56" s="41"/>
      <c r="I56" s="41"/>
      <c r="J56" s="41"/>
      <c r="K56" s="41"/>
      <c r="L56" s="42"/>
      <c r="M56" s="42">
        <f>M54-M50</f>
        <v>0.24500000000000455</v>
      </c>
      <c r="N56" s="42">
        <f t="shared" ref="N56:Q57" si="26">N54-N50</f>
        <v>-2.8000000000005798E-2</v>
      </c>
      <c r="O56" s="42">
        <f t="shared" si="26"/>
        <v>-0.17299999999999827</v>
      </c>
      <c r="P56" s="42">
        <f t="shared" si="26"/>
        <v>-0.39499999999999602</v>
      </c>
      <c r="Q56" s="42">
        <f t="shared" si="26"/>
        <v>-0.13300000000000267</v>
      </c>
      <c r="T56" s="42"/>
      <c r="U56" s="42"/>
      <c r="V56" s="2"/>
      <c r="W56" s="2"/>
      <c r="X56" s="2"/>
      <c r="Y56" s="2"/>
      <c r="Z56" s="2"/>
    </row>
    <row r="57" spans="1:49" ht="33.75" customHeight="1" x14ac:dyDescent="0.25">
      <c r="A57" s="41"/>
      <c r="B57" s="42">
        <f>B55-B51</f>
        <v>-3.879124281291439</v>
      </c>
      <c r="C57" s="42">
        <f>C55-C51</f>
        <v>-0.46126142188543895</v>
      </c>
      <c r="D57" s="42">
        <f t="shared" si="25"/>
        <v>-0.59406099518457722</v>
      </c>
      <c r="E57" s="42">
        <f>E55-E51</f>
        <v>-1.7119416187527463</v>
      </c>
      <c r="F57" s="42">
        <f>F55-F51</f>
        <v>-3.7223214285714334</v>
      </c>
      <c r="G57" s="41"/>
      <c r="H57" s="41"/>
      <c r="I57" s="41"/>
      <c r="J57" s="41"/>
      <c r="K57" s="42"/>
      <c r="L57" s="42"/>
      <c r="M57" s="42">
        <f>M55-M51</f>
        <v>-0.6140350877193157</v>
      </c>
      <c r="N57" s="42">
        <f t="shared" si="26"/>
        <v>7.1428571428555188E-2</v>
      </c>
      <c r="O57" s="42">
        <f>O55-O51</f>
        <v>2.246753246753201</v>
      </c>
      <c r="P57" s="42">
        <f t="shared" si="26"/>
        <v>1.0259740259740227</v>
      </c>
      <c r="Q57" s="42">
        <f t="shared" si="26"/>
        <v>0.35185185185187606</v>
      </c>
      <c r="T57" s="43"/>
      <c r="U57" s="43"/>
      <c r="V57" s="2"/>
      <c r="W57" s="2"/>
      <c r="X57" s="2"/>
      <c r="Y57" s="2"/>
      <c r="AC57" s="3"/>
    </row>
    <row r="58" spans="1:49" ht="33.75" customHeight="1" x14ac:dyDescent="0.25">
      <c r="A58" s="41"/>
      <c r="B58" s="287"/>
      <c r="C58" s="287"/>
      <c r="D58" s="287"/>
      <c r="E58" s="287"/>
      <c r="F58" s="287"/>
      <c r="G58" s="264"/>
      <c r="H58" s="41"/>
      <c r="I58" s="41"/>
      <c r="J58" s="41"/>
      <c r="K58" s="41"/>
      <c r="L58" s="41"/>
      <c r="M58" s="41"/>
      <c r="N58" s="41"/>
      <c r="O58" s="42"/>
      <c r="P58" s="42"/>
      <c r="Q58" s="42"/>
      <c r="R58" s="42"/>
      <c r="S58" s="42"/>
      <c r="T58" s="42"/>
      <c r="U58" s="42"/>
      <c r="V58" s="42"/>
      <c r="W58" s="42"/>
      <c r="X58" s="43"/>
      <c r="Y58" s="43"/>
      <c r="Z58" s="43"/>
      <c r="AA58" s="2"/>
      <c r="AB58" s="2"/>
      <c r="AC58" s="2"/>
      <c r="AD58" s="2"/>
      <c r="AH58" s="3"/>
    </row>
    <row r="59" spans="1:49" ht="33.75" customHeight="1" thickBot="1" x14ac:dyDescent="0.3">
      <c r="A59" s="53"/>
      <c r="B59" s="284"/>
      <c r="C59" s="284"/>
      <c r="D59" s="284"/>
      <c r="E59" s="284"/>
      <c r="F59" s="284"/>
      <c r="G59" s="284"/>
      <c r="H59" s="54"/>
      <c r="I59" s="54"/>
      <c r="J59" s="54"/>
      <c r="K59" s="54"/>
      <c r="L59" s="54"/>
      <c r="M59" s="54"/>
      <c r="N59" s="54"/>
      <c r="O59" s="958"/>
      <c r="P59" s="958"/>
      <c r="Q59" s="283"/>
      <c r="R59" s="283"/>
      <c r="S59" s="283"/>
      <c r="T59" s="54"/>
      <c r="U59" s="55"/>
      <c r="Z59" s="43"/>
      <c r="AA59" s="43"/>
      <c r="AB59" s="43"/>
      <c r="AC59" s="2"/>
      <c r="AD59" s="2"/>
      <c r="AE59" s="2"/>
      <c r="AF59" s="2"/>
      <c r="AH59" s="2"/>
      <c r="AI59" s="2"/>
      <c r="AJ59" s="2"/>
    </row>
    <row r="60" spans="1:49" ht="33.75" customHeight="1" x14ac:dyDescent="0.25">
      <c r="A60" s="359" t="s">
        <v>19</v>
      </c>
      <c r="B60" s="986" t="s">
        <v>8</v>
      </c>
      <c r="C60" s="956"/>
      <c r="D60" s="956"/>
      <c r="E60" s="956"/>
      <c r="F60" s="956"/>
      <c r="G60" s="986" t="s">
        <v>30</v>
      </c>
      <c r="H60" s="956"/>
      <c r="I60" s="956"/>
      <c r="J60" s="956"/>
      <c r="K60" s="987"/>
      <c r="L60" s="986" t="s">
        <v>29</v>
      </c>
      <c r="M60" s="956"/>
      <c r="N60" s="956"/>
      <c r="O60" s="956"/>
      <c r="P60" s="987"/>
      <c r="Q60" s="994" t="s">
        <v>31</v>
      </c>
      <c r="R60" s="995"/>
      <c r="S60" s="995"/>
      <c r="T60" s="995"/>
      <c r="U60" s="996"/>
      <c r="V60" s="992" t="s">
        <v>9</v>
      </c>
      <c r="AE60" s="43"/>
      <c r="AF60" s="43"/>
      <c r="AG60" s="43"/>
      <c r="AH60" s="2"/>
      <c r="AI60" s="2"/>
      <c r="AJ60" s="2"/>
      <c r="AK60" s="2"/>
      <c r="AM60" s="2"/>
      <c r="AN60" s="2"/>
      <c r="AO60" s="2"/>
    </row>
    <row r="61" spans="1:49" ht="33.75" customHeight="1" thickBot="1" x14ac:dyDescent="0.3">
      <c r="A61" s="170" t="s">
        <v>34</v>
      </c>
      <c r="B61" s="360"/>
      <c r="C61" s="361"/>
      <c r="D61" s="361"/>
      <c r="E61" s="361"/>
      <c r="F61" s="361"/>
      <c r="G61" s="360"/>
      <c r="H61" s="361"/>
      <c r="I61" s="361"/>
      <c r="J61" s="361"/>
      <c r="K61" s="361"/>
      <c r="L61" s="360"/>
      <c r="M61" s="361"/>
      <c r="N61" s="361"/>
      <c r="O61" s="361"/>
      <c r="P61" s="396"/>
      <c r="Q61" s="360"/>
      <c r="R61" s="361"/>
      <c r="S61" s="361"/>
      <c r="T61" s="361"/>
      <c r="U61" s="397"/>
      <c r="V61" s="993"/>
      <c r="AC61" s="45"/>
      <c r="AD61" s="45"/>
      <c r="AE61" s="45"/>
      <c r="AF61" s="45"/>
      <c r="AG61" s="57"/>
      <c r="AH61" s="57"/>
      <c r="AI61" s="57"/>
      <c r="AJ61" s="57"/>
      <c r="AK61" s="45"/>
      <c r="AL61" s="45"/>
      <c r="AM61" s="58"/>
      <c r="AN61" s="58"/>
      <c r="AO61" s="58"/>
      <c r="AP61" s="2"/>
      <c r="AQ61" s="2"/>
      <c r="AR61" s="2"/>
      <c r="AS61" s="2"/>
      <c r="AU61" s="2"/>
      <c r="AV61" s="2"/>
      <c r="AW61" s="2"/>
    </row>
    <row r="62" spans="1:49" ht="33.75" customHeight="1" thickBot="1" x14ac:dyDescent="0.3">
      <c r="A62" s="170" t="s">
        <v>10</v>
      </c>
      <c r="B62" s="188">
        <v>1</v>
      </c>
      <c r="C62" s="168">
        <v>2</v>
      </c>
      <c r="D62" s="168">
        <v>3</v>
      </c>
      <c r="E62" s="168">
        <v>4</v>
      </c>
      <c r="F62" s="413">
        <v>5</v>
      </c>
      <c r="G62" s="188">
        <v>1</v>
      </c>
      <c r="H62" s="168">
        <v>2</v>
      </c>
      <c r="I62" s="168">
        <v>3</v>
      </c>
      <c r="J62" s="168">
        <v>4</v>
      </c>
      <c r="K62" s="168">
        <v>5</v>
      </c>
      <c r="L62" s="188">
        <v>1</v>
      </c>
      <c r="M62" s="168">
        <v>2</v>
      </c>
      <c r="N62" s="168">
        <v>3</v>
      </c>
      <c r="O62" s="168">
        <v>4</v>
      </c>
      <c r="P62" s="413">
        <v>5</v>
      </c>
      <c r="Q62" s="188">
        <v>1</v>
      </c>
      <c r="R62" s="168">
        <v>2</v>
      </c>
      <c r="S62" s="168">
        <v>3</v>
      </c>
      <c r="T62" s="168">
        <v>4</v>
      </c>
      <c r="U62" s="414">
        <v>5</v>
      </c>
      <c r="V62" s="126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57"/>
      <c r="AH62" s="57"/>
      <c r="AI62" s="57"/>
      <c r="AJ62" s="57"/>
      <c r="AK62" s="45"/>
      <c r="AL62" s="45"/>
      <c r="AM62" s="58"/>
      <c r="AN62" s="58"/>
      <c r="AO62" s="58"/>
      <c r="AP62" s="2"/>
      <c r="AQ62" s="2"/>
      <c r="AR62" s="2"/>
      <c r="AS62" s="2"/>
      <c r="AT62" s="2"/>
      <c r="AU62" s="2"/>
      <c r="AV62" s="2"/>
      <c r="AW62" s="2"/>
    </row>
    <row r="63" spans="1:49" ht="33.75" customHeight="1" x14ac:dyDescent="0.25">
      <c r="A63" s="171" t="s">
        <v>53</v>
      </c>
      <c r="B63" s="446">
        <v>8.9</v>
      </c>
      <c r="C63" s="19">
        <v>9</v>
      </c>
      <c r="D63" s="19">
        <v>2.2999999999999998</v>
      </c>
      <c r="E63" s="19">
        <v>9</v>
      </c>
      <c r="F63" s="61">
        <v>8.8000000000000007</v>
      </c>
      <c r="G63" s="446">
        <v>8.8000000000000007</v>
      </c>
      <c r="H63" s="19">
        <v>9</v>
      </c>
      <c r="I63" s="19">
        <v>2.4</v>
      </c>
      <c r="J63" s="19">
        <v>9</v>
      </c>
      <c r="K63" s="61">
        <v>9</v>
      </c>
      <c r="L63" s="446">
        <v>7.2</v>
      </c>
      <c r="M63" s="19">
        <v>7.4</v>
      </c>
      <c r="N63" s="19">
        <v>2.4</v>
      </c>
      <c r="O63" s="19">
        <v>7.3</v>
      </c>
      <c r="P63" s="20">
        <v>7.4</v>
      </c>
      <c r="Q63" s="18">
        <v>7.5</v>
      </c>
      <c r="R63" s="19">
        <v>7.8</v>
      </c>
      <c r="S63" s="19">
        <v>2.5</v>
      </c>
      <c r="T63" s="19">
        <v>7.8</v>
      </c>
      <c r="U63" s="20">
        <v>7.4</v>
      </c>
      <c r="V63" s="412">
        <f>SUM(B63:U63)</f>
        <v>140.9</v>
      </c>
      <c r="W63" s="576"/>
      <c r="X63" s="302"/>
      <c r="Y63" s="42"/>
      <c r="Z63" s="42"/>
      <c r="AA63" s="42"/>
      <c r="AB63" s="42"/>
      <c r="AC63" s="2"/>
      <c r="AD63" s="45"/>
      <c r="AE63" s="45"/>
      <c r="AF63" s="45"/>
      <c r="AG63" s="57"/>
      <c r="AH63" s="57"/>
      <c r="AI63" s="57"/>
      <c r="AJ63" s="57"/>
      <c r="AK63" s="45"/>
      <c r="AL63" s="45"/>
      <c r="AM63" s="58"/>
      <c r="AN63" s="58"/>
      <c r="AO63" s="58"/>
      <c r="AP63" s="2"/>
      <c r="AQ63" s="2"/>
      <c r="AR63" s="2"/>
      <c r="AS63" s="2"/>
      <c r="AT63" s="2"/>
      <c r="AU63" s="2"/>
      <c r="AV63" s="2"/>
      <c r="AW63" s="2"/>
    </row>
    <row r="64" spans="1:49" ht="33.75" customHeight="1" x14ac:dyDescent="0.25">
      <c r="A64" s="171" t="s">
        <v>24</v>
      </c>
      <c r="B64" s="446">
        <v>9</v>
      </c>
      <c r="C64" s="19">
        <v>9</v>
      </c>
      <c r="D64" s="19">
        <v>2.4</v>
      </c>
      <c r="E64" s="19">
        <v>9</v>
      </c>
      <c r="F64" s="61">
        <v>8.8000000000000007</v>
      </c>
      <c r="G64" s="446">
        <v>8.8000000000000007</v>
      </c>
      <c r="H64" s="19">
        <v>9</v>
      </c>
      <c r="I64" s="19">
        <v>2.4</v>
      </c>
      <c r="J64" s="19">
        <v>9</v>
      </c>
      <c r="K64" s="61">
        <v>9</v>
      </c>
      <c r="L64" s="446">
        <v>7.2</v>
      </c>
      <c r="M64" s="19">
        <v>7.4</v>
      </c>
      <c r="N64" s="19">
        <v>2.4</v>
      </c>
      <c r="O64" s="19">
        <v>7.3</v>
      </c>
      <c r="P64" s="20">
        <v>7.4</v>
      </c>
      <c r="Q64" s="18">
        <v>7.6</v>
      </c>
      <c r="R64" s="19">
        <v>7.8</v>
      </c>
      <c r="S64" s="19">
        <v>2.2999999999999998</v>
      </c>
      <c r="T64" s="19">
        <v>7.8</v>
      </c>
      <c r="U64" s="20">
        <v>7.4</v>
      </c>
      <c r="V64" s="412">
        <f>SUM(B64:U64)</f>
        <v>141.00000000000003</v>
      </c>
      <c r="W64" s="576"/>
      <c r="X64" s="302"/>
      <c r="Y64" s="42"/>
      <c r="Z64" s="42"/>
      <c r="AA64" s="42"/>
      <c r="AB64" s="42"/>
      <c r="AC64" s="2"/>
      <c r="AD64" s="45"/>
      <c r="AE64" s="45"/>
      <c r="AF64" s="45"/>
      <c r="AG64" s="57"/>
      <c r="AH64" s="57"/>
      <c r="AI64" s="57"/>
      <c r="AJ64" s="57"/>
      <c r="AK64" s="45"/>
      <c r="AL64" s="45"/>
      <c r="AM64" s="58"/>
      <c r="AN64" s="58"/>
      <c r="AO64" s="58"/>
      <c r="AP64" s="2"/>
      <c r="AQ64" s="2"/>
      <c r="AR64" s="2"/>
      <c r="AS64" s="2"/>
      <c r="AT64" s="2"/>
      <c r="AU64" s="2"/>
      <c r="AV64" s="2"/>
      <c r="AW64" s="2"/>
    </row>
    <row r="65" spans="1:49" ht="33.75" customHeight="1" x14ac:dyDescent="0.25">
      <c r="A65" s="171" t="s">
        <v>20</v>
      </c>
      <c r="B65" s="446">
        <v>8.9</v>
      </c>
      <c r="C65" s="19">
        <v>9</v>
      </c>
      <c r="D65" s="19">
        <v>2.4</v>
      </c>
      <c r="E65" s="19">
        <v>9</v>
      </c>
      <c r="F65" s="61">
        <v>8.9</v>
      </c>
      <c r="G65" s="446">
        <v>8.9</v>
      </c>
      <c r="H65" s="19">
        <v>8.8000000000000007</v>
      </c>
      <c r="I65" s="19">
        <v>2.2999999999999998</v>
      </c>
      <c r="J65" s="19">
        <v>8.8000000000000007</v>
      </c>
      <c r="K65" s="61">
        <v>8.9</v>
      </c>
      <c r="L65" s="446">
        <v>7.1</v>
      </c>
      <c r="M65" s="19">
        <v>7.5</v>
      </c>
      <c r="N65" s="19">
        <v>2.2999999999999998</v>
      </c>
      <c r="O65" s="19">
        <v>7.3</v>
      </c>
      <c r="P65" s="20">
        <v>7.5</v>
      </c>
      <c r="Q65" s="18">
        <v>7.6</v>
      </c>
      <c r="R65" s="19">
        <v>7.8</v>
      </c>
      <c r="S65" s="19">
        <v>2.4</v>
      </c>
      <c r="T65" s="19">
        <v>7.8</v>
      </c>
      <c r="U65" s="20">
        <v>7.5</v>
      </c>
      <c r="V65" s="412">
        <f>SUM(B65:U65)</f>
        <v>140.69999999999999</v>
      </c>
      <c r="W65" s="576"/>
      <c r="X65" s="302"/>
      <c r="Y65" s="42"/>
      <c r="Z65" s="42"/>
      <c r="AA65" s="42"/>
      <c r="AB65" s="42"/>
      <c r="AC65" s="2"/>
      <c r="AD65" s="45"/>
      <c r="AE65" s="45"/>
      <c r="AF65" s="45"/>
      <c r="AG65" s="57"/>
      <c r="AH65" s="57"/>
      <c r="AI65" s="57"/>
      <c r="AJ65" s="57"/>
      <c r="AK65" s="45"/>
      <c r="AL65" s="45"/>
      <c r="AM65" s="58"/>
      <c r="AN65" s="58"/>
      <c r="AO65" s="58"/>
      <c r="AP65" s="2"/>
      <c r="AQ65" s="2"/>
      <c r="AR65" s="2"/>
      <c r="AS65" s="2"/>
      <c r="AT65" s="2"/>
      <c r="AU65" s="2"/>
      <c r="AV65" s="2"/>
      <c r="AW65" s="2"/>
    </row>
    <row r="66" spans="1:49" ht="33.75" customHeight="1" x14ac:dyDescent="0.25">
      <c r="A66" s="171" t="s">
        <v>28</v>
      </c>
      <c r="B66" s="446">
        <v>8.8000000000000007</v>
      </c>
      <c r="C66" s="19">
        <v>9</v>
      </c>
      <c r="D66" s="19">
        <v>2.4</v>
      </c>
      <c r="E66" s="19">
        <v>9</v>
      </c>
      <c r="F66" s="61">
        <v>9</v>
      </c>
      <c r="G66" s="446">
        <v>8.6999999999999993</v>
      </c>
      <c r="H66" s="19">
        <v>8.9</v>
      </c>
      <c r="I66" s="19">
        <v>2.2000000000000002</v>
      </c>
      <c r="J66" s="19">
        <v>8.9</v>
      </c>
      <c r="K66" s="61">
        <v>8.9</v>
      </c>
      <c r="L66" s="446">
        <v>7.1</v>
      </c>
      <c r="M66" s="19">
        <v>7.3</v>
      </c>
      <c r="N66" s="19">
        <v>2.5</v>
      </c>
      <c r="O66" s="19">
        <v>7.3</v>
      </c>
      <c r="P66" s="20">
        <v>7.3</v>
      </c>
      <c r="Q66" s="18">
        <v>7.4</v>
      </c>
      <c r="R66" s="19">
        <v>7.4</v>
      </c>
      <c r="S66" s="19">
        <v>2.7</v>
      </c>
      <c r="T66" s="19">
        <v>7.4</v>
      </c>
      <c r="U66" s="20">
        <v>7.6</v>
      </c>
      <c r="V66" s="412">
        <f t="shared" ref="V66:V70" si="27">SUM(B66:U66)</f>
        <v>139.80000000000001</v>
      </c>
      <c r="W66" s="576"/>
      <c r="X66" s="302"/>
      <c r="Y66" s="42"/>
      <c r="Z66" s="42"/>
      <c r="AA66" s="42"/>
      <c r="AB66" s="42"/>
      <c r="AC66" s="2"/>
      <c r="AD66" s="45"/>
      <c r="AE66" s="45"/>
      <c r="AF66" s="45"/>
      <c r="AG66" s="57"/>
      <c r="AH66" s="57"/>
      <c r="AI66" s="57"/>
      <c r="AJ66" s="57"/>
      <c r="AK66" s="45"/>
      <c r="AL66" s="45"/>
      <c r="AM66" s="58"/>
      <c r="AN66" s="58"/>
      <c r="AO66" s="58"/>
      <c r="AP66" s="3"/>
      <c r="AQ66" s="3"/>
      <c r="AR66" s="2"/>
      <c r="AS66" s="2"/>
      <c r="AT66" s="2"/>
      <c r="AU66" s="2"/>
      <c r="AV66" s="2"/>
      <c r="AW66" s="2"/>
    </row>
    <row r="67" spans="1:49" ht="33.75" customHeight="1" x14ac:dyDescent="0.25">
      <c r="A67" s="171" t="s">
        <v>21</v>
      </c>
      <c r="B67" s="446">
        <v>8.8000000000000007</v>
      </c>
      <c r="C67" s="19">
        <v>9</v>
      </c>
      <c r="D67" s="19">
        <v>2.4</v>
      </c>
      <c r="E67" s="19">
        <v>8.8000000000000007</v>
      </c>
      <c r="F67" s="61">
        <v>9</v>
      </c>
      <c r="G67" s="446">
        <v>8.6999999999999993</v>
      </c>
      <c r="H67" s="19">
        <v>8.9</v>
      </c>
      <c r="I67" s="19">
        <v>2.2000000000000002</v>
      </c>
      <c r="J67" s="19">
        <v>8.9</v>
      </c>
      <c r="K67" s="61">
        <v>8.9</v>
      </c>
      <c r="L67" s="446">
        <v>7.1</v>
      </c>
      <c r="M67" s="19">
        <v>7.3</v>
      </c>
      <c r="N67" s="19">
        <v>2.5</v>
      </c>
      <c r="O67" s="19">
        <v>7.3</v>
      </c>
      <c r="P67" s="20">
        <v>7.1</v>
      </c>
      <c r="Q67" s="18">
        <v>7.4</v>
      </c>
      <c r="R67" s="19">
        <v>7.4</v>
      </c>
      <c r="S67" s="19">
        <v>2.7</v>
      </c>
      <c r="T67" s="19">
        <v>7.4</v>
      </c>
      <c r="U67" s="20">
        <v>7.6</v>
      </c>
      <c r="V67" s="412">
        <f t="shared" si="27"/>
        <v>139.4</v>
      </c>
      <c r="W67" s="576"/>
      <c r="X67" s="302"/>
      <c r="Y67" s="42"/>
      <c r="Z67" s="42"/>
      <c r="AA67" s="42"/>
      <c r="AB67" s="42"/>
      <c r="AC67" s="2"/>
      <c r="AD67" s="45"/>
      <c r="AE67" s="45"/>
      <c r="AF67" s="45"/>
      <c r="AG67" s="57"/>
      <c r="AH67" s="57"/>
      <c r="AI67" s="57"/>
      <c r="AJ67" s="57"/>
      <c r="AK67" s="45"/>
      <c r="AL67" s="45"/>
      <c r="AM67" s="58"/>
      <c r="AN67" s="58"/>
      <c r="AO67" s="58"/>
      <c r="AP67" s="3"/>
      <c r="AQ67" s="3"/>
      <c r="AR67" s="2"/>
      <c r="AS67" s="2"/>
      <c r="AT67" s="2"/>
      <c r="AU67" s="2"/>
      <c r="AV67" s="2"/>
      <c r="AW67" s="2"/>
    </row>
    <row r="68" spans="1:49" ht="33.75" customHeight="1" x14ac:dyDescent="0.25">
      <c r="A68" s="171" t="s">
        <v>22</v>
      </c>
      <c r="B68" s="446">
        <v>8.8000000000000007</v>
      </c>
      <c r="C68" s="19">
        <v>9</v>
      </c>
      <c r="D68" s="19">
        <v>2.4</v>
      </c>
      <c r="E68" s="19">
        <v>8.8000000000000007</v>
      </c>
      <c r="F68" s="61">
        <v>9</v>
      </c>
      <c r="G68" s="446">
        <v>8.6999999999999993</v>
      </c>
      <c r="H68" s="19">
        <v>8.9</v>
      </c>
      <c r="I68" s="19">
        <v>2.2000000000000002</v>
      </c>
      <c r="J68" s="19">
        <v>8.9</v>
      </c>
      <c r="K68" s="61">
        <v>8.9</v>
      </c>
      <c r="L68" s="446">
        <v>7.1</v>
      </c>
      <c r="M68" s="19">
        <v>7.3</v>
      </c>
      <c r="N68" s="19">
        <v>2.5</v>
      </c>
      <c r="O68" s="19">
        <v>7.3</v>
      </c>
      <c r="P68" s="20">
        <v>7.1</v>
      </c>
      <c r="Q68" s="18">
        <v>7.4</v>
      </c>
      <c r="R68" s="19">
        <v>7.4</v>
      </c>
      <c r="S68" s="19">
        <v>2.7</v>
      </c>
      <c r="T68" s="19">
        <v>7.4</v>
      </c>
      <c r="U68" s="20">
        <v>7.6</v>
      </c>
      <c r="V68" s="412">
        <f t="shared" si="27"/>
        <v>139.4</v>
      </c>
      <c r="W68" s="576"/>
      <c r="X68" s="302"/>
      <c r="Y68" s="42"/>
      <c r="Z68" s="42"/>
      <c r="AA68" s="42"/>
      <c r="AB68" s="42"/>
      <c r="AC68" s="2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3"/>
      <c r="AQ68" s="3"/>
      <c r="AT68" s="2"/>
      <c r="AU68" s="2"/>
      <c r="AV68" s="2"/>
      <c r="AW68" s="2"/>
    </row>
    <row r="69" spans="1:49" ht="33.75" customHeight="1" thickBot="1" x14ac:dyDescent="0.3">
      <c r="A69" s="171" t="s">
        <v>23</v>
      </c>
      <c r="B69" s="446">
        <v>8.8000000000000007</v>
      </c>
      <c r="C69" s="19">
        <v>9</v>
      </c>
      <c r="D69" s="19">
        <v>2.4</v>
      </c>
      <c r="E69" s="19">
        <v>8.8000000000000007</v>
      </c>
      <c r="F69" s="61">
        <v>9</v>
      </c>
      <c r="G69" s="446">
        <v>8.6999999999999993</v>
      </c>
      <c r="H69" s="19">
        <v>8.9</v>
      </c>
      <c r="I69" s="19">
        <v>2.2000000000000002</v>
      </c>
      <c r="J69" s="19">
        <v>8.9</v>
      </c>
      <c r="K69" s="61">
        <v>8.9</v>
      </c>
      <c r="L69" s="446">
        <v>7.1</v>
      </c>
      <c r="M69" s="19">
        <v>7.3</v>
      </c>
      <c r="N69" s="19">
        <v>2.5</v>
      </c>
      <c r="O69" s="19">
        <v>7.3</v>
      </c>
      <c r="P69" s="20">
        <v>7.1</v>
      </c>
      <c r="Q69" s="18">
        <v>7.4</v>
      </c>
      <c r="R69" s="19">
        <v>7.4</v>
      </c>
      <c r="S69" s="19">
        <v>2.7</v>
      </c>
      <c r="T69" s="19">
        <v>7.4</v>
      </c>
      <c r="U69" s="20">
        <v>7.6</v>
      </c>
      <c r="V69" s="412">
        <f t="shared" si="27"/>
        <v>139.4</v>
      </c>
      <c r="W69" s="576"/>
      <c r="X69" s="302"/>
      <c r="Y69" s="42"/>
      <c r="Z69" s="42"/>
      <c r="AA69" s="42"/>
      <c r="AB69" s="42"/>
      <c r="AC69" s="2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3"/>
      <c r="AQ69" s="3"/>
      <c r="AT69" s="2"/>
      <c r="AU69" s="2"/>
      <c r="AV69" s="2"/>
      <c r="AW69" s="2"/>
    </row>
    <row r="70" spans="1:49" ht="33.75" customHeight="1" thickBot="1" x14ac:dyDescent="0.3">
      <c r="A70" s="170" t="s">
        <v>9</v>
      </c>
      <c r="B70" s="297">
        <f t="shared" ref="B70:U70" si="28">SUM(B63:B69)</f>
        <v>61.999999999999986</v>
      </c>
      <c r="C70" s="298">
        <f t="shared" si="28"/>
        <v>63</v>
      </c>
      <c r="D70" s="298">
        <f t="shared" si="28"/>
        <v>16.7</v>
      </c>
      <c r="E70" s="298">
        <f t="shared" si="28"/>
        <v>62.399999999999991</v>
      </c>
      <c r="F70" s="299">
        <f t="shared" si="28"/>
        <v>62.5</v>
      </c>
      <c r="G70" s="297">
        <f t="shared" si="28"/>
        <v>61.300000000000011</v>
      </c>
      <c r="H70" s="298">
        <f t="shared" si="28"/>
        <v>62.4</v>
      </c>
      <c r="I70" s="298">
        <f t="shared" si="28"/>
        <v>15.899999999999999</v>
      </c>
      <c r="J70" s="298">
        <f t="shared" si="28"/>
        <v>62.4</v>
      </c>
      <c r="K70" s="298">
        <f t="shared" si="28"/>
        <v>62.499999999999993</v>
      </c>
      <c r="L70" s="297">
        <f t="shared" si="28"/>
        <v>49.900000000000006</v>
      </c>
      <c r="M70" s="298">
        <f t="shared" si="28"/>
        <v>51.499999999999993</v>
      </c>
      <c r="N70" s="298">
        <f t="shared" si="28"/>
        <v>17.100000000000001</v>
      </c>
      <c r="O70" s="298">
        <f t="shared" si="28"/>
        <v>51.099999999999994</v>
      </c>
      <c r="P70" s="299">
        <f t="shared" si="28"/>
        <v>50.900000000000006</v>
      </c>
      <c r="Q70" s="297">
        <f t="shared" si="28"/>
        <v>52.3</v>
      </c>
      <c r="R70" s="298">
        <f t="shared" si="28"/>
        <v>52.999999999999993</v>
      </c>
      <c r="S70" s="298">
        <f t="shared" si="28"/>
        <v>17.999999999999996</v>
      </c>
      <c r="T70" s="298">
        <f t="shared" si="28"/>
        <v>52.999999999999993</v>
      </c>
      <c r="U70" s="448">
        <f t="shared" si="28"/>
        <v>52.7</v>
      </c>
      <c r="V70" s="449">
        <f t="shared" si="27"/>
        <v>980.59999999999991</v>
      </c>
      <c r="W70" s="577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3"/>
      <c r="AQ70" s="3"/>
      <c r="AR70" s="3"/>
      <c r="AS70" s="3"/>
      <c r="AT70" s="2"/>
      <c r="AU70" s="2"/>
      <c r="AV70" s="2"/>
      <c r="AW70" s="2"/>
    </row>
    <row r="71" spans="1:49" ht="33.75" customHeight="1" x14ac:dyDescent="0.25">
      <c r="A71" s="192" t="s">
        <v>11</v>
      </c>
      <c r="B71" s="357">
        <v>157</v>
      </c>
      <c r="C71" s="358">
        <v>158.5</v>
      </c>
      <c r="D71" s="358">
        <v>157</v>
      </c>
      <c r="E71" s="358">
        <v>157.5</v>
      </c>
      <c r="F71" s="358">
        <v>158.5</v>
      </c>
      <c r="G71" s="357">
        <v>155.5</v>
      </c>
      <c r="H71" s="358">
        <v>158.5</v>
      </c>
      <c r="I71" s="358">
        <v>157.5</v>
      </c>
      <c r="J71" s="358">
        <v>158.5</v>
      </c>
      <c r="K71" s="358">
        <v>157</v>
      </c>
      <c r="L71" s="357">
        <v>154.5</v>
      </c>
      <c r="M71" s="358">
        <v>158.5</v>
      </c>
      <c r="N71" s="358">
        <v>154.5</v>
      </c>
      <c r="O71" s="358">
        <v>158.5</v>
      </c>
      <c r="P71" s="358">
        <v>158.5</v>
      </c>
      <c r="Q71" s="357">
        <v>158</v>
      </c>
      <c r="R71" s="358">
        <v>158.5</v>
      </c>
      <c r="S71" s="358">
        <v>158.5</v>
      </c>
      <c r="T71" s="358">
        <v>158.5</v>
      </c>
      <c r="U71" s="358">
        <v>158.5</v>
      </c>
      <c r="V71" s="296">
        <f>+((V70/V72)/7)*1000</f>
        <v>158.28894269572237</v>
      </c>
      <c r="W71" s="577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3"/>
      <c r="AQ71" s="3"/>
      <c r="AR71" s="3"/>
      <c r="AS71" s="3"/>
      <c r="AT71" s="2"/>
      <c r="AU71" s="2"/>
      <c r="AV71" s="2"/>
      <c r="AW71" s="2"/>
    </row>
    <row r="72" spans="1:49" ht="33.75" customHeight="1" x14ac:dyDescent="0.25">
      <c r="A72" s="193" t="s">
        <v>12</v>
      </c>
      <c r="B72" s="257">
        <v>56</v>
      </c>
      <c r="C72" s="275">
        <v>57</v>
      </c>
      <c r="D72" s="275">
        <v>15</v>
      </c>
      <c r="E72" s="275">
        <v>56</v>
      </c>
      <c r="F72" s="275">
        <v>57</v>
      </c>
      <c r="G72" s="257">
        <v>56</v>
      </c>
      <c r="H72" s="275">
        <v>56</v>
      </c>
      <c r="I72" s="275">
        <v>14</v>
      </c>
      <c r="J72" s="275">
        <v>56</v>
      </c>
      <c r="K72" s="275">
        <v>57</v>
      </c>
      <c r="L72" s="257">
        <v>46</v>
      </c>
      <c r="M72" s="275">
        <v>46</v>
      </c>
      <c r="N72" s="275">
        <v>16</v>
      </c>
      <c r="O72" s="275">
        <v>46</v>
      </c>
      <c r="P72" s="275">
        <v>45</v>
      </c>
      <c r="Q72" s="257">
        <v>47</v>
      </c>
      <c r="R72" s="275">
        <v>47</v>
      </c>
      <c r="S72" s="275">
        <v>17</v>
      </c>
      <c r="T72" s="275">
        <v>47</v>
      </c>
      <c r="U72" s="275">
        <v>48</v>
      </c>
      <c r="V72" s="254">
        <f>SUM(B72:U72)</f>
        <v>885</v>
      </c>
      <c r="W72" s="577"/>
      <c r="AC72" s="59"/>
      <c r="AG72" s="3"/>
      <c r="AH72" s="3"/>
      <c r="AI72" s="3"/>
      <c r="AJ72" s="3"/>
      <c r="AK72" s="3"/>
      <c r="AL72" s="3"/>
    </row>
    <row r="73" spans="1:49" ht="33.75" customHeight="1" x14ac:dyDescent="0.25">
      <c r="A73" s="194" t="s">
        <v>13</v>
      </c>
      <c r="B73" s="30">
        <f>((((B71*7)*B72)/1000))/7</f>
        <v>8.7919999999999998</v>
      </c>
      <c r="C73" s="31">
        <f t="shared" ref="C73:U73" si="29">((((C71*7)*C72)/1000))/7</f>
        <v>9.0344999999999995</v>
      </c>
      <c r="D73" s="31">
        <f t="shared" si="29"/>
        <v>2.355</v>
      </c>
      <c r="E73" s="31">
        <f t="shared" si="29"/>
        <v>8.82</v>
      </c>
      <c r="F73" s="31">
        <f t="shared" si="29"/>
        <v>9.0344999999999995</v>
      </c>
      <c r="G73" s="30">
        <f t="shared" si="29"/>
        <v>8.7080000000000002</v>
      </c>
      <c r="H73" s="31">
        <f t="shared" si="29"/>
        <v>8.8759999999999994</v>
      </c>
      <c r="I73" s="31">
        <f t="shared" si="29"/>
        <v>2.2050000000000001</v>
      </c>
      <c r="J73" s="31">
        <f t="shared" si="29"/>
        <v>8.8759999999999994</v>
      </c>
      <c r="K73" s="31">
        <f t="shared" si="29"/>
        <v>8.9489999999999998</v>
      </c>
      <c r="L73" s="30">
        <f t="shared" si="29"/>
        <v>7.1070000000000002</v>
      </c>
      <c r="M73" s="31">
        <f t="shared" si="29"/>
        <v>7.2909999999999995</v>
      </c>
      <c r="N73" s="31">
        <f t="shared" si="29"/>
        <v>2.472</v>
      </c>
      <c r="O73" s="31">
        <f t="shared" si="29"/>
        <v>7.2909999999999995</v>
      </c>
      <c r="P73" s="31">
        <f t="shared" si="29"/>
        <v>7.1325000000000003</v>
      </c>
      <c r="Q73" s="30">
        <f t="shared" si="29"/>
        <v>7.4260000000000002</v>
      </c>
      <c r="R73" s="31">
        <f t="shared" si="29"/>
        <v>7.4495000000000005</v>
      </c>
      <c r="S73" s="31">
        <f t="shared" si="29"/>
        <v>2.6945000000000001</v>
      </c>
      <c r="T73" s="31">
        <f t="shared" si="29"/>
        <v>7.4495000000000005</v>
      </c>
      <c r="U73" s="31">
        <f t="shared" si="29"/>
        <v>7.6079999999999997</v>
      </c>
      <c r="V73" s="139">
        <f>((V70*100)/V72)/7</f>
        <v>15.828894269572233</v>
      </c>
      <c r="W73" s="577"/>
      <c r="AG73" s="3"/>
      <c r="AH73" s="3"/>
      <c r="AI73" s="3"/>
      <c r="AJ73" s="3"/>
      <c r="AK73" s="3"/>
      <c r="AL73" s="3"/>
    </row>
    <row r="74" spans="1:49" ht="33.75" customHeight="1" x14ac:dyDescent="0.25">
      <c r="A74" s="185" t="s">
        <v>14</v>
      </c>
      <c r="B74" s="279">
        <f t="shared" ref="B74:U74" si="30">((B72*B71)*7)/1000</f>
        <v>61.543999999999997</v>
      </c>
      <c r="C74" s="280">
        <f t="shared" si="30"/>
        <v>63.241500000000002</v>
      </c>
      <c r="D74" s="280">
        <f t="shared" si="30"/>
        <v>16.484999999999999</v>
      </c>
      <c r="E74" s="280">
        <f t="shared" si="30"/>
        <v>61.74</v>
      </c>
      <c r="F74" s="280">
        <f t="shared" si="30"/>
        <v>63.241500000000002</v>
      </c>
      <c r="G74" s="279">
        <f t="shared" si="30"/>
        <v>60.956000000000003</v>
      </c>
      <c r="H74" s="280">
        <f t="shared" si="30"/>
        <v>62.131999999999998</v>
      </c>
      <c r="I74" s="280">
        <f t="shared" si="30"/>
        <v>15.435</v>
      </c>
      <c r="J74" s="280">
        <f t="shared" si="30"/>
        <v>62.131999999999998</v>
      </c>
      <c r="K74" s="280">
        <f t="shared" si="30"/>
        <v>62.643000000000001</v>
      </c>
      <c r="L74" s="279">
        <f t="shared" si="30"/>
        <v>49.749000000000002</v>
      </c>
      <c r="M74" s="280">
        <f t="shared" si="30"/>
        <v>51.036999999999999</v>
      </c>
      <c r="N74" s="280">
        <f t="shared" si="30"/>
        <v>17.303999999999998</v>
      </c>
      <c r="O74" s="280">
        <f t="shared" si="30"/>
        <v>51.036999999999999</v>
      </c>
      <c r="P74" s="280">
        <f t="shared" si="30"/>
        <v>49.927500000000002</v>
      </c>
      <c r="Q74" s="279">
        <f t="shared" si="30"/>
        <v>51.981999999999999</v>
      </c>
      <c r="R74" s="280">
        <f t="shared" si="30"/>
        <v>52.146500000000003</v>
      </c>
      <c r="S74" s="280">
        <f t="shared" si="30"/>
        <v>18.861499999999999</v>
      </c>
      <c r="T74" s="280">
        <f t="shared" si="30"/>
        <v>52.146500000000003</v>
      </c>
      <c r="U74" s="280">
        <f t="shared" si="30"/>
        <v>53.256</v>
      </c>
      <c r="V74" s="112"/>
      <c r="W74" s="41"/>
      <c r="X74" s="41"/>
      <c r="Y74" s="41"/>
      <c r="Z74" s="41"/>
      <c r="AA74" s="41"/>
      <c r="AB74" s="41"/>
      <c r="AL74" s="3"/>
    </row>
    <row r="75" spans="1:49" ht="33.75" customHeight="1" thickBot="1" x14ac:dyDescent="0.3">
      <c r="A75" s="195" t="s">
        <v>15</v>
      </c>
      <c r="B75" s="37">
        <f t="shared" ref="B75:U75" si="31">+(B70/B72)/7*1000</f>
        <v>158.16326530612244</v>
      </c>
      <c r="C75" s="38">
        <f t="shared" si="31"/>
        <v>157.89473684210529</v>
      </c>
      <c r="D75" s="38">
        <f t="shared" si="31"/>
        <v>159.04761904761904</v>
      </c>
      <c r="E75" s="38">
        <f t="shared" si="31"/>
        <v>159.18367346938771</v>
      </c>
      <c r="F75" s="38">
        <f t="shared" si="31"/>
        <v>156.64160401002508</v>
      </c>
      <c r="G75" s="37">
        <f t="shared" si="31"/>
        <v>156.37755102040819</v>
      </c>
      <c r="H75" s="38">
        <f t="shared" si="31"/>
        <v>159.18367346938774</v>
      </c>
      <c r="I75" s="38">
        <f t="shared" si="31"/>
        <v>162.24489795918367</v>
      </c>
      <c r="J75" s="38">
        <f t="shared" si="31"/>
        <v>159.18367346938774</v>
      </c>
      <c r="K75" s="38">
        <f t="shared" si="31"/>
        <v>156.64160401002505</v>
      </c>
      <c r="L75" s="37">
        <f t="shared" si="31"/>
        <v>154.96894409937889</v>
      </c>
      <c r="M75" s="38">
        <f t="shared" si="31"/>
        <v>159.93788819875772</v>
      </c>
      <c r="N75" s="38">
        <f t="shared" si="31"/>
        <v>152.67857142857144</v>
      </c>
      <c r="O75" s="38">
        <f t="shared" si="31"/>
        <v>158.69565217391303</v>
      </c>
      <c r="P75" s="38">
        <f t="shared" si="31"/>
        <v>161.5873015873016</v>
      </c>
      <c r="Q75" s="37">
        <f t="shared" si="31"/>
        <v>158.96656534954406</v>
      </c>
      <c r="R75" s="38">
        <f t="shared" si="31"/>
        <v>161.09422492401214</v>
      </c>
      <c r="S75" s="38">
        <f t="shared" si="31"/>
        <v>151.26050420168065</v>
      </c>
      <c r="T75" s="38">
        <f t="shared" si="31"/>
        <v>161.09422492401214</v>
      </c>
      <c r="U75" s="38">
        <f t="shared" si="31"/>
        <v>156.8452380952381</v>
      </c>
      <c r="V75" s="40"/>
      <c r="AL75" s="3"/>
    </row>
    <row r="76" spans="1:49" ht="33.75" customHeight="1" x14ac:dyDescent="0.25">
      <c r="B76" s="43">
        <f>B74-B70</f>
        <v>-0.45599999999998886</v>
      </c>
      <c r="C76" s="43">
        <f t="shared" ref="C76:F76" si="32">C74-C70</f>
        <v>0.24150000000000205</v>
      </c>
      <c r="D76" s="43">
        <f t="shared" si="32"/>
        <v>-0.21499999999999986</v>
      </c>
      <c r="E76" s="43">
        <f t="shared" si="32"/>
        <v>-0.65999999999998948</v>
      </c>
      <c r="F76" s="43">
        <f t="shared" si="32"/>
        <v>0.74150000000000205</v>
      </c>
      <c r="G76" s="43">
        <f>G74-G70</f>
        <v>-0.3440000000000083</v>
      </c>
      <c r="H76" s="43">
        <f t="shared" ref="H76:K77" si="33">H74-H70</f>
        <v>-0.26800000000000068</v>
      </c>
      <c r="I76" s="43">
        <f t="shared" si="33"/>
        <v>-0.46499999999999808</v>
      </c>
      <c r="J76" s="43">
        <f t="shared" si="33"/>
        <v>-0.26800000000000068</v>
      </c>
      <c r="K76" s="43">
        <f t="shared" si="33"/>
        <v>0.14300000000000779</v>
      </c>
      <c r="L76" s="43">
        <f>L74-L70</f>
        <v>-0.15100000000000335</v>
      </c>
      <c r="M76" s="43">
        <f t="shared" ref="M76:P76" si="34">M74-M70</f>
        <v>-0.46299999999999386</v>
      </c>
      <c r="N76" s="43">
        <f t="shared" si="34"/>
        <v>0.20399999999999707</v>
      </c>
      <c r="O76" s="43">
        <f t="shared" si="34"/>
        <v>-6.2999999999995282E-2</v>
      </c>
      <c r="P76" s="43">
        <f t="shared" si="34"/>
        <v>-0.97250000000000369</v>
      </c>
      <c r="Q76" s="43">
        <f>Q74-Q70</f>
        <v>-0.31799999999999784</v>
      </c>
      <c r="R76" s="43">
        <f t="shared" ref="R76:U76" si="35">R74-R70</f>
        <v>-0.85349999999998971</v>
      </c>
      <c r="S76" s="43">
        <f t="shared" si="35"/>
        <v>0.86150000000000304</v>
      </c>
      <c r="T76" s="43">
        <f t="shared" si="35"/>
        <v>-0.85349999999998971</v>
      </c>
      <c r="U76" s="43">
        <f t="shared" si="35"/>
        <v>0.55599999999999739</v>
      </c>
    </row>
    <row r="77" spans="1:49" ht="33.75" customHeight="1" x14ac:dyDescent="0.25">
      <c r="B77" s="42">
        <f t="shared" ref="B77:U77" si="36">B75-B71</f>
        <v>1.1632653061224403</v>
      </c>
      <c r="C77" s="42">
        <f t="shared" si="36"/>
        <v>-0.60526315789471141</v>
      </c>
      <c r="D77" s="42">
        <f t="shared" si="36"/>
        <v>2.0476190476190368</v>
      </c>
      <c r="E77" s="42">
        <f t="shared" si="36"/>
        <v>1.6836734693877133</v>
      </c>
      <c r="F77" s="42">
        <f t="shared" si="36"/>
        <v>-1.8583959899749232</v>
      </c>
      <c r="G77" s="42">
        <f t="shared" si="36"/>
        <v>0.87755102040819111</v>
      </c>
      <c r="H77" s="42">
        <f t="shared" si="36"/>
        <v>0.68367346938774176</v>
      </c>
      <c r="I77" s="42">
        <f>I75-I71</f>
        <v>4.7448979591836746</v>
      </c>
      <c r="J77" s="42">
        <f t="shared" si="36"/>
        <v>0.68367346938774176</v>
      </c>
      <c r="K77" s="42">
        <f t="shared" si="33"/>
        <v>-0.35839598997495159</v>
      </c>
      <c r="L77" s="42">
        <f t="shared" si="36"/>
        <v>0.46894409937888781</v>
      </c>
      <c r="M77" s="42">
        <f t="shared" si="36"/>
        <v>1.4378881987577188</v>
      </c>
      <c r="N77" s="42">
        <f t="shared" si="36"/>
        <v>-1.8214285714285552</v>
      </c>
      <c r="O77" s="42">
        <f t="shared" si="36"/>
        <v>0.19565217391303236</v>
      </c>
      <c r="P77" s="42">
        <f t="shared" si="36"/>
        <v>3.0873015873015959</v>
      </c>
      <c r="Q77" s="42">
        <f t="shared" si="36"/>
        <v>0.96656534954405515</v>
      </c>
      <c r="R77" s="42">
        <f t="shared" si="36"/>
        <v>2.5942249240121384</v>
      </c>
      <c r="S77" s="42">
        <f t="shared" si="36"/>
        <v>-7.2394957983193535</v>
      </c>
      <c r="T77" s="42">
        <f t="shared" si="36"/>
        <v>2.5942249240121384</v>
      </c>
      <c r="U77" s="42">
        <f t="shared" si="36"/>
        <v>-1.654761904761898</v>
      </c>
      <c r="V77" s="45"/>
      <c r="W77" s="45"/>
      <c r="X77" s="45"/>
      <c r="Y77" s="45"/>
      <c r="Z77" s="45"/>
      <c r="AA77" s="45"/>
      <c r="AB77" s="45"/>
      <c r="AC77" s="52"/>
    </row>
    <row r="78" spans="1:49" ht="33.75" customHeight="1" x14ac:dyDescent="0.25">
      <c r="B78" s="287"/>
      <c r="C78" s="287"/>
      <c r="D78" s="287"/>
      <c r="E78" s="287"/>
      <c r="F78" s="287"/>
    </row>
    <row r="79" spans="1:49" ht="33.75" customHeight="1" x14ac:dyDescent="0.25">
      <c r="A79" s="45"/>
      <c r="B79" s="283"/>
      <c r="C79" s="283"/>
      <c r="D79" s="283"/>
      <c r="E79" s="283"/>
      <c r="F79" s="283"/>
      <c r="G79" s="58"/>
      <c r="H79" s="45"/>
      <c r="I79" s="45"/>
      <c r="J79" s="45"/>
      <c r="K79" s="45"/>
      <c r="L79" s="45"/>
      <c r="M79" s="45"/>
      <c r="N79" s="45"/>
      <c r="O79" s="45"/>
    </row>
    <row r="80" spans="1:49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21">
    <mergeCell ref="V60:V61"/>
    <mergeCell ref="H43:K55"/>
    <mergeCell ref="O59:P59"/>
    <mergeCell ref="B60:F60"/>
    <mergeCell ref="G60:K60"/>
    <mergeCell ref="L60:P60"/>
    <mergeCell ref="Q60:U60"/>
    <mergeCell ref="R40:R41"/>
    <mergeCell ref="A3:C3"/>
    <mergeCell ref="E9:G9"/>
    <mergeCell ref="W9:X9"/>
    <mergeCell ref="O11:P11"/>
    <mergeCell ref="B16:H16"/>
    <mergeCell ref="I16:O16"/>
    <mergeCell ref="P16:T16"/>
    <mergeCell ref="U16:Y16"/>
    <mergeCell ref="H17:H18"/>
    <mergeCell ref="O17:O18"/>
    <mergeCell ref="B40:F40"/>
    <mergeCell ref="G40:G42"/>
    <mergeCell ref="M40:Q40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44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32</v>
      </c>
      <c r="P11" s="965"/>
      <c r="Q11" s="6"/>
      <c r="R11" s="6"/>
      <c r="S11" s="6"/>
      <c r="T11" s="1"/>
      <c r="U11" s="1"/>
      <c r="V11" s="1" t="s">
        <v>6</v>
      </c>
      <c r="W11" s="95">
        <v>45556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34</v>
      </c>
      <c r="B17" s="425"/>
      <c r="C17" s="168"/>
      <c r="D17" s="168"/>
      <c r="E17" s="168"/>
      <c r="F17" s="168"/>
      <c r="G17" s="204"/>
      <c r="H17" s="997" t="s">
        <v>109</v>
      </c>
      <c r="I17" s="188"/>
      <c r="J17" s="168"/>
      <c r="K17" s="168"/>
      <c r="L17" s="168"/>
      <c r="M17" s="168"/>
      <c r="N17" s="169"/>
      <c r="O17" s="997" t="s">
        <v>109</v>
      </c>
      <c r="P17" s="202"/>
      <c r="Q17" s="174"/>
      <c r="R17" s="174"/>
      <c r="S17" s="174"/>
      <c r="T17" s="203"/>
      <c r="U17" s="186"/>
      <c r="V17" s="174"/>
      <c r="W17" s="174"/>
      <c r="X17" s="174"/>
      <c r="Y17" s="175"/>
      <c r="Z17" s="261" t="s">
        <v>9</v>
      </c>
      <c r="AD17" s="15"/>
      <c r="AE17" s="15"/>
    </row>
    <row r="18" spans="1:40" ht="39.950000000000003" customHeight="1" thickBot="1" x14ac:dyDescent="0.3">
      <c r="A18" s="170" t="s">
        <v>10</v>
      </c>
      <c r="B18" s="425" t="s">
        <v>100</v>
      </c>
      <c r="C18" s="168">
        <v>1</v>
      </c>
      <c r="D18" s="168">
        <v>2</v>
      </c>
      <c r="E18" s="168">
        <v>3</v>
      </c>
      <c r="F18" s="168">
        <v>4</v>
      </c>
      <c r="G18" s="204">
        <v>5</v>
      </c>
      <c r="H18" s="998"/>
      <c r="I18" s="386" t="s">
        <v>100</v>
      </c>
      <c r="J18" s="438">
        <v>1</v>
      </c>
      <c r="K18" s="438">
        <v>2</v>
      </c>
      <c r="L18" s="438">
        <v>3</v>
      </c>
      <c r="M18" s="438">
        <v>4</v>
      </c>
      <c r="N18" s="439">
        <v>5</v>
      </c>
      <c r="O18" s="998"/>
      <c r="P18" s="202">
        <v>1</v>
      </c>
      <c r="Q18" s="174">
        <v>2</v>
      </c>
      <c r="R18" s="174">
        <v>3</v>
      </c>
      <c r="S18" s="174">
        <v>4</v>
      </c>
      <c r="T18" s="203">
        <v>5</v>
      </c>
      <c r="U18" s="186">
        <v>1</v>
      </c>
      <c r="V18" s="174">
        <v>2</v>
      </c>
      <c r="W18" s="174">
        <v>3</v>
      </c>
      <c r="X18" s="174">
        <v>4</v>
      </c>
      <c r="Y18" s="175">
        <v>5</v>
      </c>
      <c r="Z18" s="126"/>
      <c r="AD18" s="2"/>
      <c r="AE18" s="15"/>
    </row>
    <row r="19" spans="1:40" ht="39.950000000000003" customHeight="1" x14ac:dyDescent="0.25">
      <c r="A19" s="171" t="s">
        <v>53</v>
      </c>
      <c r="B19" s="503">
        <v>325.3</v>
      </c>
      <c r="C19" s="504">
        <v>20.5</v>
      </c>
      <c r="D19" s="504">
        <v>20.7</v>
      </c>
      <c r="E19" s="504">
        <v>5.8</v>
      </c>
      <c r="F19" s="504">
        <v>21</v>
      </c>
      <c r="G19" s="505">
        <v>20.9</v>
      </c>
      <c r="H19" s="506">
        <f>SUM(B19:G19)</f>
        <v>414.2</v>
      </c>
      <c r="I19" s="142">
        <v>328.1</v>
      </c>
      <c r="J19" s="504">
        <v>20.8</v>
      </c>
      <c r="K19" s="504">
        <v>21</v>
      </c>
      <c r="L19" s="504">
        <v>5.7</v>
      </c>
      <c r="M19" s="504">
        <v>20</v>
      </c>
      <c r="N19" s="507">
        <v>19.8</v>
      </c>
      <c r="O19" s="506">
        <f>SUM(I19:N19)</f>
        <v>415.40000000000003</v>
      </c>
      <c r="P19" s="515">
        <v>80.400000000000006</v>
      </c>
      <c r="Q19" s="504">
        <v>79.8</v>
      </c>
      <c r="R19" s="504">
        <v>28.9</v>
      </c>
      <c r="S19" s="504">
        <v>80.099999999999994</v>
      </c>
      <c r="T19" s="507">
        <v>80.599999999999994</v>
      </c>
      <c r="U19" s="508">
        <v>83.7</v>
      </c>
      <c r="V19" s="504">
        <v>84</v>
      </c>
      <c r="W19" s="504">
        <v>30.6</v>
      </c>
      <c r="X19" s="504">
        <v>83.7</v>
      </c>
      <c r="Y19" s="507">
        <v>83.5</v>
      </c>
      <c r="Z19" s="209">
        <f>SUM(H19,O19,P19:Y19)</f>
        <v>1544.8999999999999</v>
      </c>
      <c r="AA19" s="301"/>
      <c r="AB19" s="302"/>
      <c r="AD19" s="2"/>
      <c r="AE19" s="15"/>
    </row>
    <row r="20" spans="1:40" ht="39.950000000000003" customHeight="1" x14ac:dyDescent="0.25">
      <c r="A20" s="171" t="s">
        <v>24</v>
      </c>
      <c r="B20" s="503">
        <v>325.3</v>
      </c>
      <c r="C20" s="504">
        <v>20.5</v>
      </c>
      <c r="D20" s="504">
        <v>20.7</v>
      </c>
      <c r="E20" s="504">
        <v>5.8</v>
      </c>
      <c r="F20" s="504">
        <v>21</v>
      </c>
      <c r="G20" s="505">
        <v>20.9</v>
      </c>
      <c r="H20" s="506">
        <f t="shared" ref="H20:H24" si="0">SUM(B20:G20)</f>
        <v>414.2</v>
      </c>
      <c r="I20" s="142">
        <v>328.1</v>
      </c>
      <c r="J20" s="504">
        <v>20.8</v>
      </c>
      <c r="K20" s="504">
        <v>21</v>
      </c>
      <c r="L20" s="504">
        <v>5.7</v>
      </c>
      <c r="M20" s="504">
        <v>20</v>
      </c>
      <c r="N20" s="507">
        <v>19.8</v>
      </c>
      <c r="O20" s="506">
        <f t="shared" ref="O20:O24" si="1">SUM(I20:N20)</f>
        <v>415.40000000000003</v>
      </c>
      <c r="P20" s="515">
        <v>80.400000000000006</v>
      </c>
      <c r="Q20" s="504">
        <v>79.8</v>
      </c>
      <c r="R20" s="504">
        <v>28.9</v>
      </c>
      <c r="S20" s="504">
        <v>80.099999999999994</v>
      </c>
      <c r="T20" s="507">
        <v>80.599999999999994</v>
      </c>
      <c r="U20" s="508">
        <v>83.7</v>
      </c>
      <c r="V20" s="504">
        <v>84</v>
      </c>
      <c r="W20" s="504">
        <v>30.6</v>
      </c>
      <c r="X20" s="504">
        <v>83.7</v>
      </c>
      <c r="Y20" s="507">
        <v>83.5</v>
      </c>
      <c r="Z20" s="209">
        <f t="shared" ref="Z20:Z25" si="2">SUM(H20,O20,P20:Y20)</f>
        <v>1544.8999999999999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75" customHeight="1" x14ac:dyDescent="0.25">
      <c r="A21" s="171" t="s">
        <v>20</v>
      </c>
      <c r="B21" s="503">
        <v>325.3</v>
      </c>
      <c r="C21" s="504">
        <v>20.5</v>
      </c>
      <c r="D21" s="504">
        <v>20.7</v>
      </c>
      <c r="E21" s="504">
        <v>5.8</v>
      </c>
      <c r="F21" s="504">
        <v>21</v>
      </c>
      <c r="G21" s="505">
        <v>20.9</v>
      </c>
      <c r="H21" s="506">
        <f t="shared" si="0"/>
        <v>414.2</v>
      </c>
      <c r="I21" s="142">
        <v>328.1</v>
      </c>
      <c r="J21" s="504">
        <v>20.8</v>
      </c>
      <c r="K21" s="504">
        <v>21</v>
      </c>
      <c r="L21" s="504">
        <v>5.7</v>
      </c>
      <c r="M21" s="504">
        <v>20</v>
      </c>
      <c r="N21" s="507">
        <v>19.8</v>
      </c>
      <c r="O21" s="506">
        <f t="shared" si="1"/>
        <v>415.40000000000003</v>
      </c>
      <c r="P21" s="515">
        <v>80.3</v>
      </c>
      <c r="Q21" s="504">
        <v>79.8</v>
      </c>
      <c r="R21" s="504">
        <v>28.8</v>
      </c>
      <c r="S21" s="504">
        <v>80.099999999999994</v>
      </c>
      <c r="T21" s="507">
        <v>80.599999999999994</v>
      </c>
      <c r="U21" s="508">
        <v>83.5</v>
      </c>
      <c r="V21" s="504">
        <v>84</v>
      </c>
      <c r="W21" s="504">
        <v>30.6</v>
      </c>
      <c r="X21" s="504">
        <v>83.7</v>
      </c>
      <c r="Y21" s="507">
        <v>83.5</v>
      </c>
      <c r="Z21" s="509">
        <f t="shared" si="2"/>
        <v>1544.4999999999998</v>
      </c>
      <c r="AA21" s="520"/>
      <c r="AB21" s="521"/>
      <c r="AC21" s="522"/>
      <c r="AD21" s="145"/>
      <c r="AE21" s="523"/>
      <c r="AF21" s="522"/>
      <c r="AG21" s="522"/>
      <c r="AH21" s="522"/>
      <c r="AI21" s="522"/>
      <c r="AJ21" s="522"/>
      <c r="AK21" s="522"/>
      <c r="AL21" s="522"/>
      <c r="AM21" s="522"/>
      <c r="AN21" s="522"/>
    </row>
    <row r="22" spans="1:40" ht="39.950000000000003" customHeight="1" x14ac:dyDescent="0.25">
      <c r="A22" s="171" t="s">
        <v>28</v>
      </c>
      <c r="B22" s="503">
        <v>325.3</v>
      </c>
      <c r="C22" s="504">
        <v>20.5</v>
      </c>
      <c r="D22" s="504">
        <v>20.7</v>
      </c>
      <c r="E22" s="504">
        <v>5.8</v>
      </c>
      <c r="F22" s="504">
        <v>21</v>
      </c>
      <c r="G22" s="505">
        <v>20.9</v>
      </c>
      <c r="H22" s="506">
        <f t="shared" si="0"/>
        <v>414.2</v>
      </c>
      <c r="I22" s="142">
        <v>328.1</v>
      </c>
      <c r="J22" s="504">
        <v>20.8</v>
      </c>
      <c r="K22" s="504">
        <v>21</v>
      </c>
      <c r="L22" s="504">
        <v>5.7</v>
      </c>
      <c r="M22" s="504">
        <v>20</v>
      </c>
      <c r="N22" s="507">
        <v>19.8</v>
      </c>
      <c r="O22" s="506">
        <f t="shared" si="1"/>
        <v>415.40000000000003</v>
      </c>
      <c r="P22" s="515">
        <v>80.3</v>
      </c>
      <c r="Q22" s="504">
        <v>79.8</v>
      </c>
      <c r="R22" s="504">
        <v>28.8</v>
      </c>
      <c r="S22" s="504">
        <v>80.099999999999994</v>
      </c>
      <c r="T22" s="507">
        <v>80.599999999999994</v>
      </c>
      <c r="U22" s="508">
        <v>83.5</v>
      </c>
      <c r="V22" s="504">
        <v>84</v>
      </c>
      <c r="W22" s="504">
        <v>30.6</v>
      </c>
      <c r="X22" s="504">
        <v>83.7</v>
      </c>
      <c r="Y22" s="507">
        <v>83.5</v>
      </c>
      <c r="Z22" s="209">
        <f t="shared" si="2"/>
        <v>1544.4999999999998</v>
      </c>
      <c r="AA22" s="301"/>
      <c r="AB22" s="302"/>
      <c r="AD22" s="2"/>
      <c r="AE22" s="15"/>
    </row>
    <row r="23" spans="1:40" ht="39.950000000000003" customHeight="1" x14ac:dyDescent="0.25">
      <c r="A23" s="171" t="s">
        <v>21</v>
      </c>
      <c r="B23" s="503">
        <v>325.3</v>
      </c>
      <c r="C23" s="504">
        <v>20.5</v>
      </c>
      <c r="D23" s="504">
        <v>20.7</v>
      </c>
      <c r="E23" s="504">
        <v>5.7</v>
      </c>
      <c r="F23" s="504">
        <v>21</v>
      </c>
      <c r="G23" s="505">
        <v>20.9</v>
      </c>
      <c r="H23" s="506">
        <f t="shared" si="0"/>
        <v>414.09999999999997</v>
      </c>
      <c r="I23" s="142">
        <v>328.1</v>
      </c>
      <c r="J23" s="504">
        <v>20.8</v>
      </c>
      <c r="K23" s="504">
        <v>21</v>
      </c>
      <c r="L23" s="504">
        <v>5.7</v>
      </c>
      <c r="M23" s="504">
        <v>20</v>
      </c>
      <c r="N23" s="507">
        <v>19.8</v>
      </c>
      <c r="O23" s="506">
        <f t="shared" si="1"/>
        <v>415.40000000000003</v>
      </c>
      <c r="P23" s="515">
        <v>80.3</v>
      </c>
      <c r="Q23" s="504">
        <v>79.8</v>
      </c>
      <c r="R23" s="548">
        <v>29.7</v>
      </c>
      <c r="S23" s="504">
        <v>80.099999999999994</v>
      </c>
      <c r="T23" s="507">
        <v>80.599999999999994</v>
      </c>
      <c r="U23" s="508">
        <v>83.5</v>
      </c>
      <c r="V23" s="504">
        <v>84</v>
      </c>
      <c r="W23" s="504">
        <v>30.6</v>
      </c>
      <c r="X23" s="504">
        <v>83.7</v>
      </c>
      <c r="Y23" s="507">
        <v>83.5</v>
      </c>
      <c r="Z23" s="509">
        <f t="shared" si="2"/>
        <v>1545.2999999999997</v>
      </c>
      <c r="AA23" s="301"/>
      <c r="AB23" s="302"/>
      <c r="AD23" s="2"/>
      <c r="AE23" s="15"/>
    </row>
    <row r="24" spans="1:40" ht="39.950000000000003" customHeight="1" x14ac:dyDescent="0.25">
      <c r="A24" s="171" t="s">
        <v>22</v>
      </c>
      <c r="B24" s="503">
        <v>325.3</v>
      </c>
      <c r="C24" s="504">
        <v>20.5</v>
      </c>
      <c r="D24" s="504">
        <v>20.7</v>
      </c>
      <c r="E24" s="504">
        <v>5.7</v>
      </c>
      <c r="F24" s="504">
        <v>21</v>
      </c>
      <c r="G24" s="505">
        <v>20.9</v>
      </c>
      <c r="H24" s="506">
        <f t="shared" si="0"/>
        <v>414.09999999999997</v>
      </c>
      <c r="I24" s="142">
        <v>328.1</v>
      </c>
      <c r="J24" s="504">
        <v>20.8</v>
      </c>
      <c r="K24" s="504">
        <v>21</v>
      </c>
      <c r="L24" s="504">
        <v>5.7</v>
      </c>
      <c r="M24" s="504">
        <v>20</v>
      </c>
      <c r="N24" s="507">
        <v>19.8</v>
      </c>
      <c r="O24" s="506">
        <f t="shared" si="1"/>
        <v>415.40000000000003</v>
      </c>
      <c r="P24" s="515">
        <v>80.3</v>
      </c>
      <c r="Q24" s="504">
        <v>79.8</v>
      </c>
      <c r="R24" s="504">
        <v>29.5</v>
      </c>
      <c r="S24" s="504">
        <v>80.099999999999994</v>
      </c>
      <c r="T24" s="507">
        <v>80.599999999999994</v>
      </c>
      <c r="U24" s="508">
        <v>83.5</v>
      </c>
      <c r="V24" s="504">
        <v>84</v>
      </c>
      <c r="W24" s="504">
        <v>30.6</v>
      </c>
      <c r="X24" s="504">
        <v>83.7</v>
      </c>
      <c r="Y24" s="507">
        <v>83.5</v>
      </c>
      <c r="Z24" s="209">
        <f t="shared" si="2"/>
        <v>1545.0999999999997</v>
      </c>
      <c r="AA24" s="301"/>
      <c r="AB24" s="302"/>
      <c r="AD24" s="2"/>
      <c r="AE24" s="15"/>
    </row>
    <row r="25" spans="1:40" ht="39.950000000000003" customHeight="1" thickBot="1" x14ac:dyDescent="0.3">
      <c r="A25" s="285" t="s">
        <v>23</v>
      </c>
      <c r="B25" s="503">
        <v>325.3</v>
      </c>
      <c r="C25" s="504">
        <v>20.5</v>
      </c>
      <c r="D25" s="504">
        <v>20.7</v>
      </c>
      <c r="E25" s="504">
        <v>5.7</v>
      </c>
      <c r="F25" s="504">
        <v>21</v>
      </c>
      <c r="G25" s="505">
        <v>20.9</v>
      </c>
      <c r="H25" s="506">
        <f t="shared" ref="H25" si="3">SUM(B25:G25)</f>
        <v>414.09999999999997</v>
      </c>
      <c r="I25" s="142">
        <v>328.1</v>
      </c>
      <c r="J25" s="504">
        <v>20.8</v>
      </c>
      <c r="K25" s="504">
        <v>21</v>
      </c>
      <c r="L25" s="504">
        <v>5.7</v>
      </c>
      <c r="M25" s="504">
        <v>20</v>
      </c>
      <c r="N25" s="507">
        <v>19.8</v>
      </c>
      <c r="O25" s="506">
        <f t="shared" ref="O25" si="4">SUM(I25:N25)</f>
        <v>415.40000000000003</v>
      </c>
      <c r="P25" s="515">
        <v>80.3</v>
      </c>
      <c r="Q25" s="504">
        <v>79.599999999999994</v>
      </c>
      <c r="R25" s="504">
        <v>29.5</v>
      </c>
      <c r="S25" s="504">
        <v>80.099999999999994</v>
      </c>
      <c r="T25" s="507">
        <v>80.599999999999994</v>
      </c>
      <c r="U25" s="508">
        <v>83.5</v>
      </c>
      <c r="V25" s="504">
        <v>84</v>
      </c>
      <c r="W25" s="504">
        <v>30.6</v>
      </c>
      <c r="X25" s="504">
        <v>83.7</v>
      </c>
      <c r="Y25" s="507">
        <v>83.5</v>
      </c>
      <c r="Z25" s="209">
        <f t="shared" si="2"/>
        <v>1544.8999999999999</v>
      </c>
      <c r="AA25" s="301"/>
      <c r="AB25" s="302"/>
      <c r="AD25" s="2"/>
    </row>
    <row r="26" spans="1:40" ht="41.45" customHeight="1" thickBot="1" x14ac:dyDescent="0.3">
      <c r="A26" s="268" t="s">
        <v>9</v>
      </c>
      <c r="B26" s="421"/>
      <c r="C26" s="128">
        <f>SUM(C19:C25)</f>
        <v>143.5</v>
      </c>
      <c r="D26" s="128">
        <f t="shared" ref="D26:Y26" si="5">SUM(D19:D25)</f>
        <v>144.9</v>
      </c>
      <c r="E26" s="128">
        <f t="shared" si="5"/>
        <v>40.300000000000004</v>
      </c>
      <c r="F26" s="128">
        <f t="shared" si="5"/>
        <v>147</v>
      </c>
      <c r="G26" s="205">
        <f t="shared" si="5"/>
        <v>146.30000000000001</v>
      </c>
      <c r="H26" s="436">
        <f>SUM(H19:H25)</f>
        <v>2899.1</v>
      </c>
      <c r="I26" s="131"/>
      <c r="J26" s="128">
        <f t="shared" si="5"/>
        <v>145.6</v>
      </c>
      <c r="K26" s="128">
        <f>SUM(K19:K25)</f>
        <v>147</v>
      </c>
      <c r="L26" s="128">
        <f t="shared" si="5"/>
        <v>39.900000000000006</v>
      </c>
      <c r="M26" s="128">
        <f t="shared" si="5"/>
        <v>140</v>
      </c>
      <c r="N26" s="129">
        <f t="shared" si="5"/>
        <v>138.6</v>
      </c>
      <c r="O26" s="436">
        <f>SUM(O19:O25)</f>
        <v>2907.8</v>
      </c>
      <c r="P26" s="127">
        <f t="shared" si="5"/>
        <v>562.30000000000007</v>
      </c>
      <c r="Q26" s="128">
        <f t="shared" si="5"/>
        <v>558.4</v>
      </c>
      <c r="R26" s="128">
        <f t="shared" si="5"/>
        <v>204.1</v>
      </c>
      <c r="S26" s="128">
        <f t="shared" si="5"/>
        <v>560.70000000000005</v>
      </c>
      <c r="T26" s="205">
        <f t="shared" si="5"/>
        <v>564.20000000000005</v>
      </c>
      <c r="U26" s="131">
        <f t="shared" si="5"/>
        <v>584.9</v>
      </c>
      <c r="V26" s="128">
        <f t="shared" si="5"/>
        <v>588</v>
      </c>
      <c r="W26" s="128">
        <f t="shared" si="5"/>
        <v>214.2</v>
      </c>
      <c r="X26" s="128">
        <f t="shared" si="5"/>
        <v>585.9</v>
      </c>
      <c r="Y26" s="129">
        <f t="shared" si="5"/>
        <v>584.5</v>
      </c>
      <c r="Z26" s="375">
        <f>SUM(Z19,Z20,Z21,Z22,Z23,Z24,Z25)</f>
        <v>10814.099999999999</v>
      </c>
      <c r="AA26" s="301"/>
    </row>
    <row r="27" spans="1:40" s="2" customFormat="1" ht="36.75" customHeight="1" x14ac:dyDescent="0.25">
      <c r="A27" s="192" t="s">
        <v>11</v>
      </c>
      <c r="B27" s="23"/>
      <c r="C27" s="477">
        <v>165.52</v>
      </c>
      <c r="D27" s="477">
        <v>165.52</v>
      </c>
      <c r="E27" s="477">
        <v>165.52</v>
      </c>
      <c r="F27" s="477">
        <v>165.52</v>
      </c>
      <c r="G27" s="477">
        <v>165.52</v>
      </c>
      <c r="H27" s="478"/>
      <c r="I27" s="479"/>
      <c r="J27" s="477">
        <v>165.52</v>
      </c>
      <c r="K27" s="477">
        <v>165.52</v>
      </c>
      <c r="L27" s="477">
        <v>163.82</v>
      </c>
      <c r="M27" s="477">
        <v>163.82</v>
      </c>
      <c r="N27" s="477">
        <v>163.82</v>
      </c>
      <c r="O27" s="478"/>
      <c r="P27" s="480">
        <v>163.82</v>
      </c>
      <c r="Q27" s="477">
        <v>163.82</v>
      </c>
      <c r="R27" s="477">
        <v>163.82</v>
      </c>
      <c r="S27" s="477">
        <v>163.82</v>
      </c>
      <c r="T27" s="481">
        <v>163.82</v>
      </c>
      <c r="U27" s="479">
        <v>163.82</v>
      </c>
      <c r="V27" s="477">
        <v>163.82</v>
      </c>
      <c r="W27" s="477">
        <v>163.82</v>
      </c>
      <c r="X27" s="477">
        <v>163.82</v>
      </c>
      <c r="Y27" s="482">
        <v>163.82</v>
      </c>
      <c r="Z27" s="99">
        <f>(((Z26*1000)/7)/Z28)</f>
        <v>164.62824260138837</v>
      </c>
    </row>
    <row r="28" spans="1:40" s="2" customFormat="1" ht="33" customHeight="1" x14ac:dyDescent="0.25">
      <c r="A28" s="193" t="s">
        <v>12</v>
      </c>
      <c r="B28" s="257"/>
      <c r="C28" s="27">
        <v>577</v>
      </c>
      <c r="D28" s="27">
        <v>583</v>
      </c>
      <c r="E28" s="27">
        <v>160</v>
      </c>
      <c r="F28" s="27">
        <v>590</v>
      </c>
      <c r="G28" s="27">
        <v>587</v>
      </c>
      <c r="H28" s="441"/>
      <c r="I28" s="26"/>
      <c r="J28" s="27">
        <v>586</v>
      </c>
      <c r="K28" s="27">
        <v>590</v>
      </c>
      <c r="L28" s="483">
        <v>168</v>
      </c>
      <c r="M28" s="27">
        <v>591</v>
      </c>
      <c r="N28" s="27">
        <v>585</v>
      </c>
      <c r="O28" s="441"/>
      <c r="P28" s="64">
        <v>490</v>
      </c>
      <c r="Q28" s="27">
        <v>486</v>
      </c>
      <c r="R28" s="27">
        <v>180</v>
      </c>
      <c r="S28" s="27">
        <v>489</v>
      </c>
      <c r="T28" s="483">
        <v>492</v>
      </c>
      <c r="U28" s="27">
        <v>509</v>
      </c>
      <c r="V28" s="27">
        <v>513</v>
      </c>
      <c r="W28" s="27">
        <v>187</v>
      </c>
      <c r="X28" s="27">
        <v>511</v>
      </c>
      <c r="Y28" s="27">
        <v>510</v>
      </c>
      <c r="Z28" s="29">
        <f>SUM(C28:Y28)</f>
        <v>9384</v>
      </c>
      <c r="AA28" s="402"/>
    </row>
    <row r="29" spans="1:40" s="2" customFormat="1" ht="33" customHeight="1" x14ac:dyDescent="0.25">
      <c r="A29" s="444" t="s">
        <v>13</v>
      </c>
      <c r="B29" s="445"/>
      <c r="C29" s="31">
        <f>(C34*C28)/1000</f>
        <v>20.495040000000003</v>
      </c>
      <c r="D29" s="31">
        <f>(D34*D28)/1000</f>
        <v>20.708160000000007</v>
      </c>
      <c r="E29" s="31">
        <f t="shared" ref="E29:G29" si="6">(E34*E28)/1000</f>
        <v>5.683200000000002</v>
      </c>
      <c r="F29" s="31">
        <f t="shared" si="6"/>
        <v>20.956800000000008</v>
      </c>
      <c r="G29" s="31">
        <f t="shared" si="6"/>
        <v>20.850240000000007</v>
      </c>
      <c r="H29" s="442"/>
      <c r="I29" s="30"/>
      <c r="J29" s="31">
        <f>(J34*J28)/1000</f>
        <v>20.814720000000005</v>
      </c>
      <c r="K29" s="31">
        <f t="shared" ref="K29:N29" si="7">(K34*K28)/1000</f>
        <v>20.956800000000008</v>
      </c>
      <c r="L29" s="31">
        <f t="shared" si="7"/>
        <v>5.6817599999999988</v>
      </c>
      <c r="M29" s="31">
        <f t="shared" si="7"/>
        <v>19.987619999999996</v>
      </c>
      <c r="N29" s="31">
        <f t="shared" si="7"/>
        <v>19.784699999999997</v>
      </c>
      <c r="O29" s="442"/>
      <c r="P29" s="65">
        <f>((((P27*7)*P28)/1000))/7</f>
        <v>80.271799999999999</v>
      </c>
      <c r="Q29" s="65">
        <f t="shared" ref="Q29:Y29" si="8">((((Q27*7)*Q28)/1000))/7</f>
        <v>79.616520000000008</v>
      </c>
      <c r="R29" s="65">
        <f t="shared" si="8"/>
        <v>29.487600000000004</v>
      </c>
      <c r="S29" s="65">
        <f t="shared" si="8"/>
        <v>80.107979999999998</v>
      </c>
      <c r="T29" s="65">
        <f t="shared" si="8"/>
        <v>80.599439999999987</v>
      </c>
      <c r="U29" s="65">
        <f t="shared" si="8"/>
        <v>83.384379999999993</v>
      </c>
      <c r="V29" s="65">
        <f t="shared" si="8"/>
        <v>84.039659999999998</v>
      </c>
      <c r="W29" s="65">
        <f t="shared" si="8"/>
        <v>30.634340000000002</v>
      </c>
      <c r="X29" s="65">
        <f t="shared" si="8"/>
        <v>83.71202000000001</v>
      </c>
      <c r="Y29" s="65">
        <f t="shared" si="8"/>
        <v>83.548199999999994</v>
      </c>
      <c r="Z29" s="33"/>
    </row>
    <row r="30" spans="1:40" ht="33.75" customHeight="1" x14ac:dyDescent="0.25">
      <c r="A30" s="185" t="s">
        <v>14</v>
      </c>
      <c r="B30" s="34"/>
      <c r="C30" s="280">
        <f>((C28*C31)*7)/1000</f>
        <v>143.5</v>
      </c>
      <c r="D30" s="280">
        <f t="shared" ref="D30:G30" si="9">((D28*D31)*7)/1000</f>
        <v>144.9</v>
      </c>
      <c r="E30" s="280">
        <f>((E28*E31)*7)/1000</f>
        <v>40.300000000000004</v>
      </c>
      <c r="F30" s="280">
        <f t="shared" si="9"/>
        <v>147</v>
      </c>
      <c r="G30" s="280">
        <f t="shared" si="9"/>
        <v>146.30000000000001</v>
      </c>
      <c r="H30" s="443"/>
      <c r="I30" s="279"/>
      <c r="J30" s="280">
        <f>((J28*J31)*7)/1000</f>
        <v>145.6</v>
      </c>
      <c r="K30" s="280">
        <f t="shared" ref="K30:N30" si="10">((K28*K31)*7)/1000</f>
        <v>147</v>
      </c>
      <c r="L30" s="280">
        <f t="shared" si="10"/>
        <v>39.9</v>
      </c>
      <c r="M30" s="280">
        <f t="shared" si="10"/>
        <v>140</v>
      </c>
      <c r="N30" s="280">
        <f t="shared" si="10"/>
        <v>138.6</v>
      </c>
      <c r="O30" s="443"/>
      <c r="P30" s="325">
        <f t="shared" ref="P30:Y30" si="11">((P28*P27)*7)/1000</f>
        <v>561.90260000000001</v>
      </c>
      <c r="Q30" s="280">
        <f t="shared" si="11"/>
        <v>557.31563999999992</v>
      </c>
      <c r="R30" s="280">
        <f t="shared" si="11"/>
        <v>206.41319999999999</v>
      </c>
      <c r="S30" s="280">
        <f t="shared" si="11"/>
        <v>560.75585999999998</v>
      </c>
      <c r="T30" s="281">
        <f t="shared" si="11"/>
        <v>564.19608000000005</v>
      </c>
      <c r="U30" s="279">
        <f t="shared" si="11"/>
        <v>583.69065999999987</v>
      </c>
      <c r="V30" s="280">
        <f t="shared" si="11"/>
        <v>588.27761999999996</v>
      </c>
      <c r="W30" s="280">
        <f t="shared" si="11"/>
        <v>214.44038</v>
      </c>
      <c r="X30" s="280">
        <f t="shared" si="11"/>
        <v>585.98413999999991</v>
      </c>
      <c r="Y30" s="282">
        <f t="shared" si="11"/>
        <v>584.8374</v>
      </c>
      <c r="Z30" s="36"/>
    </row>
    <row r="31" spans="1:40" ht="33.75" customHeight="1" thickBot="1" x14ac:dyDescent="0.3">
      <c r="A31" s="195" t="s">
        <v>15</v>
      </c>
      <c r="B31" s="423"/>
      <c r="C31" s="38">
        <f>+(C26/C28)/7*1000</f>
        <v>35.52859618717504</v>
      </c>
      <c r="D31" s="38">
        <f t="shared" ref="D31:Y31" si="12">+(D26/D28)/7*1000</f>
        <v>35.506003430531734</v>
      </c>
      <c r="E31" s="38">
        <f t="shared" si="12"/>
        <v>35.982142857142861</v>
      </c>
      <c r="F31" s="38">
        <f t="shared" si="12"/>
        <v>35.593220338983052</v>
      </c>
      <c r="G31" s="38">
        <f t="shared" si="12"/>
        <v>35.604770017035776</v>
      </c>
      <c r="H31" s="259"/>
      <c r="I31" s="37"/>
      <c r="J31" s="38">
        <f t="shared" si="12"/>
        <v>35.494880546075088</v>
      </c>
      <c r="K31" s="38">
        <f t="shared" si="12"/>
        <v>35.593220338983052</v>
      </c>
      <c r="L31" s="38">
        <f t="shared" si="12"/>
        <v>33.928571428571431</v>
      </c>
      <c r="M31" s="38">
        <f t="shared" si="12"/>
        <v>33.840947546531304</v>
      </c>
      <c r="N31" s="38">
        <f t="shared" si="12"/>
        <v>33.846153846153847</v>
      </c>
      <c r="O31" s="259"/>
      <c r="P31" s="67">
        <f t="shared" si="12"/>
        <v>163.93586005830903</v>
      </c>
      <c r="Q31" s="38">
        <f t="shared" si="12"/>
        <v>164.13874191651971</v>
      </c>
      <c r="R31" s="38">
        <f t="shared" si="12"/>
        <v>161.98412698412699</v>
      </c>
      <c r="S31" s="38">
        <f t="shared" si="12"/>
        <v>163.80368098159508</v>
      </c>
      <c r="T31" s="207">
        <f t="shared" si="12"/>
        <v>163.82113821138211</v>
      </c>
      <c r="U31" s="37">
        <f t="shared" si="12"/>
        <v>164.15941622228459</v>
      </c>
      <c r="V31" s="38">
        <f t="shared" si="12"/>
        <v>163.74269005847952</v>
      </c>
      <c r="W31" s="38">
        <f t="shared" si="12"/>
        <v>163.63636363636363</v>
      </c>
      <c r="X31" s="38">
        <f t="shared" si="12"/>
        <v>163.79647749510764</v>
      </c>
      <c r="Y31" s="39">
        <f t="shared" si="12"/>
        <v>163.72549019607843</v>
      </c>
      <c r="Z31" s="40"/>
    </row>
    <row r="32" spans="1:40" ht="33.75" customHeight="1" x14ac:dyDescent="0.25">
      <c r="A32" s="41"/>
      <c r="B32" s="41"/>
      <c r="C32" s="42">
        <f>C30-C26</f>
        <v>0</v>
      </c>
      <c r="D32" s="42">
        <f t="shared" ref="D32:Y33" si="13">D30-D26</f>
        <v>0</v>
      </c>
      <c r="E32" s="42">
        <f t="shared" si="13"/>
        <v>0</v>
      </c>
      <c r="F32" s="42">
        <f t="shared" si="13"/>
        <v>0</v>
      </c>
      <c r="G32" s="42">
        <f t="shared" si="13"/>
        <v>0</v>
      </c>
      <c r="H32" s="42"/>
      <c r="I32" s="42"/>
      <c r="J32" s="42">
        <f t="shared" si="13"/>
        <v>0</v>
      </c>
      <c r="K32" s="42">
        <f>K30-K26</f>
        <v>0</v>
      </c>
      <c r="L32" s="42">
        <f t="shared" si="13"/>
        <v>0</v>
      </c>
      <c r="M32" s="42">
        <f t="shared" si="13"/>
        <v>0</v>
      </c>
      <c r="N32" s="42">
        <f t="shared" si="13"/>
        <v>0</v>
      </c>
      <c r="O32" s="42"/>
      <c r="P32" s="42">
        <f t="shared" si="13"/>
        <v>-0.39740000000006148</v>
      </c>
      <c r="Q32" s="42">
        <f t="shared" si="13"/>
        <v>-1.0843600000000606</v>
      </c>
      <c r="R32" s="42">
        <f t="shared" si="13"/>
        <v>2.3131999999999948</v>
      </c>
      <c r="S32" s="42">
        <f t="shared" si="13"/>
        <v>5.5859999999938736E-2</v>
      </c>
      <c r="T32" s="42">
        <f t="shared" si="13"/>
        <v>-3.9199999999937063E-3</v>
      </c>
      <c r="U32" s="42">
        <f t="shared" si="13"/>
        <v>-1.2093400000001111</v>
      </c>
      <c r="V32" s="42">
        <f t="shared" si="13"/>
        <v>0.27761999999995624</v>
      </c>
      <c r="W32" s="42">
        <f t="shared" si="13"/>
        <v>0.24038000000001603</v>
      </c>
      <c r="X32" s="42">
        <f t="shared" si="13"/>
        <v>8.4139999999933934E-2</v>
      </c>
      <c r="Y32" s="42">
        <f t="shared" si="13"/>
        <v>0.33740000000000236</v>
      </c>
      <c r="Z32" s="48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</row>
    <row r="33" spans="1:38" ht="31.5" customHeight="1" x14ac:dyDescent="0.25">
      <c r="A33" s="41"/>
      <c r="B33" s="41"/>
      <c r="C33" s="42">
        <f>C31-C34</f>
        <v>8.5961871750299679E-3</v>
      </c>
      <c r="D33" s="42">
        <f t="shared" ref="D33:G33" si="14">D31-D34</f>
        <v>-1.3996569468275766E-2</v>
      </c>
      <c r="E33" s="42">
        <f t="shared" si="14"/>
        <v>0.46214285714285097</v>
      </c>
      <c r="F33" s="42">
        <f t="shared" si="14"/>
        <v>7.32203389830417E-2</v>
      </c>
      <c r="G33" s="42">
        <f t="shared" si="14"/>
        <v>8.4770017035765477E-2</v>
      </c>
      <c r="H33" s="42"/>
      <c r="I33" s="42"/>
      <c r="J33" s="42">
        <f t="shared" ref="J33:N33" si="15">J31-J34</f>
        <v>-2.5119453924922652E-2</v>
      </c>
      <c r="K33" s="42">
        <f t="shared" si="15"/>
        <v>7.32203389830417E-2</v>
      </c>
      <c r="L33" s="42">
        <f t="shared" si="15"/>
        <v>0.10857142857143742</v>
      </c>
      <c r="M33" s="42">
        <f t="shared" si="15"/>
        <v>2.0947546531310479E-2</v>
      </c>
      <c r="N33" s="42">
        <f t="shared" si="15"/>
        <v>2.6153846153853522E-2</v>
      </c>
      <c r="O33" s="42"/>
      <c r="P33" s="42">
        <f t="shared" si="13"/>
        <v>0.115860058309039</v>
      </c>
      <c r="Q33" s="42">
        <f t="shared" si="13"/>
        <v>0.31874191651971273</v>
      </c>
      <c r="R33" s="42">
        <f t="shared" si="13"/>
        <v>-1.8358730158730054</v>
      </c>
      <c r="S33" s="42">
        <f t="shared" si="13"/>
        <v>-1.6319018404914232E-2</v>
      </c>
      <c r="T33" s="42">
        <f t="shared" si="13"/>
        <v>1.1382113821127859E-3</v>
      </c>
      <c r="U33" s="42">
        <f t="shared" si="13"/>
        <v>0.33941622228459778</v>
      </c>
      <c r="V33" s="42">
        <f t="shared" si="13"/>
        <v>-7.7309941520468328E-2</v>
      </c>
      <c r="W33" s="42">
        <f t="shared" si="13"/>
        <v>-0.18363636363636715</v>
      </c>
      <c r="X33" s="42">
        <f t="shared" si="13"/>
        <v>-2.35225048923553E-2</v>
      </c>
      <c r="Y33" s="42">
        <f t="shared" si="13"/>
        <v>-9.4509803921567936E-2</v>
      </c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thickBot="1" x14ac:dyDescent="0.3">
      <c r="A34" s="41"/>
      <c r="B34" s="41"/>
      <c r="C34" s="42">
        <f>C27-$B$35</f>
        <v>35.52000000000001</v>
      </c>
      <c r="D34" s="42">
        <f t="shared" ref="D34:G34" si="16">D27-$B$35</f>
        <v>35.52000000000001</v>
      </c>
      <c r="E34" s="42">
        <f t="shared" si="16"/>
        <v>35.52000000000001</v>
      </c>
      <c r="F34" s="42">
        <f t="shared" si="16"/>
        <v>35.52000000000001</v>
      </c>
      <c r="G34" s="42">
        <f t="shared" si="16"/>
        <v>35.52000000000001</v>
      </c>
      <c r="H34" s="42"/>
      <c r="I34" s="42"/>
      <c r="J34" s="42">
        <f>J27-$I$35</f>
        <v>35.52000000000001</v>
      </c>
      <c r="K34" s="42">
        <f t="shared" ref="K34:N34" si="17">K27-$I$35</f>
        <v>35.52000000000001</v>
      </c>
      <c r="L34" s="42">
        <f t="shared" si="17"/>
        <v>33.819999999999993</v>
      </c>
      <c r="M34" s="42">
        <f t="shared" si="17"/>
        <v>33.819999999999993</v>
      </c>
      <c r="N34" s="42">
        <f t="shared" si="17"/>
        <v>33.819999999999993</v>
      </c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1"/>
    </row>
    <row r="35" spans="1:38" ht="33.75" customHeight="1" x14ac:dyDescent="0.25">
      <c r="A35" s="41"/>
      <c r="B35" s="501">
        <v>130</v>
      </c>
      <c r="C35" s="500">
        <f>(B35*D35)/1000</f>
        <v>324.61</v>
      </c>
      <c r="D35" s="432">
        <f>SUM(C28:G28)</f>
        <v>2497</v>
      </c>
      <c r="E35" s="42"/>
      <c r="F35" s="42"/>
      <c r="G35" s="42"/>
      <c r="H35" s="42"/>
      <c r="I35" s="514">
        <v>130</v>
      </c>
      <c r="J35" s="431">
        <f>(I35*K35)/1000</f>
        <v>327.60000000000002</v>
      </c>
      <c r="K35" s="432">
        <f>SUM(J28:N28)</f>
        <v>2520</v>
      </c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30" t="s">
        <v>106</v>
      </c>
      <c r="C36" s="500" t="s">
        <v>107</v>
      </c>
      <c r="D36" s="431" t="s">
        <v>108</v>
      </c>
      <c r="E36" s="42"/>
      <c r="F36" s="42"/>
      <c r="G36" s="42"/>
      <c r="H36" s="42"/>
      <c r="I36" s="430" t="s">
        <v>106</v>
      </c>
      <c r="J36" s="431" t="s">
        <v>107</v>
      </c>
      <c r="K36" s="431" t="s">
        <v>108</v>
      </c>
      <c r="L36" s="42"/>
      <c r="M36" s="42"/>
      <c r="N36" s="534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264"/>
      <c r="L37" s="42"/>
      <c r="M37" s="42"/>
      <c r="N37" s="534"/>
      <c r="O37" s="42"/>
      <c r="P37" s="264"/>
      <c r="Q37" s="42"/>
      <c r="R37" s="42"/>
      <c r="S37" s="42"/>
      <c r="T37" s="42"/>
      <c r="U37" s="264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1"/>
    </row>
    <row r="38" spans="1:38" ht="33.75" customHeight="1" x14ac:dyDescent="0.25">
      <c r="A38" s="41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1"/>
    </row>
    <row r="39" spans="1:38" s="2" customFormat="1" ht="33.75" customHeight="1" thickBot="1" x14ac:dyDescent="0.3">
      <c r="B39" s="43"/>
      <c r="C39" s="350"/>
      <c r="D39" s="350"/>
      <c r="E39" s="350"/>
      <c r="F39" s="350"/>
      <c r="G39" s="350"/>
      <c r="H39" s="318"/>
      <c r="I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3"/>
    </row>
    <row r="40" spans="1:38" ht="33.75" customHeight="1" thickBot="1" x14ac:dyDescent="0.3">
      <c r="A40" s="69" t="s">
        <v>16</v>
      </c>
      <c r="B40" s="973" t="s">
        <v>17</v>
      </c>
      <c r="C40" s="974"/>
      <c r="D40" s="974"/>
      <c r="E40" s="974"/>
      <c r="F40" s="974"/>
      <c r="G40" s="977" t="s">
        <v>9</v>
      </c>
      <c r="H40" s="47"/>
      <c r="L40" s="426" t="s">
        <v>18</v>
      </c>
      <c r="M40" s="980" t="s">
        <v>17</v>
      </c>
      <c r="N40" s="972"/>
      <c r="O40" s="972"/>
      <c r="P40" s="972"/>
      <c r="Q40" s="990"/>
      <c r="R40" s="977" t="s">
        <v>9</v>
      </c>
      <c r="S40" s="269"/>
      <c r="U40" s="45"/>
      <c r="V40" s="45"/>
      <c r="W40" s="46"/>
      <c r="X40" s="3"/>
      <c r="Y40" s="45"/>
      <c r="Z40" s="45"/>
      <c r="AA40" s="45"/>
      <c r="AB40" s="3"/>
    </row>
    <row r="41" spans="1:38" ht="33.75" customHeight="1" thickBot="1" x14ac:dyDescent="0.3">
      <c r="A41" s="170" t="s">
        <v>34</v>
      </c>
      <c r="B41" s="141"/>
      <c r="C41" s="118"/>
      <c r="D41" s="118"/>
      <c r="E41" s="118"/>
      <c r="F41" s="121"/>
      <c r="G41" s="985"/>
      <c r="H41" s="47"/>
      <c r="I41" s="47"/>
      <c r="J41" s="47"/>
      <c r="K41" s="47"/>
      <c r="L41" s="428" t="s">
        <v>33</v>
      </c>
      <c r="M41" s="168">
        <v>1</v>
      </c>
      <c r="N41" s="249">
        <v>2</v>
      </c>
      <c r="O41" s="249">
        <v>3</v>
      </c>
      <c r="P41" s="249"/>
      <c r="Q41" s="250"/>
      <c r="R41" s="979"/>
      <c r="S41" s="2"/>
      <c r="U41" s="47"/>
      <c r="V41" s="47"/>
      <c r="W41" s="3"/>
      <c r="X41" s="46"/>
      <c r="Y41" s="3"/>
      <c r="Z41" s="45"/>
      <c r="AA41" s="45"/>
      <c r="AB41" s="45"/>
    </row>
    <row r="42" spans="1:38" ht="33.75" customHeight="1" thickBot="1" x14ac:dyDescent="0.3">
      <c r="A42" s="170" t="s">
        <v>10</v>
      </c>
      <c r="B42" s="11">
        <v>1</v>
      </c>
      <c r="C42" s="16">
        <v>2</v>
      </c>
      <c r="D42" s="16">
        <v>3</v>
      </c>
      <c r="E42" s="16">
        <v>4</v>
      </c>
      <c r="F42" s="107">
        <v>5</v>
      </c>
      <c r="G42" s="984"/>
      <c r="H42" s="47"/>
      <c r="I42" s="47"/>
      <c r="J42" s="47"/>
      <c r="K42" s="47"/>
      <c r="L42" s="427" t="s">
        <v>10</v>
      </c>
      <c r="M42" s="114">
        <v>1</v>
      </c>
      <c r="N42" s="114">
        <v>2</v>
      </c>
      <c r="O42" s="114">
        <v>3</v>
      </c>
      <c r="P42" s="114">
        <v>4</v>
      </c>
      <c r="Q42" s="116">
        <v>5</v>
      </c>
      <c r="R42" s="126"/>
      <c r="S42" s="270"/>
      <c r="U42" s="47"/>
      <c r="V42" s="47"/>
      <c r="W42" s="48"/>
      <c r="X42" s="48"/>
      <c r="Y42" s="2"/>
      <c r="Z42" s="2"/>
      <c r="AA42" s="2"/>
      <c r="AB42" s="2"/>
    </row>
    <row r="43" spans="1:38" ht="33.75" customHeight="1" x14ac:dyDescent="0.25">
      <c r="A43" s="171" t="s">
        <v>32</v>
      </c>
      <c r="B43" s="142">
        <v>102.5</v>
      </c>
      <c r="C43" s="578">
        <v>101.4</v>
      </c>
      <c r="D43" s="486">
        <v>28.1</v>
      </c>
      <c r="E43" s="486">
        <v>102</v>
      </c>
      <c r="F43" s="537">
        <v>101.3</v>
      </c>
      <c r="G43" s="509">
        <f t="shared" ref="G43:G50" si="18">SUM(B43:F43)</f>
        <v>435.3</v>
      </c>
      <c r="H43" s="988"/>
      <c r="I43" s="989"/>
      <c r="J43" s="989"/>
      <c r="K43" s="989"/>
      <c r="L43" s="171" t="s">
        <v>53</v>
      </c>
      <c r="M43" s="19">
        <v>8.8000000000000007</v>
      </c>
      <c r="N43" s="19">
        <v>8.6</v>
      </c>
      <c r="O43" s="19">
        <v>1.7</v>
      </c>
      <c r="P43" s="19">
        <v>8.4</v>
      </c>
      <c r="Q43" s="108">
        <v>8.1999999999999993</v>
      </c>
      <c r="R43" s="209">
        <f t="shared" ref="R43:R49" si="19">SUM(M43:Q43)</f>
        <v>35.700000000000003</v>
      </c>
      <c r="S43" s="271"/>
      <c r="T43" s="302"/>
      <c r="U43" s="2"/>
      <c r="V43" s="49"/>
      <c r="W43" s="48"/>
      <c r="X43" s="48"/>
      <c r="Y43" s="2"/>
      <c r="Z43" s="2"/>
      <c r="AA43" s="2"/>
      <c r="AB43" s="2"/>
    </row>
    <row r="44" spans="1:38" ht="33.75" customHeight="1" x14ac:dyDescent="0.25">
      <c r="A44" s="171" t="s">
        <v>24</v>
      </c>
      <c r="B44" s="142">
        <v>102.5</v>
      </c>
      <c r="C44" s="486">
        <v>101.4</v>
      </c>
      <c r="D44" s="486">
        <v>28.1</v>
      </c>
      <c r="E44" s="486">
        <v>102</v>
      </c>
      <c r="F44" s="537">
        <v>101.3</v>
      </c>
      <c r="G44" s="509">
        <f t="shared" si="18"/>
        <v>435.3</v>
      </c>
      <c r="H44" s="988"/>
      <c r="I44" s="989"/>
      <c r="J44" s="989"/>
      <c r="K44" s="989"/>
      <c r="L44" s="171" t="s">
        <v>24</v>
      </c>
      <c r="M44" s="19">
        <v>8.8000000000000007</v>
      </c>
      <c r="N44" s="19">
        <v>8.6</v>
      </c>
      <c r="O44" s="19">
        <v>1.7</v>
      </c>
      <c r="P44" s="19">
        <v>8.4</v>
      </c>
      <c r="Q44" s="108">
        <v>8.1999999999999993</v>
      </c>
      <c r="R44" s="209">
        <f t="shared" si="19"/>
        <v>35.700000000000003</v>
      </c>
      <c r="S44" s="271"/>
      <c r="T44" s="302"/>
      <c r="U44" s="2"/>
      <c r="V44" s="49"/>
      <c r="W44" s="48"/>
      <c r="X44" s="48"/>
      <c r="Y44" s="2"/>
      <c r="Z44" s="2"/>
      <c r="AA44" s="2"/>
      <c r="AB44" s="2"/>
    </row>
    <row r="45" spans="1:38" ht="33.75" customHeight="1" x14ac:dyDescent="0.25">
      <c r="A45" s="171" t="s">
        <v>20</v>
      </c>
      <c r="B45" s="142">
        <v>102.2</v>
      </c>
      <c r="C45" s="486">
        <v>101.3</v>
      </c>
      <c r="D45" s="486">
        <v>28.1</v>
      </c>
      <c r="E45" s="486">
        <v>101.9</v>
      </c>
      <c r="F45" s="537">
        <v>100.9</v>
      </c>
      <c r="G45" s="509">
        <f t="shared" si="18"/>
        <v>434.4</v>
      </c>
      <c r="H45" s="988"/>
      <c r="I45" s="989"/>
      <c r="J45" s="989"/>
      <c r="K45" s="989"/>
      <c r="L45" s="171" t="s">
        <v>20</v>
      </c>
      <c r="M45" s="19">
        <v>8.8000000000000007</v>
      </c>
      <c r="N45" s="19">
        <v>8.6</v>
      </c>
      <c r="O45" s="19">
        <v>1.7</v>
      </c>
      <c r="P45" s="19">
        <v>8.4</v>
      </c>
      <c r="Q45" s="108">
        <v>8</v>
      </c>
      <c r="R45" s="209">
        <f t="shared" si="19"/>
        <v>35.5</v>
      </c>
      <c r="S45" s="271"/>
      <c r="T45" s="302"/>
      <c r="U45" s="2"/>
      <c r="V45" s="49"/>
      <c r="W45" s="48"/>
      <c r="X45" s="48"/>
      <c r="Y45" s="2"/>
      <c r="Z45" s="2"/>
      <c r="AA45" s="2"/>
      <c r="AB45" s="2"/>
    </row>
    <row r="46" spans="1:38" ht="33.75" customHeight="1" x14ac:dyDescent="0.25">
      <c r="A46" s="171" t="s">
        <v>28</v>
      </c>
      <c r="B46" s="142">
        <v>102</v>
      </c>
      <c r="C46" s="486">
        <v>100.6</v>
      </c>
      <c r="D46" s="486">
        <v>28.1</v>
      </c>
      <c r="E46" s="486">
        <v>101.9</v>
      </c>
      <c r="F46" s="537">
        <v>100.9</v>
      </c>
      <c r="G46" s="509">
        <f t="shared" si="18"/>
        <v>433.5</v>
      </c>
      <c r="H46" s="988"/>
      <c r="I46" s="989"/>
      <c r="J46" s="989"/>
      <c r="K46" s="989"/>
      <c r="L46" s="171" t="s">
        <v>28</v>
      </c>
      <c r="M46" s="19">
        <v>8.8000000000000007</v>
      </c>
      <c r="N46" s="19">
        <v>8.6</v>
      </c>
      <c r="O46" s="19">
        <v>1.7</v>
      </c>
      <c r="P46" s="19">
        <v>8.5</v>
      </c>
      <c r="Q46" s="108">
        <v>8</v>
      </c>
      <c r="R46" s="209">
        <f t="shared" si="19"/>
        <v>35.599999999999994</v>
      </c>
      <c r="S46" s="271"/>
      <c r="T46" s="302"/>
      <c r="U46" s="2"/>
      <c r="V46" s="49"/>
      <c r="W46" s="48"/>
      <c r="X46" s="48"/>
      <c r="Y46" s="2"/>
      <c r="Z46" s="2"/>
      <c r="AA46" s="2"/>
      <c r="AB46" s="2"/>
    </row>
    <row r="47" spans="1:38" ht="33.75" customHeight="1" x14ac:dyDescent="0.25">
      <c r="A47" s="171" t="s">
        <v>21</v>
      </c>
      <c r="B47" s="142">
        <v>101.7</v>
      </c>
      <c r="C47" s="486">
        <v>100.6</v>
      </c>
      <c r="D47" s="486">
        <v>27.8</v>
      </c>
      <c r="E47" s="486">
        <v>101.6</v>
      </c>
      <c r="F47" s="537">
        <v>100.6</v>
      </c>
      <c r="G47" s="509">
        <f t="shared" si="18"/>
        <v>432.30000000000007</v>
      </c>
      <c r="H47" s="988"/>
      <c r="I47" s="989"/>
      <c r="J47" s="989"/>
      <c r="K47" s="989"/>
      <c r="L47" s="171" t="s">
        <v>21</v>
      </c>
      <c r="M47" s="19">
        <v>8.8000000000000007</v>
      </c>
      <c r="N47" s="19">
        <v>8.6</v>
      </c>
      <c r="O47" s="19">
        <v>1.7</v>
      </c>
      <c r="P47" s="19">
        <v>8.5</v>
      </c>
      <c r="Q47" s="108">
        <v>8</v>
      </c>
      <c r="R47" s="209">
        <f>SUM(M47:Q47)</f>
        <v>35.599999999999994</v>
      </c>
      <c r="S47" s="271"/>
      <c r="T47" s="302"/>
      <c r="U47" s="2"/>
      <c r="V47" s="49"/>
      <c r="W47" s="48"/>
      <c r="X47" s="48"/>
      <c r="Y47" s="2"/>
      <c r="Z47" s="2"/>
      <c r="AA47" s="2"/>
      <c r="AB47" s="2"/>
    </row>
    <row r="48" spans="1:38" ht="33.75" customHeight="1" x14ac:dyDescent="0.25">
      <c r="A48" s="171" t="s">
        <v>22</v>
      </c>
      <c r="B48" s="142">
        <v>101.7</v>
      </c>
      <c r="C48" s="486">
        <v>100.6</v>
      </c>
      <c r="D48" s="486">
        <v>27.8</v>
      </c>
      <c r="E48" s="486">
        <v>101.6</v>
      </c>
      <c r="F48" s="537">
        <v>100.6</v>
      </c>
      <c r="G48" s="509">
        <f t="shared" si="18"/>
        <v>432.30000000000007</v>
      </c>
      <c r="H48" s="988"/>
      <c r="I48" s="989"/>
      <c r="J48" s="989"/>
      <c r="K48" s="989"/>
      <c r="L48" s="171" t="s">
        <v>22</v>
      </c>
      <c r="M48" s="19">
        <v>8.8000000000000007</v>
      </c>
      <c r="N48" s="19">
        <v>8.6</v>
      </c>
      <c r="O48" s="19">
        <v>1.7</v>
      </c>
      <c r="P48" s="19">
        <v>8.5</v>
      </c>
      <c r="Q48" s="108">
        <v>8</v>
      </c>
      <c r="R48" s="209">
        <f>SUM(M48:Q48)</f>
        <v>35.599999999999994</v>
      </c>
      <c r="S48" s="271"/>
      <c r="T48" s="302"/>
      <c r="U48" s="2"/>
      <c r="V48" s="49"/>
      <c r="W48" s="48"/>
      <c r="X48" s="48"/>
      <c r="Y48" s="2"/>
      <c r="Z48" s="2"/>
      <c r="AA48" s="2"/>
      <c r="AB48" s="2"/>
    </row>
    <row r="49" spans="1:49" ht="33.75" customHeight="1" thickBot="1" x14ac:dyDescent="0.3">
      <c r="A49" s="285" t="s">
        <v>32</v>
      </c>
      <c r="B49" s="142">
        <v>101.7</v>
      </c>
      <c r="C49" s="486">
        <v>100.3</v>
      </c>
      <c r="D49" s="486">
        <v>27.6</v>
      </c>
      <c r="E49" s="486">
        <v>100.8</v>
      </c>
      <c r="F49" s="537">
        <v>100.1</v>
      </c>
      <c r="G49" s="526">
        <f t="shared" si="18"/>
        <v>430.5</v>
      </c>
      <c r="H49" s="988"/>
      <c r="I49" s="989"/>
      <c r="J49" s="989"/>
      <c r="K49" s="989"/>
      <c r="L49" s="285" t="s">
        <v>23</v>
      </c>
      <c r="M49" s="19">
        <v>8.8000000000000007</v>
      </c>
      <c r="N49" s="19">
        <v>8.6</v>
      </c>
      <c r="O49" s="19">
        <v>1.7</v>
      </c>
      <c r="P49" s="19">
        <v>8.5</v>
      </c>
      <c r="Q49" s="108">
        <v>8</v>
      </c>
      <c r="R49" s="376">
        <f t="shared" si="19"/>
        <v>35.599999999999994</v>
      </c>
      <c r="S49" s="271"/>
      <c r="T49" s="302"/>
      <c r="U49" s="2"/>
      <c r="V49" s="49"/>
      <c r="W49" s="48"/>
      <c r="X49" s="48"/>
      <c r="Y49" s="48"/>
      <c r="Z49" s="48"/>
      <c r="AA49" s="2"/>
      <c r="AB49" s="2"/>
      <c r="AC49" s="2"/>
      <c r="AD49" s="2"/>
    </row>
    <row r="50" spans="1:49" ht="33.75" customHeight="1" x14ac:dyDescent="0.25">
      <c r="A50" s="290" t="s">
        <v>9</v>
      </c>
      <c r="B50" s="131">
        <f>SUM(B43:B49)</f>
        <v>714.30000000000007</v>
      </c>
      <c r="C50" s="128">
        <f t="shared" ref="C50:F50" si="20">SUM(C43:C49)</f>
        <v>706.2</v>
      </c>
      <c r="D50" s="128">
        <f t="shared" si="20"/>
        <v>195.60000000000002</v>
      </c>
      <c r="E50" s="128">
        <f t="shared" si="20"/>
        <v>711.8</v>
      </c>
      <c r="F50" s="129">
        <f t="shared" si="20"/>
        <v>705.7</v>
      </c>
      <c r="G50" s="265">
        <f t="shared" si="18"/>
        <v>3033.5999999999995</v>
      </c>
      <c r="H50" s="988"/>
      <c r="I50" s="989"/>
      <c r="J50" s="989"/>
      <c r="K50" s="989"/>
      <c r="L50" s="290" t="s">
        <v>9</v>
      </c>
      <c r="M50" s="133">
        <f>SUM(M43:M49)</f>
        <v>61.599999999999994</v>
      </c>
      <c r="N50" s="134">
        <f>SUM(N43:N49)</f>
        <v>60.2</v>
      </c>
      <c r="O50" s="134">
        <f>SUM(O43:O49)</f>
        <v>11.899999999999999</v>
      </c>
      <c r="P50" s="134">
        <f t="shared" ref="P50:Q50" si="21">SUM(P43:P49)</f>
        <v>59.2</v>
      </c>
      <c r="Q50" s="260">
        <f t="shared" si="21"/>
        <v>56.4</v>
      </c>
      <c r="R50" s="240">
        <f>SUM(R43:R49)</f>
        <v>249.29999999999998</v>
      </c>
      <c r="S50" s="272"/>
      <c r="U50" s="49"/>
      <c r="V50" s="49"/>
      <c r="W50" s="2"/>
      <c r="X50" s="2"/>
      <c r="Y50" s="2"/>
      <c r="Z50" s="2"/>
      <c r="AA50" s="2"/>
      <c r="AB50" s="2"/>
      <c r="AC50" s="2"/>
      <c r="AD50" s="2"/>
    </row>
    <row r="51" spans="1:49" ht="33.75" customHeight="1" x14ac:dyDescent="0.25">
      <c r="A51" s="192" t="s">
        <v>11</v>
      </c>
      <c r="B51" s="23">
        <v>158.69999999999999</v>
      </c>
      <c r="C51" s="24">
        <v>158.69999999999999</v>
      </c>
      <c r="D51" s="24">
        <v>158.69999999999999</v>
      </c>
      <c r="E51" s="24">
        <v>158.69999999999999</v>
      </c>
      <c r="F51" s="25">
        <v>158.69999999999999</v>
      </c>
      <c r="G51" s="137">
        <f>+((G50/G52)/7)*1000</f>
        <v>159.85666859883014</v>
      </c>
      <c r="H51" s="988"/>
      <c r="I51" s="989"/>
      <c r="J51" s="989"/>
      <c r="K51" s="989"/>
      <c r="L51" s="273" t="s">
        <v>11</v>
      </c>
      <c r="M51" s="23">
        <v>155</v>
      </c>
      <c r="N51" s="24">
        <v>153.5</v>
      </c>
      <c r="O51" s="24">
        <v>151</v>
      </c>
      <c r="P51" s="24">
        <v>153.5</v>
      </c>
      <c r="Q51" s="228">
        <v>152.5</v>
      </c>
      <c r="R51" s="232">
        <f>+((R50/R52)/7)*1000</f>
        <v>153.50985221674875</v>
      </c>
      <c r="S51" s="2"/>
      <c r="U51" s="50"/>
      <c r="V51" s="50"/>
    </row>
    <row r="52" spans="1:49" ht="33.75" customHeight="1" x14ac:dyDescent="0.25">
      <c r="A52" s="193" t="s">
        <v>12</v>
      </c>
      <c r="B52" s="26">
        <v>639</v>
      </c>
      <c r="C52" s="27">
        <v>632</v>
      </c>
      <c r="D52" s="27">
        <v>174</v>
      </c>
      <c r="E52" s="27">
        <v>635</v>
      </c>
      <c r="F52" s="28">
        <v>631</v>
      </c>
      <c r="G52" s="395">
        <f>SUM(B52:F52)</f>
        <v>2711</v>
      </c>
      <c r="H52" s="988"/>
      <c r="I52" s="989"/>
      <c r="J52" s="989"/>
      <c r="K52" s="989"/>
      <c r="L52" s="193" t="s">
        <v>12</v>
      </c>
      <c r="M52" s="257">
        <v>57</v>
      </c>
      <c r="N52" s="275">
        <v>56</v>
      </c>
      <c r="O52" s="275">
        <v>11</v>
      </c>
      <c r="P52" s="275">
        <v>55</v>
      </c>
      <c r="Q52" s="527">
        <v>53</v>
      </c>
      <c r="R52" s="233">
        <f>SUM(M52:Q52)</f>
        <v>232</v>
      </c>
      <c r="S52" s="2"/>
      <c r="U52" s="52"/>
      <c r="V52" s="52"/>
    </row>
    <row r="53" spans="1:49" ht="33.75" customHeight="1" x14ac:dyDescent="0.25">
      <c r="A53" s="194" t="s">
        <v>13</v>
      </c>
      <c r="B53" s="30">
        <f>((((B51*7)*B52)/1000))/7</f>
        <v>101.40929999999999</v>
      </c>
      <c r="C53" s="31">
        <f t="shared" ref="C53:F53" si="22">((((C51*7)*C52)/1000))/7</f>
        <v>100.29839999999999</v>
      </c>
      <c r="D53" s="31">
        <f t="shared" si="22"/>
        <v>27.613799999999998</v>
      </c>
      <c r="E53" s="31">
        <f t="shared" si="22"/>
        <v>100.77449999999999</v>
      </c>
      <c r="F53" s="32">
        <f t="shared" si="22"/>
        <v>100.13969999999998</v>
      </c>
      <c r="G53" s="139">
        <f>((G50*1000)/G52)/7</f>
        <v>159.85666859883014</v>
      </c>
      <c r="H53" s="988"/>
      <c r="I53" s="989"/>
      <c r="J53" s="989"/>
      <c r="K53" s="989"/>
      <c r="L53" s="194" t="s">
        <v>13</v>
      </c>
      <c r="M53" s="30">
        <f>((((M51*7)*M52)/1000)-(M43+M44))/5</f>
        <v>8.8490000000000002</v>
      </c>
      <c r="N53" s="31">
        <f>((((N51*7)*N52)/1000)-(N43+N44))/5</f>
        <v>8.5943999999999985</v>
      </c>
      <c r="O53" s="31">
        <f>((((O51*7)*O52)/1000)-(O43+O44))/5</f>
        <v>1.6454</v>
      </c>
      <c r="P53" s="31">
        <f>((((P51*7)*P52)/1000)-(P43+P44))/5</f>
        <v>8.4595000000000002</v>
      </c>
      <c r="Q53" s="163">
        <f t="shared" ref="Q53" si="23">((((Q51*7)*Q52)/1000)-(Q43+Q44))/5</f>
        <v>8.0355000000000008</v>
      </c>
      <c r="R53" s="234">
        <f>((R50*1000)/R52)/7</f>
        <v>153.50985221674873</v>
      </c>
      <c r="S53" s="43"/>
      <c r="U53" s="52"/>
      <c r="V53" s="52"/>
    </row>
    <row r="54" spans="1:49" ht="33.75" customHeight="1" x14ac:dyDescent="0.25">
      <c r="A54" s="185" t="s">
        <v>14</v>
      </c>
      <c r="B54" s="279">
        <f>((B52*B51)*7)/1000</f>
        <v>709.86509999999987</v>
      </c>
      <c r="C54" s="280">
        <f>((C52*C51)*7)/1000</f>
        <v>702.08879999999988</v>
      </c>
      <c r="D54" s="280">
        <f>((D52*D51)*7)/1000</f>
        <v>193.29660000000001</v>
      </c>
      <c r="E54" s="280">
        <f>((E52*E51)*7)/1000</f>
        <v>705.42150000000004</v>
      </c>
      <c r="F54" s="282">
        <f>((F52*F51)*7)/1000</f>
        <v>700.97789999999998</v>
      </c>
      <c r="G54" s="112"/>
      <c r="H54" s="988"/>
      <c r="I54" s="989"/>
      <c r="J54" s="989"/>
      <c r="K54" s="989"/>
      <c r="L54" s="185" t="s">
        <v>14</v>
      </c>
      <c r="M54" s="279">
        <f>((M52*M51)*7)/1000</f>
        <v>61.844999999999999</v>
      </c>
      <c r="N54" s="280">
        <f>((N52*N51)*7)/1000</f>
        <v>60.171999999999997</v>
      </c>
      <c r="O54" s="280">
        <f>((O52*O51)*7)/1000</f>
        <v>11.627000000000001</v>
      </c>
      <c r="P54" s="280">
        <f t="shared" ref="P54:Q54" si="24">((P52*P51)*7)/1000</f>
        <v>59.097499999999997</v>
      </c>
      <c r="Q54" s="281">
        <f t="shared" si="24"/>
        <v>56.577500000000001</v>
      </c>
      <c r="R54" s="213"/>
      <c r="S54" s="41"/>
    </row>
    <row r="55" spans="1:49" ht="33.75" customHeight="1" thickBot="1" x14ac:dyDescent="0.3">
      <c r="A55" s="195" t="s">
        <v>15</v>
      </c>
      <c r="B55" s="37">
        <f t="shared" ref="B55:E55" si="25">+(B50/B52)/7*1000</f>
        <v>159.69148222669352</v>
      </c>
      <c r="C55" s="38">
        <f t="shared" si="25"/>
        <v>159.62929475587705</v>
      </c>
      <c r="D55" s="38">
        <f t="shared" si="25"/>
        <v>160.59113300492612</v>
      </c>
      <c r="E55" s="38">
        <f t="shared" si="25"/>
        <v>160.13498312710908</v>
      </c>
      <c r="F55" s="39">
        <f>+(F50/F52)/7*1000</f>
        <v>159.76907403214852</v>
      </c>
      <c r="G55" s="140"/>
      <c r="H55" s="988"/>
      <c r="I55" s="989"/>
      <c r="J55" s="989"/>
      <c r="K55" s="989"/>
      <c r="L55" s="195" t="s">
        <v>15</v>
      </c>
      <c r="M55" s="37">
        <f>+(M50/M52)/7*1000</f>
        <v>154.38596491228068</v>
      </c>
      <c r="N55" s="38">
        <f>+(N50/N52)/7*1000</f>
        <v>153.57142857142856</v>
      </c>
      <c r="O55" s="38">
        <f>+(O50/O52)/7*1000</f>
        <v>154.54545454545453</v>
      </c>
      <c r="P55" s="38">
        <f t="shared" ref="P55:Q55" si="26">+(P50/P52)/7*1000</f>
        <v>153.76623376623377</v>
      </c>
      <c r="Q55" s="207">
        <f t="shared" si="26"/>
        <v>152.02156334231807</v>
      </c>
      <c r="R55" s="262"/>
      <c r="S55" s="42"/>
      <c r="U55" s="42"/>
      <c r="V55" s="42"/>
    </row>
    <row r="56" spans="1:49" ht="33.75" customHeight="1" x14ac:dyDescent="0.25">
      <c r="A56" s="41"/>
      <c r="B56" s="43">
        <f>B54-B50</f>
        <v>-4.4349000000001979</v>
      </c>
      <c r="C56" s="43">
        <f t="shared" ref="C56:F57" si="27">C54-C50</f>
        <v>-4.1112000000001672</v>
      </c>
      <c r="D56" s="43">
        <f t="shared" si="27"/>
        <v>-2.3034000000000106</v>
      </c>
      <c r="E56" s="43">
        <f>E54-E50</f>
        <v>-6.3784999999999172</v>
      </c>
      <c r="F56" s="43">
        <f t="shared" si="27"/>
        <v>-4.7221000000000686</v>
      </c>
      <c r="G56" s="41"/>
      <c r="H56" s="41"/>
      <c r="I56" s="41"/>
      <c r="J56" s="41"/>
      <c r="K56" s="41"/>
      <c r="L56" s="42"/>
      <c r="M56" s="42">
        <f>M54-M50</f>
        <v>0.24500000000000455</v>
      </c>
      <c r="N56" s="42">
        <f t="shared" ref="N56:Q57" si="28">N54-N50</f>
        <v>-2.8000000000005798E-2</v>
      </c>
      <c r="O56" s="42">
        <f t="shared" si="28"/>
        <v>-0.27299999999999791</v>
      </c>
      <c r="P56" s="42">
        <f t="shared" si="28"/>
        <v>-0.10250000000000625</v>
      </c>
      <c r="Q56" s="42">
        <f t="shared" si="28"/>
        <v>0.17750000000000199</v>
      </c>
      <c r="T56" s="42"/>
      <c r="U56" s="42"/>
      <c r="V56" s="2"/>
      <c r="W56" s="2"/>
      <c r="X56" s="2"/>
      <c r="Y56" s="2"/>
      <c r="Z56" s="2"/>
    </row>
    <row r="57" spans="1:49" ht="33.75" customHeight="1" x14ac:dyDescent="0.25">
      <c r="A57" s="41"/>
      <c r="B57" s="42">
        <f>B55-B51</f>
        <v>0.99148222669353459</v>
      </c>
      <c r="C57" s="42">
        <f>C55-C51</f>
        <v>0.92929475587706634</v>
      </c>
      <c r="D57" s="42">
        <f t="shared" si="27"/>
        <v>1.8911330049261323</v>
      </c>
      <c r="E57" s="42">
        <f>E55-E51</f>
        <v>1.434983127109092</v>
      </c>
      <c r="F57" s="42">
        <f>F55-F51</f>
        <v>1.069074032148535</v>
      </c>
      <c r="G57" s="41"/>
      <c r="H57" s="41"/>
      <c r="I57" s="41"/>
      <c r="J57" s="41"/>
      <c r="K57" s="42"/>
      <c r="L57" s="42"/>
      <c r="M57" s="42">
        <f>M55-M51</f>
        <v>-0.6140350877193157</v>
      </c>
      <c r="N57" s="42">
        <f t="shared" si="28"/>
        <v>7.1428571428555188E-2</v>
      </c>
      <c r="O57" s="42">
        <f>O55-O51</f>
        <v>3.5454545454545325</v>
      </c>
      <c r="P57" s="42">
        <f t="shared" si="28"/>
        <v>0.26623376623376771</v>
      </c>
      <c r="Q57" s="42">
        <f t="shared" si="28"/>
        <v>-0.47843665768192523</v>
      </c>
      <c r="T57" s="43"/>
      <c r="U57" s="43"/>
      <c r="V57" s="2"/>
      <c r="W57" s="2"/>
      <c r="X57" s="2"/>
      <c r="Y57" s="2"/>
      <c r="AC57" s="3"/>
    </row>
    <row r="58" spans="1:49" ht="33.75" customHeight="1" x14ac:dyDescent="0.25">
      <c r="A58" s="41"/>
      <c r="B58" s="287"/>
      <c r="C58" s="287"/>
      <c r="D58" s="287"/>
      <c r="E58" s="287"/>
      <c r="F58" s="287"/>
      <c r="G58" s="264"/>
      <c r="H58" s="41"/>
      <c r="I58" s="41"/>
      <c r="J58" s="41"/>
      <c r="K58" s="41"/>
      <c r="L58" s="41"/>
      <c r="M58" s="41"/>
      <c r="N58" s="41"/>
      <c r="O58" s="42"/>
      <c r="P58" s="42"/>
      <c r="Q58" s="42"/>
      <c r="R58" s="42"/>
      <c r="S58" s="42"/>
      <c r="T58" s="42"/>
      <c r="U58" s="42"/>
      <c r="V58" s="42"/>
      <c r="W58" s="42"/>
      <c r="X58" s="43"/>
      <c r="Y58" s="43"/>
      <c r="Z58" s="43"/>
      <c r="AA58" s="2"/>
      <c r="AB58" s="2"/>
      <c r="AC58" s="2"/>
      <c r="AD58" s="2"/>
      <c r="AH58" s="3"/>
    </row>
    <row r="59" spans="1:49" ht="33.75" customHeight="1" thickBot="1" x14ac:dyDescent="0.3">
      <c r="A59" s="53"/>
      <c r="B59" s="284"/>
      <c r="C59" s="284"/>
      <c r="D59" s="284"/>
      <c r="E59" s="284"/>
      <c r="F59" s="284"/>
      <c r="G59" s="284"/>
      <c r="H59" s="54"/>
      <c r="I59" s="54"/>
      <c r="J59" s="54"/>
      <c r="K59" s="54"/>
      <c r="L59" s="54"/>
      <c r="M59" s="54"/>
      <c r="N59" s="54"/>
      <c r="O59" s="958"/>
      <c r="P59" s="958"/>
      <c r="Q59" s="283"/>
      <c r="R59" s="283"/>
      <c r="S59" s="283"/>
      <c r="T59" s="54"/>
      <c r="U59" s="55"/>
      <c r="Z59" s="43"/>
      <c r="AA59" s="43"/>
      <c r="AB59" s="43"/>
      <c r="AC59" s="2"/>
      <c r="AD59" s="2"/>
      <c r="AE59" s="2"/>
      <c r="AF59" s="2"/>
      <c r="AH59" s="2"/>
      <c r="AI59" s="2"/>
      <c r="AJ59" s="2"/>
    </row>
    <row r="60" spans="1:49" ht="33.75" customHeight="1" x14ac:dyDescent="0.25">
      <c r="A60" s="359" t="s">
        <v>19</v>
      </c>
      <c r="B60" s="986" t="s">
        <v>8</v>
      </c>
      <c r="C60" s="956"/>
      <c r="D60" s="956"/>
      <c r="E60" s="956"/>
      <c r="F60" s="956"/>
      <c r="G60" s="986" t="s">
        <v>30</v>
      </c>
      <c r="H60" s="956"/>
      <c r="I60" s="956"/>
      <c r="J60" s="956"/>
      <c r="K60" s="987"/>
      <c r="L60" s="986" t="s">
        <v>29</v>
      </c>
      <c r="M60" s="956"/>
      <c r="N60" s="956"/>
      <c r="O60" s="956"/>
      <c r="P60" s="987"/>
      <c r="Q60" s="994" t="s">
        <v>31</v>
      </c>
      <c r="R60" s="995"/>
      <c r="S60" s="995"/>
      <c r="T60" s="995"/>
      <c r="U60" s="996"/>
      <c r="V60" s="992" t="s">
        <v>9</v>
      </c>
      <c r="AE60" s="43"/>
      <c r="AF60" s="43"/>
      <c r="AG60" s="43"/>
      <c r="AH60" s="2"/>
      <c r="AI60" s="2"/>
      <c r="AJ60" s="2"/>
      <c r="AK60" s="2"/>
      <c r="AM60" s="2"/>
      <c r="AN60" s="2"/>
      <c r="AO60" s="2"/>
    </row>
    <row r="61" spans="1:49" ht="33.75" customHeight="1" thickBot="1" x14ac:dyDescent="0.3">
      <c r="A61" s="170" t="s">
        <v>34</v>
      </c>
      <c r="B61" s="360"/>
      <c r="C61" s="361"/>
      <c r="D61" s="361"/>
      <c r="E61" s="361"/>
      <c r="F61" s="361"/>
      <c r="G61" s="360"/>
      <c r="H61" s="361"/>
      <c r="I61" s="361"/>
      <c r="J61" s="361"/>
      <c r="K61" s="361"/>
      <c r="L61" s="360"/>
      <c r="M61" s="361"/>
      <c r="N61" s="361"/>
      <c r="O61" s="361"/>
      <c r="P61" s="396"/>
      <c r="Q61" s="360"/>
      <c r="R61" s="361"/>
      <c r="S61" s="361"/>
      <c r="T61" s="361"/>
      <c r="U61" s="397"/>
      <c r="V61" s="993"/>
      <c r="AC61" s="45"/>
      <c r="AD61" s="45"/>
      <c r="AE61" s="45"/>
      <c r="AF61" s="45"/>
      <c r="AG61" s="57"/>
      <c r="AH61" s="57"/>
      <c r="AI61" s="57"/>
      <c r="AJ61" s="57"/>
      <c r="AK61" s="45"/>
      <c r="AL61" s="45"/>
      <c r="AM61" s="58"/>
      <c r="AN61" s="58"/>
      <c r="AO61" s="58"/>
      <c r="AP61" s="2"/>
      <c r="AQ61" s="2"/>
      <c r="AR61" s="2"/>
      <c r="AS61" s="2"/>
      <c r="AU61" s="2"/>
      <c r="AV61" s="2"/>
      <c r="AW61" s="2"/>
    </row>
    <row r="62" spans="1:49" ht="33.75" customHeight="1" thickBot="1" x14ac:dyDescent="0.3">
      <c r="A62" s="170" t="s">
        <v>10</v>
      </c>
      <c r="B62" s="188">
        <v>1</v>
      </c>
      <c r="C62" s="168">
        <v>2</v>
      </c>
      <c r="D62" s="168">
        <v>3</v>
      </c>
      <c r="E62" s="168">
        <v>4</v>
      </c>
      <c r="F62" s="413">
        <v>5</v>
      </c>
      <c r="G62" s="188">
        <v>1</v>
      </c>
      <c r="H62" s="168">
        <v>2</v>
      </c>
      <c r="I62" s="168">
        <v>3</v>
      </c>
      <c r="J62" s="168">
        <v>4</v>
      </c>
      <c r="K62" s="168">
        <v>5</v>
      </c>
      <c r="L62" s="188">
        <v>1</v>
      </c>
      <c r="M62" s="168">
        <v>2</v>
      </c>
      <c r="N62" s="168">
        <v>3</v>
      </c>
      <c r="O62" s="168">
        <v>4</v>
      </c>
      <c r="P62" s="413">
        <v>5</v>
      </c>
      <c r="Q62" s="188">
        <v>1</v>
      </c>
      <c r="R62" s="168">
        <v>2</v>
      </c>
      <c r="S62" s="168">
        <v>3</v>
      </c>
      <c r="T62" s="168">
        <v>4</v>
      </c>
      <c r="U62" s="414">
        <v>5</v>
      </c>
      <c r="V62" s="126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57"/>
      <c r="AH62" s="57"/>
      <c r="AI62" s="57"/>
      <c r="AJ62" s="57"/>
      <c r="AK62" s="45"/>
      <c r="AL62" s="45"/>
      <c r="AM62" s="58"/>
      <c r="AN62" s="58"/>
      <c r="AO62" s="58"/>
      <c r="AP62" s="2"/>
      <c r="AQ62" s="2"/>
      <c r="AR62" s="2"/>
      <c r="AS62" s="2"/>
      <c r="AT62" s="2"/>
      <c r="AU62" s="2"/>
      <c r="AV62" s="2"/>
      <c r="AW62" s="2"/>
    </row>
    <row r="63" spans="1:49" ht="33.75" customHeight="1" x14ac:dyDescent="0.25">
      <c r="A63" s="171" t="s">
        <v>53</v>
      </c>
      <c r="B63" s="446">
        <v>8.8000000000000007</v>
      </c>
      <c r="C63" s="19">
        <v>9</v>
      </c>
      <c r="D63" s="19">
        <v>2.4</v>
      </c>
      <c r="E63" s="19">
        <v>8.8000000000000007</v>
      </c>
      <c r="F63" s="61">
        <v>9</v>
      </c>
      <c r="G63" s="446">
        <v>8.6999999999999993</v>
      </c>
      <c r="H63" s="19">
        <v>8.9</v>
      </c>
      <c r="I63" s="19">
        <v>2.2000000000000002</v>
      </c>
      <c r="J63" s="19">
        <v>8.9</v>
      </c>
      <c r="K63" s="61">
        <v>8.9</v>
      </c>
      <c r="L63" s="446">
        <v>7.1</v>
      </c>
      <c r="M63" s="19">
        <v>7.3</v>
      </c>
      <c r="N63" s="19">
        <v>2.5</v>
      </c>
      <c r="O63" s="19">
        <v>7.3</v>
      </c>
      <c r="P63" s="20">
        <v>7.1</v>
      </c>
      <c r="Q63" s="18">
        <v>7.4</v>
      </c>
      <c r="R63" s="19">
        <v>7.4</v>
      </c>
      <c r="S63" s="19">
        <v>2.7</v>
      </c>
      <c r="T63" s="19">
        <v>7.4</v>
      </c>
      <c r="U63" s="20">
        <v>7.6</v>
      </c>
      <c r="V63" s="412">
        <f>SUM(B63:U63)</f>
        <v>139.4</v>
      </c>
      <c r="W63" s="576"/>
      <c r="X63" s="302"/>
      <c r="Y63" s="42"/>
      <c r="Z63" s="42"/>
      <c r="AA63" s="42"/>
      <c r="AB63" s="42"/>
      <c r="AC63" s="2"/>
      <c r="AD63" s="45"/>
      <c r="AE63" s="45"/>
      <c r="AF63" s="45"/>
      <c r="AG63" s="57"/>
      <c r="AH63" s="57"/>
      <c r="AI63" s="57"/>
      <c r="AJ63" s="57"/>
      <c r="AK63" s="45"/>
      <c r="AL63" s="45"/>
      <c r="AM63" s="58"/>
      <c r="AN63" s="58"/>
      <c r="AO63" s="58"/>
      <c r="AP63" s="2"/>
      <c r="AQ63" s="2"/>
      <c r="AR63" s="2"/>
      <c r="AS63" s="2"/>
      <c r="AT63" s="2"/>
      <c r="AU63" s="2"/>
      <c r="AV63" s="2"/>
      <c r="AW63" s="2"/>
    </row>
    <row r="64" spans="1:49" ht="33.75" customHeight="1" x14ac:dyDescent="0.25">
      <c r="A64" s="171" t="s">
        <v>24</v>
      </c>
      <c r="B64" s="446">
        <v>8.8000000000000007</v>
      </c>
      <c r="C64" s="19">
        <v>9</v>
      </c>
      <c r="D64" s="19">
        <v>2.4</v>
      </c>
      <c r="E64" s="19">
        <v>8.8000000000000007</v>
      </c>
      <c r="F64" s="61">
        <v>9</v>
      </c>
      <c r="G64" s="446">
        <v>8.6999999999999993</v>
      </c>
      <c r="H64" s="19">
        <v>8.9</v>
      </c>
      <c r="I64" s="19">
        <v>2.2000000000000002</v>
      </c>
      <c r="J64" s="19">
        <v>8.9</v>
      </c>
      <c r="K64" s="61">
        <v>8.9</v>
      </c>
      <c r="L64" s="446">
        <v>7.1</v>
      </c>
      <c r="M64" s="19">
        <v>7.3</v>
      </c>
      <c r="N64" s="19">
        <v>2.5</v>
      </c>
      <c r="O64" s="19">
        <v>7.3</v>
      </c>
      <c r="P64" s="20">
        <v>7.1</v>
      </c>
      <c r="Q64" s="18">
        <v>7.4</v>
      </c>
      <c r="R64" s="19">
        <v>7.4</v>
      </c>
      <c r="S64" s="19">
        <v>2.7</v>
      </c>
      <c r="T64" s="19">
        <v>7.4</v>
      </c>
      <c r="U64" s="20">
        <v>7.6</v>
      </c>
      <c r="V64" s="412">
        <f>SUM(B64:U64)</f>
        <v>139.4</v>
      </c>
      <c r="W64" s="576"/>
      <c r="X64" s="302"/>
      <c r="Y64" s="42"/>
      <c r="Z64" s="42"/>
      <c r="AA64" s="42"/>
      <c r="AB64" s="42"/>
      <c r="AC64" s="2"/>
      <c r="AD64" s="45"/>
      <c r="AE64" s="45"/>
      <c r="AF64" s="45"/>
      <c r="AG64" s="57"/>
      <c r="AH64" s="57"/>
      <c r="AI64" s="57"/>
      <c r="AJ64" s="57"/>
      <c r="AK64" s="45"/>
      <c r="AL64" s="45"/>
      <c r="AM64" s="58"/>
      <c r="AN64" s="58"/>
      <c r="AO64" s="58"/>
      <c r="AP64" s="2"/>
      <c r="AQ64" s="2"/>
      <c r="AR64" s="2"/>
      <c r="AS64" s="2"/>
      <c r="AT64" s="2"/>
      <c r="AU64" s="2"/>
      <c r="AV64" s="2"/>
      <c r="AW64" s="2"/>
    </row>
    <row r="65" spans="1:49" ht="33.75" customHeight="1" x14ac:dyDescent="0.25">
      <c r="A65" s="171" t="s">
        <v>20</v>
      </c>
      <c r="B65" s="446">
        <v>8.8000000000000007</v>
      </c>
      <c r="C65" s="19">
        <v>9</v>
      </c>
      <c r="D65" s="19">
        <v>2.4</v>
      </c>
      <c r="E65" s="19">
        <v>8.8000000000000007</v>
      </c>
      <c r="F65" s="61">
        <v>9</v>
      </c>
      <c r="G65" s="446">
        <v>8.6999999999999993</v>
      </c>
      <c r="H65" s="19">
        <v>8.9</v>
      </c>
      <c r="I65" s="19">
        <v>2.2000000000000002</v>
      </c>
      <c r="J65" s="19">
        <v>8.9</v>
      </c>
      <c r="K65" s="61">
        <v>8.9</v>
      </c>
      <c r="L65" s="446">
        <v>7.1</v>
      </c>
      <c r="M65" s="19">
        <v>7.3</v>
      </c>
      <c r="N65" s="19">
        <v>2.5</v>
      </c>
      <c r="O65" s="19">
        <v>7.3</v>
      </c>
      <c r="P65" s="20">
        <v>7.1</v>
      </c>
      <c r="Q65" s="18">
        <v>7.4</v>
      </c>
      <c r="R65" s="19">
        <v>7.4</v>
      </c>
      <c r="S65" s="19">
        <v>2.7</v>
      </c>
      <c r="T65" s="19">
        <v>7.4</v>
      </c>
      <c r="U65" s="20">
        <v>7.6</v>
      </c>
      <c r="V65" s="412">
        <f>SUM(B65:U65)</f>
        <v>139.4</v>
      </c>
      <c r="W65" s="576"/>
      <c r="X65" s="302"/>
      <c r="Y65" s="42"/>
      <c r="Z65" s="42"/>
      <c r="AA65" s="42"/>
      <c r="AB65" s="42"/>
      <c r="AC65" s="2"/>
      <c r="AD65" s="45"/>
      <c r="AE65" s="45"/>
      <c r="AF65" s="45"/>
      <c r="AG65" s="57"/>
      <c r="AH65" s="57"/>
      <c r="AI65" s="57"/>
      <c r="AJ65" s="57"/>
      <c r="AK65" s="45"/>
      <c r="AL65" s="45"/>
      <c r="AM65" s="58"/>
      <c r="AN65" s="58"/>
      <c r="AO65" s="58"/>
      <c r="AP65" s="2"/>
      <c r="AQ65" s="2"/>
      <c r="AR65" s="2"/>
      <c r="AS65" s="2"/>
      <c r="AT65" s="2"/>
      <c r="AU65" s="2"/>
      <c r="AV65" s="2"/>
      <c r="AW65" s="2"/>
    </row>
    <row r="66" spans="1:49" ht="33.75" customHeight="1" x14ac:dyDescent="0.25">
      <c r="A66" s="171" t="s">
        <v>28</v>
      </c>
      <c r="B66" s="446">
        <v>8.8000000000000007</v>
      </c>
      <c r="C66" s="19">
        <v>9</v>
      </c>
      <c r="D66" s="19">
        <v>2.4</v>
      </c>
      <c r="E66" s="19">
        <v>8.8000000000000007</v>
      </c>
      <c r="F66" s="61">
        <v>9</v>
      </c>
      <c r="G66" s="446">
        <v>8.8000000000000007</v>
      </c>
      <c r="H66" s="19">
        <v>8.9</v>
      </c>
      <c r="I66" s="19">
        <v>2.2000000000000002</v>
      </c>
      <c r="J66" s="19">
        <v>8.9</v>
      </c>
      <c r="K66" s="61">
        <v>8.9</v>
      </c>
      <c r="L66" s="446">
        <v>7.2</v>
      </c>
      <c r="M66" s="19">
        <v>7.3</v>
      </c>
      <c r="N66" s="19">
        <v>2.5</v>
      </c>
      <c r="O66" s="19">
        <v>7.3</v>
      </c>
      <c r="P66" s="20">
        <v>7.1</v>
      </c>
      <c r="Q66" s="18">
        <v>7.4</v>
      </c>
      <c r="R66" s="19">
        <v>7.4</v>
      </c>
      <c r="S66" s="19">
        <v>2.7</v>
      </c>
      <c r="T66" s="19">
        <v>7.4</v>
      </c>
      <c r="U66" s="20">
        <v>7.6</v>
      </c>
      <c r="V66" s="412">
        <f t="shared" ref="V66:V70" si="29">SUM(B66:U66)</f>
        <v>139.6</v>
      </c>
      <c r="W66" s="576"/>
      <c r="X66" s="302"/>
      <c r="Y66" s="42"/>
      <c r="Z66" s="42"/>
      <c r="AA66" s="42"/>
      <c r="AB66" s="42"/>
      <c r="AC66" s="2"/>
      <c r="AD66" s="45"/>
      <c r="AE66" s="45"/>
      <c r="AF66" s="45"/>
      <c r="AG66" s="57"/>
      <c r="AH66" s="57"/>
      <c r="AI66" s="57"/>
      <c r="AJ66" s="57"/>
      <c r="AK66" s="45"/>
      <c r="AL66" s="45"/>
      <c r="AM66" s="58"/>
      <c r="AN66" s="58"/>
      <c r="AO66" s="58"/>
      <c r="AP66" s="3"/>
      <c r="AQ66" s="3"/>
      <c r="AR66" s="2"/>
      <c r="AS66" s="2"/>
      <c r="AT66" s="2"/>
      <c r="AU66" s="2"/>
      <c r="AV66" s="2"/>
      <c r="AW66" s="2"/>
    </row>
    <row r="67" spans="1:49" ht="33.75" customHeight="1" x14ac:dyDescent="0.25">
      <c r="A67" s="171" t="s">
        <v>21</v>
      </c>
      <c r="B67" s="446">
        <v>8.8000000000000007</v>
      </c>
      <c r="C67" s="19">
        <v>9</v>
      </c>
      <c r="D67" s="19">
        <v>2.4</v>
      </c>
      <c r="E67" s="19">
        <v>8.8000000000000007</v>
      </c>
      <c r="F67" s="61">
        <v>9</v>
      </c>
      <c r="G67" s="446">
        <v>8.8000000000000007</v>
      </c>
      <c r="H67" s="19">
        <v>8.9</v>
      </c>
      <c r="I67" s="19">
        <v>2.2000000000000002</v>
      </c>
      <c r="J67" s="19">
        <v>8.9</v>
      </c>
      <c r="K67" s="61">
        <v>8.9</v>
      </c>
      <c r="L67" s="446">
        <v>7.2</v>
      </c>
      <c r="M67" s="19">
        <v>7.3</v>
      </c>
      <c r="N67" s="19">
        <v>2.5</v>
      </c>
      <c r="O67" s="19">
        <v>7.3</v>
      </c>
      <c r="P67" s="20">
        <v>7.1</v>
      </c>
      <c r="Q67" s="18">
        <v>7.4</v>
      </c>
      <c r="R67" s="19">
        <v>7.4</v>
      </c>
      <c r="S67" s="19">
        <v>2.7</v>
      </c>
      <c r="T67" s="19">
        <v>7.4</v>
      </c>
      <c r="U67" s="20">
        <v>7.6</v>
      </c>
      <c r="V67" s="412">
        <f t="shared" si="29"/>
        <v>139.6</v>
      </c>
      <c r="W67" s="576"/>
      <c r="X67" s="302"/>
      <c r="Y67" s="42"/>
      <c r="Z67" s="42"/>
      <c r="AA67" s="42"/>
      <c r="AB67" s="42"/>
      <c r="AC67" s="2"/>
      <c r="AD67" s="45"/>
      <c r="AE67" s="45"/>
      <c r="AF67" s="45"/>
      <c r="AG67" s="57"/>
      <c r="AH67" s="57"/>
      <c r="AI67" s="57"/>
      <c r="AJ67" s="57"/>
      <c r="AK67" s="45"/>
      <c r="AL67" s="45"/>
      <c r="AM67" s="58"/>
      <c r="AN67" s="58"/>
      <c r="AO67" s="58"/>
      <c r="AP67" s="3"/>
      <c r="AQ67" s="3"/>
      <c r="AR67" s="2"/>
      <c r="AS67" s="2"/>
      <c r="AT67" s="2"/>
      <c r="AU67" s="2"/>
      <c r="AV67" s="2"/>
      <c r="AW67" s="2"/>
    </row>
    <row r="68" spans="1:49" ht="33.75" customHeight="1" x14ac:dyDescent="0.25">
      <c r="A68" s="171" t="s">
        <v>22</v>
      </c>
      <c r="B68" s="446">
        <v>8.8000000000000007</v>
      </c>
      <c r="C68" s="19">
        <v>9</v>
      </c>
      <c r="D68" s="19">
        <v>2.4</v>
      </c>
      <c r="E68" s="19">
        <v>8.8000000000000007</v>
      </c>
      <c r="F68" s="61">
        <v>9</v>
      </c>
      <c r="G68" s="446">
        <v>8.8000000000000007</v>
      </c>
      <c r="H68" s="19">
        <v>8.9</v>
      </c>
      <c r="I68" s="19">
        <v>2.2000000000000002</v>
      </c>
      <c r="J68" s="19">
        <v>8.9</v>
      </c>
      <c r="K68" s="61">
        <v>8.9</v>
      </c>
      <c r="L68" s="446">
        <v>7.2</v>
      </c>
      <c r="M68" s="19">
        <v>7.3</v>
      </c>
      <c r="N68" s="19">
        <v>2.5</v>
      </c>
      <c r="O68" s="19">
        <v>7.3</v>
      </c>
      <c r="P68" s="20">
        <v>7.1</v>
      </c>
      <c r="Q68" s="18">
        <v>7.4</v>
      </c>
      <c r="R68" s="19">
        <v>7.4</v>
      </c>
      <c r="S68" s="19">
        <v>2.7</v>
      </c>
      <c r="T68" s="19">
        <v>7.4</v>
      </c>
      <c r="U68" s="20">
        <v>7.6</v>
      </c>
      <c r="V68" s="412">
        <f t="shared" si="29"/>
        <v>139.6</v>
      </c>
      <c r="W68" s="576"/>
      <c r="X68" s="302"/>
      <c r="Y68" s="42"/>
      <c r="Z68" s="42"/>
      <c r="AA68" s="42"/>
      <c r="AB68" s="42"/>
      <c r="AC68" s="2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3"/>
      <c r="AQ68" s="3"/>
      <c r="AT68" s="2"/>
      <c r="AU68" s="2"/>
      <c r="AV68" s="2"/>
      <c r="AW68" s="2"/>
    </row>
    <row r="69" spans="1:49" ht="33.75" customHeight="1" thickBot="1" x14ac:dyDescent="0.3">
      <c r="A69" s="171" t="s">
        <v>23</v>
      </c>
      <c r="B69" s="446">
        <v>8.8000000000000007</v>
      </c>
      <c r="C69" s="19">
        <v>9</v>
      </c>
      <c r="D69" s="19">
        <v>2.4</v>
      </c>
      <c r="E69" s="19">
        <v>8.8000000000000007</v>
      </c>
      <c r="F69" s="61">
        <v>9</v>
      </c>
      <c r="G69" s="446">
        <v>8.8000000000000007</v>
      </c>
      <c r="H69" s="19">
        <v>8.9</v>
      </c>
      <c r="I69" s="19">
        <v>2.2000000000000002</v>
      </c>
      <c r="J69" s="19">
        <v>8.9</v>
      </c>
      <c r="K69" s="61">
        <v>8.9</v>
      </c>
      <c r="L69" s="446">
        <v>7.2</v>
      </c>
      <c r="M69" s="19">
        <v>7.3</v>
      </c>
      <c r="N69" s="19">
        <v>2.5</v>
      </c>
      <c r="O69" s="19">
        <v>7.3</v>
      </c>
      <c r="P69" s="20">
        <v>7.1</v>
      </c>
      <c r="Q69" s="18">
        <v>7.4</v>
      </c>
      <c r="R69" s="19">
        <v>7.4</v>
      </c>
      <c r="S69" s="19">
        <v>2.7</v>
      </c>
      <c r="T69" s="19">
        <v>7.4</v>
      </c>
      <c r="U69" s="20">
        <v>7.6</v>
      </c>
      <c r="V69" s="412">
        <f t="shared" si="29"/>
        <v>139.6</v>
      </c>
      <c r="W69" s="576"/>
      <c r="X69" s="302"/>
      <c r="Y69" s="42"/>
      <c r="Z69" s="42"/>
      <c r="AA69" s="42"/>
      <c r="AB69" s="42"/>
      <c r="AC69" s="2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3"/>
      <c r="AQ69" s="3"/>
      <c r="AT69" s="2"/>
      <c r="AU69" s="2"/>
      <c r="AV69" s="2"/>
      <c r="AW69" s="2"/>
    </row>
    <row r="70" spans="1:49" ht="33.75" customHeight="1" thickBot="1" x14ac:dyDescent="0.3">
      <c r="A70" s="170" t="s">
        <v>9</v>
      </c>
      <c r="B70" s="297">
        <f t="shared" ref="B70:U70" si="30">SUM(B63:B69)</f>
        <v>61.599999999999994</v>
      </c>
      <c r="C70" s="298">
        <f t="shared" si="30"/>
        <v>63</v>
      </c>
      <c r="D70" s="298">
        <f t="shared" si="30"/>
        <v>16.8</v>
      </c>
      <c r="E70" s="298">
        <f t="shared" si="30"/>
        <v>61.599999999999994</v>
      </c>
      <c r="F70" s="299">
        <f t="shared" si="30"/>
        <v>63</v>
      </c>
      <c r="G70" s="297">
        <f t="shared" si="30"/>
        <v>61.3</v>
      </c>
      <c r="H70" s="298">
        <f t="shared" si="30"/>
        <v>62.3</v>
      </c>
      <c r="I70" s="298">
        <f t="shared" si="30"/>
        <v>15.399999999999999</v>
      </c>
      <c r="J70" s="298">
        <f t="shared" si="30"/>
        <v>62.3</v>
      </c>
      <c r="K70" s="298">
        <f t="shared" si="30"/>
        <v>62.3</v>
      </c>
      <c r="L70" s="297">
        <f t="shared" si="30"/>
        <v>50.1</v>
      </c>
      <c r="M70" s="298">
        <f t="shared" si="30"/>
        <v>51.099999999999994</v>
      </c>
      <c r="N70" s="298">
        <f t="shared" si="30"/>
        <v>17.5</v>
      </c>
      <c r="O70" s="298">
        <f t="shared" si="30"/>
        <v>51.099999999999994</v>
      </c>
      <c r="P70" s="299">
        <f t="shared" si="30"/>
        <v>49.7</v>
      </c>
      <c r="Q70" s="297">
        <f t="shared" si="30"/>
        <v>51.8</v>
      </c>
      <c r="R70" s="298">
        <f t="shared" si="30"/>
        <v>51.8</v>
      </c>
      <c r="S70" s="298">
        <f t="shared" si="30"/>
        <v>18.899999999999999</v>
      </c>
      <c r="T70" s="298">
        <f t="shared" si="30"/>
        <v>51.8</v>
      </c>
      <c r="U70" s="448">
        <f t="shared" si="30"/>
        <v>53.2</v>
      </c>
      <c r="V70" s="449">
        <f t="shared" si="29"/>
        <v>976.6</v>
      </c>
      <c r="W70" s="577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3"/>
      <c r="AQ70" s="3"/>
      <c r="AR70" s="3"/>
      <c r="AS70" s="3"/>
      <c r="AT70" s="2"/>
      <c r="AU70" s="2"/>
      <c r="AV70" s="2"/>
      <c r="AW70" s="2"/>
    </row>
    <row r="71" spans="1:49" ht="33.75" customHeight="1" x14ac:dyDescent="0.25">
      <c r="A71" s="192" t="s">
        <v>11</v>
      </c>
      <c r="B71" s="357">
        <v>158</v>
      </c>
      <c r="C71" s="358">
        <v>158.5</v>
      </c>
      <c r="D71" s="358">
        <v>158</v>
      </c>
      <c r="E71" s="358">
        <v>157.5</v>
      </c>
      <c r="F71" s="358">
        <v>158.5</v>
      </c>
      <c r="G71" s="357">
        <v>156.5</v>
      </c>
      <c r="H71" s="358">
        <v>158.5</v>
      </c>
      <c r="I71" s="358">
        <v>158.5</v>
      </c>
      <c r="J71" s="358">
        <v>158.5</v>
      </c>
      <c r="K71" s="358">
        <v>157</v>
      </c>
      <c r="L71" s="357">
        <v>155.5</v>
      </c>
      <c r="M71" s="358">
        <v>158.5</v>
      </c>
      <c r="N71" s="358">
        <v>155.5</v>
      </c>
      <c r="O71" s="358">
        <v>158.5</v>
      </c>
      <c r="P71" s="358">
        <v>158.5</v>
      </c>
      <c r="Q71" s="357">
        <v>158.5</v>
      </c>
      <c r="R71" s="358">
        <v>158.5</v>
      </c>
      <c r="S71" s="358">
        <v>158.5</v>
      </c>
      <c r="T71" s="358">
        <v>158.5</v>
      </c>
      <c r="U71" s="358">
        <v>158.5</v>
      </c>
      <c r="V71" s="296">
        <f>+((V70/V72)/7)*1000</f>
        <v>157.64326069410814</v>
      </c>
      <c r="W71" s="577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3"/>
      <c r="AQ71" s="3"/>
      <c r="AR71" s="3"/>
      <c r="AS71" s="3"/>
      <c r="AT71" s="2"/>
      <c r="AU71" s="2"/>
      <c r="AV71" s="2"/>
      <c r="AW71" s="2"/>
    </row>
    <row r="72" spans="1:49" ht="33.75" customHeight="1" x14ac:dyDescent="0.25">
      <c r="A72" s="193" t="s">
        <v>12</v>
      </c>
      <c r="B72" s="257">
        <v>56</v>
      </c>
      <c r="C72" s="275">
        <v>57</v>
      </c>
      <c r="D72" s="275">
        <v>15</v>
      </c>
      <c r="E72" s="275">
        <v>56</v>
      </c>
      <c r="F72" s="275">
        <v>57</v>
      </c>
      <c r="G72" s="257">
        <v>56</v>
      </c>
      <c r="H72" s="275">
        <v>56</v>
      </c>
      <c r="I72" s="275">
        <v>14</v>
      </c>
      <c r="J72" s="275">
        <v>56</v>
      </c>
      <c r="K72" s="275">
        <v>57</v>
      </c>
      <c r="L72" s="257">
        <v>46</v>
      </c>
      <c r="M72" s="275">
        <v>46</v>
      </c>
      <c r="N72" s="275">
        <v>16</v>
      </c>
      <c r="O72" s="275">
        <v>46</v>
      </c>
      <c r="P72" s="275">
        <v>45</v>
      </c>
      <c r="Q72" s="257">
        <v>47</v>
      </c>
      <c r="R72" s="275">
        <v>47</v>
      </c>
      <c r="S72" s="275">
        <v>17</v>
      </c>
      <c r="T72" s="275">
        <v>47</v>
      </c>
      <c r="U72" s="275">
        <v>48</v>
      </c>
      <c r="V72" s="254">
        <f>SUM(B72:U72)</f>
        <v>885</v>
      </c>
      <c r="W72" s="577"/>
      <c r="AC72" s="59"/>
      <c r="AG72" s="3"/>
      <c r="AH72" s="3"/>
      <c r="AI72" s="3"/>
      <c r="AJ72" s="3"/>
      <c r="AK72" s="3"/>
      <c r="AL72" s="3"/>
    </row>
    <row r="73" spans="1:49" ht="33.75" customHeight="1" x14ac:dyDescent="0.25">
      <c r="A73" s="194" t="s">
        <v>13</v>
      </c>
      <c r="B73" s="30">
        <f>((((B71*7)*B72)/1000))/7</f>
        <v>8.8480000000000008</v>
      </c>
      <c r="C73" s="31">
        <f t="shared" ref="C73:U73" si="31">((((C71*7)*C72)/1000))/7</f>
        <v>9.0344999999999995</v>
      </c>
      <c r="D73" s="31">
        <f t="shared" si="31"/>
        <v>2.37</v>
      </c>
      <c r="E73" s="31">
        <f t="shared" si="31"/>
        <v>8.82</v>
      </c>
      <c r="F73" s="31">
        <f t="shared" si="31"/>
        <v>9.0344999999999995</v>
      </c>
      <c r="G73" s="30">
        <f t="shared" si="31"/>
        <v>8.7639999999999993</v>
      </c>
      <c r="H73" s="31">
        <f t="shared" si="31"/>
        <v>8.8759999999999994</v>
      </c>
      <c r="I73" s="31">
        <f t="shared" si="31"/>
        <v>2.2189999999999999</v>
      </c>
      <c r="J73" s="31">
        <f t="shared" si="31"/>
        <v>8.8759999999999994</v>
      </c>
      <c r="K73" s="31">
        <f t="shared" si="31"/>
        <v>8.9489999999999998</v>
      </c>
      <c r="L73" s="30">
        <f t="shared" si="31"/>
        <v>7.1529999999999996</v>
      </c>
      <c r="M73" s="31">
        <f t="shared" si="31"/>
        <v>7.2909999999999995</v>
      </c>
      <c r="N73" s="31">
        <f t="shared" si="31"/>
        <v>2.488</v>
      </c>
      <c r="O73" s="31">
        <f t="shared" si="31"/>
        <v>7.2909999999999995</v>
      </c>
      <c r="P73" s="31">
        <f t="shared" si="31"/>
        <v>7.1325000000000003</v>
      </c>
      <c r="Q73" s="30">
        <f t="shared" si="31"/>
        <v>7.4495000000000005</v>
      </c>
      <c r="R73" s="31">
        <f t="shared" si="31"/>
        <v>7.4495000000000005</v>
      </c>
      <c r="S73" s="31">
        <f t="shared" si="31"/>
        <v>2.6945000000000001</v>
      </c>
      <c r="T73" s="31">
        <f t="shared" si="31"/>
        <v>7.4495000000000005</v>
      </c>
      <c r="U73" s="31">
        <f t="shared" si="31"/>
        <v>7.6079999999999997</v>
      </c>
      <c r="V73" s="139">
        <f>((V70*100)/V72)/7</f>
        <v>15.764326069410815</v>
      </c>
      <c r="W73" s="577"/>
      <c r="AG73" s="3"/>
      <c r="AH73" s="3"/>
      <c r="AI73" s="3"/>
      <c r="AJ73" s="3"/>
      <c r="AK73" s="3"/>
      <c r="AL73" s="3"/>
    </row>
    <row r="74" spans="1:49" ht="33.75" customHeight="1" x14ac:dyDescent="0.25">
      <c r="A74" s="185" t="s">
        <v>14</v>
      </c>
      <c r="B74" s="279">
        <f t="shared" ref="B74:U74" si="32">((B72*B71)*7)/1000</f>
        <v>61.936</v>
      </c>
      <c r="C74" s="280">
        <f t="shared" si="32"/>
        <v>63.241500000000002</v>
      </c>
      <c r="D74" s="280">
        <f t="shared" si="32"/>
        <v>16.59</v>
      </c>
      <c r="E74" s="280">
        <f t="shared" si="32"/>
        <v>61.74</v>
      </c>
      <c r="F74" s="280">
        <f t="shared" si="32"/>
        <v>63.241500000000002</v>
      </c>
      <c r="G74" s="279">
        <f t="shared" si="32"/>
        <v>61.347999999999999</v>
      </c>
      <c r="H74" s="280">
        <f t="shared" si="32"/>
        <v>62.131999999999998</v>
      </c>
      <c r="I74" s="280">
        <f t="shared" si="32"/>
        <v>15.532999999999999</v>
      </c>
      <c r="J74" s="280">
        <f t="shared" si="32"/>
        <v>62.131999999999998</v>
      </c>
      <c r="K74" s="280">
        <f t="shared" si="32"/>
        <v>62.643000000000001</v>
      </c>
      <c r="L74" s="279">
        <f t="shared" si="32"/>
        <v>50.070999999999998</v>
      </c>
      <c r="M74" s="280">
        <f t="shared" si="32"/>
        <v>51.036999999999999</v>
      </c>
      <c r="N74" s="280">
        <f t="shared" si="32"/>
        <v>17.416</v>
      </c>
      <c r="O74" s="280">
        <f t="shared" si="32"/>
        <v>51.036999999999999</v>
      </c>
      <c r="P74" s="280">
        <f t="shared" si="32"/>
        <v>49.927500000000002</v>
      </c>
      <c r="Q74" s="279">
        <f t="shared" si="32"/>
        <v>52.146500000000003</v>
      </c>
      <c r="R74" s="280">
        <f t="shared" si="32"/>
        <v>52.146500000000003</v>
      </c>
      <c r="S74" s="280">
        <f t="shared" si="32"/>
        <v>18.861499999999999</v>
      </c>
      <c r="T74" s="280">
        <f t="shared" si="32"/>
        <v>52.146500000000003</v>
      </c>
      <c r="U74" s="280">
        <f t="shared" si="32"/>
        <v>53.256</v>
      </c>
      <c r="V74" s="112"/>
      <c r="W74" s="41"/>
      <c r="X74" s="41"/>
      <c r="Y74" s="41"/>
      <c r="Z74" s="41"/>
      <c r="AA74" s="41"/>
      <c r="AB74" s="41"/>
      <c r="AL74" s="3"/>
    </row>
    <row r="75" spans="1:49" ht="33.75" customHeight="1" thickBot="1" x14ac:dyDescent="0.3">
      <c r="A75" s="195" t="s">
        <v>15</v>
      </c>
      <c r="B75" s="37">
        <f t="shared" ref="B75:U75" si="33">+(B70/B72)/7*1000</f>
        <v>157.14285714285711</v>
      </c>
      <c r="C75" s="38">
        <f t="shared" si="33"/>
        <v>157.89473684210529</v>
      </c>
      <c r="D75" s="38">
        <f t="shared" si="33"/>
        <v>160</v>
      </c>
      <c r="E75" s="38">
        <f t="shared" si="33"/>
        <v>157.14285714285711</v>
      </c>
      <c r="F75" s="38">
        <f t="shared" si="33"/>
        <v>157.89473684210529</v>
      </c>
      <c r="G75" s="37">
        <f t="shared" si="33"/>
        <v>156.37755102040816</v>
      </c>
      <c r="H75" s="38">
        <f t="shared" si="33"/>
        <v>158.92857142857144</v>
      </c>
      <c r="I75" s="38">
        <f t="shared" si="33"/>
        <v>157.14285714285711</v>
      </c>
      <c r="J75" s="38">
        <f t="shared" si="33"/>
        <v>158.92857142857144</v>
      </c>
      <c r="K75" s="38">
        <f t="shared" si="33"/>
        <v>156.14035087719296</v>
      </c>
      <c r="L75" s="37">
        <f t="shared" si="33"/>
        <v>155.59006211180125</v>
      </c>
      <c r="M75" s="38">
        <f t="shared" si="33"/>
        <v>158.69565217391303</v>
      </c>
      <c r="N75" s="38">
        <f t="shared" si="33"/>
        <v>156.25</v>
      </c>
      <c r="O75" s="38">
        <f t="shared" si="33"/>
        <v>158.69565217391303</v>
      </c>
      <c r="P75" s="38">
        <f t="shared" si="33"/>
        <v>157.7777777777778</v>
      </c>
      <c r="Q75" s="37">
        <f t="shared" si="33"/>
        <v>157.44680851063828</v>
      </c>
      <c r="R75" s="38">
        <f t="shared" si="33"/>
        <v>157.44680851063828</v>
      </c>
      <c r="S75" s="38">
        <f t="shared" si="33"/>
        <v>158.82352941176467</v>
      </c>
      <c r="T75" s="38">
        <f t="shared" si="33"/>
        <v>157.44680851063828</v>
      </c>
      <c r="U75" s="38">
        <f t="shared" si="33"/>
        <v>158.33333333333334</v>
      </c>
      <c r="V75" s="40"/>
      <c r="AL75" s="3"/>
    </row>
    <row r="76" spans="1:49" ht="33.75" customHeight="1" x14ac:dyDescent="0.25">
      <c r="B76" s="43">
        <f>B74-B70</f>
        <v>0.33600000000000563</v>
      </c>
      <c r="C76" s="43">
        <f t="shared" ref="C76:F76" si="34">C74-C70</f>
        <v>0.24150000000000205</v>
      </c>
      <c r="D76" s="43">
        <f t="shared" si="34"/>
        <v>-0.21000000000000085</v>
      </c>
      <c r="E76" s="43">
        <f t="shared" si="34"/>
        <v>0.14000000000000767</v>
      </c>
      <c r="F76" s="43">
        <f t="shared" si="34"/>
        <v>0.24150000000000205</v>
      </c>
      <c r="G76" s="43">
        <f>G74-G70</f>
        <v>4.8000000000001819E-2</v>
      </c>
      <c r="H76" s="43">
        <f t="shared" ref="H76:K77" si="35">H74-H70</f>
        <v>-0.16799999999999926</v>
      </c>
      <c r="I76" s="43">
        <f t="shared" si="35"/>
        <v>0.1330000000000009</v>
      </c>
      <c r="J76" s="43">
        <f t="shared" si="35"/>
        <v>-0.16799999999999926</v>
      </c>
      <c r="K76" s="43">
        <f t="shared" si="35"/>
        <v>0.34300000000000352</v>
      </c>
      <c r="L76" s="43">
        <f>L74-L70</f>
        <v>-2.9000000000003467E-2</v>
      </c>
      <c r="M76" s="43">
        <f t="shared" ref="M76:P76" si="36">M74-M70</f>
        <v>-6.2999999999995282E-2</v>
      </c>
      <c r="N76" s="43">
        <f t="shared" si="36"/>
        <v>-8.3999999999999631E-2</v>
      </c>
      <c r="O76" s="43">
        <f t="shared" si="36"/>
        <v>-6.2999999999995282E-2</v>
      </c>
      <c r="P76" s="43">
        <f t="shared" si="36"/>
        <v>0.22749999999999915</v>
      </c>
      <c r="Q76" s="43">
        <f>Q74-Q70</f>
        <v>0.34650000000000603</v>
      </c>
      <c r="R76" s="43">
        <f t="shared" ref="R76:U76" si="37">R74-R70</f>
        <v>0.34650000000000603</v>
      </c>
      <c r="S76" s="43">
        <f t="shared" si="37"/>
        <v>-3.8499999999999091E-2</v>
      </c>
      <c r="T76" s="43">
        <f t="shared" si="37"/>
        <v>0.34650000000000603</v>
      </c>
      <c r="U76" s="43">
        <f t="shared" si="37"/>
        <v>5.5999999999997385E-2</v>
      </c>
    </row>
    <row r="77" spans="1:49" ht="33.75" customHeight="1" x14ac:dyDescent="0.25">
      <c r="B77" s="42">
        <f t="shared" ref="B77:U77" si="38">B75-B71</f>
        <v>-0.85714285714288962</v>
      </c>
      <c r="C77" s="42">
        <f t="shared" si="38"/>
        <v>-0.60526315789471141</v>
      </c>
      <c r="D77" s="42">
        <f t="shared" si="38"/>
        <v>2</v>
      </c>
      <c r="E77" s="42">
        <f t="shared" si="38"/>
        <v>-0.35714285714288962</v>
      </c>
      <c r="F77" s="42">
        <f t="shared" si="38"/>
        <v>-0.60526315789471141</v>
      </c>
      <c r="G77" s="42">
        <f t="shared" si="38"/>
        <v>-0.12244897959183731</v>
      </c>
      <c r="H77" s="42">
        <f t="shared" si="38"/>
        <v>0.42857142857144481</v>
      </c>
      <c r="I77" s="42">
        <f>I75-I71</f>
        <v>-1.3571428571428896</v>
      </c>
      <c r="J77" s="42">
        <f t="shared" si="38"/>
        <v>0.42857142857144481</v>
      </c>
      <c r="K77" s="42">
        <f t="shared" si="35"/>
        <v>-0.85964912280704198</v>
      </c>
      <c r="L77" s="42">
        <f t="shared" si="38"/>
        <v>9.0062111801245237E-2</v>
      </c>
      <c r="M77" s="42">
        <f t="shared" si="38"/>
        <v>0.19565217391303236</v>
      </c>
      <c r="N77" s="42">
        <f t="shared" si="38"/>
        <v>0.75</v>
      </c>
      <c r="O77" s="42">
        <f t="shared" si="38"/>
        <v>0.19565217391303236</v>
      </c>
      <c r="P77" s="42">
        <f t="shared" si="38"/>
        <v>-0.72222222222220012</v>
      </c>
      <c r="Q77" s="42">
        <f t="shared" si="38"/>
        <v>-1.0531914893617227</v>
      </c>
      <c r="R77" s="42">
        <f t="shared" si="38"/>
        <v>-1.0531914893617227</v>
      </c>
      <c r="S77" s="42">
        <f t="shared" si="38"/>
        <v>0.32352941176466743</v>
      </c>
      <c r="T77" s="42">
        <f t="shared" si="38"/>
        <v>-1.0531914893617227</v>
      </c>
      <c r="U77" s="42">
        <f t="shared" si="38"/>
        <v>-0.16666666666665719</v>
      </c>
      <c r="V77" s="45"/>
      <c r="W77" s="45"/>
      <c r="X77" s="45"/>
      <c r="Y77" s="45"/>
      <c r="Z77" s="45"/>
      <c r="AA77" s="45"/>
      <c r="AB77" s="45"/>
      <c r="AC77" s="52"/>
    </row>
    <row r="78" spans="1:49" ht="33.75" customHeight="1" x14ac:dyDescent="0.25">
      <c r="B78" s="287"/>
      <c r="C78" s="287"/>
      <c r="D78" s="287"/>
      <c r="E78" s="287"/>
      <c r="F78" s="287"/>
    </row>
    <row r="79" spans="1:49" ht="33.75" customHeight="1" x14ac:dyDescent="0.25">
      <c r="A79" s="45"/>
      <c r="B79" s="283"/>
      <c r="C79" s="283"/>
      <c r="D79" s="283"/>
      <c r="E79" s="283"/>
      <c r="F79" s="283"/>
      <c r="G79" s="58"/>
      <c r="H79" s="45"/>
      <c r="I79" s="45"/>
      <c r="J79" s="45"/>
      <c r="K79" s="45"/>
      <c r="L79" s="45"/>
      <c r="M79" s="45"/>
      <c r="N79" s="45"/>
      <c r="O79" s="45"/>
    </row>
    <row r="80" spans="1:49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21">
    <mergeCell ref="R40:R41"/>
    <mergeCell ref="A3:C3"/>
    <mergeCell ref="E9:G9"/>
    <mergeCell ref="W9:X9"/>
    <mergeCell ref="O11:P11"/>
    <mergeCell ref="B16:H16"/>
    <mergeCell ref="I16:O16"/>
    <mergeCell ref="P16:T16"/>
    <mergeCell ref="U16:Y16"/>
    <mergeCell ref="H17:H18"/>
    <mergeCell ref="O17:O18"/>
    <mergeCell ref="B40:F40"/>
    <mergeCell ref="G40:G42"/>
    <mergeCell ref="M40:Q40"/>
    <mergeCell ref="V60:V61"/>
    <mergeCell ref="H43:K55"/>
    <mergeCell ref="O59:P59"/>
    <mergeCell ref="B60:F60"/>
    <mergeCell ref="G60:K60"/>
    <mergeCell ref="L60:P60"/>
    <mergeCell ref="Q60:U60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44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33</v>
      </c>
      <c r="P11" s="965"/>
      <c r="Q11" s="6"/>
      <c r="R11" s="6"/>
      <c r="S11" s="6"/>
      <c r="T11" s="1"/>
      <c r="U11" s="1"/>
      <c r="V11" s="1" t="s">
        <v>6</v>
      </c>
      <c r="W11" s="95">
        <v>45564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34</v>
      </c>
      <c r="B17" s="425"/>
      <c r="C17" s="168"/>
      <c r="D17" s="168"/>
      <c r="E17" s="168"/>
      <c r="F17" s="168"/>
      <c r="G17" s="204"/>
      <c r="H17" s="997" t="s">
        <v>109</v>
      </c>
      <c r="I17" s="188"/>
      <c r="J17" s="168"/>
      <c r="K17" s="168"/>
      <c r="L17" s="168"/>
      <c r="M17" s="168"/>
      <c r="N17" s="169"/>
      <c r="O17" s="997" t="s">
        <v>109</v>
      </c>
      <c r="P17" s="202"/>
      <c r="Q17" s="174"/>
      <c r="R17" s="174"/>
      <c r="S17" s="174"/>
      <c r="T17" s="203"/>
      <c r="U17" s="186"/>
      <c r="V17" s="174"/>
      <c r="W17" s="174"/>
      <c r="X17" s="174"/>
      <c r="Y17" s="175"/>
      <c r="Z17" s="261" t="s">
        <v>9</v>
      </c>
      <c r="AD17" s="15"/>
      <c r="AE17" s="15"/>
    </row>
    <row r="18" spans="1:40" ht="39.950000000000003" customHeight="1" thickBot="1" x14ac:dyDescent="0.3">
      <c r="A18" s="170" t="s">
        <v>10</v>
      </c>
      <c r="B18" s="425" t="s">
        <v>100</v>
      </c>
      <c r="C18" s="168">
        <v>1</v>
      </c>
      <c r="D18" s="168">
        <v>2</v>
      </c>
      <c r="E18" s="168">
        <v>3</v>
      </c>
      <c r="F18" s="168">
        <v>4</v>
      </c>
      <c r="G18" s="204">
        <v>5</v>
      </c>
      <c r="H18" s="998"/>
      <c r="I18" s="386" t="s">
        <v>100</v>
      </c>
      <c r="J18" s="438">
        <v>1</v>
      </c>
      <c r="K18" s="438">
        <v>2</v>
      </c>
      <c r="L18" s="438">
        <v>3</v>
      </c>
      <c r="M18" s="438">
        <v>4</v>
      </c>
      <c r="N18" s="439">
        <v>5</v>
      </c>
      <c r="O18" s="998"/>
      <c r="P18" s="202">
        <v>1</v>
      </c>
      <c r="Q18" s="174">
        <v>2</v>
      </c>
      <c r="R18" s="174">
        <v>3</v>
      </c>
      <c r="S18" s="174">
        <v>4</v>
      </c>
      <c r="T18" s="203">
        <v>5</v>
      </c>
      <c r="U18" s="186">
        <v>1</v>
      </c>
      <c r="V18" s="174">
        <v>2</v>
      </c>
      <c r="W18" s="174">
        <v>3</v>
      </c>
      <c r="X18" s="174">
        <v>4</v>
      </c>
      <c r="Y18" s="175">
        <v>5</v>
      </c>
      <c r="Z18" s="126"/>
      <c r="AD18" s="2"/>
      <c r="AE18" s="15"/>
    </row>
    <row r="19" spans="1:40" ht="39.950000000000003" customHeight="1" x14ac:dyDescent="0.25">
      <c r="A19" s="171" t="s">
        <v>53</v>
      </c>
      <c r="B19" s="503">
        <v>324.39999999999998</v>
      </c>
      <c r="C19" s="504">
        <v>20.5</v>
      </c>
      <c r="D19" s="504">
        <v>20.7</v>
      </c>
      <c r="E19" s="504">
        <v>5.7</v>
      </c>
      <c r="F19" s="504">
        <v>20.9</v>
      </c>
      <c r="G19" s="505">
        <v>20.9</v>
      </c>
      <c r="H19" s="506">
        <f>SUM(B19:G19)</f>
        <v>413.09999999999991</v>
      </c>
      <c r="I19" s="142">
        <v>327.2</v>
      </c>
      <c r="J19" s="504">
        <v>20.8</v>
      </c>
      <c r="K19" s="504">
        <v>21</v>
      </c>
      <c r="L19" s="504">
        <v>5.6</v>
      </c>
      <c r="M19" s="504">
        <v>20</v>
      </c>
      <c r="N19" s="507">
        <v>19.8</v>
      </c>
      <c r="O19" s="506">
        <f>SUM(I19:N19)</f>
        <v>414.40000000000003</v>
      </c>
      <c r="P19" s="515">
        <v>79.900000000000006</v>
      </c>
      <c r="Q19" s="504">
        <v>79.599999999999994</v>
      </c>
      <c r="R19" s="504">
        <v>29.3</v>
      </c>
      <c r="S19" s="504">
        <v>80.099999999999994</v>
      </c>
      <c r="T19" s="507">
        <v>80.599999999999994</v>
      </c>
      <c r="U19" s="508">
        <v>83.4</v>
      </c>
      <c r="V19" s="504">
        <v>84</v>
      </c>
      <c r="W19" s="504">
        <v>30.6</v>
      </c>
      <c r="X19" s="504">
        <v>83.7</v>
      </c>
      <c r="Y19" s="507">
        <v>83.5</v>
      </c>
      <c r="Z19" s="209">
        <f>SUM(H19,O19,P19:Y19)</f>
        <v>1542.1999999999998</v>
      </c>
      <c r="AA19" s="301"/>
      <c r="AB19" s="302"/>
      <c r="AD19" s="2"/>
      <c r="AE19" s="15"/>
    </row>
    <row r="20" spans="1:40" ht="39.950000000000003" customHeight="1" x14ac:dyDescent="0.25">
      <c r="A20" s="171" t="s">
        <v>24</v>
      </c>
      <c r="B20" s="503">
        <v>324.39999999999998</v>
      </c>
      <c r="C20" s="504">
        <v>20.5</v>
      </c>
      <c r="D20" s="504">
        <v>20.7</v>
      </c>
      <c r="E20" s="504">
        <v>5.7</v>
      </c>
      <c r="F20" s="504">
        <v>20.9</v>
      </c>
      <c r="G20" s="505">
        <v>20.9</v>
      </c>
      <c r="H20" s="506">
        <f>SUM(B20:G20)</f>
        <v>413.09999999999991</v>
      </c>
      <c r="I20" s="142">
        <v>327.2</v>
      </c>
      <c r="J20" s="504">
        <v>20.8</v>
      </c>
      <c r="K20" s="504">
        <v>21</v>
      </c>
      <c r="L20" s="504">
        <v>5.6</v>
      </c>
      <c r="M20" s="504">
        <v>20</v>
      </c>
      <c r="N20" s="507">
        <v>19.8</v>
      </c>
      <c r="O20" s="506">
        <f t="shared" ref="O20:O21" si="0">SUM(I20:N20)</f>
        <v>414.40000000000003</v>
      </c>
      <c r="P20" s="515">
        <v>79.900000000000006</v>
      </c>
      <c r="Q20" s="504">
        <v>79.599999999999994</v>
      </c>
      <c r="R20" s="504">
        <v>29.3</v>
      </c>
      <c r="S20" s="504">
        <v>80.099999999999994</v>
      </c>
      <c r="T20" s="507">
        <v>80.599999999999994</v>
      </c>
      <c r="U20" s="508">
        <v>83.4</v>
      </c>
      <c r="V20" s="504">
        <v>84</v>
      </c>
      <c r="W20" s="504">
        <v>30.6</v>
      </c>
      <c r="X20" s="504">
        <v>83.7</v>
      </c>
      <c r="Y20" s="507">
        <v>83.5</v>
      </c>
      <c r="Z20" s="209">
        <f t="shared" ref="Z20:Z25" si="1">SUM(H20,O20,P20:Y20)</f>
        <v>1542.1999999999998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75" customHeight="1" x14ac:dyDescent="0.25">
      <c r="A21" s="171" t="s">
        <v>20</v>
      </c>
      <c r="B21" s="503">
        <v>324.39999999999998</v>
      </c>
      <c r="C21" s="504">
        <v>20.5</v>
      </c>
      <c r="D21" s="504">
        <v>20.7</v>
      </c>
      <c r="E21" s="504">
        <v>5.7</v>
      </c>
      <c r="F21" s="504">
        <v>20.9</v>
      </c>
      <c r="G21" s="505">
        <v>20.9</v>
      </c>
      <c r="H21" s="506">
        <f t="shared" ref="H21:H25" si="2">SUM(B21:G21)</f>
        <v>413.09999999999991</v>
      </c>
      <c r="I21" s="142">
        <v>327.2</v>
      </c>
      <c r="J21" s="504">
        <v>20.8</v>
      </c>
      <c r="K21" s="504">
        <v>20.9</v>
      </c>
      <c r="L21" s="504">
        <v>5.6</v>
      </c>
      <c r="M21" s="504">
        <v>20</v>
      </c>
      <c r="N21" s="507">
        <v>19.8</v>
      </c>
      <c r="O21" s="506">
        <f t="shared" si="0"/>
        <v>414.3</v>
      </c>
      <c r="P21" s="515">
        <v>79.900000000000006</v>
      </c>
      <c r="Q21" s="504">
        <v>79.599999999999994</v>
      </c>
      <c r="R21" s="504">
        <v>29.3</v>
      </c>
      <c r="S21" s="504">
        <v>80.099999999999994</v>
      </c>
      <c r="T21" s="507">
        <v>80.599999999999994</v>
      </c>
      <c r="U21" s="508">
        <v>83.2</v>
      </c>
      <c r="V21" s="504">
        <v>84</v>
      </c>
      <c r="W21" s="504">
        <v>30.6</v>
      </c>
      <c r="X21" s="504">
        <v>83.7</v>
      </c>
      <c r="Y21" s="507">
        <v>83.5</v>
      </c>
      <c r="Z21" s="509">
        <f t="shared" si="1"/>
        <v>1541.8999999999996</v>
      </c>
      <c r="AA21" s="520"/>
      <c r="AB21" s="521"/>
      <c r="AC21" s="522"/>
      <c r="AD21" s="145"/>
      <c r="AE21" s="523"/>
      <c r="AF21" s="522"/>
      <c r="AG21" s="522"/>
      <c r="AH21" s="522"/>
      <c r="AI21" s="522"/>
      <c r="AJ21" s="522"/>
      <c r="AK21" s="522"/>
      <c r="AL21" s="522"/>
      <c r="AM21" s="522"/>
      <c r="AN21" s="522"/>
    </row>
    <row r="22" spans="1:40" ht="39.950000000000003" customHeight="1" x14ac:dyDescent="0.25">
      <c r="A22" s="171" t="s">
        <v>28</v>
      </c>
      <c r="B22" s="503">
        <v>324.39999999999998</v>
      </c>
      <c r="C22" s="504">
        <v>20.5</v>
      </c>
      <c r="D22" s="504">
        <v>20.6</v>
      </c>
      <c r="E22" s="504">
        <v>5.7</v>
      </c>
      <c r="F22" s="504">
        <v>20.9</v>
      </c>
      <c r="G22" s="505">
        <v>20.9</v>
      </c>
      <c r="H22" s="506">
        <f t="shared" si="2"/>
        <v>412.99999999999994</v>
      </c>
      <c r="I22" s="142">
        <v>327.2</v>
      </c>
      <c r="J22" s="504">
        <v>20.7</v>
      </c>
      <c r="K22" s="504">
        <v>20.9</v>
      </c>
      <c r="L22" s="504">
        <v>5.6</v>
      </c>
      <c r="M22" s="504">
        <v>20</v>
      </c>
      <c r="N22" s="507">
        <v>19.8</v>
      </c>
      <c r="O22" s="506">
        <f t="shared" ref="O22:O25" si="3">SUM(I22:N22)</f>
        <v>414.2</v>
      </c>
      <c r="P22" s="515">
        <v>79.900000000000006</v>
      </c>
      <c r="Q22" s="504">
        <v>79.599999999999994</v>
      </c>
      <c r="R22" s="504">
        <v>29.3</v>
      </c>
      <c r="S22" s="504">
        <v>80.099999999999994</v>
      </c>
      <c r="T22" s="507">
        <v>80.599999999999994</v>
      </c>
      <c r="U22" s="508">
        <v>83.1</v>
      </c>
      <c r="V22" s="504">
        <v>84</v>
      </c>
      <c r="W22" s="504">
        <v>30.6</v>
      </c>
      <c r="X22" s="504">
        <v>83.7</v>
      </c>
      <c r="Y22" s="507">
        <v>83.5</v>
      </c>
      <c r="Z22" s="209">
        <f t="shared" si="1"/>
        <v>1541.5999999999997</v>
      </c>
      <c r="AA22" s="301"/>
      <c r="AB22" s="302"/>
      <c r="AD22" s="2"/>
      <c r="AE22" s="15"/>
    </row>
    <row r="23" spans="1:40" ht="39.950000000000003" customHeight="1" x14ac:dyDescent="0.25">
      <c r="A23" s="171" t="s">
        <v>21</v>
      </c>
      <c r="B23" s="503">
        <v>324.39999999999998</v>
      </c>
      <c r="C23" s="504">
        <v>20.5</v>
      </c>
      <c r="D23" s="504">
        <v>20.6</v>
      </c>
      <c r="E23" s="504">
        <v>5.6</v>
      </c>
      <c r="F23" s="504">
        <v>20.9</v>
      </c>
      <c r="G23" s="505">
        <v>20.9</v>
      </c>
      <c r="H23" s="506">
        <f t="shared" si="2"/>
        <v>412.9</v>
      </c>
      <c r="I23" s="142">
        <v>327.2</v>
      </c>
      <c r="J23" s="504">
        <v>20.7</v>
      </c>
      <c r="K23" s="504">
        <v>20.9</v>
      </c>
      <c r="L23" s="504">
        <v>5.5</v>
      </c>
      <c r="M23" s="504">
        <v>20</v>
      </c>
      <c r="N23" s="507">
        <v>19.8</v>
      </c>
      <c r="O23" s="506">
        <f t="shared" si="3"/>
        <v>414.09999999999997</v>
      </c>
      <c r="P23" s="515">
        <v>79.900000000000006</v>
      </c>
      <c r="Q23" s="504">
        <v>79.599999999999994</v>
      </c>
      <c r="R23" s="504">
        <v>29.3</v>
      </c>
      <c r="S23" s="504">
        <v>80.099999999999994</v>
      </c>
      <c r="T23" s="507">
        <v>80.599999999999994</v>
      </c>
      <c r="U23" s="508">
        <v>83.1</v>
      </c>
      <c r="V23" s="504">
        <v>84</v>
      </c>
      <c r="W23" s="504">
        <v>30.6</v>
      </c>
      <c r="X23" s="504">
        <v>83.7</v>
      </c>
      <c r="Y23" s="507">
        <v>83.5</v>
      </c>
      <c r="Z23" s="509">
        <f t="shared" si="1"/>
        <v>1541.3999999999996</v>
      </c>
      <c r="AA23" s="301"/>
      <c r="AB23" s="302"/>
      <c r="AD23" s="2"/>
      <c r="AE23" s="15"/>
    </row>
    <row r="24" spans="1:40" ht="39.950000000000003" customHeight="1" x14ac:dyDescent="0.25">
      <c r="A24" s="171" t="s">
        <v>22</v>
      </c>
      <c r="B24" s="503">
        <v>324.39999999999998</v>
      </c>
      <c r="C24" s="504">
        <v>20.5</v>
      </c>
      <c r="D24" s="504">
        <v>20.6</v>
      </c>
      <c r="E24" s="504">
        <v>5.6</v>
      </c>
      <c r="F24" s="504">
        <v>20.9</v>
      </c>
      <c r="G24" s="505">
        <v>20.9</v>
      </c>
      <c r="H24" s="506">
        <f t="shared" si="2"/>
        <v>412.9</v>
      </c>
      <c r="I24" s="142">
        <v>327.2</v>
      </c>
      <c r="J24" s="504">
        <v>20.7</v>
      </c>
      <c r="K24" s="504">
        <v>20.9</v>
      </c>
      <c r="L24" s="504">
        <v>5.5</v>
      </c>
      <c r="M24" s="504">
        <v>20</v>
      </c>
      <c r="N24" s="507">
        <v>19.8</v>
      </c>
      <c r="O24" s="506">
        <f t="shared" si="3"/>
        <v>414.09999999999997</v>
      </c>
      <c r="P24" s="515">
        <v>79.900000000000006</v>
      </c>
      <c r="Q24" s="504">
        <v>79.599999999999994</v>
      </c>
      <c r="R24" s="504">
        <v>29.3</v>
      </c>
      <c r="S24" s="504">
        <v>80.099999999999994</v>
      </c>
      <c r="T24" s="507">
        <v>80.599999999999994</v>
      </c>
      <c r="U24" s="508">
        <v>83.1</v>
      </c>
      <c r="V24" s="504">
        <v>84</v>
      </c>
      <c r="W24" s="504">
        <v>30.5</v>
      </c>
      <c r="X24" s="504">
        <v>83.7</v>
      </c>
      <c r="Y24" s="507">
        <v>83.5</v>
      </c>
      <c r="Z24" s="209">
        <f t="shared" si="1"/>
        <v>1541.2999999999997</v>
      </c>
      <c r="AA24" s="301"/>
      <c r="AB24" s="302"/>
      <c r="AD24" s="2"/>
      <c r="AE24" s="15"/>
    </row>
    <row r="25" spans="1:40" ht="39.950000000000003" customHeight="1" thickBot="1" x14ac:dyDescent="0.3">
      <c r="A25" s="285" t="s">
        <v>23</v>
      </c>
      <c r="B25" s="503">
        <v>324.39999999999998</v>
      </c>
      <c r="C25" s="504">
        <v>20.5</v>
      </c>
      <c r="D25" s="504">
        <v>20.6</v>
      </c>
      <c r="E25" s="504">
        <v>5.6</v>
      </c>
      <c r="F25" s="504">
        <v>20.9</v>
      </c>
      <c r="G25" s="505">
        <v>20.9</v>
      </c>
      <c r="H25" s="506">
        <f t="shared" si="2"/>
        <v>412.9</v>
      </c>
      <c r="I25" s="142">
        <v>327.2</v>
      </c>
      <c r="J25" s="504">
        <v>20.7</v>
      </c>
      <c r="K25" s="504">
        <v>20.9</v>
      </c>
      <c r="L25" s="504">
        <v>5.5</v>
      </c>
      <c r="M25" s="504">
        <v>20</v>
      </c>
      <c r="N25" s="507">
        <v>19.8</v>
      </c>
      <c r="O25" s="506">
        <f t="shared" si="3"/>
        <v>414.09999999999997</v>
      </c>
      <c r="P25" s="515">
        <v>79.900000000000006</v>
      </c>
      <c r="Q25" s="504">
        <v>79.599999999999994</v>
      </c>
      <c r="R25" s="504">
        <v>29.3</v>
      </c>
      <c r="S25" s="504">
        <v>80.099999999999994</v>
      </c>
      <c r="T25" s="507">
        <v>80.400000000000006</v>
      </c>
      <c r="U25" s="508">
        <v>83.1</v>
      </c>
      <c r="V25" s="504">
        <v>84</v>
      </c>
      <c r="W25" s="504">
        <v>30.5</v>
      </c>
      <c r="X25" s="504">
        <v>83.7</v>
      </c>
      <c r="Y25" s="507">
        <v>83.5</v>
      </c>
      <c r="Z25" s="209">
        <f t="shared" si="1"/>
        <v>1541.1</v>
      </c>
      <c r="AA25" s="301"/>
      <c r="AB25" s="302"/>
      <c r="AD25" s="2"/>
    </row>
    <row r="26" spans="1:40" ht="41.45" customHeight="1" thickBot="1" x14ac:dyDescent="0.3">
      <c r="A26" s="268" t="s">
        <v>9</v>
      </c>
      <c r="B26" s="421"/>
      <c r="C26" s="128">
        <f>SUM(C19:C25)</f>
        <v>143.5</v>
      </c>
      <c r="D26" s="128">
        <f t="shared" ref="D26:Y26" si="4">SUM(D19:D25)</f>
        <v>144.49999999999997</v>
      </c>
      <c r="E26" s="128">
        <f t="shared" si="4"/>
        <v>39.6</v>
      </c>
      <c r="F26" s="128">
        <f t="shared" si="4"/>
        <v>146.30000000000001</v>
      </c>
      <c r="G26" s="205">
        <f t="shared" si="4"/>
        <v>146.30000000000001</v>
      </c>
      <c r="H26" s="436">
        <f>SUM(H19:H25)</f>
        <v>2891</v>
      </c>
      <c r="I26" s="131"/>
      <c r="J26" s="128">
        <f t="shared" si="4"/>
        <v>145.20000000000002</v>
      </c>
      <c r="K26" s="128">
        <f>SUM(K19:K25)</f>
        <v>146.5</v>
      </c>
      <c r="L26" s="128">
        <f t="shared" si="4"/>
        <v>38.9</v>
      </c>
      <c r="M26" s="128">
        <f t="shared" si="4"/>
        <v>140</v>
      </c>
      <c r="N26" s="129">
        <f t="shared" si="4"/>
        <v>138.6</v>
      </c>
      <c r="O26" s="436">
        <f>SUM(O19:O25)</f>
        <v>2899.6</v>
      </c>
      <c r="P26" s="127">
        <f t="shared" si="4"/>
        <v>559.29999999999995</v>
      </c>
      <c r="Q26" s="128">
        <f t="shared" si="4"/>
        <v>557.20000000000005</v>
      </c>
      <c r="R26" s="128">
        <f t="shared" si="4"/>
        <v>205.10000000000002</v>
      </c>
      <c r="S26" s="128">
        <f t="shared" si="4"/>
        <v>560.70000000000005</v>
      </c>
      <c r="T26" s="205">
        <f t="shared" si="4"/>
        <v>564</v>
      </c>
      <c r="U26" s="131">
        <f t="shared" si="4"/>
        <v>582.40000000000009</v>
      </c>
      <c r="V26" s="128">
        <f t="shared" si="4"/>
        <v>588</v>
      </c>
      <c r="W26" s="128">
        <f t="shared" si="4"/>
        <v>214</v>
      </c>
      <c r="X26" s="128">
        <f t="shared" si="4"/>
        <v>585.9</v>
      </c>
      <c r="Y26" s="129">
        <f t="shared" si="4"/>
        <v>584.5</v>
      </c>
      <c r="Z26" s="375">
        <f>SUM(Z19,Z20,Z21,Z22,Z23,Z24,Z25)</f>
        <v>10791.699999999999</v>
      </c>
      <c r="AA26" s="301"/>
    </row>
    <row r="27" spans="1:40" s="2" customFormat="1" ht="36.75" customHeight="1" x14ac:dyDescent="0.25">
      <c r="A27" s="192" t="s">
        <v>11</v>
      </c>
      <c r="B27" s="23"/>
      <c r="C27" s="477">
        <v>165.52</v>
      </c>
      <c r="D27" s="477">
        <v>165.52</v>
      </c>
      <c r="E27" s="477">
        <v>165.52</v>
      </c>
      <c r="F27" s="477">
        <v>165.52</v>
      </c>
      <c r="G27" s="477">
        <v>165.52</v>
      </c>
      <c r="H27" s="478"/>
      <c r="I27" s="479"/>
      <c r="J27" s="477">
        <v>165.52</v>
      </c>
      <c r="K27" s="477">
        <v>165.52</v>
      </c>
      <c r="L27" s="477">
        <v>163.82</v>
      </c>
      <c r="M27" s="477">
        <v>163.82</v>
      </c>
      <c r="N27" s="477">
        <v>163.82</v>
      </c>
      <c r="O27" s="478"/>
      <c r="P27" s="480">
        <v>163.82</v>
      </c>
      <c r="Q27" s="477">
        <v>163.82</v>
      </c>
      <c r="R27" s="477">
        <v>163.82</v>
      </c>
      <c r="S27" s="477">
        <v>163.82</v>
      </c>
      <c r="T27" s="481">
        <v>163.82</v>
      </c>
      <c r="U27" s="479">
        <v>163.82</v>
      </c>
      <c r="V27" s="477">
        <v>163.82</v>
      </c>
      <c r="W27" s="477">
        <v>163.82</v>
      </c>
      <c r="X27" s="477">
        <v>163.82</v>
      </c>
      <c r="Y27" s="482">
        <v>163.82</v>
      </c>
      <c r="Z27" s="99">
        <f>(((Z26*1000)/7)/Z28)</f>
        <v>164.77890429365416</v>
      </c>
    </row>
    <row r="28" spans="1:40" s="2" customFormat="1" ht="33" customHeight="1" x14ac:dyDescent="0.25">
      <c r="A28" s="193" t="s">
        <v>12</v>
      </c>
      <c r="B28" s="257"/>
      <c r="C28" s="27">
        <v>577</v>
      </c>
      <c r="D28" s="27">
        <v>579</v>
      </c>
      <c r="E28" s="27">
        <v>157</v>
      </c>
      <c r="F28" s="27">
        <v>589</v>
      </c>
      <c r="G28" s="27">
        <v>587</v>
      </c>
      <c r="H28" s="441"/>
      <c r="I28" s="26"/>
      <c r="J28" s="27">
        <v>583</v>
      </c>
      <c r="K28" s="27">
        <v>588</v>
      </c>
      <c r="L28" s="483">
        <v>163</v>
      </c>
      <c r="M28" s="27">
        <v>590</v>
      </c>
      <c r="N28" s="27">
        <v>584</v>
      </c>
      <c r="O28" s="441"/>
      <c r="P28" s="64">
        <v>488</v>
      </c>
      <c r="Q28" s="27">
        <v>486</v>
      </c>
      <c r="R28" s="27">
        <v>179</v>
      </c>
      <c r="S28" s="27">
        <v>489</v>
      </c>
      <c r="T28" s="483">
        <v>491</v>
      </c>
      <c r="U28" s="27">
        <v>507</v>
      </c>
      <c r="V28" s="27">
        <v>513</v>
      </c>
      <c r="W28" s="27">
        <v>186</v>
      </c>
      <c r="X28" s="27">
        <v>510</v>
      </c>
      <c r="Y28" s="27">
        <v>510</v>
      </c>
      <c r="Z28" s="29">
        <f>SUM(C28:Y28)</f>
        <v>9356</v>
      </c>
      <c r="AA28" s="402"/>
    </row>
    <row r="29" spans="1:40" s="2" customFormat="1" ht="33" customHeight="1" x14ac:dyDescent="0.25">
      <c r="A29" s="444" t="s">
        <v>13</v>
      </c>
      <c r="B29" s="445"/>
      <c r="C29" s="31">
        <f>(C34*C28)/1000</f>
        <v>20.495040000000003</v>
      </c>
      <c r="D29" s="31">
        <f>(D34*D28)/1000</f>
        <v>20.566080000000007</v>
      </c>
      <c r="E29" s="31">
        <f t="shared" ref="E29:G29" si="5">(E34*E28)/1000</f>
        <v>5.5766400000000012</v>
      </c>
      <c r="F29" s="31">
        <f t="shared" si="5"/>
        <v>20.921280000000007</v>
      </c>
      <c r="G29" s="31">
        <f t="shared" si="5"/>
        <v>20.850240000000007</v>
      </c>
      <c r="H29" s="442"/>
      <c r="I29" s="30"/>
      <c r="J29" s="31">
        <f>(J34*J28)/1000</f>
        <v>20.708160000000007</v>
      </c>
      <c r="K29" s="31">
        <f t="shared" ref="K29:N29" si="6">(K34*K28)/1000</f>
        <v>20.885760000000005</v>
      </c>
      <c r="L29" s="31">
        <f t="shared" si="6"/>
        <v>5.5126599999999986</v>
      </c>
      <c r="M29" s="31">
        <f t="shared" si="6"/>
        <v>19.953799999999994</v>
      </c>
      <c r="N29" s="31">
        <f t="shared" si="6"/>
        <v>19.750879999999999</v>
      </c>
      <c r="O29" s="442"/>
      <c r="P29" s="65">
        <f>((((P27*7)*P28)/1000))/7</f>
        <v>79.944159999999997</v>
      </c>
      <c r="Q29" s="65">
        <f t="shared" ref="Q29:Y29" si="7">((((Q27*7)*Q28)/1000))/7</f>
        <v>79.616520000000008</v>
      </c>
      <c r="R29" s="65">
        <f t="shared" si="7"/>
        <v>29.323779999999999</v>
      </c>
      <c r="S29" s="65">
        <f t="shared" si="7"/>
        <v>80.107979999999998</v>
      </c>
      <c r="T29" s="65">
        <f t="shared" si="7"/>
        <v>80.435619999999986</v>
      </c>
      <c r="U29" s="65">
        <f t="shared" si="7"/>
        <v>83.056740000000005</v>
      </c>
      <c r="V29" s="65">
        <f t="shared" si="7"/>
        <v>84.039659999999998</v>
      </c>
      <c r="W29" s="65">
        <f t="shared" si="7"/>
        <v>30.47052</v>
      </c>
      <c r="X29" s="65">
        <f t="shared" si="7"/>
        <v>83.548199999999994</v>
      </c>
      <c r="Y29" s="65">
        <f t="shared" si="7"/>
        <v>83.548199999999994</v>
      </c>
      <c r="Z29" s="33"/>
    </row>
    <row r="30" spans="1:40" ht="33.75" customHeight="1" x14ac:dyDescent="0.25">
      <c r="A30" s="185" t="s">
        <v>14</v>
      </c>
      <c r="B30" s="34"/>
      <c r="C30" s="280">
        <f>((C28*C31)*7)/1000</f>
        <v>143.5</v>
      </c>
      <c r="D30" s="280">
        <f t="shared" ref="D30:G30" si="8">((D28*D31)*7)/1000</f>
        <v>144.49999999999997</v>
      </c>
      <c r="E30" s="280">
        <f>((E28*E31)*7)/1000</f>
        <v>39.6</v>
      </c>
      <c r="F30" s="280">
        <f t="shared" si="8"/>
        <v>146.30000000000001</v>
      </c>
      <c r="G30" s="280">
        <f t="shared" si="8"/>
        <v>146.30000000000001</v>
      </c>
      <c r="H30" s="443"/>
      <c r="I30" s="279"/>
      <c r="J30" s="280">
        <f>((J28*J31)*7)/1000</f>
        <v>145.19999999999999</v>
      </c>
      <c r="K30" s="280">
        <f t="shared" ref="K30:N30" si="9">((K28*K31)*7)/1000</f>
        <v>146.50000000000003</v>
      </c>
      <c r="L30" s="280">
        <f t="shared" si="9"/>
        <v>38.9</v>
      </c>
      <c r="M30" s="280">
        <f t="shared" si="9"/>
        <v>140</v>
      </c>
      <c r="N30" s="280">
        <f t="shared" si="9"/>
        <v>138.6</v>
      </c>
      <c r="O30" s="443"/>
      <c r="P30" s="325">
        <f t="shared" ref="P30:Y30" si="10">((P28*P27)*7)/1000</f>
        <v>559.60911999999996</v>
      </c>
      <c r="Q30" s="280">
        <f t="shared" si="10"/>
        <v>557.31563999999992</v>
      </c>
      <c r="R30" s="280">
        <f t="shared" si="10"/>
        <v>205.26646</v>
      </c>
      <c r="S30" s="280">
        <f t="shared" si="10"/>
        <v>560.75585999999998</v>
      </c>
      <c r="T30" s="281">
        <f t="shared" si="10"/>
        <v>563.04933999999992</v>
      </c>
      <c r="U30" s="279">
        <f t="shared" si="10"/>
        <v>581.39717999999993</v>
      </c>
      <c r="V30" s="280">
        <f t="shared" si="10"/>
        <v>588.27761999999996</v>
      </c>
      <c r="W30" s="280">
        <f t="shared" si="10"/>
        <v>213.29364000000001</v>
      </c>
      <c r="X30" s="280">
        <f t="shared" si="10"/>
        <v>584.8374</v>
      </c>
      <c r="Y30" s="282">
        <f t="shared" si="10"/>
        <v>584.8374</v>
      </c>
      <c r="Z30" s="36"/>
    </row>
    <row r="31" spans="1:40" ht="33.75" customHeight="1" thickBot="1" x14ac:dyDescent="0.3">
      <c r="A31" s="195" t="s">
        <v>15</v>
      </c>
      <c r="B31" s="423"/>
      <c r="C31" s="38">
        <f>+(C26/C28)/7*1000</f>
        <v>35.52859618717504</v>
      </c>
      <c r="D31" s="38">
        <f t="shared" ref="D31:Y31" si="11">+(D26/D28)/7*1000</f>
        <v>35.652603010115953</v>
      </c>
      <c r="E31" s="38">
        <f t="shared" si="11"/>
        <v>36.032757051865332</v>
      </c>
      <c r="F31" s="38">
        <f t="shared" si="11"/>
        <v>35.483870967741936</v>
      </c>
      <c r="G31" s="38">
        <f t="shared" si="11"/>
        <v>35.604770017035776</v>
      </c>
      <c r="H31" s="259"/>
      <c r="I31" s="37"/>
      <c r="J31" s="38">
        <f t="shared" si="11"/>
        <v>35.579514824797847</v>
      </c>
      <c r="K31" s="38">
        <f t="shared" si="11"/>
        <v>35.592808551992228</v>
      </c>
      <c r="L31" s="38">
        <f t="shared" si="11"/>
        <v>34.092900964066608</v>
      </c>
      <c r="M31" s="38">
        <f t="shared" si="11"/>
        <v>33.898305084745765</v>
      </c>
      <c r="N31" s="38">
        <f t="shared" si="11"/>
        <v>33.904109589041099</v>
      </c>
      <c r="O31" s="259"/>
      <c r="P31" s="67">
        <f t="shared" si="11"/>
        <v>163.7295081967213</v>
      </c>
      <c r="Q31" s="38">
        <f t="shared" si="11"/>
        <v>163.78600823045269</v>
      </c>
      <c r="R31" s="38">
        <f t="shared" si="11"/>
        <v>163.68715083798884</v>
      </c>
      <c r="S31" s="38">
        <f t="shared" si="11"/>
        <v>163.80368098159508</v>
      </c>
      <c r="T31" s="207">
        <f t="shared" si="11"/>
        <v>164.09659586848997</v>
      </c>
      <c r="U31" s="37">
        <f t="shared" si="11"/>
        <v>164.10256410256412</v>
      </c>
      <c r="V31" s="38">
        <f t="shared" si="11"/>
        <v>163.74269005847952</v>
      </c>
      <c r="W31" s="38">
        <f t="shared" si="11"/>
        <v>164.36251920122888</v>
      </c>
      <c r="X31" s="38">
        <f t="shared" si="11"/>
        <v>164.11764705882351</v>
      </c>
      <c r="Y31" s="39">
        <f t="shared" si="11"/>
        <v>163.72549019607843</v>
      </c>
      <c r="Z31" s="40"/>
    </row>
    <row r="32" spans="1:40" ht="33.75" customHeight="1" x14ac:dyDescent="0.25">
      <c r="A32" s="41"/>
      <c r="B32" s="41"/>
      <c r="C32" s="42">
        <f>C30-C26</f>
        <v>0</v>
      </c>
      <c r="D32" s="42">
        <f t="shared" ref="D32:Y33" si="12">D30-D26</f>
        <v>0</v>
      </c>
      <c r="E32" s="42">
        <f t="shared" si="12"/>
        <v>0</v>
      </c>
      <c r="F32" s="42">
        <f t="shared" si="12"/>
        <v>0</v>
      </c>
      <c r="G32" s="42">
        <f t="shared" si="12"/>
        <v>0</v>
      </c>
      <c r="H32" s="42"/>
      <c r="I32" s="42"/>
      <c r="J32" s="42">
        <f t="shared" si="12"/>
        <v>0</v>
      </c>
      <c r="K32" s="42">
        <f>K30-K26</f>
        <v>0</v>
      </c>
      <c r="L32" s="42">
        <f t="shared" si="12"/>
        <v>0</v>
      </c>
      <c r="M32" s="42">
        <f t="shared" si="12"/>
        <v>0</v>
      </c>
      <c r="N32" s="42">
        <f t="shared" si="12"/>
        <v>0</v>
      </c>
      <c r="O32" s="42"/>
      <c r="P32" s="42">
        <f t="shared" si="12"/>
        <v>0.30912000000000717</v>
      </c>
      <c r="Q32" s="42">
        <f t="shared" si="12"/>
        <v>0.11563999999987118</v>
      </c>
      <c r="R32" s="42">
        <f t="shared" si="12"/>
        <v>0.1664599999999723</v>
      </c>
      <c r="S32" s="42">
        <f t="shared" si="12"/>
        <v>5.5859999999938736E-2</v>
      </c>
      <c r="T32" s="42">
        <f t="shared" si="12"/>
        <v>-0.95066000000008444</v>
      </c>
      <c r="U32" s="42">
        <f t="shared" si="12"/>
        <v>-1.0028200000001561</v>
      </c>
      <c r="V32" s="42">
        <f t="shared" si="12"/>
        <v>0.27761999999995624</v>
      </c>
      <c r="W32" s="42">
        <f t="shared" si="12"/>
        <v>-0.70635999999998944</v>
      </c>
      <c r="X32" s="42">
        <f t="shared" si="12"/>
        <v>-1.0625999999999749</v>
      </c>
      <c r="Y32" s="42">
        <f t="shared" si="12"/>
        <v>0.33740000000000236</v>
      </c>
      <c r="Z32" s="48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</row>
    <row r="33" spans="1:38" ht="31.5" customHeight="1" x14ac:dyDescent="0.25">
      <c r="A33" s="41"/>
      <c r="B33" s="41"/>
      <c r="C33" s="42">
        <f>C31-C34</f>
        <v>8.5961871750299679E-3</v>
      </c>
      <c r="D33" s="42">
        <f t="shared" ref="D33:G33" si="13">D31-D34</f>
        <v>0.13260301011594322</v>
      </c>
      <c r="E33" s="42">
        <f t="shared" si="13"/>
        <v>0.5127570518653215</v>
      </c>
      <c r="F33" s="42">
        <f t="shared" si="13"/>
        <v>-3.612903225807429E-2</v>
      </c>
      <c r="G33" s="42">
        <f t="shared" si="13"/>
        <v>8.4770017035765477E-2</v>
      </c>
      <c r="H33" s="42"/>
      <c r="I33" s="42"/>
      <c r="J33" s="42">
        <f t="shared" ref="J33:N33" si="14">J31-J34</f>
        <v>5.9514824797837207E-2</v>
      </c>
      <c r="K33" s="42">
        <f t="shared" si="14"/>
        <v>7.2808551992217474E-2</v>
      </c>
      <c r="L33" s="42">
        <f t="shared" si="14"/>
        <v>0.2729009640666149</v>
      </c>
      <c r="M33" s="42">
        <f t="shared" si="14"/>
        <v>7.830508474577158E-2</v>
      </c>
      <c r="N33" s="42">
        <f t="shared" si="14"/>
        <v>8.4109589041105437E-2</v>
      </c>
      <c r="O33" s="42"/>
      <c r="P33" s="42">
        <f t="shared" si="12"/>
        <v>-9.0491803278695215E-2</v>
      </c>
      <c r="Q33" s="42">
        <f t="shared" si="12"/>
        <v>-3.39917695472991E-2</v>
      </c>
      <c r="R33" s="42">
        <f t="shared" si="12"/>
        <v>-0.13284916201115493</v>
      </c>
      <c r="S33" s="42">
        <f t="shared" si="12"/>
        <v>-1.6319018404914232E-2</v>
      </c>
      <c r="T33" s="42">
        <f t="shared" si="12"/>
        <v>0.27659586848997719</v>
      </c>
      <c r="U33" s="42">
        <f t="shared" si="12"/>
        <v>0.28256410256412323</v>
      </c>
      <c r="V33" s="42">
        <f t="shared" si="12"/>
        <v>-7.7309941520468328E-2</v>
      </c>
      <c r="W33" s="42">
        <f t="shared" si="12"/>
        <v>0.54251920122888464</v>
      </c>
      <c r="X33" s="42">
        <f t="shared" si="12"/>
        <v>0.2976470588235145</v>
      </c>
      <c r="Y33" s="42">
        <f t="shared" si="12"/>
        <v>-9.4509803921567936E-2</v>
      </c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thickBot="1" x14ac:dyDescent="0.3">
      <c r="A34" s="41"/>
      <c r="B34" s="41"/>
      <c r="C34" s="42">
        <f>C27-$B$35</f>
        <v>35.52000000000001</v>
      </c>
      <c r="D34" s="42">
        <f t="shared" ref="D34:G34" si="15">D27-$B$35</f>
        <v>35.52000000000001</v>
      </c>
      <c r="E34" s="42">
        <f t="shared" si="15"/>
        <v>35.52000000000001</v>
      </c>
      <c r="F34" s="42">
        <f t="shared" si="15"/>
        <v>35.52000000000001</v>
      </c>
      <c r="G34" s="42">
        <f t="shared" si="15"/>
        <v>35.52000000000001</v>
      </c>
      <c r="H34" s="42"/>
      <c r="I34" s="42"/>
      <c r="J34" s="42">
        <f>J27-$I$35</f>
        <v>35.52000000000001</v>
      </c>
      <c r="K34" s="42">
        <f t="shared" ref="K34:N34" si="16">K27-$I$35</f>
        <v>35.52000000000001</v>
      </c>
      <c r="L34" s="42">
        <f t="shared" si="16"/>
        <v>33.819999999999993</v>
      </c>
      <c r="M34" s="42">
        <f t="shared" si="16"/>
        <v>33.819999999999993</v>
      </c>
      <c r="N34" s="42">
        <f t="shared" si="16"/>
        <v>33.819999999999993</v>
      </c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1"/>
    </row>
    <row r="35" spans="1:38" ht="33.75" customHeight="1" x14ac:dyDescent="0.25">
      <c r="A35" s="41"/>
      <c r="B35" s="501">
        <v>130</v>
      </c>
      <c r="C35" s="500">
        <f>(B35*D35)/1000</f>
        <v>323.57</v>
      </c>
      <c r="D35" s="432">
        <f>SUM(C28:G28)</f>
        <v>2489</v>
      </c>
      <c r="E35" s="42"/>
      <c r="F35" s="42"/>
      <c r="G35" s="42"/>
      <c r="H35" s="42"/>
      <c r="I35" s="514">
        <v>130</v>
      </c>
      <c r="J35" s="431">
        <f>(I35*K35)/1000</f>
        <v>326.04000000000002</v>
      </c>
      <c r="K35" s="432">
        <f>SUM(J28:N28)</f>
        <v>2508</v>
      </c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30" t="s">
        <v>106</v>
      </c>
      <c r="C36" s="500" t="s">
        <v>107</v>
      </c>
      <c r="D36" s="431" t="s">
        <v>108</v>
      </c>
      <c r="E36" s="42"/>
      <c r="F36" s="42"/>
      <c r="G36" s="42"/>
      <c r="H36" s="42"/>
      <c r="I36" s="430" t="s">
        <v>106</v>
      </c>
      <c r="J36" s="431" t="s">
        <v>107</v>
      </c>
      <c r="K36" s="431" t="s">
        <v>108</v>
      </c>
      <c r="L36" s="42"/>
      <c r="M36" s="42"/>
      <c r="N36" s="534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264"/>
      <c r="L37" s="42"/>
      <c r="M37" s="42"/>
      <c r="N37" s="534"/>
      <c r="O37" s="42"/>
      <c r="P37" s="264"/>
      <c r="Q37" s="42"/>
      <c r="R37" s="42"/>
      <c r="S37" s="42"/>
      <c r="T37" s="42"/>
      <c r="U37" s="264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1"/>
    </row>
    <row r="38" spans="1:38" ht="33.75" customHeight="1" x14ac:dyDescent="0.25">
      <c r="A38" s="41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1"/>
    </row>
    <row r="39" spans="1:38" s="2" customFormat="1" ht="33.75" customHeight="1" thickBot="1" x14ac:dyDescent="0.3">
      <c r="B39" s="43"/>
      <c r="C39" s="350"/>
      <c r="D39" s="350"/>
      <c r="E39" s="350"/>
      <c r="F39" s="350"/>
      <c r="G39" s="350"/>
      <c r="H39" s="318"/>
      <c r="I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3"/>
    </row>
    <row r="40" spans="1:38" ht="33.75" customHeight="1" thickBot="1" x14ac:dyDescent="0.3">
      <c r="A40" s="69" t="s">
        <v>16</v>
      </c>
      <c r="B40" s="973" t="s">
        <v>17</v>
      </c>
      <c r="C40" s="974"/>
      <c r="D40" s="974"/>
      <c r="E40" s="974"/>
      <c r="F40" s="974"/>
      <c r="G40" s="977" t="s">
        <v>9</v>
      </c>
      <c r="H40" s="47"/>
      <c r="L40" s="426" t="s">
        <v>18</v>
      </c>
      <c r="M40" s="973" t="s">
        <v>17</v>
      </c>
      <c r="N40" s="974"/>
      <c r="O40" s="974"/>
      <c r="P40" s="974"/>
      <c r="Q40" s="974"/>
      <c r="R40" s="991"/>
      <c r="S40" s="977" t="s">
        <v>9</v>
      </c>
      <c r="U40" s="45"/>
      <c r="V40" s="45"/>
      <c r="W40" s="46"/>
      <c r="X40" s="3"/>
      <c r="Y40" s="45"/>
      <c r="Z40" s="45"/>
      <c r="AA40" s="45"/>
      <c r="AB40" s="3"/>
    </row>
    <row r="41" spans="1:38" ht="33.75" customHeight="1" thickBot="1" x14ac:dyDescent="0.3">
      <c r="A41" s="170" t="s">
        <v>34</v>
      </c>
      <c r="B41" s="141"/>
      <c r="C41" s="118"/>
      <c r="D41" s="118"/>
      <c r="E41" s="118"/>
      <c r="F41" s="121"/>
      <c r="G41" s="985"/>
      <c r="H41" s="47"/>
      <c r="I41" s="47"/>
      <c r="J41" s="47"/>
      <c r="K41" s="47"/>
      <c r="L41" s="428" t="s">
        <v>33</v>
      </c>
      <c r="M41" s="438">
        <v>1</v>
      </c>
      <c r="N41" s="387">
        <v>2</v>
      </c>
      <c r="O41" s="387">
        <v>3</v>
      </c>
      <c r="P41" s="387"/>
      <c r="Q41" s="585"/>
      <c r="R41" s="584"/>
      <c r="S41" s="979"/>
      <c r="U41" s="47"/>
      <c r="V41" s="47"/>
      <c r="W41" s="3"/>
      <c r="X41" s="46"/>
      <c r="Y41" s="3"/>
      <c r="Z41" s="45"/>
      <c r="AA41" s="45"/>
      <c r="AB41" s="45"/>
    </row>
    <row r="42" spans="1:38" ht="33.75" customHeight="1" thickBot="1" x14ac:dyDescent="0.3">
      <c r="A42" s="170" t="s">
        <v>10</v>
      </c>
      <c r="B42" s="11">
        <v>1</v>
      </c>
      <c r="C42" s="16">
        <v>2</v>
      </c>
      <c r="D42" s="16">
        <v>3</v>
      </c>
      <c r="E42" s="16">
        <v>4</v>
      </c>
      <c r="F42" s="107">
        <v>5</v>
      </c>
      <c r="G42" s="984"/>
      <c r="H42" s="47"/>
      <c r="I42" s="47"/>
      <c r="J42" s="47"/>
      <c r="K42" s="47"/>
      <c r="L42" s="427" t="s">
        <v>10</v>
      </c>
      <c r="M42" s="114">
        <v>1</v>
      </c>
      <c r="N42" s="114">
        <v>2</v>
      </c>
      <c r="O42" s="114">
        <v>3</v>
      </c>
      <c r="P42" s="114">
        <v>4</v>
      </c>
      <c r="Q42" s="116">
        <v>5</v>
      </c>
      <c r="R42" s="116" t="s">
        <v>92</v>
      </c>
      <c r="S42" s="126"/>
      <c r="U42" s="47"/>
      <c r="V42" s="47"/>
      <c r="W42" s="48"/>
      <c r="X42" s="48"/>
      <c r="Y42" s="2"/>
      <c r="Z42" s="2"/>
      <c r="AA42" s="2"/>
      <c r="AB42" s="2"/>
    </row>
    <row r="43" spans="1:38" ht="33.75" customHeight="1" x14ac:dyDescent="0.25">
      <c r="A43" s="171" t="s">
        <v>32</v>
      </c>
      <c r="B43" s="142">
        <v>101.1</v>
      </c>
      <c r="C43" s="486">
        <v>99.8</v>
      </c>
      <c r="D43" s="486">
        <v>27.1</v>
      </c>
      <c r="E43" s="486">
        <v>100.3</v>
      </c>
      <c r="F43" s="537">
        <v>99.7</v>
      </c>
      <c r="G43" s="509">
        <f t="shared" ref="G43:G50" si="17">SUM(B43:F43)</f>
        <v>427.99999999999994</v>
      </c>
      <c r="H43" s="988"/>
      <c r="I43" s="989"/>
      <c r="J43" s="989"/>
      <c r="K43" s="989"/>
      <c r="L43" s="171" t="s">
        <v>53</v>
      </c>
      <c r="M43" s="19">
        <v>7.6</v>
      </c>
      <c r="N43" s="19">
        <v>7.5</v>
      </c>
      <c r="O43" s="19">
        <v>2.2000000000000002</v>
      </c>
      <c r="P43" s="19">
        <v>7.5</v>
      </c>
      <c r="Q43" s="108">
        <v>7.6</v>
      </c>
      <c r="R43" s="108">
        <v>2.5</v>
      </c>
      <c r="S43" s="209">
        <f>SUM(M43:R43)</f>
        <v>34.9</v>
      </c>
      <c r="T43" s="302"/>
      <c r="U43" s="2"/>
      <c r="V43" s="49"/>
      <c r="W43" s="48"/>
      <c r="X43" s="48"/>
      <c r="Y43" s="2"/>
      <c r="Z43" s="2"/>
      <c r="AA43" s="2"/>
      <c r="AB43" s="2"/>
    </row>
    <row r="44" spans="1:38" ht="33.75" customHeight="1" x14ac:dyDescent="0.25">
      <c r="A44" s="171" t="s">
        <v>24</v>
      </c>
      <c r="B44" s="142">
        <v>100.9</v>
      </c>
      <c r="C44" s="486">
        <v>99.3</v>
      </c>
      <c r="D44" s="486">
        <v>27.1</v>
      </c>
      <c r="E44" s="486">
        <v>100</v>
      </c>
      <c r="F44" s="537">
        <v>99.2</v>
      </c>
      <c r="G44" s="509">
        <f t="shared" si="17"/>
        <v>426.49999999999994</v>
      </c>
      <c r="H44" s="988"/>
      <c r="I44" s="989"/>
      <c r="J44" s="989"/>
      <c r="K44" s="989"/>
      <c r="L44" s="171" t="s">
        <v>24</v>
      </c>
      <c r="M44" s="19">
        <v>7.6</v>
      </c>
      <c r="N44" s="19">
        <v>7.5</v>
      </c>
      <c r="O44" s="19">
        <v>1.9</v>
      </c>
      <c r="P44" s="19">
        <v>7.5</v>
      </c>
      <c r="Q44" s="108">
        <v>7.6</v>
      </c>
      <c r="R44" s="108">
        <v>2.5</v>
      </c>
      <c r="S44" s="209">
        <f t="shared" ref="S44:S48" si="18">SUM(M44:R44)</f>
        <v>34.6</v>
      </c>
      <c r="T44" s="302"/>
      <c r="U44" s="2"/>
      <c r="V44" s="49"/>
      <c r="W44" s="48"/>
      <c r="X44" s="48"/>
      <c r="Y44" s="2"/>
      <c r="Z44" s="2"/>
      <c r="AA44" s="2"/>
      <c r="AB44" s="2"/>
    </row>
    <row r="45" spans="1:38" ht="33.75" customHeight="1" x14ac:dyDescent="0.25">
      <c r="A45" s="171" t="s">
        <v>20</v>
      </c>
      <c r="B45" s="142">
        <v>100.5</v>
      </c>
      <c r="C45" s="486">
        <v>99</v>
      </c>
      <c r="D45" s="486">
        <v>27</v>
      </c>
      <c r="E45" s="486">
        <v>100</v>
      </c>
      <c r="F45" s="537">
        <v>98.6</v>
      </c>
      <c r="G45" s="509">
        <f t="shared" si="17"/>
        <v>425.1</v>
      </c>
      <c r="H45" s="988"/>
      <c r="I45" s="989"/>
      <c r="J45" s="989"/>
      <c r="K45" s="989"/>
      <c r="L45" s="171" t="s">
        <v>20</v>
      </c>
      <c r="M45" s="19">
        <v>7.7</v>
      </c>
      <c r="N45" s="19">
        <v>7.6</v>
      </c>
      <c r="O45" s="19">
        <v>2</v>
      </c>
      <c r="P45" s="19">
        <v>7.5</v>
      </c>
      <c r="Q45" s="108">
        <v>7.6</v>
      </c>
      <c r="R45" s="108">
        <v>2.4</v>
      </c>
      <c r="S45" s="209">
        <f t="shared" si="18"/>
        <v>34.799999999999997</v>
      </c>
      <c r="T45" s="302"/>
      <c r="U45" s="2"/>
      <c r="V45" s="49"/>
      <c r="W45" s="48"/>
      <c r="X45" s="48"/>
      <c r="Y45" s="2"/>
      <c r="Z45" s="2"/>
      <c r="AA45" s="2"/>
      <c r="AB45" s="2"/>
    </row>
    <row r="46" spans="1:38" ht="33.75" customHeight="1" x14ac:dyDescent="0.25">
      <c r="A46" s="171" t="s">
        <v>28</v>
      </c>
      <c r="B46" s="142">
        <v>100.3</v>
      </c>
      <c r="C46" s="486">
        <v>99</v>
      </c>
      <c r="D46" s="486">
        <v>26.7</v>
      </c>
      <c r="E46" s="486">
        <v>100</v>
      </c>
      <c r="F46" s="537">
        <v>98.2</v>
      </c>
      <c r="G46" s="509">
        <f t="shared" si="17"/>
        <v>424.2</v>
      </c>
      <c r="H46" s="988"/>
      <c r="I46" s="989"/>
      <c r="J46" s="989"/>
      <c r="K46" s="989"/>
      <c r="L46" s="171" t="s">
        <v>28</v>
      </c>
      <c r="M46" s="19">
        <v>7.7</v>
      </c>
      <c r="N46" s="19">
        <v>7.6</v>
      </c>
      <c r="O46" s="19">
        <v>2</v>
      </c>
      <c r="P46" s="19">
        <v>7.5</v>
      </c>
      <c r="Q46" s="108">
        <v>7.6</v>
      </c>
      <c r="R46" s="108">
        <v>2.4</v>
      </c>
      <c r="S46" s="209">
        <f t="shared" si="18"/>
        <v>34.799999999999997</v>
      </c>
      <c r="T46" s="302"/>
      <c r="U46" s="2"/>
      <c r="V46" s="49"/>
      <c r="W46" s="48"/>
      <c r="X46" s="48"/>
      <c r="Y46" s="2"/>
      <c r="Z46" s="2"/>
      <c r="AA46" s="2"/>
      <c r="AB46" s="2"/>
    </row>
    <row r="47" spans="1:38" ht="33.75" customHeight="1" x14ac:dyDescent="0.25">
      <c r="A47" s="171" t="s">
        <v>21</v>
      </c>
      <c r="B47" s="142">
        <v>100.1</v>
      </c>
      <c r="C47" s="486">
        <v>98.9</v>
      </c>
      <c r="D47" s="486">
        <v>26.7</v>
      </c>
      <c r="E47" s="486">
        <v>99.8</v>
      </c>
      <c r="F47" s="537">
        <v>98.2</v>
      </c>
      <c r="G47" s="509">
        <f t="shared" si="17"/>
        <v>423.7</v>
      </c>
      <c r="H47" s="988"/>
      <c r="I47" s="989"/>
      <c r="J47" s="989"/>
      <c r="K47" s="989"/>
      <c r="L47" s="171" t="s">
        <v>21</v>
      </c>
      <c r="M47" s="19">
        <v>7.7</v>
      </c>
      <c r="N47" s="19">
        <v>7.6</v>
      </c>
      <c r="O47" s="19">
        <v>2</v>
      </c>
      <c r="P47" s="19">
        <v>7.5</v>
      </c>
      <c r="Q47" s="108">
        <v>7.6</v>
      </c>
      <c r="R47" s="108">
        <v>2.4</v>
      </c>
      <c r="S47" s="209">
        <f t="shared" si="18"/>
        <v>34.799999999999997</v>
      </c>
      <c r="T47" s="302"/>
      <c r="U47" s="2"/>
      <c r="V47" s="49"/>
      <c r="W47" s="48"/>
      <c r="X47" s="48"/>
      <c r="Y47" s="2"/>
      <c r="Z47" s="2"/>
      <c r="AA47" s="2"/>
      <c r="AB47" s="2"/>
    </row>
    <row r="48" spans="1:38" ht="33.75" customHeight="1" x14ac:dyDescent="0.25">
      <c r="A48" s="171" t="s">
        <v>22</v>
      </c>
      <c r="B48" s="142">
        <v>100</v>
      </c>
      <c r="C48" s="486">
        <v>98.4</v>
      </c>
      <c r="D48" s="486">
        <v>26.7</v>
      </c>
      <c r="E48" s="486">
        <v>99.5</v>
      </c>
      <c r="F48" s="537">
        <v>97.9</v>
      </c>
      <c r="G48" s="509">
        <f t="shared" si="17"/>
        <v>422.5</v>
      </c>
      <c r="H48" s="988"/>
      <c r="I48" s="989"/>
      <c r="J48" s="989"/>
      <c r="K48" s="989"/>
      <c r="L48" s="171" t="s">
        <v>22</v>
      </c>
      <c r="M48" s="19">
        <v>7.7</v>
      </c>
      <c r="N48" s="19">
        <v>7.6</v>
      </c>
      <c r="O48" s="19">
        <v>2</v>
      </c>
      <c r="P48" s="19">
        <v>7.5</v>
      </c>
      <c r="Q48" s="108">
        <v>7.6</v>
      </c>
      <c r="R48" s="108">
        <v>2.4</v>
      </c>
      <c r="S48" s="209">
        <f t="shared" si="18"/>
        <v>34.799999999999997</v>
      </c>
      <c r="T48" s="302"/>
      <c r="U48" s="2"/>
      <c r="V48" s="49"/>
      <c r="W48" s="48"/>
      <c r="X48" s="48"/>
      <c r="Y48" s="2"/>
      <c r="Z48" s="2"/>
      <c r="AA48" s="2"/>
      <c r="AB48" s="2"/>
    </row>
    <row r="49" spans="1:49" ht="33.75" customHeight="1" thickBot="1" x14ac:dyDescent="0.3">
      <c r="A49" s="285" t="s">
        <v>32</v>
      </c>
      <c r="B49" s="142">
        <v>99.2</v>
      </c>
      <c r="C49" s="486">
        <v>98.1</v>
      </c>
      <c r="D49" s="486">
        <v>26.7</v>
      </c>
      <c r="E49" s="486">
        <v>99</v>
      </c>
      <c r="F49" s="537">
        <v>97.8</v>
      </c>
      <c r="G49" s="526">
        <f t="shared" si="17"/>
        <v>420.8</v>
      </c>
      <c r="H49" s="988"/>
      <c r="I49" s="989"/>
      <c r="J49" s="989"/>
      <c r="K49" s="989"/>
      <c r="L49" s="285" t="s">
        <v>23</v>
      </c>
      <c r="M49" s="19">
        <v>7.7</v>
      </c>
      <c r="N49" s="19">
        <v>7.6</v>
      </c>
      <c r="O49" s="19">
        <v>2</v>
      </c>
      <c r="P49" s="19">
        <v>7.5</v>
      </c>
      <c r="Q49" s="108">
        <v>7.6</v>
      </c>
      <c r="R49" s="108">
        <v>2.4</v>
      </c>
      <c r="S49" s="376">
        <f t="shared" ref="S49" si="19">SUM(N49:R49)</f>
        <v>27.1</v>
      </c>
      <c r="T49" s="302"/>
      <c r="U49" s="2"/>
      <c r="V49" s="49"/>
      <c r="W49" s="48"/>
      <c r="X49" s="48"/>
      <c r="Y49" s="48"/>
      <c r="Z49" s="48"/>
      <c r="AA49" s="2"/>
      <c r="AB49" s="2"/>
      <c r="AC49" s="2"/>
      <c r="AD49" s="2"/>
    </row>
    <row r="50" spans="1:49" ht="33.75" customHeight="1" x14ac:dyDescent="0.25">
      <c r="A50" s="290" t="s">
        <v>9</v>
      </c>
      <c r="B50" s="131">
        <f>SUM(B43:B49)</f>
        <v>702.1</v>
      </c>
      <c r="C50" s="128">
        <f t="shared" ref="C50:F50" si="20">SUM(C43:C49)</f>
        <v>692.5</v>
      </c>
      <c r="D50" s="128">
        <f t="shared" si="20"/>
        <v>187.99999999999997</v>
      </c>
      <c r="E50" s="128">
        <f t="shared" si="20"/>
        <v>698.6</v>
      </c>
      <c r="F50" s="129">
        <f t="shared" si="20"/>
        <v>689.59999999999991</v>
      </c>
      <c r="G50" s="265">
        <f t="shared" si="17"/>
        <v>2970.7999999999997</v>
      </c>
      <c r="H50" s="988"/>
      <c r="I50" s="989"/>
      <c r="J50" s="989"/>
      <c r="K50" s="989"/>
      <c r="L50" s="290" t="s">
        <v>9</v>
      </c>
      <c r="M50" s="133">
        <f>SUM(M43:M49)</f>
        <v>53.7</v>
      </c>
      <c r="N50" s="134">
        <f>SUM(N43:N49)</f>
        <v>53.000000000000007</v>
      </c>
      <c r="O50" s="134">
        <f>SUM(O43:O49)</f>
        <v>14.1</v>
      </c>
      <c r="P50" s="134">
        <f t="shared" ref="P50:Q50" si="21">SUM(P43:P49)</f>
        <v>52.5</v>
      </c>
      <c r="Q50" s="260">
        <f t="shared" si="21"/>
        <v>53.2</v>
      </c>
      <c r="R50" s="260">
        <f t="shared" ref="R50" si="22">SUM(R43:R49)</f>
        <v>17</v>
      </c>
      <c r="S50" s="240">
        <f>SUM(S43:S49)</f>
        <v>235.79999999999998</v>
      </c>
      <c r="U50" s="49"/>
      <c r="V50" s="49"/>
      <c r="W50" s="2"/>
      <c r="X50" s="2"/>
      <c r="Y50" s="2"/>
      <c r="Z50" s="2"/>
      <c r="AA50" s="2"/>
      <c r="AB50" s="2"/>
      <c r="AC50" s="2"/>
      <c r="AD50" s="2"/>
    </row>
    <row r="51" spans="1:49" ht="33.75" customHeight="1" x14ac:dyDescent="0.25">
      <c r="A51" s="192" t="s">
        <v>11</v>
      </c>
      <c r="B51" s="23">
        <v>158.69999999999999</v>
      </c>
      <c r="C51" s="24">
        <v>158.69999999999999</v>
      </c>
      <c r="D51" s="24">
        <v>158.69999999999999</v>
      </c>
      <c r="E51" s="24">
        <v>158.69999999999999</v>
      </c>
      <c r="F51" s="25">
        <v>158.69999999999999</v>
      </c>
      <c r="G51" s="137">
        <f>+((G50/G52)/7)*1000</f>
        <v>160.09053187476425</v>
      </c>
      <c r="H51" s="988"/>
      <c r="I51" s="989"/>
      <c r="J51" s="989"/>
      <c r="K51" s="989"/>
      <c r="L51" s="273" t="s">
        <v>11</v>
      </c>
      <c r="M51" s="23">
        <v>156</v>
      </c>
      <c r="N51" s="24">
        <v>154.5</v>
      </c>
      <c r="O51" s="24">
        <v>152.5</v>
      </c>
      <c r="P51" s="24">
        <v>153.5</v>
      </c>
      <c r="Q51" s="228">
        <v>152.5</v>
      </c>
      <c r="R51" s="228">
        <v>152.5</v>
      </c>
      <c r="S51" s="232">
        <f>+((S50/S52)/7)*1000</f>
        <v>190.31476997578693</v>
      </c>
      <c r="U51" s="50"/>
      <c r="V51" s="50"/>
    </row>
    <row r="52" spans="1:49" ht="33.75" customHeight="1" x14ac:dyDescent="0.25">
      <c r="A52" s="193" t="s">
        <v>12</v>
      </c>
      <c r="B52" s="26">
        <v>625</v>
      </c>
      <c r="C52" s="27">
        <v>618</v>
      </c>
      <c r="D52" s="27">
        <v>168</v>
      </c>
      <c r="E52" s="27">
        <v>624</v>
      </c>
      <c r="F52" s="28">
        <v>616</v>
      </c>
      <c r="G52" s="395">
        <f>SUM(B52:F52)</f>
        <v>2651</v>
      </c>
      <c r="H52" s="988"/>
      <c r="I52" s="989"/>
      <c r="J52" s="989"/>
      <c r="K52" s="989"/>
      <c r="L52" s="193" t="s">
        <v>12</v>
      </c>
      <c r="M52" s="257">
        <v>49</v>
      </c>
      <c r="N52" s="275">
        <v>49</v>
      </c>
      <c r="O52" s="275">
        <v>13</v>
      </c>
      <c r="P52" s="275">
        <v>49</v>
      </c>
      <c r="Q52" s="527">
        <v>50</v>
      </c>
      <c r="R52" s="527">
        <v>16</v>
      </c>
      <c r="S52" s="233">
        <f>SUM(N52:R52)</f>
        <v>177</v>
      </c>
      <c r="U52" s="52"/>
      <c r="V52" s="52"/>
    </row>
    <row r="53" spans="1:49" ht="33.75" customHeight="1" x14ac:dyDescent="0.25">
      <c r="A53" s="194" t="s">
        <v>13</v>
      </c>
      <c r="B53" s="30">
        <f>((((B51*7)*B52)/1000))/7</f>
        <v>99.187499999999986</v>
      </c>
      <c r="C53" s="31">
        <f t="shared" ref="C53:F53" si="23">((((C51*7)*C52)/1000))/7</f>
        <v>98.076599999999999</v>
      </c>
      <c r="D53" s="31">
        <f t="shared" si="23"/>
        <v>26.661599999999996</v>
      </c>
      <c r="E53" s="31">
        <f t="shared" si="23"/>
        <v>99.028799999999976</v>
      </c>
      <c r="F53" s="32">
        <f t="shared" si="23"/>
        <v>97.759199999999979</v>
      </c>
      <c r="G53" s="139">
        <f>((G50*1000)/G52)/7</f>
        <v>160.0905318747642</v>
      </c>
      <c r="H53" s="988"/>
      <c r="I53" s="989"/>
      <c r="J53" s="989"/>
      <c r="K53" s="989"/>
      <c r="L53" s="194" t="s">
        <v>13</v>
      </c>
      <c r="M53" s="30">
        <f>((((M51*7)*M52)/1000)-(M43+M44))/5</f>
        <v>7.6616000000000017</v>
      </c>
      <c r="N53" s="31">
        <f>((((N51*7)*N52)/1000)-(N43+N44))/5</f>
        <v>7.5986999999999991</v>
      </c>
      <c r="O53" s="31">
        <f>((((O51*7)*O52)/1000)-(O43+O44))/5</f>
        <v>1.9555</v>
      </c>
      <c r="P53" s="31">
        <f>((((P51*7)*P52)/1000)-(P43+P44))/5</f>
        <v>7.5301</v>
      </c>
      <c r="Q53" s="163">
        <f t="shared" ref="Q53:R53" si="24">((((Q51*7)*Q52)/1000)-(Q43+Q44))/5</f>
        <v>7.6349999999999998</v>
      </c>
      <c r="R53" s="163">
        <f t="shared" si="24"/>
        <v>2.4159999999999995</v>
      </c>
      <c r="S53" s="234">
        <f>((S50*1000)/S52)/7</f>
        <v>190.3147699757869</v>
      </c>
      <c r="U53" s="52"/>
      <c r="V53" s="52"/>
    </row>
    <row r="54" spans="1:49" ht="33.75" customHeight="1" x14ac:dyDescent="0.25">
      <c r="A54" s="185" t="s">
        <v>14</v>
      </c>
      <c r="B54" s="279">
        <f>((B52*B51)*7)/1000</f>
        <v>694.3125</v>
      </c>
      <c r="C54" s="280">
        <f>((C52*C51)*7)/1000</f>
        <v>686.53620000000001</v>
      </c>
      <c r="D54" s="280">
        <f>((D52*D51)*7)/1000</f>
        <v>186.63119999999998</v>
      </c>
      <c r="E54" s="280">
        <f>((E52*E51)*7)/1000</f>
        <v>693.20159999999987</v>
      </c>
      <c r="F54" s="282">
        <f>((F52*F51)*7)/1000</f>
        <v>684.31439999999998</v>
      </c>
      <c r="G54" s="112"/>
      <c r="H54" s="988"/>
      <c r="I54" s="989"/>
      <c r="J54" s="989"/>
      <c r="K54" s="989"/>
      <c r="L54" s="185" t="s">
        <v>14</v>
      </c>
      <c r="M54" s="279">
        <f>((M52*M51)*7)/1000</f>
        <v>53.508000000000003</v>
      </c>
      <c r="N54" s="280">
        <f>((N52*N51)*7)/1000</f>
        <v>52.993499999999997</v>
      </c>
      <c r="O54" s="280">
        <f>((O52*O51)*7)/1000</f>
        <v>13.8775</v>
      </c>
      <c r="P54" s="280">
        <f t="shared" ref="P54:Q54" si="25">((P52*P51)*7)/1000</f>
        <v>52.650500000000001</v>
      </c>
      <c r="Q54" s="281">
        <f t="shared" si="25"/>
        <v>53.375</v>
      </c>
      <c r="R54" s="281">
        <f t="shared" ref="R54" si="26">((R52*R51)*7)/1000</f>
        <v>17.079999999999998</v>
      </c>
      <c r="S54" s="213"/>
    </row>
    <row r="55" spans="1:49" ht="33.75" customHeight="1" thickBot="1" x14ac:dyDescent="0.3">
      <c r="A55" s="195" t="s">
        <v>15</v>
      </c>
      <c r="B55" s="37">
        <f t="shared" ref="B55:E55" si="27">+(B50/B52)/7*1000</f>
        <v>160.48000000000002</v>
      </c>
      <c r="C55" s="38">
        <f t="shared" si="27"/>
        <v>160.07859454461396</v>
      </c>
      <c r="D55" s="38">
        <f t="shared" si="27"/>
        <v>159.86394557823127</v>
      </c>
      <c r="E55" s="38">
        <f t="shared" si="27"/>
        <v>159.93589743589746</v>
      </c>
      <c r="F55" s="39">
        <f>+(F50/F52)/7*1000</f>
        <v>159.92578849721704</v>
      </c>
      <c r="G55" s="140"/>
      <c r="H55" s="988"/>
      <c r="I55" s="989"/>
      <c r="J55" s="989"/>
      <c r="K55" s="989"/>
      <c r="L55" s="195" t="s">
        <v>15</v>
      </c>
      <c r="M55" s="37">
        <f>+(M50/M52)/7*1000</f>
        <v>156.55976676384839</v>
      </c>
      <c r="N55" s="38">
        <f>+(N50/N52)/7*1000</f>
        <v>154.51895043731781</v>
      </c>
      <c r="O55" s="38">
        <f>+(O50/O52)/7*1000</f>
        <v>154.94505494505492</v>
      </c>
      <c r="P55" s="38">
        <f t="shared" ref="P55:Q55" si="28">+(P50/P52)/7*1000</f>
        <v>153.06122448979593</v>
      </c>
      <c r="Q55" s="207">
        <f t="shared" si="28"/>
        <v>152</v>
      </c>
      <c r="R55" s="207">
        <f t="shared" ref="R55" si="29">+(R50/R52)/7*1000</f>
        <v>151.78571428571428</v>
      </c>
      <c r="S55" s="262"/>
      <c r="U55" s="42"/>
      <c r="V55" s="42"/>
    </row>
    <row r="56" spans="1:49" ht="33.75" customHeight="1" x14ac:dyDescent="0.25">
      <c r="A56" s="41"/>
      <c r="B56" s="43">
        <f>B54-B50</f>
        <v>-7.7875000000000227</v>
      </c>
      <c r="C56" s="43">
        <f t="shared" ref="C56:F57" si="30">C54-C50</f>
        <v>-5.963799999999992</v>
      </c>
      <c r="D56" s="43">
        <f t="shared" si="30"/>
        <v>-1.3687999999999931</v>
      </c>
      <c r="E56" s="43">
        <f>E54-E50</f>
        <v>-5.3984000000001515</v>
      </c>
      <c r="F56" s="43">
        <f t="shared" si="30"/>
        <v>-5.2855999999999312</v>
      </c>
      <c r="G56" s="41"/>
      <c r="H56" s="41"/>
      <c r="I56" s="41"/>
      <c r="J56" s="41"/>
      <c r="K56" s="41"/>
      <c r="L56" s="42"/>
      <c r="M56" s="42">
        <f>M54-M50</f>
        <v>-0.19200000000000017</v>
      </c>
      <c r="N56" s="42">
        <f t="shared" ref="N56:Q57" si="31">N54-N50</f>
        <v>-6.5000000000097202E-3</v>
      </c>
      <c r="O56" s="42">
        <f t="shared" si="31"/>
        <v>-0.22250000000000014</v>
      </c>
      <c r="P56" s="42">
        <f t="shared" si="31"/>
        <v>0.15050000000000097</v>
      </c>
      <c r="Q56" s="42">
        <f t="shared" si="31"/>
        <v>0.17499999999999716</v>
      </c>
      <c r="R56" s="42">
        <f t="shared" ref="R56" si="32">R54-R50</f>
        <v>7.9999999999998295E-2</v>
      </c>
      <c r="T56" s="42"/>
      <c r="U56" s="42"/>
      <c r="V56" s="2"/>
      <c r="W56" s="2"/>
      <c r="X56" s="2"/>
      <c r="Y56" s="2"/>
      <c r="Z56" s="2"/>
    </row>
    <row r="57" spans="1:49" ht="33.75" customHeight="1" x14ac:dyDescent="0.25">
      <c r="A57" s="41"/>
      <c r="B57" s="42">
        <f>B55-B51</f>
        <v>1.7800000000000296</v>
      </c>
      <c r="C57" s="42">
        <f>C55-C51</f>
        <v>1.3785945446139749</v>
      </c>
      <c r="D57" s="42">
        <f t="shared" si="30"/>
        <v>1.163945578231278</v>
      </c>
      <c r="E57" s="42">
        <f>E55-E51</f>
        <v>1.2358974358974706</v>
      </c>
      <c r="F57" s="42">
        <f>F55-F51</f>
        <v>1.225788497217053</v>
      </c>
      <c r="G57" s="41"/>
      <c r="H57" s="41"/>
      <c r="I57" s="41"/>
      <c r="J57" s="41"/>
      <c r="K57" s="42"/>
      <c r="L57" s="42"/>
      <c r="M57" s="42">
        <f>M55-M51</f>
        <v>0.55976676384838697</v>
      </c>
      <c r="N57" s="42">
        <f t="shared" si="31"/>
        <v>1.895043731781243E-2</v>
      </c>
      <c r="O57" s="42">
        <f>O55-O51</f>
        <v>2.4450549450549204</v>
      </c>
      <c r="P57" s="42">
        <f t="shared" si="31"/>
        <v>-0.43877551020406713</v>
      </c>
      <c r="Q57" s="42">
        <f t="shared" si="31"/>
        <v>-0.5</v>
      </c>
      <c r="R57" s="42">
        <f t="shared" ref="R57" si="33">R55-R51</f>
        <v>-0.71428571428572241</v>
      </c>
      <c r="T57" s="43"/>
      <c r="U57" s="43"/>
      <c r="V57" s="2"/>
      <c r="W57" s="2"/>
      <c r="X57" s="2"/>
      <c r="Y57" s="2"/>
      <c r="AC57" s="3"/>
    </row>
    <row r="58" spans="1:49" ht="33.75" customHeight="1" x14ac:dyDescent="0.25">
      <c r="A58" s="41"/>
      <c r="B58" s="287"/>
      <c r="C58" s="287"/>
      <c r="D58" s="287"/>
      <c r="E58" s="287"/>
      <c r="F58" s="287"/>
      <c r="G58" s="264"/>
      <c r="H58" s="41"/>
      <c r="I58" s="41"/>
      <c r="J58" s="41"/>
      <c r="K58" s="41"/>
      <c r="L58" s="41"/>
      <c r="M58" s="41"/>
      <c r="N58" s="41"/>
      <c r="O58" s="42"/>
      <c r="P58" s="42"/>
      <c r="Q58" s="42"/>
      <c r="R58" s="42"/>
      <c r="S58" s="42"/>
      <c r="T58" s="42"/>
      <c r="U58" s="42"/>
      <c r="V58" s="42"/>
      <c r="W58" s="42"/>
      <c r="X58" s="43"/>
      <c r="Y58" s="43"/>
      <c r="Z58" s="43"/>
      <c r="AA58" s="2"/>
      <c r="AB58" s="2"/>
      <c r="AC58" s="2"/>
      <c r="AD58" s="2"/>
      <c r="AH58" s="3"/>
    </row>
    <row r="59" spans="1:49" ht="33.75" customHeight="1" thickBot="1" x14ac:dyDescent="0.3">
      <c r="A59" s="53"/>
      <c r="B59" s="284"/>
      <c r="C59" s="284"/>
      <c r="D59" s="284"/>
      <c r="E59" s="284"/>
      <c r="F59" s="284"/>
      <c r="G59" s="284"/>
      <c r="H59" s="54"/>
      <c r="I59" s="54"/>
      <c r="J59" s="54"/>
      <c r="K59" s="54"/>
      <c r="L59" s="54"/>
      <c r="M59" s="54"/>
      <c r="N59" s="54"/>
      <c r="O59" s="958"/>
      <c r="P59" s="958"/>
      <c r="Q59" s="283"/>
      <c r="R59" s="283"/>
      <c r="S59" s="283"/>
      <c r="T59" s="54"/>
      <c r="U59" s="55"/>
      <c r="Z59" s="43"/>
      <c r="AA59" s="43"/>
      <c r="AB59" s="43"/>
      <c r="AC59" s="2"/>
      <c r="AD59" s="2"/>
      <c r="AE59" s="2"/>
      <c r="AF59" s="2"/>
      <c r="AH59" s="2"/>
      <c r="AI59" s="2"/>
      <c r="AJ59" s="2"/>
    </row>
    <row r="60" spans="1:49" ht="33.75" customHeight="1" x14ac:dyDescent="0.25">
      <c r="A60" s="359" t="s">
        <v>19</v>
      </c>
      <c r="B60" s="986" t="s">
        <v>8</v>
      </c>
      <c r="C60" s="956"/>
      <c r="D60" s="956"/>
      <c r="E60" s="956"/>
      <c r="F60" s="956"/>
      <c r="G60" s="986" t="s">
        <v>30</v>
      </c>
      <c r="H60" s="956"/>
      <c r="I60" s="956"/>
      <c r="J60" s="956"/>
      <c r="K60" s="956"/>
      <c r="L60" s="987"/>
      <c r="M60" s="986" t="s">
        <v>29</v>
      </c>
      <c r="N60" s="956"/>
      <c r="O60" s="956"/>
      <c r="P60" s="956"/>
      <c r="Q60" s="987"/>
      <c r="R60" s="986" t="s">
        <v>31</v>
      </c>
      <c r="S60" s="956"/>
      <c r="T60" s="956"/>
      <c r="U60" s="956"/>
      <c r="V60" s="987"/>
      <c r="W60" s="586" t="s">
        <v>9</v>
      </c>
      <c r="AE60" s="43"/>
      <c r="AF60" s="43"/>
      <c r="AG60" s="43"/>
      <c r="AH60" s="2"/>
      <c r="AI60" s="2"/>
      <c r="AJ60" s="2"/>
      <c r="AK60" s="2"/>
      <c r="AM60" s="2"/>
      <c r="AN60" s="2"/>
      <c r="AO60" s="2"/>
    </row>
    <row r="61" spans="1:49" ht="33.75" customHeight="1" thickBot="1" x14ac:dyDescent="0.3">
      <c r="A61" s="170" t="s">
        <v>34</v>
      </c>
      <c r="B61" s="360"/>
      <c r="C61" s="361"/>
      <c r="D61" s="361"/>
      <c r="E61" s="361"/>
      <c r="F61" s="361"/>
      <c r="G61" s="360"/>
      <c r="H61" s="361"/>
      <c r="I61" s="361"/>
      <c r="J61" s="361"/>
      <c r="K61" s="361"/>
      <c r="L61" s="590"/>
      <c r="M61" s="360"/>
      <c r="N61" s="361"/>
      <c r="O61" s="361"/>
      <c r="P61" s="361"/>
      <c r="Q61" s="396"/>
      <c r="R61" s="360"/>
      <c r="S61" s="361"/>
      <c r="T61" s="361"/>
      <c r="U61" s="361"/>
      <c r="V61" s="397"/>
      <c r="W61" s="587"/>
      <c r="AC61" s="45"/>
      <c r="AD61" s="45"/>
      <c r="AE61" s="45"/>
      <c r="AF61" s="45"/>
      <c r="AG61" s="57"/>
      <c r="AH61" s="57"/>
      <c r="AI61" s="57"/>
      <c r="AJ61" s="57"/>
      <c r="AK61" s="45"/>
      <c r="AL61" s="45"/>
      <c r="AM61" s="58"/>
      <c r="AN61" s="58"/>
      <c r="AO61" s="58"/>
      <c r="AP61" s="2"/>
      <c r="AQ61" s="2"/>
      <c r="AR61" s="2"/>
      <c r="AS61" s="2"/>
      <c r="AU61" s="2"/>
      <c r="AV61" s="2"/>
      <c r="AW61" s="2"/>
    </row>
    <row r="62" spans="1:49" ht="33.75" customHeight="1" thickBot="1" x14ac:dyDescent="0.3">
      <c r="A62" s="170" t="s">
        <v>10</v>
      </c>
      <c r="B62" s="188">
        <v>1</v>
      </c>
      <c r="C62" s="168">
        <v>2</v>
      </c>
      <c r="D62" s="168">
        <v>3</v>
      </c>
      <c r="E62" s="168">
        <v>4</v>
      </c>
      <c r="F62" s="413">
        <v>5</v>
      </c>
      <c r="G62" s="188">
        <v>1</v>
      </c>
      <c r="H62" s="168">
        <v>2</v>
      </c>
      <c r="I62" s="168">
        <v>3</v>
      </c>
      <c r="J62" s="168">
        <v>4</v>
      </c>
      <c r="K62" s="168">
        <v>5</v>
      </c>
      <c r="L62" s="168">
        <v>6</v>
      </c>
      <c r="M62" s="188">
        <v>1</v>
      </c>
      <c r="N62" s="168">
        <v>2</v>
      </c>
      <c r="O62" s="168">
        <v>3</v>
      </c>
      <c r="P62" s="168">
        <v>4</v>
      </c>
      <c r="Q62" s="413">
        <v>5</v>
      </c>
      <c r="R62" s="188">
        <v>1</v>
      </c>
      <c r="S62" s="168">
        <v>2</v>
      </c>
      <c r="T62" s="168">
        <v>3</v>
      </c>
      <c r="U62" s="168">
        <v>4</v>
      </c>
      <c r="V62" s="414">
        <v>5</v>
      </c>
      <c r="W62" s="126"/>
      <c r="X62" s="45"/>
      <c r="Y62" s="45"/>
      <c r="Z62" s="45"/>
      <c r="AA62" s="45"/>
      <c r="AB62" s="45"/>
      <c r="AC62" s="45"/>
      <c r="AD62" s="45"/>
      <c r="AE62" s="45"/>
      <c r="AF62" s="45"/>
      <c r="AG62" s="57"/>
      <c r="AH62" s="57"/>
      <c r="AI62" s="57"/>
      <c r="AJ62" s="57"/>
      <c r="AK62" s="45"/>
      <c r="AL62" s="45"/>
      <c r="AM62" s="58"/>
      <c r="AN62" s="58"/>
      <c r="AO62" s="58"/>
      <c r="AP62" s="2"/>
      <c r="AQ62" s="2"/>
      <c r="AR62" s="2"/>
      <c r="AS62" s="2"/>
      <c r="AT62" s="2"/>
      <c r="AU62" s="2"/>
      <c r="AV62" s="2"/>
      <c r="AW62" s="2"/>
    </row>
    <row r="63" spans="1:49" ht="33.75" customHeight="1" x14ac:dyDescent="0.25">
      <c r="A63" s="171" t="s">
        <v>53</v>
      </c>
      <c r="B63" s="446">
        <v>8.8000000000000007</v>
      </c>
      <c r="C63" s="19">
        <v>9</v>
      </c>
      <c r="D63" s="19">
        <v>2.4</v>
      </c>
      <c r="E63" s="19">
        <v>8.8000000000000007</v>
      </c>
      <c r="F63" s="61">
        <v>9</v>
      </c>
      <c r="G63" s="446">
        <v>8.8000000000000007</v>
      </c>
      <c r="H63" s="19">
        <v>8.9</v>
      </c>
      <c r="I63" s="19">
        <v>2.2000000000000002</v>
      </c>
      <c r="J63" s="19">
        <v>8.9</v>
      </c>
      <c r="K63" s="134">
        <v>8.9</v>
      </c>
      <c r="L63" s="134"/>
      <c r="M63" s="446">
        <v>7.2</v>
      </c>
      <c r="N63" s="19">
        <v>7.3</v>
      </c>
      <c r="O63" s="19">
        <v>2.5</v>
      </c>
      <c r="P63" s="19">
        <v>7.3</v>
      </c>
      <c r="Q63" s="20">
        <v>7.1</v>
      </c>
      <c r="R63" s="18">
        <v>7.4</v>
      </c>
      <c r="S63" s="19">
        <v>7.4</v>
      </c>
      <c r="T63" s="19">
        <v>2.7</v>
      </c>
      <c r="U63" s="19">
        <v>7.4</v>
      </c>
      <c r="V63" s="20">
        <v>7.6</v>
      </c>
      <c r="W63" s="412">
        <f>SUM(B63:V63)</f>
        <v>139.6</v>
      </c>
      <c r="X63" s="302"/>
      <c r="Y63" s="42"/>
      <c r="Z63" s="42"/>
      <c r="AA63" s="42"/>
      <c r="AB63" s="42"/>
      <c r="AC63" s="2"/>
      <c r="AD63" s="45"/>
      <c r="AE63" s="45"/>
      <c r="AF63" s="45"/>
      <c r="AG63" s="57"/>
      <c r="AH63" s="57"/>
      <c r="AI63" s="57"/>
      <c r="AJ63" s="57"/>
      <c r="AK63" s="45"/>
      <c r="AL63" s="45"/>
      <c r="AM63" s="58"/>
      <c r="AN63" s="58"/>
      <c r="AO63" s="58"/>
      <c r="AP63" s="2"/>
      <c r="AQ63" s="2"/>
      <c r="AR63" s="2"/>
      <c r="AS63" s="2"/>
      <c r="AT63" s="2"/>
      <c r="AU63" s="2"/>
      <c r="AV63" s="2"/>
      <c r="AW63" s="2"/>
    </row>
    <row r="64" spans="1:49" ht="33.75" customHeight="1" x14ac:dyDescent="0.25">
      <c r="A64" s="171" t="s">
        <v>24</v>
      </c>
      <c r="B64" s="446">
        <v>8.8000000000000007</v>
      </c>
      <c r="C64" s="19">
        <v>9</v>
      </c>
      <c r="D64" s="19">
        <v>2.4</v>
      </c>
      <c r="E64" s="19">
        <v>8.8000000000000007</v>
      </c>
      <c r="F64" s="61">
        <v>9</v>
      </c>
      <c r="G64" s="446">
        <v>8.8000000000000007</v>
      </c>
      <c r="H64" s="19">
        <v>8.9</v>
      </c>
      <c r="I64" s="19">
        <v>2.2000000000000002</v>
      </c>
      <c r="J64" s="19">
        <v>8.9</v>
      </c>
      <c r="K64" s="19">
        <v>8.9</v>
      </c>
      <c r="L64" s="19"/>
      <c r="M64" s="446">
        <v>7.2</v>
      </c>
      <c r="N64" s="19">
        <v>7.3</v>
      </c>
      <c r="O64" s="19">
        <v>2.2999999999999998</v>
      </c>
      <c r="P64" s="19">
        <v>7.3</v>
      </c>
      <c r="Q64" s="20">
        <v>7.1</v>
      </c>
      <c r="R64" s="18">
        <v>7.4</v>
      </c>
      <c r="S64" s="19">
        <v>7.4</v>
      </c>
      <c r="T64" s="19">
        <v>2.7</v>
      </c>
      <c r="U64" s="19">
        <v>7.4</v>
      </c>
      <c r="V64" s="20">
        <v>7.6</v>
      </c>
      <c r="W64" s="412">
        <f t="shared" ref="W64:W69" si="34">SUM(B64:V64)</f>
        <v>139.4</v>
      </c>
      <c r="X64" s="302"/>
      <c r="Y64" s="42"/>
      <c r="Z64" s="42"/>
      <c r="AA64" s="42"/>
      <c r="AB64" s="42"/>
      <c r="AC64" s="2"/>
      <c r="AD64" s="45"/>
      <c r="AE64" s="45"/>
      <c r="AF64" s="45"/>
      <c r="AG64" s="57"/>
      <c r="AH64" s="57"/>
      <c r="AI64" s="57"/>
      <c r="AJ64" s="57"/>
      <c r="AK64" s="45"/>
      <c r="AL64" s="45"/>
      <c r="AM64" s="58"/>
      <c r="AN64" s="58"/>
      <c r="AO64" s="58"/>
      <c r="AP64" s="2"/>
      <c r="AQ64" s="2"/>
      <c r="AR64" s="2"/>
      <c r="AS64" s="2"/>
      <c r="AT64" s="2"/>
      <c r="AU64" s="2"/>
      <c r="AV64" s="2"/>
      <c r="AW64" s="2"/>
    </row>
    <row r="65" spans="1:49" ht="33.75" customHeight="1" x14ac:dyDescent="0.25">
      <c r="A65" s="171" t="s">
        <v>20</v>
      </c>
      <c r="B65" s="446">
        <v>8.8000000000000007</v>
      </c>
      <c r="C65" s="19">
        <v>9</v>
      </c>
      <c r="D65" s="19">
        <v>2.4</v>
      </c>
      <c r="E65" s="19">
        <v>8.8000000000000007</v>
      </c>
      <c r="F65" s="61">
        <v>9</v>
      </c>
      <c r="G65" s="446">
        <v>8.8000000000000007</v>
      </c>
      <c r="H65" s="19">
        <v>8.9</v>
      </c>
      <c r="I65" s="19">
        <v>2.2000000000000002</v>
      </c>
      <c r="J65" s="19">
        <v>8.9</v>
      </c>
      <c r="K65" s="19">
        <v>9</v>
      </c>
      <c r="L65" s="19"/>
      <c r="M65" s="446">
        <v>7.2</v>
      </c>
      <c r="N65" s="19">
        <v>7.3</v>
      </c>
      <c r="O65" s="19">
        <v>2.2999999999999998</v>
      </c>
      <c r="P65" s="19">
        <v>7.3</v>
      </c>
      <c r="Q65" s="20">
        <v>7.2</v>
      </c>
      <c r="R65" s="18">
        <v>7.4</v>
      </c>
      <c r="S65" s="19">
        <v>7.4</v>
      </c>
      <c r="T65" s="19">
        <v>2.7</v>
      </c>
      <c r="U65" s="19">
        <v>7.4</v>
      </c>
      <c r="V65" s="20">
        <v>7.6</v>
      </c>
      <c r="W65" s="412">
        <f t="shared" si="34"/>
        <v>139.6</v>
      </c>
      <c r="X65" s="302"/>
      <c r="Y65" s="42"/>
      <c r="Z65" s="42"/>
      <c r="AA65" s="42"/>
      <c r="AB65" s="42"/>
      <c r="AC65" s="2"/>
      <c r="AD65" s="45"/>
      <c r="AE65" s="45"/>
      <c r="AF65" s="45"/>
      <c r="AG65" s="57"/>
      <c r="AH65" s="57"/>
      <c r="AI65" s="57"/>
      <c r="AJ65" s="57"/>
      <c r="AK65" s="45"/>
      <c r="AL65" s="45"/>
      <c r="AM65" s="58"/>
      <c r="AN65" s="58"/>
      <c r="AO65" s="58"/>
      <c r="AP65" s="2"/>
      <c r="AQ65" s="2"/>
      <c r="AR65" s="2"/>
      <c r="AS65" s="2"/>
      <c r="AT65" s="2"/>
      <c r="AU65" s="2"/>
      <c r="AV65" s="2"/>
      <c r="AW65" s="2"/>
    </row>
    <row r="66" spans="1:49" ht="33.75" customHeight="1" x14ac:dyDescent="0.25">
      <c r="A66" s="171" t="s">
        <v>28</v>
      </c>
      <c r="B66" s="446">
        <v>8.8000000000000007</v>
      </c>
      <c r="C66" s="19">
        <v>9</v>
      </c>
      <c r="D66" s="19">
        <v>2.4</v>
      </c>
      <c r="E66" s="19">
        <v>8.8000000000000007</v>
      </c>
      <c r="F66" s="61">
        <v>9</v>
      </c>
      <c r="G66" s="446">
        <v>8.8000000000000007</v>
      </c>
      <c r="H66" s="19">
        <v>8.9</v>
      </c>
      <c r="I66" s="19">
        <v>2.2000000000000002</v>
      </c>
      <c r="J66" s="19">
        <v>8.9</v>
      </c>
      <c r="K66" s="19">
        <v>9</v>
      </c>
      <c r="L66" s="19"/>
      <c r="M66" s="446">
        <v>7.2</v>
      </c>
      <c r="N66" s="19">
        <v>7.3</v>
      </c>
      <c r="O66" s="19">
        <v>2.2999999999999998</v>
      </c>
      <c r="P66" s="19">
        <v>7.3</v>
      </c>
      <c r="Q66" s="20">
        <v>7.2</v>
      </c>
      <c r="R66" s="18">
        <v>7.4</v>
      </c>
      <c r="S66" s="19">
        <v>7.4</v>
      </c>
      <c r="T66" s="19">
        <v>2.7</v>
      </c>
      <c r="U66" s="19">
        <v>7.4</v>
      </c>
      <c r="V66" s="20">
        <v>7.6</v>
      </c>
      <c r="W66" s="412">
        <f t="shared" si="34"/>
        <v>139.6</v>
      </c>
      <c r="X66" s="302"/>
      <c r="Y66" s="42"/>
      <c r="Z66" s="42"/>
      <c r="AA66" s="42"/>
      <c r="AB66" s="42"/>
      <c r="AC66" s="2"/>
      <c r="AD66" s="45"/>
      <c r="AE66" s="45"/>
      <c r="AF66" s="45"/>
      <c r="AG66" s="57"/>
      <c r="AH66" s="57"/>
      <c r="AI66" s="57"/>
      <c r="AJ66" s="57"/>
      <c r="AK66" s="45"/>
      <c r="AL66" s="45"/>
      <c r="AM66" s="58"/>
      <c r="AN66" s="58"/>
      <c r="AO66" s="58"/>
      <c r="AP66" s="3"/>
      <c r="AQ66" s="3"/>
      <c r="AR66" s="2"/>
      <c r="AS66" s="2"/>
      <c r="AT66" s="2"/>
      <c r="AU66" s="2"/>
      <c r="AV66" s="2"/>
      <c r="AW66" s="2"/>
    </row>
    <row r="67" spans="1:49" ht="33.75" customHeight="1" x14ac:dyDescent="0.25">
      <c r="A67" s="171" t="s">
        <v>21</v>
      </c>
      <c r="B67" s="446">
        <v>8.1999999999999993</v>
      </c>
      <c r="C67" s="19">
        <v>8.4</v>
      </c>
      <c r="D67" s="19">
        <v>2.4</v>
      </c>
      <c r="E67" s="19">
        <v>8.1999999999999993</v>
      </c>
      <c r="F67" s="61">
        <v>8.4</v>
      </c>
      <c r="G67" s="446">
        <v>8.4</v>
      </c>
      <c r="H67" s="19">
        <v>8.4</v>
      </c>
      <c r="I67" s="19">
        <v>2.2000000000000002</v>
      </c>
      <c r="J67" s="19">
        <v>8.4</v>
      </c>
      <c r="K67" s="19">
        <v>8.4</v>
      </c>
      <c r="L67" s="19">
        <v>4.4000000000000004</v>
      </c>
      <c r="M67" s="446">
        <v>7.2</v>
      </c>
      <c r="N67" s="19">
        <v>7.3</v>
      </c>
      <c r="O67" s="19">
        <v>2.2999999999999998</v>
      </c>
      <c r="P67" s="19">
        <v>7.3</v>
      </c>
      <c r="Q67" s="20">
        <v>7.2</v>
      </c>
      <c r="R67" s="18">
        <v>7.4</v>
      </c>
      <c r="S67" s="19">
        <v>7.4</v>
      </c>
      <c r="T67" s="19">
        <v>2.7</v>
      </c>
      <c r="U67" s="19">
        <v>7.4</v>
      </c>
      <c r="V67" s="20">
        <v>7.6</v>
      </c>
      <c r="W67" s="412">
        <f t="shared" si="34"/>
        <v>139.60000000000002</v>
      </c>
      <c r="X67" s="302"/>
      <c r="Y67" s="42"/>
      <c r="Z67" s="42"/>
      <c r="AA67" s="42"/>
      <c r="AB67" s="42"/>
      <c r="AC67" s="2"/>
      <c r="AD67" s="45"/>
      <c r="AE67" s="45"/>
      <c r="AF67" s="45"/>
      <c r="AG67" s="57"/>
      <c r="AH67" s="57"/>
      <c r="AI67" s="57"/>
      <c r="AJ67" s="57"/>
      <c r="AK67" s="45"/>
      <c r="AL67" s="45"/>
      <c r="AM67" s="58"/>
      <c r="AN67" s="58"/>
      <c r="AO67" s="58"/>
      <c r="AP67" s="3"/>
      <c r="AQ67" s="3"/>
      <c r="AR67" s="2"/>
      <c r="AS67" s="2"/>
      <c r="AT67" s="2"/>
      <c r="AU67" s="2"/>
      <c r="AV67" s="2"/>
      <c r="AW67" s="2"/>
    </row>
    <row r="68" spans="1:49" ht="33.75" customHeight="1" x14ac:dyDescent="0.25">
      <c r="A68" s="171" t="s">
        <v>22</v>
      </c>
      <c r="B68" s="446">
        <v>8.1999999999999993</v>
      </c>
      <c r="C68" s="19">
        <v>8.4</v>
      </c>
      <c r="D68" s="19">
        <v>2.4</v>
      </c>
      <c r="E68" s="19">
        <v>8.1999999999999993</v>
      </c>
      <c r="F68" s="61">
        <v>8.4</v>
      </c>
      <c r="G68" s="446">
        <v>8.4</v>
      </c>
      <c r="H68" s="19">
        <v>8.4</v>
      </c>
      <c r="I68" s="19">
        <v>2.2000000000000002</v>
      </c>
      <c r="J68" s="19">
        <v>8.4</v>
      </c>
      <c r="K68" s="19">
        <v>8.4</v>
      </c>
      <c r="L68" s="19">
        <v>4.4000000000000004</v>
      </c>
      <c r="M68" s="446">
        <v>7.2</v>
      </c>
      <c r="N68" s="19">
        <v>7.3</v>
      </c>
      <c r="O68" s="19">
        <v>2.2999999999999998</v>
      </c>
      <c r="P68" s="19">
        <v>7.3</v>
      </c>
      <c r="Q68" s="20">
        <v>7.2</v>
      </c>
      <c r="R68" s="18">
        <v>7.4</v>
      </c>
      <c r="S68" s="19">
        <v>7.4</v>
      </c>
      <c r="T68" s="19">
        <v>2.7</v>
      </c>
      <c r="U68" s="19">
        <v>7.4</v>
      </c>
      <c r="V68" s="20">
        <v>7.6</v>
      </c>
      <c r="W68" s="412">
        <f t="shared" si="34"/>
        <v>139.60000000000002</v>
      </c>
      <c r="X68" s="302"/>
      <c r="Y68" s="42"/>
      <c r="Z68" s="42"/>
      <c r="AA68" s="42"/>
      <c r="AB68" s="42"/>
      <c r="AC68" s="2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3"/>
      <c r="AQ68" s="3"/>
      <c r="AT68" s="2"/>
      <c r="AU68" s="2"/>
      <c r="AV68" s="2"/>
      <c r="AW68" s="2"/>
    </row>
    <row r="69" spans="1:49" ht="33.75" customHeight="1" thickBot="1" x14ac:dyDescent="0.3">
      <c r="A69" s="171" t="s">
        <v>23</v>
      </c>
      <c r="B69" s="446">
        <v>8.1999999999999993</v>
      </c>
      <c r="C69" s="19">
        <v>8.4</v>
      </c>
      <c r="D69" s="19">
        <v>2.4</v>
      </c>
      <c r="E69" s="19">
        <v>8.1999999999999993</v>
      </c>
      <c r="F69" s="61">
        <v>8.4</v>
      </c>
      <c r="G69" s="446">
        <v>8.4</v>
      </c>
      <c r="H69" s="19">
        <v>8.4</v>
      </c>
      <c r="I69" s="19">
        <v>2.2000000000000002</v>
      </c>
      <c r="J69" s="19">
        <v>8.4</v>
      </c>
      <c r="K69" s="19">
        <v>8.4</v>
      </c>
      <c r="L69" s="19">
        <v>4.4000000000000004</v>
      </c>
      <c r="M69" s="446">
        <v>7.2</v>
      </c>
      <c r="N69" s="19">
        <v>7.3</v>
      </c>
      <c r="O69" s="19">
        <v>2.2999999999999998</v>
      </c>
      <c r="P69" s="19">
        <v>7.3</v>
      </c>
      <c r="Q69" s="20">
        <v>7.2</v>
      </c>
      <c r="R69" s="18">
        <v>7.4</v>
      </c>
      <c r="S69" s="19">
        <v>7.4</v>
      </c>
      <c r="T69" s="19">
        <v>2.7</v>
      </c>
      <c r="U69" s="19">
        <v>7.4</v>
      </c>
      <c r="V69" s="20">
        <v>7.6</v>
      </c>
      <c r="W69" s="412">
        <f t="shared" si="34"/>
        <v>139.60000000000002</v>
      </c>
      <c r="X69" s="302"/>
      <c r="Y69" s="42"/>
      <c r="Z69" s="42"/>
      <c r="AA69" s="42"/>
      <c r="AB69" s="42"/>
      <c r="AC69" s="2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3"/>
      <c r="AQ69" s="3"/>
      <c r="AT69" s="2"/>
      <c r="AU69" s="2"/>
      <c r="AV69" s="2"/>
      <c r="AW69" s="2"/>
    </row>
    <row r="70" spans="1:49" ht="33.75" customHeight="1" thickBot="1" x14ac:dyDescent="0.3">
      <c r="A70" s="170" t="s">
        <v>9</v>
      </c>
      <c r="B70" s="297">
        <f t="shared" ref="B70:K70" si="35">SUM(B63:B69)</f>
        <v>59.800000000000011</v>
      </c>
      <c r="C70" s="298">
        <f t="shared" si="35"/>
        <v>61.199999999999996</v>
      </c>
      <c r="D70" s="298">
        <f t="shared" si="35"/>
        <v>16.8</v>
      </c>
      <c r="E70" s="298">
        <f t="shared" si="35"/>
        <v>59.800000000000011</v>
      </c>
      <c r="F70" s="299">
        <f t="shared" si="35"/>
        <v>61.199999999999996</v>
      </c>
      <c r="G70" s="297">
        <f t="shared" si="35"/>
        <v>60.4</v>
      </c>
      <c r="H70" s="298">
        <f t="shared" si="35"/>
        <v>60.8</v>
      </c>
      <c r="I70" s="298">
        <f t="shared" si="35"/>
        <v>15.399999999999999</v>
      </c>
      <c r="J70" s="298">
        <f t="shared" si="35"/>
        <v>60.8</v>
      </c>
      <c r="K70" s="298">
        <f t="shared" si="35"/>
        <v>60.999999999999993</v>
      </c>
      <c r="L70" s="298">
        <f t="shared" ref="L70" si="36">SUM(L63:L69)</f>
        <v>13.200000000000001</v>
      </c>
      <c r="M70" s="297">
        <f t="shared" ref="M70:V70" si="37">SUM(M63:M69)</f>
        <v>50.400000000000006</v>
      </c>
      <c r="N70" s="298">
        <f t="shared" si="37"/>
        <v>51.099999999999994</v>
      </c>
      <c r="O70" s="298">
        <f t="shared" si="37"/>
        <v>16.3</v>
      </c>
      <c r="P70" s="298">
        <f t="shared" si="37"/>
        <v>51.099999999999994</v>
      </c>
      <c r="Q70" s="299">
        <f t="shared" si="37"/>
        <v>50.2</v>
      </c>
      <c r="R70" s="297">
        <f t="shared" si="37"/>
        <v>51.8</v>
      </c>
      <c r="S70" s="298">
        <f t="shared" si="37"/>
        <v>51.8</v>
      </c>
      <c r="T70" s="298">
        <f t="shared" si="37"/>
        <v>18.899999999999999</v>
      </c>
      <c r="U70" s="298">
        <f t="shared" si="37"/>
        <v>51.8</v>
      </c>
      <c r="V70" s="448">
        <f t="shared" si="37"/>
        <v>53.2</v>
      </c>
      <c r="W70" s="449">
        <f>SUM(B70:V70)</f>
        <v>976.99999999999989</v>
      </c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3"/>
      <c r="AQ70" s="3"/>
      <c r="AR70" s="3"/>
      <c r="AS70" s="3"/>
      <c r="AT70" s="2"/>
      <c r="AU70" s="2"/>
      <c r="AV70" s="2"/>
      <c r="AW70" s="2"/>
    </row>
    <row r="71" spans="1:49" ht="33.75" customHeight="1" x14ac:dyDescent="0.25">
      <c r="A71" s="192" t="s">
        <v>11</v>
      </c>
      <c r="B71" s="357">
        <v>158</v>
      </c>
      <c r="C71" s="358">
        <v>158.5</v>
      </c>
      <c r="D71" s="358">
        <v>158</v>
      </c>
      <c r="E71" s="358">
        <v>157.5</v>
      </c>
      <c r="F71" s="358">
        <v>158.5</v>
      </c>
      <c r="G71" s="357">
        <v>156.5</v>
      </c>
      <c r="H71" s="358">
        <v>158.5</v>
      </c>
      <c r="I71" s="358">
        <v>159.5</v>
      </c>
      <c r="J71" s="358">
        <v>159.5</v>
      </c>
      <c r="K71" s="358">
        <v>158</v>
      </c>
      <c r="L71" s="358">
        <v>158</v>
      </c>
      <c r="M71" s="357">
        <v>155.5</v>
      </c>
      <c r="N71" s="358">
        <v>158.5</v>
      </c>
      <c r="O71" s="358">
        <v>155.5</v>
      </c>
      <c r="P71" s="358">
        <v>158.5</v>
      </c>
      <c r="Q71" s="358">
        <v>159.5</v>
      </c>
      <c r="R71" s="357">
        <v>158.5</v>
      </c>
      <c r="S71" s="358">
        <v>158.5</v>
      </c>
      <c r="T71" s="358">
        <v>158.5</v>
      </c>
      <c r="U71" s="358">
        <v>158.5</v>
      </c>
      <c r="V71" s="358">
        <v>158.5</v>
      </c>
      <c r="W71" s="296">
        <f>+((W70/W72)/7)*1000</f>
        <v>167.75412087912088</v>
      </c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3"/>
      <c r="AQ71" s="3"/>
      <c r="AR71" s="3"/>
      <c r="AS71" s="3"/>
      <c r="AT71" s="2"/>
      <c r="AU71" s="2"/>
      <c r="AV71" s="2"/>
      <c r="AW71" s="2"/>
    </row>
    <row r="72" spans="1:49" ht="33.75" customHeight="1" x14ac:dyDescent="0.25">
      <c r="A72" s="193" t="s">
        <v>12</v>
      </c>
      <c r="B72" s="257">
        <v>52</v>
      </c>
      <c r="C72" s="275">
        <v>53</v>
      </c>
      <c r="D72" s="275">
        <v>15</v>
      </c>
      <c r="E72" s="275">
        <v>52</v>
      </c>
      <c r="F72" s="275">
        <v>53</v>
      </c>
      <c r="G72" s="257">
        <v>53</v>
      </c>
      <c r="H72" s="275">
        <v>53</v>
      </c>
      <c r="I72" s="275">
        <v>14</v>
      </c>
      <c r="J72" s="275">
        <v>53</v>
      </c>
      <c r="K72" s="275">
        <v>53</v>
      </c>
      <c r="L72" s="275">
        <v>29</v>
      </c>
      <c r="M72" s="257">
        <v>46</v>
      </c>
      <c r="N72" s="275">
        <v>46</v>
      </c>
      <c r="O72" s="275">
        <v>15</v>
      </c>
      <c r="P72" s="275">
        <v>46</v>
      </c>
      <c r="Q72" s="275">
        <v>45</v>
      </c>
      <c r="R72" s="257">
        <v>47</v>
      </c>
      <c r="S72" s="275">
        <v>47</v>
      </c>
      <c r="T72" s="275">
        <v>17</v>
      </c>
      <c r="U72" s="275">
        <v>47</v>
      </c>
      <c r="V72" s="275">
        <v>48</v>
      </c>
      <c r="W72" s="254">
        <f>SUM(C72:V72)</f>
        <v>832</v>
      </c>
      <c r="AC72" s="59"/>
      <c r="AG72" s="3"/>
      <c r="AH72" s="3"/>
      <c r="AI72" s="3"/>
      <c r="AJ72" s="3"/>
      <c r="AK72" s="3"/>
      <c r="AL72" s="3"/>
    </row>
    <row r="73" spans="1:49" ht="33.75" customHeight="1" x14ac:dyDescent="0.25">
      <c r="A73" s="194" t="s">
        <v>13</v>
      </c>
      <c r="B73" s="30">
        <f>((((B71*7)*B72)/1000))/7</f>
        <v>8.2159999999999993</v>
      </c>
      <c r="C73" s="31">
        <f t="shared" ref="C73:K73" si="38">((((C71*7)*C72)/1000))/7</f>
        <v>8.4004999999999992</v>
      </c>
      <c r="D73" s="31">
        <f t="shared" si="38"/>
        <v>2.37</v>
      </c>
      <c r="E73" s="31">
        <f t="shared" si="38"/>
        <v>8.19</v>
      </c>
      <c r="F73" s="31">
        <f t="shared" si="38"/>
        <v>8.4004999999999992</v>
      </c>
      <c r="G73" s="30">
        <f t="shared" si="38"/>
        <v>8.2945000000000011</v>
      </c>
      <c r="H73" s="31">
        <f t="shared" si="38"/>
        <v>8.4004999999999992</v>
      </c>
      <c r="I73" s="31">
        <f t="shared" si="38"/>
        <v>2.2330000000000001</v>
      </c>
      <c r="J73" s="31">
        <f t="shared" si="38"/>
        <v>8.4535</v>
      </c>
      <c r="K73" s="31">
        <f t="shared" si="38"/>
        <v>8.3740000000000006</v>
      </c>
      <c r="L73" s="31">
        <f t="shared" ref="L73" si="39">((((L71*7)*L72)/1000))/7</f>
        <v>4.5819999999999999</v>
      </c>
      <c r="M73" s="30">
        <f t="shared" ref="M73:V73" si="40">((((M71*7)*M72)/1000))/7</f>
        <v>7.1529999999999996</v>
      </c>
      <c r="N73" s="31">
        <f t="shared" si="40"/>
        <v>7.2909999999999995</v>
      </c>
      <c r="O73" s="31">
        <f t="shared" si="40"/>
        <v>2.3325</v>
      </c>
      <c r="P73" s="31">
        <f t="shared" si="40"/>
        <v>7.2909999999999995</v>
      </c>
      <c r="Q73" s="31">
        <f t="shared" si="40"/>
        <v>7.1775000000000002</v>
      </c>
      <c r="R73" s="30">
        <f t="shared" si="40"/>
        <v>7.4495000000000005</v>
      </c>
      <c r="S73" s="31">
        <f t="shared" si="40"/>
        <v>7.4495000000000005</v>
      </c>
      <c r="T73" s="31">
        <f t="shared" si="40"/>
        <v>2.6945000000000001</v>
      </c>
      <c r="U73" s="31">
        <f t="shared" si="40"/>
        <v>7.4495000000000005</v>
      </c>
      <c r="V73" s="31">
        <f t="shared" si="40"/>
        <v>7.6079999999999997</v>
      </c>
      <c r="W73" s="139">
        <f>((W70*100)/W72)/7</f>
        <v>16.775412087912084</v>
      </c>
      <c r="AG73" s="3"/>
      <c r="AH73" s="3"/>
      <c r="AI73" s="3"/>
      <c r="AJ73" s="3"/>
      <c r="AK73" s="3"/>
      <c r="AL73" s="3"/>
    </row>
    <row r="74" spans="1:49" ht="33.75" customHeight="1" x14ac:dyDescent="0.25">
      <c r="A74" s="185" t="s">
        <v>14</v>
      </c>
      <c r="B74" s="279">
        <f t="shared" ref="B74:K74" si="41">((B72*B71)*7)/1000</f>
        <v>57.512</v>
      </c>
      <c r="C74" s="280">
        <f t="shared" si="41"/>
        <v>58.8035</v>
      </c>
      <c r="D74" s="280">
        <f t="shared" si="41"/>
        <v>16.59</v>
      </c>
      <c r="E74" s="280">
        <f t="shared" si="41"/>
        <v>57.33</v>
      </c>
      <c r="F74" s="280">
        <f t="shared" si="41"/>
        <v>58.8035</v>
      </c>
      <c r="G74" s="279">
        <f t="shared" si="41"/>
        <v>58.061500000000002</v>
      </c>
      <c r="H74" s="280">
        <f t="shared" si="41"/>
        <v>58.8035</v>
      </c>
      <c r="I74" s="280">
        <f t="shared" si="41"/>
        <v>15.631</v>
      </c>
      <c r="J74" s="280">
        <f t="shared" si="41"/>
        <v>59.174500000000002</v>
      </c>
      <c r="K74" s="280">
        <f t="shared" si="41"/>
        <v>58.618000000000002</v>
      </c>
      <c r="L74" s="280">
        <f t="shared" ref="L74" si="42">((L72*L71)*7)/1000</f>
        <v>32.073999999999998</v>
      </c>
      <c r="M74" s="279">
        <f t="shared" ref="M74:V74" si="43">((M72*M71)*7)/1000</f>
        <v>50.070999999999998</v>
      </c>
      <c r="N74" s="280">
        <f t="shared" si="43"/>
        <v>51.036999999999999</v>
      </c>
      <c r="O74" s="280">
        <f t="shared" si="43"/>
        <v>16.327500000000001</v>
      </c>
      <c r="P74" s="280">
        <f t="shared" si="43"/>
        <v>51.036999999999999</v>
      </c>
      <c r="Q74" s="280">
        <f t="shared" si="43"/>
        <v>50.2425</v>
      </c>
      <c r="R74" s="279">
        <f t="shared" si="43"/>
        <v>52.146500000000003</v>
      </c>
      <c r="S74" s="280">
        <f t="shared" si="43"/>
        <v>52.146500000000003</v>
      </c>
      <c r="T74" s="280">
        <f t="shared" si="43"/>
        <v>18.861499999999999</v>
      </c>
      <c r="U74" s="280">
        <f t="shared" si="43"/>
        <v>52.146500000000003</v>
      </c>
      <c r="V74" s="280">
        <f t="shared" si="43"/>
        <v>53.256</v>
      </c>
      <c r="W74" s="112"/>
      <c r="X74" s="41"/>
      <c r="Y74" s="41"/>
      <c r="Z74" s="41"/>
      <c r="AA74" s="41"/>
      <c r="AB74" s="41"/>
      <c r="AL74" s="3"/>
    </row>
    <row r="75" spans="1:49" ht="33.75" customHeight="1" thickBot="1" x14ac:dyDescent="0.3">
      <c r="A75" s="195" t="s">
        <v>15</v>
      </c>
      <c r="B75" s="37">
        <f t="shared" ref="B75:K75" si="44">+(B70/B72)/7*1000</f>
        <v>164.28571428571431</v>
      </c>
      <c r="C75" s="38">
        <f t="shared" si="44"/>
        <v>164.95956873315362</v>
      </c>
      <c r="D75" s="38">
        <f t="shared" si="44"/>
        <v>160</v>
      </c>
      <c r="E75" s="38">
        <f t="shared" si="44"/>
        <v>164.28571428571431</v>
      </c>
      <c r="F75" s="38">
        <f t="shared" si="44"/>
        <v>164.95956873315362</v>
      </c>
      <c r="G75" s="37">
        <f t="shared" si="44"/>
        <v>162.8032345013477</v>
      </c>
      <c r="H75" s="38">
        <f t="shared" si="44"/>
        <v>163.88140161725067</v>
      </c>
      <c r="I75" s="38">
        <f t="shared" si="44"/>
        <v>157.14285714285711</v>
      </c>
      <c r="J75" s="38">
        <f t="shared" si="44"/>
        <v>163.88140161725067</v>
      </c>
      <c r="K75" s="38">
        <f t="shared" si="44"/>
        <v>164.42048517520217</v>
      </c>
      <c r="L75" s="38">
        <f t="shared" ref="L75" si="45">+(L70/L72)/7*1000</f>
        <v>65.024630541871929</v>
      </c>
      <c r="M75" s="37">
        <f t="shared" ref="M75:V75" si="46">+(M70/M72)/7*1000</f>
        <v>156.52173913043478</v>
      </c>
      <c r="N75" s="38">
        <f t="shared" si="46"/>
        <v>158.69565217391303</v>
      </c>
      <c r="O75" s="38">
        <f t="shared" si="46"/>
        <v>155.23809523809524</v>
      </c>
      <c r="P75" s="38">
        <f t="shared" si="46"/>
        <v>158.69565217391303</v>
      </c>
      <c r="Q75" s="38">
        <f t="shared" si="46"/>
        <v>159.36507936507937</v>
      </c>
      <c r="R75" s="37">
        <f t="shared" si="46"/>
        <v>157.44680851063828</v>
      </c>
      <c r="S75" s="38">
        <f t="shared" si="46"/>
        <v>157.44680851063828</v>
      </c>
      <c r="T75" s="38">
        <f t="shared" si="46"/>
        <v>158.82352941176467</v>
      </c>
      <c r="U75" s="38">
        <f t="shared" si="46"/>
        <v>157.44680851063828</v>
      </c>
      <c r="V75" s="38">
        <f t="shared" si="46"/>
        <v>158.33333333333334</v>
      </c>
      <c r="W75" s="40"/>
      <c r="AL75" s="3"/>
    </row>
    <row r="76" spans="1:49" ht="33.75" customHeight="1" x14ac:dyDescent="0.25">
      <c r="B76" s="43">
        <f>B74-B70</f>
        <v>-2.2880000000000109</v>
      </c>
      <c r="C76" s="43">
        <f t="shared" ref="C76:F76" si="47">C74-C70</f>
        <v>-2.3964999999999961</v>
      </c>
      <c r="D76" s="43">
        <f t="shared" si="47"/>
        <v>-0.21000000000000085</v>
      </c>
      <c r="E76" s="43">
        <f t="shared" si="47"/>
        <v>-2.4700000000000131</v>
      </c>
      <c r="F76" s="43">
        <f t="shared" si="47"/>
        <v>-2.3964999999999961</v>
      </c>
      <c r="G76" s="43">
        <f>G74-G70</f>
        <v>-2.3384999999999962</v>
      </c>
      <c r="H76" s="43">
        <f t="shared" ref="H76:K77" si="48">H74-H70</f>
        <v>-1.9964999999999975</v>
      </c>
      <c r="I76" s="43">
        <f t="shared" si="48"/>
        <v>0.23100000000000165</v>
      </c>
      <c r="J76" s="43">
        <f t="shared" si="48"/>
        <v>-1.6254999999999953</v>
      </c>
      <c r="K76" s="43">
        <f t="shared" si="48"/>
        <v>-2.3819999999999908</v>
      </c>
      <c r="L76" s="43">
        <f t="shared" ref="L76" si="49">L74-L70</f>
        <v>18.873999999999995</v>
      </c>
      <c r="M76" s="43">
        <f>M74-M70</f>
        <v>-0.32900000000000773</v>
      </c>
      <c r="N76" s="43">
        <f t="shared" ref="N76:Q76" si="50">N74-N70</f>
        <v>-6.2999999999995282E-2</v>
      </c>
      <c r="O76" s="43">
        <f t="shared" si="50"/>
        <v>2.7499999999999858E-2</v>
      </c>
      <c r="P76" s="43">
        <f t="shared" si="50"/>
        <v>-6.2999999999995282E-2</v>
      </c>
      <c r="Q76" s="43">
        <f t="shared" si="50"/>
        <v>4.2499999999996874E-2</v>
      </c>
      <c r="R76" s="43">
        <f>R74-R70</f>
        <v>0.34650000000000603</v>
      </c>
      <c r="S76" s="43">
        <f t="shared" ref="S76:V76" si="51">S74-S70</f>
        <v>0.34650000000000603</v>
      </c>
      <c r="T76" s="43">
        <f t="shared" si="51"/>
        <v>-3.8499999999999091E-2</v>
      </c>
      <c r="U76" s="43">
        <f t="shared" si="51"/>
        <v>0.34650000000000603</v>
      </c>
      <c r="V76" s="43">
        <f t="shared" si="51"/>
        <v>5.5999999999997385E-2</v>
      </c>
    </row>
    <row r="77" spans="1:49" ht="33.75" customHeight="1" x14ac:dyDescent="0.25">
      <c r="B77" s="42">
        <f t="shared" ref="B77:J77" si="52">B75-B71</f>
        <v>6.285714285714306</v>
      </c>
      <c r="C77" s="42">
        <f t="shared" si="52"/>
        <v>6.4595687331536169</v>
      </c>
      <c r="D77" s="42">
        <f t="shared" si="52"/>
        <v>2</v>
      </c>
      <c r="E77" s="42">
        <f t="shared" si="52"/>
        <v>6.785714285714306</v>
      </c>
      <c r="F77" s="42">
        <f t="shared" si="52"/>
        <v>6.4595687331536169</v>
      </c>
      <c r="G77" s="42">
        <f t="shared" si="52"/>
        <v>6.3032345013477027</v>
      </c>
      <c r="H77" s="42">
        <f t="shared" si="52"/>
        <v>5.381401617250674</v>
      </c>
      <c r="I77" s="42">
        <f>I75-I71</f>
        <v>-2.3571428571428896</v>
      </c>
      <c r="J77" s="42">
        <f t="shared" si="52"/>
        <v>4.381401617250674</v>
      </c>
      <c r="K77" s="42">
        <f t="shared" si="48"/>
        <v>6.4204851752021739</v>
      </c>
      <c r="L77" s="42">
        <f t="shared" ref="L77" si="53">L75-L71</f>
        <v>-92.975369458128071</v>
      </c>
      <c r="M77" s="42">
        <f t="shared" ref="M77:V77" si="54">M75-M71</f>
        <v>1.0217391304347814</v>
      </c>
      <c r="N77" s="42">
        <f t="shared" si="54"/>
        <v>0.19565217391303236</v>
      </c>
      <c r="O77" s="42">
        <f t="shared" si="54"/>
        <v>-0.2619047619047592</v>
      </c>
      <c r="P77" s="42">
        <f t="shared" si="54"/>
        <v>0.19565217391303236</v>
      </c>
      <c r="Q77" s="42">
        <f t="shared" si="54"/>
        <v>-0.13492063492063266</v>
      </c>
      <c r="R77" s="42">
        <f t="shared" si="54"/>
        <v>-1.0531914893617227</v>
      </c>
      <c r="S77" s="42">
        <f t="shared" si="54"/>
        <v>-1.0531914893617227</v>
      </c>
      <c r="T77" s="42">
        <f t="shared" si="54"/>
        <v>0.32352941176466743</v>
      </c>
      <c r="U77" s="42">
        <f t="shared" si="54"/>
        <v>-1.0531914893617227</v>
      </c>
      <c r="V77" s="42">
        <f t="shared" si="54"/>
        <v>-0.16666666666665719</v>
      </c>
      <c r="W77" s="45"/>
      <c r="X77" s="45"/>
      <c r="Y77" s="45"/>
      <c r="Z77" s="45"/>
      <c r="AA77" s="45"/>
      <c r="AB77" s="45"/>
      <c r="AC77" s="52"/>
    </row>
    <row r="78" spans="1:49" ht="33.75" customHeight="1" x14ac:dyDescent="0.25">
      <c r="B78" s="287"/>
      <c r="C78" s="287"/>
      <c r="D78" s="287"/>
      <c r="E78" s="287"/>
      <c r="F78" s="287"/>
    </row>
    <row r="79" spans="1:49" ht="33.75" customHeight="1" x14ac:dyDescent="0.25">
      <c r="A79" s="45"/>
      <c r="B79" s="283"/>
      <c r="C79" s="283"/>
      <c r="D79" s="283"/>
      <c r="E79" s="283"/>
      <c r="F79" s="283"/>
      <c r="G79" s="58"/>
      <c r="H79" s="45"/>
      <c r="I79" s="45"/>
      <c r="J79" s="45"/>
      <c r="K79" s="45"/>
      <c r="L79" s="45"/>
      <c r="M79" s="45"/>
      <c r="N79" s="45"/>
      <c r="O79" s="45"/>
    </row>
    <row r="80" spans="1:49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20">
    <mergeCell ref="H43:K55"/>
    <mergeCell ref="O59:P59"/>
    <mergeCell ref="B60:F60"/>
    <mergeCell ref="G60:L60"/>
    <mergeCell ref="R60:V60"/>
    <mergeCell ref="M60:Q60"/>
    <mergeCell ref="S40:S41"/>
    <mergeCell ref="M40:R40"/>
    <mergeCell ref="H17:H18"/>
    <mergeCell ref="O17:O18"/>
    <mergeCell ref="B40:F40"/>
    <mergeCell ref="G40:G42"/>
    <mergeCell ref="A3:C3"/>
    <mergeCell ref="E9:G9"/>
    <mergeCell ref="W9:X9"/>
    <mergeCell ref="O11:P11"/>
    <mergeCell ref="B16:H16"/>
    <mergeCell ref="I16:O16"/>
    <mergeCell ref="P16:T16"/>
    <mergeCell ref="U16:Y16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44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34</v>
      </c>
      <c r="P11" s="965"/>
      <c r="Q11" s="6"/>
      <c r="R11" s="6"/>
      <c r="S11" s="6"/>
      <c r="T11" s="1"/>
      <c r="U11" s="1"/>
      <c r="V11" s="1" t="s">
        <v>6</v>
      </c>
      <c r="W11" s="95">
        <v>45566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34</v>
      </c>
      <c r="B17" s="425"/>
      <c r="C17" s="168"/>
      <c r="D17" s="168"/>
      <c r="E17" s="168"/>
      <c r="F17" s="168"/>
      <c r="G17" s="204"/>
      <c r="H17" s="997" t="s">
        <v>109</v>
      </c>
      <c r="I17" s="188"/>
      <c r="J17" s="168"/>
      <c r="K17" s="168"/>
      <c r="L17" s="168"/>
      <c r="M17" s="168"/>
      <c r="N17" s="169"/>
      <c r="O17" s="997" t="s">
        <v>109</v>
      </c>
      <c r="P17" s="202"/>
      <c r="Q17" s="174"/>
      <c r="R17" s="174"/>
      <c r="S17" s="174"/>
      <c r="T17" s="203"/>
      <c r="U17" s="186"/>
      <c r="V17" s="174"/>
      <c r="W17" s="174"/>
      <c r="X17" s="174"/>
      <c r="Y17" s="175"/>
      <c r="Z17" s="261" t="s">
        <v>9</v>
      </c>
      <c r="AD17" s="15"/>
      <c r="AE17" s="15"/>
    </row>
    <row r="18" spans="1:40" ht="39.950000000000003" customHeight="1" thickBot="1" x14ac:dyDescent="0.3">
      <c r="A18" s="170" t="s">
        <v>10</v>
      </c>
      <c r="B18" s="425" t="s">
        <v>100</v>
      </c>
      <c r="C18" s="168">
        <v>1</v>
      </c>
      <c r="D18" s="168">
        <v>2</v>
      </c>
      <c r="E18" s="168">
        <v>3</v>
      </c>
      <c r="F18" s="168">
        <v>4</v>
      </c>
      <c r="G18" s="204">
        <v>5</v>
      </c>
      <c r="H18" s="998"/>
      <c r="I18" s="386" t="s">
        <v>100</v>
      </c>
      <c r="J18" s="438">
        <v>1</v>
      </c>
      <c r="K18" s="438">
        <v>2</v>
      </c>
      <c r="L18" s="438">
        <v>3</v>
      </c>
      <c r="M18" s="438">
        <v>4</v>
      </c>
      <c r="N18" s="439">
        <v>5</v>
      </c>
      <c r="O18" s="998"/>
      <c r="P18" s="202">
        <v>1</v>
      </c>
      <c r="Q18" s="174">
        <v>2</v>
      </c>
      <c r="R18" s="174">
        <v>3</v>
      </c>
      <c r="S18" s="174">
        <v>4</v>
      </c>
      <c r="T18" s="203">
        <v>5</v>
      </c>
      <c r="U18" s="186">
        <v>1</v>
      </c>
      <c r="V18" s="174">
        <v>2</v>
      </c>
      <c r="W18" s="174">
        <v>3</v>
      </c>
      <c r="X18" s="174">
        <v>4</v>
      </c>
      <c r="Y18" s="175">
        <v>5</v>
      </c>
      <c r="Z18" s="126"/>
      <c r="AD18" s="2"/>
      <c r="AE18" s="15"/>
    </row>
    <row r="19" spans="1:40" ht="39.950000000000003" customHeight="1" x14ac:dyDescent="0.25">
      <c r="A19" s="171" t="s">
        <v>53</v>
      </c>
      <c r="B19" s="503">
        <v>323.60000000000002</v>
      </c>
      <c r="C19" s="504">
        <v>20.5</v>
      </c>
      <c r="D19" s="504">
        <v>20.6</v>
      </c>
      <c r="E19" s="504">
        <v>5.6</v>
      </c>
      <c r="F19" s="504">
        <v>20.9</v>
      </c>
      <c r="G19" s="505">
        <v>20.9</v>
      </c>
      <c r="H19" s="506">
        <f>SUM(B19:G19)</f>
        <v>412.1</v>
      </c>
      <c r="I19" s="142">
        <v>326</v>
      </c>
      <c r="J19" s="504">
        <v>20.7</v>
      </c>
      <c r="K19" s="504">
        <v>20.9</v>
      </c>
      <c r="L19" s="504">
        <v>5.5</v>
      </c>
      <c r="M19" s="504">
        <v>20</v>
      </c>
      <c r="N19" s="507">
        <v>19.8</v>
      </c>
      <c r="O19" s="506">
        <f>SUM(I19:N19)</f>
        <v>412.9</v>
      </c>
      <c r="P19" s="515">
        <v>79.900000000000006</v>
      </c>
      <c r="Q19" s="504">
        <v>79.599999999999994</v>
      </c>
      <c r="R19" s="504">
        <v>29.3</v>
      </c>
      <c r="S19" s="504">
        <v>80.099999999999994</v>
      </c>
      <c r="T19" s="507">
        <v>80.400000000000006</v>
      </c>
      <c r="U19" s="508">
        <v>83.1</v>
      </c>
      <c r="V19" s="504">
        <v>84</v>
      </c>
      <c r="W19" s="504">
        <v>30.5</v>
      </c>
      <c r="X19" s="504">
        <v>83.7</v>
      </c>
      <c r="Y19" s="507">
        <v>83.5</v>
      </c>
      <c r="Z19" s="209">
        <f>SUM(H19,O19,P19:Y19)</f>
        <v>1539.1</v>
      </c>
      <c r="AA19" s="301"/>
      <c r="AB19" s="302"/>
      <c r="AD19" s="2"/>
      <c r="AE19" s="15"/>
    </row>
    <row r="20" spans="1:40" ht="39.950000000000003" customHeight="1" x14ac:dyDescent="0.25">
      <c r="A20" s="171" t="s">
        <v>24</v>
      </c>
      <c r="B20" s="503">
        <v>323.60000000000002</v>
      </c>
      <c r="C20" s="504">
        <v>20.5</v>
      </c>
      <c r="D20" s="504">
        <v>20.6</v>
      </c>
      <c r="E20" s="504">
        <v>5.6</v>
      </c>
      <c r="F20" s="504">
        <v>20.9</v>
      </c>
      <c r="G20" s="505">
        <v>20.9</v>
      </c>
      <c r="H20" s="506">
        <f>SUM(B20:G20)</f>
        <v>412.1</v>
      </c>
      <c r="I20" s="142">
        <v>326</v>
      </c>
      <c r="J20" s="504">
        <v>20.7</v>
      </c>
      <c r="K20" s="504">
        <v>20.9</v>
      </c>
      <c r="L20" s="504">
        <v>5.5</v>
      </c>
      <c r="M20" s="504">
        <v>20</v>
      </c>
      <c r="N20" s="507">
        <v>19.8</v>
      </c>
      <c r="O20" s="506">
        <f t="shared" ref="O20:O25" si="0">SUM(I20:N20)</f>
        <v>412.9</v>
      </c>
      <c r="P20" s="515">
        <v>79.900000000000006</v>
      </c>
      <c r="Q20" s="504">
        <v>79.599999999999994</v>
      </c>
      <c r="R20" s="504">
        <v>29.3</v>
      </c>
      <c r="S20" s="504">
        <v>80.099999999999994</v>
      </c>
      <c r="T20" s="507">
        <v>80.400000000000006</v>
      </c>
      <c r="U20" s="508">
        <v>82.9</v>
      </c>
      <c r="V20" s="504">
        <v>84</v>
      </c>
      <c r="W20" s="504">
        <v>30.3</v>
      </c>
      <c r="X20" s="504">
        <v>83.7</v>
      </c>
      <c r="Y20" s="507">
        <v>83.4</v>
      </c>
      <c r="Z20" s="209">
        <f t="shared" ref="Z20:Z25" si="1">SUM(H20,O20,P20:Y20)</f>
        <v>1538.6000000000001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75" customHeight="1" x14ac:dyDescent="0.25">
      <c r="A21" s="171" t="s">
        <v>20</v>
      </c>
      <c r="B21" s="503"/>
      <c r="C21" s="504"/>
      <c r="D21" s="504"/>
      <c r="E21" s="504"/>
      <c r="F21" s="504"/>
      <c r="G21" s="505"/>
      <c r="H21" s="506">
        <f t="shared" ref="H21:H25" si="2">SUM(B21:G21)</f>
        <v>0</v>
      </c>
      <c r="I21" s="142"/>
      <c r="J21" s="504"/>
      <c r="K21" s="504"/>
      <c r="L21" s="504"/>
      <c r="M21" s="504"/>
      <c r="N21" s="507"/>
      <c r="O21" s="506">
        <f t="shared" si="0"/>
        <v>0</v>
      </c>
      <c r="P21" s="515"/>
      <c r="Q21" s="504"/>
      <c r="R21" s="504"/>
      <c r="S21" s="504"/>
      <c r="T21" s="507"/>
      <c r="U21" s="508"/>
      <c r="V21" s="504"/>
      <c r="W21" s="504"/>
      <c r="X21" s="504"/>
      <c r="Y21" s="507"/>
      <c r="Z21" s="509">
        <f t="shared" si="1"/>
        <v>0</v>
      </c>
      <c r="AA21" s="520"/>
      <c r="AB21" s="521"/>
      <c r="AC21" s="522"/>
      <c r="AD21" s="145"/>
      <c r="AE21" s="523"/>
      <c r="AF21" s="522"/>
      <c r="AG21" s="522"/>
      <c r="AH21" s="522"/>
      <c r="AI21" s="522"/>
      <c r="AJ21" s="522"/>
      <c r="AK21" s="522"/>
      <c r="AL21" s="522"/>
      <c r="AM21" s="522"/>
      <c r="AN21" s="522"/>
    </row>
    <row r="22" spans="1:40" ht="39.950000000000003" customHeight="1" x14ac:dyDescent="0.25">
      <c r="A22" s="171" t="s">
        <v>28</v>
      </c>
      <c r="B22" s="503"/>
      <c r="C22" s="504"/>
      <c r="D22" s="504"/>
      <c r="E22" s="504"/>
      <c r="F22" s="504"/>
      <c r="G22" s="505"/>
      <c r="H22" s="506">
        <f t="shared" si="2"/>
        <v>0</v>
      </c>
      <c r="I22" s="142"/>
      <c r="J22" s="504"/>
      <c r="K22" s="504"/>
      <c r="L22" s="504"/>
      <c r="M22" s="504"/>
      <c r="N22" s="507"/>
      <c r="O22" s="506">
        <f t="shared" si="0"/>
        <v>0</v>
      </c>
      <c r="P22" s="515"/>
      <c r="Q22" s="504"/>
      <c r="R22" s="504"/>
      <c r="S22" s="504"/>
      <c r="T22" s="507"/>
      <c r="U22" s="508"/>
      <c r="V22" s="504"/>
      <c r="W22" s="504"/>
      <c r="X22" s="504"/>
      <c r="Y22" s="507"/>
      <c r="Z22" s="209">
        <f t="shared" si="1"/>
        <v>0</v>
      </c>
      <c r="AA22" s="301"/>
      <c r="AB22" s="302"/>
      <c r="AD22" s="2"/>
      <c r="AE22" s="15"/>
    </row>
    <row r="23" spans="1:40" ht="39.950000000000003" customHeight="1" x14ac:dyDescent="0.25">
      <c r="A23" s="171" t="s">
        <v>21</v>
      </c>
      <c r="B23" s="503"/>
      <c r="C23" s="504"/>
      <c r="D23" s="504"/>
      <c r="E23" s="504"/>
      <c r="F23" s="504"/>
      <c r="G23" s="505"/>
      <c r="H23" s="506">
        <f t="shared" si="2"/>
        <v>0</v>
      </c>
      <c r="I23" s="142"/>
      <c r="J23" s="504"/>
      <c r="K23" s="504"/>
      <c r="L23" s="504"/>
      <c r="M23" s="504"/>
      <c r="N23" s="507"/>
      <c r="O23" s="506">
        <f t="shared" si="0"/>
        <v>0</v>
      </c>
      <c r="P23" s="515"/>
      <c r="Q23" s="504"/>
      <c r="R23" s="504"/>
      <c r="S23" s="504"/>
      <c r="T23" s="507"/>
      <c r="U23" s="508"/>
      <c r="V23" s="504"/>
      <c r="W23" s="504"/>
      <c r="X23" s="504"/>
      <c r="Y23" s="507"/>
      <c r="Z23" s="509">
        <f t="shared" si="1"/>
        <v>0</v>
      </c>
      <c r="AA23" s="301"/>
      <c r="AB23" s="302"/>
      <c r="AD23" s="2"/>
      <c r="AE23" s="15"/>
    </row>
    <row r="24" spans="1:40" ht="39.950000000000003" customHeight="1" x14ac:dyDescent="0.25">
      <c r="A24" s="171" t="s">
        <v>22</v>
      </c>
      <c r="B24" s="503"/>
      <c r="C24" s="504"/>
      <c r="D24" s="504"/>
      <c r="E24" s="504"/>
      <c r="F24" s="504"/>
      <c r="G24" s="505"/>
      <c r="H24" s="506">
        <f t="shared" si="2"/>
        <v>0</v>
      </c>
      <c r="I24" s="142"/>
      <c r="J24" s="504"/>
      <c r="K24" s="504"/>
      <c r="L24" s="504"/>
      <c r="M24" s="504"/>
      <c r="N24" s="507"/>
      <c r="O24" s="506">
        <f t="shared" si="0"/>
        <v>0</v>
      </c>
      <c r="P24" s="515"/>
      <c r="Q24" s="504"/>
      <c r="R24" s="504"/>
      <c r="S24" s="504"/>
      <c r="T24" s="507"/>
      <c r="U24" s="508"/>
      <c r="V24" s="504"/>
      <c r="W24" s="504"/>
      <c r="X24" s="504"/>
      <c r="Y24" s="507"/>
      <c r="Z24" s="209">
        <f t="shared" si="1"/>
        <v>0</v>
      </c>
      <c r="AA24" s="301"/>
      <c r="AB24" s="302"/>
      <c r="AD24" s="2"/>
      <c r="AE24" s="15"/>
    </row>
    <row r="25" spans="1:40" ht="39.950000000000003" customHeight="1" thickBot="1" x14ac:dyDescent="0.3">
      <c r="A25" s="285" t="s">
        <v>23</v>
      </c>
      <c r="B25" s="503"/>
      <c r="C25" s="504"/>
      <c r="D25" s="504"/>
      <c r="E25" s="504"/>
      <c r="F25" s="504"/>
      <c r="G25" s="505"/>
      <c r="H25" s="506">
        <f t="shared" si="2"/>
        <v>0</v>
      </c>
      <c r="I25" s="142"/>
      <c r="J25" s="504"/>
      <c r="K25" s="504"/>
      <c r="L25" s="504"/>
      <c r="M25" s="504"/>
      <c r="N25" s="507"/>
      <c r="O25" s="506">
        <f t="shared" si="0"/>
        <v>0</v>
      </c>
      <c r="P25" s="515"/>
      <c r="Q25" s="504"/>
      <c r="R25" s="504"/>
      <c r="S25" s="504"/>
      <c r="T25" s="507"/>
      <c r="U25" s="508"/>
      <c r="V25" s="504"/>
      <c r="W25" s="504"/>
      <c r="X25" s="504"/>
      <c r="Y25" s="507"/>
      <c r="Z25" s="209">
        <f t="shared" si="1"/>
        <v>0</v>
      </c>
      <c r="AA25" s="301"/>
      <c r="AB25" s="302"/>
      <c r="AD25" s="2"/>
    </row>
    <row r="26" spans="1:40" ht="41.45" customHeight="1" thickBot="1" x14ac:dyDescent="0.3">
      <c r="A26" s="268" t="s">
        <v>9</v>
      </c>
      <c r="B26" s="421"/>
      <c r="C26" s="128">
        <f>SUM(C19:C25)</f>
        <v>41</v>
      </c>
      <c r="D26" s="128">
        <f t="shared" ref="D26:Y26" si="3">SUM(D19:D25)</f>
        <v>41.2</v>
      </c>
      <c r="E26" s="128">
        <f t="shared" si="3"/>
        <v>11.2</v>
      </c>
      <c r="F26" s="128">
        <f t="shared" si="3"/>
        <v>41.8</v>
      </c>
      <c r="G26" s="205">
        <f t="shared" si="3"/>
        <v>41.8</v>
      </c>
      <c r="H26" s="436">
        <f>SUM(H19:H25)</f>
        <v>824.2</v>
      </c>
      <c r="I26" s="131"/>
      <c r="J26" s="128">
        <f t="shared" si="3"/>
        <v>41.4</v>
      </c>
      <c r="K26" s="128">
        <f>SUM(K19:K25)</f>
        <v>41.8</v>
      </c>
      <c r="L26" s="128">
        <f t="shared" si="3"/>
        <v>11</v>
      </c>
      <c r="M26" s="128">
        <f t="shared" si="3"/>
        <v>40</v>
      </c>
      <c r="N26" s="129">
        <f t="shared" si="3"/>
        <v>39.6</v>
      </c>
      <c r="O26" s="436">
        <f>SUM(O19:O25)</f>
        <v>825.8</v>
      </c>
      <c r="P26" s="127">
        <f t="shared" si="3"/>
        <v>159.80000000000001</v>
      </c>
      <c r="Q26" s="128">
        <f t="shared" si="3"/>
        <v>159.19999999999999</v>
      </c>
      <c r="R26" s="128">
        <f t="shared" si="3"/>
        <v>58.6</v>
      </c>
      <c r="S26" s="128">
        <f t="shared" si="3"/>
        <v>160.19999999999999</v>
      </c>
      <c r="T26" s="205">
        <f t="shared" si="3"/>
        <v>160.80000000000001</v>
      </c>
      <c r="U26" s="131">
        <f t="shared" si="3"/>
        <v>166</v>
      </c>
      <c r="V26" s="128">
        <f t="shared" si="3"/>
        <v>168</v>
      </c>
      <c r="W26" s="128">
        <f t="shared" si="3"/>
        <v>60.8</v>
      </c>
      <c r="X26" s="128">
        <f t="shared" si="3"/>
        <v>167.4</v>
      </c>
      <c r="Y26" s="129">
        <f t="shared" si="3"/>
        <v>166.9</v>
      </c>
      <c r="Z26" s="375">
        <f>SUM(Z19,Z20,Z21,Z22,Z23,Z24,Z25)</f>
        <v>3077.7</v>
      </c>
      <c r="AA26" s="301"/>
    </row>
    <row r="27" spans="1:40" s="2" customFormat="1" ht="36.75" customHeight="1" x14ac:dyDescent="0.25">
      <c r="A27" s="192" t="s">
        <v>11</v>
      </c>
      <c r="B27" s="23"/>
      <c r="C27" s="477">
        <v>165.52</v>
      </c>
      <c r="D27" s="477">
        <v>165.52</v>
      </c>
      <c r="E27" s="477">
        <v>165.52</v>
      </c>
      <c r="F27" s="477">
        <v>165.52</v>
      </c>
      <c r="G27" s="477">
        <v>165.52</v>
      </c>
      <c r="H27" s="478"/>
      <c r="I27" s="479"/>
      <c r="J27" s="477">
        <v>165.52</v>
      </c>
      <c r="K27" s="477">
        <v>165.52</v>
      </c>
      <c r="L27" s="477">
        <v>163.82</v>
      </c>
      <c r="M27" s="477">
        <v>163.82</v>
      </c>
      <c r="N27" s="477">
        <v>163.82</v>
      </c>
      <c r="O27" s="478"/>
      <c r="P27" s="480">
        <v>163.82</v>
      </c>
      <c r="Q27" s="477">
        <v>163.82</v>
      </c>
      <c r="R27" s="477">
        <v>163.82</v>
      </c>
      <c r="S27" s="477">
        <v>163.82</v>
      </c>
      <c r="T27" s="481">
        <v>163.82</v>
      </c>
      <c r="U27" s="479">
        <v>163.82</v>
      </c>
      <c r="V27" s="477">
        <v>163.82</v>
      </c>
      <c r="W27" s="477">
        <v>163.82</v>
      </c>
      <c r="X27" s="477">
        <v>163.82</v>
      </c>
      <c r="Y27" s="482">
        <v>163.82</v>
      </c>
      <c r="Z27" s="99">
        <f>(((Z26*1000)/7)/Z28)</f>
        <v>47.023682200152791</v>
      </c>
    </row>
    <row r="28" spans="1:40" s="2" customFormat="1" ht="33" customHeight="1" x14ac:dyDescent="0.25">
      <c r="A28" s="193" t="s">
        <v>12</v>
      </c>
      <c r="B28" s="257"/>
      <c r="C28" s="27">
        <v>577</v>
      </c>
      <c r="D28" s="27">
        <v>579</v>
      </c>
      <c r="E28" s="27">
        <v>157</v>
      </c>
      <c r="F28" s="27">
        <v>588</v>
      </c>
      <c r="G28" s="27">
        <v>587</v>
      </c>
      <c r="H28" s="441"/>
      <c r="I28" s="26"/>
      <c r="J28" s="27">
        <v>582</v>
      </c>
      <c r="K28" s="27">
        <v>588</v>
      </c>
      <c r="L28" s="483">
        <v>162</v>
      </c>
      <c r="M28" s="27">
        <v>590</v>
      </c>
      <c r="N28" s="27">
        <v>584</v>
      </c>
      <c r="O28" s="441"/>
      <c r="P28" s="64">
        <v>488</v>
      </c>
      <c r="Q28" s="27">
        <v>486</v>
      </c>
      <c r="R28" s="27">
        <v>179</v>
      </c>
      <c r="S28" s="27">
        <v>489</v>
      </c>
      <c r="T28" s="483">
        <v>491</v>
      </c>
      <c r="U28" s="27">
        <v>506</v>
      </c>
      <c r="V28" s="27">
        <v>513</v>
      </c>
      <c r="W28" s="27">
        <v>185</v>
      </c>
      <c r="X28" s="27">
        <v>510</v>
      </c>
      <c r="Y28" s="27">
        <v>509</v>
      </c>
      <c r="Z28" s="29">
        <f>SUM(C28:Y28)</f>
        <v>9350</v>
      </c>
      <c r="AA28" s="402"/>
    </row>
    <row r="29" spans="1:40" s="2" customFormat="1" ht="33" customHeight="1" x14ac:dyDescent="0.25">
      <c r="A29" s="444" t="s">
        <v>13</v>
      </c>
      <c r="B29" s="445"/>
      <c r="C29" s="31">
        <f>(C34*C28)/1000</f>
        <v>20.495040000000003</v>
      </c>
      <c r="D29" s="31">
        <f>(D34*D28)/1000</f>
        <v>20.566080000000007</v>
      </c>
      <c r="E29" s="31">
        <f t="shared" ref="E29:G29" si="4">(E34*E28)/1000</f>
        <v>5.5766400000000012</v>
      </c>
      <c r="F29" s="31">
        <f t="shared" si="4"/>
        <v>20.885760000000005</v>
      </c>
      <c r="G29" s="31">
        <f t="shared" si="4"/>
        <v>20.850240000000007</v>
      </c>
      <c r="H29" s="442"/>
      <c r="I29" s="30"/>
      <c r="J29" s="31">
        <f>(J34*J28)/1000</f>
        <v>20.672640000000008</v>
      </c>
      <c r="K29" s="31">
        <f t="shared" ref="K29:N29" si="5">(K34*K28)/1000</f>
        <v>20.885760000000005</v>
      </c>
      <c r="L29" s="31">
        <f t="shared" si="5"/>
        <v>5.478839999999999</v>
      </c>
      <c r="M29" s="31">
        <f t="shared" si="5"/>
        <v>19.953799999999994</v>
      </c>
      <c r="N29" s="31">
        <f t="shared" si="5"/>
        <v>19.750879999999999</v>
      </c>
      <c r="O29" s="442"/>
      <c r="P29" s="65">
        <f>((((P27*7)*P28)/1000))/7</f>
        <v>79.944159999999997</v>
      </c>
      <c r="Q29" s="65">
        <f t="shared" ref="Q29:Y29" si="6">((((Q27*7)*Q28)/1000))/7</f>
        <v>79.616520000000008</v>
      </c>
      <c r="R29" s="65">
        <f t="shared" si="6"/>
        <v>29.323779999999999</v>
      </c>
      <c r="S29" s="65">
        <f t="shared" si="6"/>
        <v>80.107979999999998</v>
      </c>
      <c r="T29" s="65">
        <f t="shared" si="6"/>
        <v>80.435619999999986</v>
      </c>
      <c r="U29" s="65">
        <f t="shared" si="6"/>
        <v>82.892920000000004</v>
      </c>
      <c r="V29" s="65">
        <f t="shared" si="6"/>
        <v>84.039659999999998</v>
      </c>
      <c r="W29" s="65">
        <f t="shared" si="6"/>
        <v>30.306699999999999</v>
      </c>
      <c r="X29" s="65">
        <f t="shared" si="6"/>
        <v>83.548199999999994</v>
      </c>
      <c r="Y29" s="65">
        <f t="shared" si="6"/>
        <v>83.384379999999993</v>
      </c>
      <c r="Z29" s="33"/>
    </row>
    <row r="30" spans="1:40" ht="33.75" customHeight="1" x14ac:dyDescent="0.25">
      <c r="A30" s="185" t="s">
        <v>14</v>
      </c>
      <c r="B30" s="34"/>
      <c r="C30" s="280">
        <f>((C28*C31)*7)/1000</f>
        <v>41.000000000000007</v>
      </c>
      <c r="D30" s="280">
        <f t="shared" ref="D30:G30" si="7">((D28*D31)*7)/1000</f>
        <v>41.2</v>
      </c>
      <c r="E30" s="280">
        <f>((E28*E31)*7)/1000</f>
        <v>11.2</v>
      </c>
      <c r="F30" s="280">
        <f t="shared" si="7"/>
        <v>41.8</v>
      </c>
      <c r="G30" s="280">
        <f t="shared" si="7"/>
        <v>41.799999999999983</v>
      </c>
      <c r="H30" s="443"/>
      <c r="I30" s="279"/>
      <c r="J30" s="280">
        <f>((J28*J31)*7)/1000</f>
        <v>41.4</v>
      </c>
      <c r="K30" s="280">
        <f t="shared" ref="K30:N30" si="8">((K28*K31)*7)/1000</f>
        <v>41.8</v>
      </c>
      <c r="L30" s="280">
        <f t="shared" si="8"/>
        <v>11</v>
      </c>
      <c r="M30" s="280">
        <f t="shared" si="8"/>
        <v>40</v>
      </c>
      <c r="N30" s="280">
        <f t="shared" si="8"/>
        <v>39.599999999999994</v>
      </c>
      <c r="O30" s="443"/>
      <c r="P30" s="325">
        <f t="shared" ref="P30:Y30" si="9">((P28*P27)*7)/1000</f>
        <v>559.60911999999996</v>
      </c>
      <c r="Q30" s="280">
        <f t="shared" si="9"/>
        <v>557.31563999999992</v>
      </c>
      <c r="R30" s="280">
        <f t="shared" si="9"/>
        <v>205.26646</v>
      </c>
      <c r="S30" s="280">
        <f t="shared" si="9"/>
        <v>560.75585999999998</v>
      </c>
      <c r="T30" s="281">
        <f t="shared" si="9"/>
        <v>563.04933999999992</v>
      </c>
      <c r="U30" s="279">
        <f t="shared" si="9"/>
        <v>580.25043999999991</v>
      </c>
      <c r="V30" s="280">
        <f t="shared" si="9"/>
        <v>588.27761999999996</v>
      </c>
      <c r="W30" s="280">
        <f t="shared" si="9"/>
        <v>212.14689999999996</v>
      </c>
      <c r="X30" s="280">
        <f t="shared" si="9"/>
        <v>584.8374</v>
      </c>
      <c r="Y30" s="282">
        <f t="shared" si="9"/>
        <v>583.69065999999987</v>
      </c>
      <c r="Z30" s="36"/>
    </row>
    <row r="31" spans="1:40" ht="33.75" customHeight="1" thickBot="1" x14ac:dyDescent="0.3">
      <c r="A31" s="195" t="s">
        <v>15</v>
      </c>
      <c r="B31" s="423"/>
      <c r="C31" s="38">
        <f>+(C26/C28)/7*1000</f>
        <v>10.151027482050013</v>
      </c>
      <c r="D31" s="38">
        <f t="shared" ref="D31:Y31" si="10">+(D26/D28)/7*1000</f>
        <v>10.165309647174933</v>
      </c>
      <c r="E31" s="38">
        <f t="shared" si="10"/>
        <v>10.19108280254777</v>
      </c>
      <c r="F31" s="38">
        <f t="shared" si="10"/>
        <v>10.155490767735666</v>
      </c>
      <c r="G31" s="38">
        <f t="shared" si="10"/>
        <v>10.172791433438791</v>
      </c>
      <c r="H31" s="259"/>
      <c r="I31" s="37"/>
      <c r="J31" s="38">
        <f t="shared" si="10"/>
        <v>10.162002945508101</v>
      </c>
      <c r="K31" s="38">
        <f t="shared" si="10"/>
        <v>10.155490767735666</v>
      </c>
      <c r="L31" s="38">
        <f t="shared" si="10"/>
        <v>9.7001763668430332</v>
      </c>
      <c r="M31" s="38">
        <f t="shared" si="10"/>
        <v>9.6852300242130749</v>
      </c>
      <c r="N31" s="38">
        <f t="shared" si="10"/>
        <v>9.6868884540117399</v>
      </c>
      <c r="O31" s="259"/>
      <c r="P31" s="67">
        <f t="shared" si="10"/>
        <v>46.779859484777525</v>
      </c>
      <c r="Q31" s="38">
        <f t="shared" si="10"/>
        <v>46.796002351557902</v>
      </c>
      <c r="R31" s="38">
        <f t="shared" si="10"/>
        <v>46.767757382282518</v>
      </c>
      <c r="S31" s="38">
        <f t="shared" si="10"/>
        <v>46.801051709027163</v>
      </c>
      <c r="T31" s="207">
        <f t="shared" si="10"/>
        <v>46.784986907186507</v>
      </c>
      <c r="U31" s="37">
        <f t="shared" si="10"/>
        <v>46.866177300959912</v>
      </c>
      <c r="V31" s="38">
        <f t="shared" si="10"/>
        <v>46.783625730994146</v>
      </c>
      <c r="W31" s="38">
        <f t="shared" si="10"/>
        <v>46.949806949806948</v>
      </c>
      <c r="X31" s="38">
        <f t="shared" si="10"/>
        <v>46.890756302521005</v>
      </c>
      <c r="Y31" s="39">
        <f t="shared" si="10"/>
        <v>46.842548414257656</v>
      </c>
      <c r="Z31" s="40"/>
    </row>
    <row r="32" spans="1:40" ht="33.75" customHeight="1" x14ac:dyDescent="0.25">
      <c r="A32" s="41"/>
      <c r="B32" s="41"/>
      <c r="C32" s="42">
        <f>C30-C26</f>
        <v>0</v>
      </c>
      <c r="D32" s="42">
        <f t="shared" ref="D32:Y33" si="11">D30-D26</f>
        <v>0</v>
      </c>
      <c r="E32" s="42">
        <f t="shared" si="11"/>
        <v>0</v>
      </c>
      <c r="F32" s="42">
        <f t="shared" si="11"/>
        <v>0</v>
      </c>
      <c r="G32" s="42">
        <f t="shared" si="11"/>
        <v>0</v>
      </c>
      <c r="H32" s="42"/>
      <c r="I32" s="42"/>
      <c r="J32" s="42">
        <f t="shared" si="11"/>
        <v>0</v>
      </c>
      <c r="K32" s="42">
        <f>K30-K26</f>
        <v>0</v>
      </c>
      <c r="L32" s="42">
        <f t="shared" si="11"/>
        <v>0</v>
      </c>
      <c r="M32" s="42">
        <f t="shared" si="11"/>
        <v>0</v>
      </c>
      <c r="N32" s="42">
        <f t="shared" si="11"/>
        <v>0</v>
      </c>
      <c r="O32" s="42"/>
      <c r="P32" s="42">
        <f t="shared" si="11"/>
        <v>399.80911999999995</v>
      </c>
      <c r="Q32" s="42">
        <f t="shared" si="11"/>
        <v>398.11563999999993</v>
      </c>
      <c r="R32" s="42">
        <f t="shared" si="11"/>
        <v>146.66646</v>
      </c>
      <c r="S32" s="42">
        <f t="shared" si="11"/>
        <v>400.55586</v>
      </c>
      <c r="T32" s="42">
        <f t="shared" si="11"/>
        <v>402.2493399999999</v>
      </c>
      <c r="U32" s="42">
        <f t="shared" si="11"/>
        <v>414.25043999999991</v>
      </c>
      <c r="V32" s="42">
        <f t="shared" si="11"/>
        <v>420.27761999999996</v>
      </c>
      <c r="W32" s="42">
        <f t="shared" si="11"/>
        <v>151.34689999999995</v>
      </c>
      <c r="X32" s="42">
        <f t="shared" si="11"/>
        <v>417.43740000000003</v>
      </c>
      <c r="Y32" s="42">
        <f t="shared" si="11"/>
        <v>416.79065999999989</v>
      </c>
      <c r="Z32" s="48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</row>
    <row r="33" spans="1:38" ht="31.5" customHeight="1" x14ac:dyDescent="0.25">
      <c r="A33" s="41"/>
      <c r="B33" s="41"/>
      <c r="C33" s="42">
        <f>C31-C34</f>
        <v>-25.368972517949999</v>
      </c>
      <c r="D33" s="42">
        <f t="shared" ref="D33:G33" si="12">D31-D34</f>
        <v>-25.354690352825077</v>
      </c>
      <c r="E33" s="42">
        <f t="shared" si="12"/>
        <v>-25.328917197452242</v>
      </c>
      <c r="F33" s="42">
        <f t="shared" si="12"/>
        <v>-25.364509232264346</v>
      </c>
      <c r="G33" s="42">
        <f t="shared" si="12"/>
        <v>-25.347208566561221</v>
      </c>
      <c r="H33" s="42"/>
      <c r="I33" s="42"/>
      <c r="J33" s="42">
        <f t="shared" ref="J33:N33" si="13">J31-J34</f>
        <v>-25.357997054491911</v>
      </c>
      <c r="K33" s="42">
        <f t="shared" si="13"/>
        <v>-25.364509232264346</v>
      </c>
      <c r="L33" s="42">
        <f t="shared" si="13"/>
        <v>-24.119823633156962</v>
      </c>
      <c r="M33" s="42">
        <f t="shared" si="13"/>
        <v>-24.134769975786917</v>
      </c>
      <c r="N33" s="42">
        <f t="shared" si="13"/>
        <v>-24.133111545988253</v>
      </c>
      <c r="O33" s="42"/>
      <c r="P33" s="42">
        <f t="shared" si="11"/>
        <v>-117.04014051522248</v>
      </c>
      <c r="Q33" s="42">
        <f t="shared" si="11"/>
        <v>-117.02399764844209</v>
      </c>
      <c r="R33" s="42">
        <f t="shared" si="11"/>
        <v>-117.05224261771747</v>
      </c>
      <c r="S33" s="42">
        <f t="shared" si="11"/>
        <v>-117.01894829097283</v>
      </c>
      <c r="T33" s="42">
        <f t="shared" si="11"/>
        <v>-117.03501309281349</v>
      </c>
      <c r="U33" s="42">
        <f t="shared" si="11"/>
        <v>-116.95382269904007</v>
      </c>
      <c r="V33" s="42">
        <f t="shared" si="11"/>
        <v>-117.03637426900585</v>
      </c>
      <c r="W33" s="42">
        <f t="shared" si="11"/>
        <v>-116.87019305019305</v>
      </c>
      <c r="X33" s="42">
        <f t="shared" si="11"/>
        <v>-116.929243697479</v>
      </c>
      <c r="Y33" s="42">
        <f t="shared" si="11"/>
        <v>-116.97745158574233</v>
      </c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thickBot="1" x14ac:dyDescent="0.3">
      <c r="A34" s="41"/>
      <c r="B34" s="41"/>
      <c r="C34" s="42">
        <f>C27-$B$35</f>
        <v>35.52000000000001</v>
      </c>
      <c r="D34" s="42">
        <f t="shared" ref="D34:G34" si="14">D27-$B$35</f>
        <v>35.52000000000001</v>
      </c>
      <c r="E34" s="42">
        <f t="shared" si="14"/>
        <v>35.52000000000001</v>
      </c>
      <c r="F34" s="42">
        <f t="shared" si="14"/>
        <v>35.52000000000001</v>
      </c>
      <c r="G34" s="42">
        <f t="shared" si="14"/>
        <v>35.52000000000001</v>
      </c>
      <c r="H34" s="42"/>
      <c r="I34" s="42"/>
      <c r="J34" s="42">
        <f>J27-$I$35</f>
        <v>35.52000000000001</v>
      </c>
      <c r="K34" s="42">
        <f t="shared" ref="K34:N34" si="15">K27-$I$35</f>
        <v>35.52000000000001</v>
      </c>
      <c r="L34" s="42">
        <f t="shared" si="15"/>
        <v>33.819999999999993</v>
      </c>
      <c r="M34" s="42">
        <f t="shared" si="15"/>
        <v>33.819999999999993</v>
      </c>
      <c r="N34" s="42">
        <f t="shared" si="15"/>
        <v>33.819999999999993</v>
      </c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1"/>
    </row>
    <row r="35" spans="1:38" ht="33.75" customHeight="1" x14ac:dyDescent="0.25">
      <c r="A35" s="41"/>
      <c r="B35" s="501">
        <v>130</v>
      </c>
      <c r="C35" s="500">
        <f>(B35*D35)/1000</f>
        <v>323.44</v>
      </c>
      <c r="D35" s="432">
        <f>SUM(C28:G28)</f>
        <v>2488</v>
      </c>
      <c r="E35" s="42"/>
      <c r="F35" s="42"/>
      <c r="G35" s="42"/>
      <c r="H35" s="42"/>
      <c r="I35" s="514">
        <v>130</v>
      </c>
      <c r="J35" s="431">
        <f>(I35*K35)/1000</f>
        <v>325.77999999999997</v>
      </c>
      <c r="K35" s="432">
        <f>SUM(J28:N28)</f>
        <v>2506</v>
      </c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30" t="s">
        <v>106</v>
      </c>
      <c r="C36" s="500" t="s">
        <v>107</v>
      </c>
      <c r="D36" s="431" t="s">
        <v>108</v>
      </c>
      <c r="E36" s="42"/>
      <c r="F36" s="42"/>
      <c r="G36" s="42"/>
      <c r="H36" s="42"/>
      <c r="I36" s="430" t="s">
        <v>106</v>
      </c>
      <c r="J36" s="431" t="s">
        <v>107</v>
      </c>
      <c r="K36" s="431" t="s">
        <v>108</v>
      </c>
      <c r="L36" s="42"/>
      <c r="M36" s="42"/>
      <c r="N36" s="534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264"/>
      <c r="L37" s="42"/>
      <c r="M37" s="42"/>
      <c r="N37" s="534"/>
      <c r="O37" s="42"/>
      <c r="P37" s="264"/>
      <c r="Q37" s="42"/>
      <c r="R37" s="42"/>
      <c r="S37" s="42"/>
      <c r="T37" s="42"/>
      <c r="U37" s="264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1"/>
    </row>
    <row r="38" spans="1:38" ht="33.75" customHeight="1" x14ac:dyDescent="0.25">
      <c r="A38" s="41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1"/>
    </row>
    <row r="39" spans="1:38" s="2" customFormat="1" ht="33.75" customHeight="1" thickBot="1" x14ac:dyDescent="0.3">
      <c r="B39" s="43"/>
      <c r="C39" s="350"/>
      <c r="D39" s="350"/>
      <c r="E39" s="350"/>
      <c r="F39" s="350"/>
      <c r="G39" s="350"/>
      <c r="H39" s="318"/>
      <c r="I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3"/>
    </row>
    <row r="40" spans="1:38" ht="33.75" customHeight="1" thickBot="1" x14ac:dyDescent="0.3">
      <c r="A40" s="69" t="s">
        <v>16</v>
      </c>
      <c r="B40" s="973" t="s">
        <v>17</v>
      </c>
      <c r="C40" s="974"/>
      <c r="D40" s="974"/>
      <c r="E40" s="974"/>
      <c r="F40" s="974"/>
      <c r="G40" s="977" t="s">
        <v>9</v>
      </c>
      <c r="H40" s="47"/>
      <c r="L40" s="426" t="s">
        <v>18</v>
      </c>
      <c r="M40" s="973" t="s">
        <v>17</v>
      </c>
      <c r="N40" s="974"/>
      <c r="O40" s="974"/>
      <c r="P40" s="974"/>
      <c r="Q40" s="974"/>
      <c r="R40" s="991"/>
      <c r="S40" s="977" t="s">
        <v>9</v>
      </c>
      <c r="U40" s="45"/>
      <c r="V40" s="45"/>
      <c r="W40" s="46"/>
      <c r="X40" s="3"/>
      <c r="Y40" s="45"/>
      <c r="Z40" s="45"/>
      <c r="AA40" s="45"/>
      <c r="AB40" s="3"/>
    </row>
    <row r="41" spans="1:38" ht="33.75" customHeight="1" thickBot="1" x14ac:dyDescent="0.3">
      <c r="A41" s="170" t="s">
        <v>34</v>
      </c>
      <c r="B41" s="141"/>
      <c r="C41" s="118"/>
      <c r="D41" s="118"/>
      <c r="E41" s="118"/>
      <c r="F41" s="121"/>
      <c r="G41" s="985"/>
      <c r="H41" s="47"/>
      <c r="I41" s="47"/>
      <c r="J41" s="47"/>
      <c r="K41" s="47"/>
      <c r="L41" s="428" t="s">
        <v>33</v>
      </c>
      <c r="M41" s="438">
        <v>1</v>
      </c>
      <c r="N41" s="387">
        <v>2</v>
      </c>
      <c r="O41" s="387">
        <v>3</v>
      </c>
      <c r="P41" s="387"/>
      <c r="Q41" s="585"/>
      <c r="R41" s="584"/>
      <c r="S41" s="979"/>
      <c r="U41" s="47"/>
      <c r="V41" s="47"/>
      <c r="W41" s="3"/>
      <c r="X41" s="46"/>
      <c r="Y41" s="3"/>
      <c r="Z41" s="45"/>
      <c r="AA41" s="45"/>
      <c r="AB41" s="45"/>
    </row>
    <row r="42" spans="1:38" ht="33.75" customHeight="1" thickBot="1" x14ac:dyDescent="0.3">
      <c r="A42" s="170" t="s">
        <v>10</v>
      </c>
      <c r="B42" s="11">
        <v>1</v>
      </c>
      <c r="C42" s="16">
        <v>2</v>
      </c>
      <c r="D42" s="16">
        <v>3</v>
      </c>
      <c r="E42" s="16">
        <v>4</v>
      </c>
      <c r="F42" s="107">
        <v>5</v>
      </c>
      <c r="G42" s="984"/>
      <c r="H42" s="47"/>
      <c r="I42" s="47"/>
      <c r="J42" s="47"/>
      <c r="K42" s="47"/>
      <c r="L42" s="427" t="s">
        <v>10</v>
      </c>
      <c r="M42" s="114">
        <v>1</v>
      </c>
      <c r="N42" s="114">
        <v>2</v>
      </c>
      <c r="O42" s="114">
        <v>3</v>
      </c>
      <c r="P42" s="114">
        <v>4</v>
      </c>
      <c r="Q42" s="116">
        <v>5</v>
      </c>
      <c r="R42" s="116" t="s">
        <v>92</v>
      </c>
      <c r="S42" s="126"/>
      <c r="U42" s="47"/>
      <c r="V42" s="47"/>
      <c r="W42" s="48"/>
      <c r="X42" s="48"/>
      <c r="Y42" s="2"/>
      <c r="Z42" s="2"/>
      <c r="AA42" s="2"/>
      <c r="AB42" s="2"/>
    </row>
    <row r="43" spans="1:38" ht="33.75" customHeight="1" x14ac:dyDescent="0.25">
      <c r="A43" s="171" t="s">
        <v>32</v>
      </c>
      <c r="B43" s="142">
        <v>98.2</v>
      </c>
      <c r="C43" s="486">
        <v>97.8</v>
      </c>
      <c r="D43" s="486">
        <v>26.3</v>
      </c>
      <c r="E43" s="486">
        <v>98.7</v>
      </c>
      <c r="F43" s="537">
        <v>97.4</v>
      </c>
      <c r="G43" s="509">
        <f t="shared" ref="G43:G50" si="16">SUM(B43:F43)</f>
        <v>418.4</v>
      </c>
      <c r="H43" s="988"/>
      <c r="I43" s="989"/>
      <c r="J43" s="989"/>
      <c r="K43" s="989"/>
      <c r="L43" s="171" t="s">
        <v>53</v>
      </c>
      <c r="M43" s="19">
        <v>7.7</v>
      </c>
      <c r="N43" s="19">
        <v>7.6</v>
      </c>
      <c r="O43" s="19">
        <v>2</v>
      </c>
      <c r="P43" s="19">
        <v>7.5</v>
      </c>
      <c r="Q43" s="108">
        <v>7.6</v>
      </c>
      <c r="R43" s="108">
        <v>2.4</v>
      </c>
      <c r="S43" s="209">
        <f>SUM(M43:R43)</f>
        <v>34.799999999999997</v>
      </c>
      <c r="T43" s="302"/>
      <c r="U43" s="2"/>
      <c r="V43" s="49"/>
      <c r="W43" s="48"/>
      <c r="X43" s="48"/>
      <c r="Y43" s="2"/>
      <c r="Z43" s="2"/>
      <c r="AA43" s="2"/>
      <c r="AB43" s="2"/>
    </row>
    <row r="44" spans="1:38" ht="33.75" customHeight="1" x14ac:dyDescent="0.25">
      <c r="A44" s="171" t="s">
        <v>24</v>
      </c>
      <c r="B44" s="142">
        <v>97.9</v>
      </c>
      <c r="C44" s="486">
        <v>97.6</v>
      </c>
      <c r="D44" s="486">
        <v>26.3</v>
      </c>
      <c r="E44" s="486">
        <v>98.6</v>
      </c>
      <c r="F44" s="537">
        <v>97.1</v>
      </c>
      <c r="G44" s="509">
        <f t="shared" si="16"/>
        <v>417.5</v>
      </c>
      <c r="H44" s="988"/>
      <c r="I44" s="989"/>
      <c r="J44" s="989"/>
      <c r="K44" s="989"/>
      <c r="L44" s="171" t="s">
        <v>24</v>
      </c>
      <c r="M44" s="19">
        <v>7.7</v>
      </c>
      <c r="N44" s="19">
        <v>7.6</v>
      </c>
      <c r="O44" s="19">
        <v>2</v>
      </c>
      <c r="P44" s="19">
        <v>7.5</v>
      </c>
      <c r="Q44" s="108">
        <v>7.6</v>
      </c>
      <c r="R44" s="108">
        <v>2.4</v>
      </c>
      <c r="S44" s="209">
        <f t="shared" ref="S44:S48" si="17">SUM(M44:R44)</f>
        <v>34.799999999999997</v>
      </c>
      <c r="T44" s="302"/>
      <c r="U44" s="2"/>
      <c r="V44" s="49"/>
      <c r="W44" s="48"/>
      <c r="X44" s="48"/>
      <c r="Y44" s="2"/>
      <c r="Z44" s="2"/>
      <c r="AA44" s="2"/>
      <c r="AB44" s="2"/>
    </row>
    <row r="45" spans="1:38" ht="33.75" customHeight="1" x14ac:dyDescent="0.25">
      <c r="A45" s="171" t="s">
        <v>20</v>
      </c>
      <c r="B45" s="142"/>
      <c r="C45" s="486"/>
      <c r="D45" s="486"/>
      <c r="E45" s="486"/>
      <c r="F45" s="537"/>
      <c r="G45" s="509">
        <f t="shared" si="16"/>
        <v>0</v>
      </c>
      <c r="H45" s="988"/>
      <c r="I45" s="989"/>
      <c r="J45" s="989"/>
      <c r="K45" s="989"/>
      <c r="L45" s="171" t="s">
        <v>20</v>
      </c>
      <c r="M45" s="19"/>
      <c r="N45" s="19"/>
      <c r="O45" s="19"/>
      <c r="P45" s="19"/>
      <c r="Q45" s="108"/>
      <c r="R45" s="108"/>
      <c r="S45" s="209">
        <f t="shared" si="17"/>
        <v>0</v>
      </c>
      <c r="T45" s="302"/>
      <c r="U45" s="2"/>
      <c r="V45" s="49"/>
      <c r="W45" s="48"/>
      <c r="X45" s="48"/>
      <c r="Y45" s="2"/>
      <c r="Z45" s="2"/>
      <c r="AA45" s="2"/>
      <c r="AB45" s="2"/>
    </row>
    <row r="46" spans="1:38" ht="33.75" customHeight="1" x14ac:dyDescent="0.25">
      <c r="A46" s="171" t="s">
        <v>28</v>
      </c>
      <c r="B46" s="142"/>
      <c r="C46" s="486"/>
      <c r="D46" s="486"/>
      <c r="E46" s="486"/>
      <c r="F46" s="537"/>
      <c r="G46" s="509">
        <f t="shared" si="16"/>
        <v>0</v>
      </c>
      <c r="H46" s="988"/>
      <c r="I46" s="989"/>
      <c r="J46" s="989"/>
      <c r="K46" s="989"/>
      <c r="L46" s="171" t="s">
        <v>28</v>
      </c>
      <c r="M46" s="19"/>
      <c r="N46" s="19"/>
      <c r="O46" s="19"/>
      <c r="P46" s="19"/>
      <c r="Q46" s="108"/>
      <c r="R46" s="108"/>
      <c r="S46" s="209">
        <f t="shared" si="17"/>
        <v>0</v>
      </c>
      <c r="T46" s="302"/>
      <c r="U46" s="2"/>
      <c r="V46" s="49"/>
      <c r="W46" s="48"/>
      <c r="X46" s="48"/>
      <c r="Y46" s="2"/>
      <c r="Z46" s="2"/>
      <c r="AA46" s="2"/>
      <c r="AB46" s="2"/>
    </row>
    <row r="47" spans="1:38" ht="33.75" customHeight="1" x14ac:dyDescent="0.25">
      <c r="A47" s="171" t="s">
        <v>21</v>
      </c>
      <c r="B47" s="142"/>
      <c r="C47" s="486"/>
      <c r="D47" s="486"/>
      <c r="E47" s="486"/>
      <c r="F47" s="537"/>
      <c r="G47" s="509">
        <f t="shared" si="16"/>
        <v>0</v>
      </c>
      <c r="H47" s="988"/>
      <c r="I47" s="989"/>
      <c r="J47" s="989"/>
      <c r="K47" s="989"/>
      <c r="L47" s="171" t="s">
        <v>21</v>
      </c>
      <c r="M47" s="19"/>
      <c r="N47" s="19"/>
      <c r="O47" s="19"/>
      <c r="P47" s="19"/>
      <c r="Q47" s="108"/>
      <c r="R47" s="108"/>
      <c r="S47" s="209">
        <f t="shared" si="17"/>
        <v>0</v>
      </c>
      <c r="T47" s="302"/>
      <c r="U47" s="2"/>
      <c r="V47" s="49"/>
      <c r="W47" s="48"/>
      <c r="X47" s="48"/>
      <c r="Y47" s="2"/>
      <c r="Z47" s="2"/>
      <c r="AA47" s="2"/>
      <c r="AB47" s="2"/>
    </row>
    <row r="48" spans="1:38" ht="33.75" customHeight="1" x14ac:dyDescent="0.25">
      <c r="A48" s="171" t="s">
        <v>22</v>
      </c>
      <c r="B48" s="142"/>
      <c r="C48" s="486"/>
      <c r="D48" s="486"/>
      <c r="E48" s="486"/>
      <c r="F48" s="537"/>
      <c r="G48" s="509">
        <f t="shared" si="16"/>
        <v>0</v>
      </c>
      <c r="H48" s="988"/>
      <c r="I48" s="989"/>
      <c r="J48" s="989"/>
      <c r="K48" s="989"/>
      <c r="L48" s="171" t="s">
        <v>22</v>
      </c>
      <c r="M48" s="19"/>
      <c r="N48" s="19"/>
      <c r="O48" s="19"/>
      <c r="P48" s="19"/>
      <c r="Q48" s="108"/>
      <c r="R48" s="108"/>
      <c r="S48" s="209">
        <f t="shared" si="17"/>
        <v>0</v>
      </c>
      <c r="T48" s="302"/>
      <c r="U48" s="2"/>
      <c r="V48" s="49"/>
      <c r="W48" s="48"/>
      <c r="X48" s="48"/>
      <c r="Y48" s="2"/>
      <c r="Z48" s="2"/>
      <c r="AA48" s="2"/>
      <c r="AB48" s="2"/>
    </row>
    <row r="49" spans="1:49" ht="33.75" customHeight="1" thickBot="1" x14ac:dyDescent="0.3">
      <c r="A49" s="285" t="s">
        <v>32</v>
      </c>
      <c r="B49" s="142"/>
      <c r="C49" s="486"/>
      <c r="D49" s="486"/>
      <c r="E49" s="486"/>
      <c r="F49" s="537"/>
      <c r="G49" s="526">
        <f t="shared" si="16"/>
        <v>0</v>
      </c>
      <c r="H49" s="988"/>
      <c r="I49" s="989"/>
      <c r="J49" s="989"/>
      <c r="K49" s="989"/>
      <c r="L49" s="285" t="s">
        <v>23</v>
      </c>
      <c r="M49" s="19"/>
      <c r="N49" s="19"/>
      <c r="O49" s="19"/>
      <c r="P49" s="19"/>
      <c r="Q49" s="108"/>
      <c r="R49" s="108"/>
      <c r="S49" s="376">
        <f t="shared" ref="S49" si="18">SUM(N49:R49)</f>
        <v>0</v>
      </c>
      <c r="T49" s="302"/>
      <c r="U49" s="2"/>
      <c r="V49" s="49"/>
      <c r="W49" s="48"/>
      <c r="X49" s="48"/>
      <c r="Y49" s="48"/>
      <c r="Z49" s="48"/>
      <c r="AA49" s="2"/>
      <c r="AB49" s="2"/>
      <c r="AC49" s="2"/>
      <c r="AD49" s="2"/>
    </row>
    <row r="50" spans="1:49" ht="33.75" customHeight="1" x14ac:dyDescent="0.25">
      <c r="A50" s="290" t="s">
        <v>9</v>
      </c>
      <c r="B50" s="131">
        <f>SUM(B43:B49)</f>
        <v>196.10000000000002</v>
      </c>
      <c r="C50" s="128">
        <f t="shared" ref="C50:F50" si="19">SUM(C43:C49)</f>
        <v>195.39999999999998</v>
      </c>
      <c r="D50" s="128">
        <f t="shared" si="19"/>
        <v>52.6</v>
      </c>
      <c r="E50" s="128">
        <f t="shared" si="19"/>
        <v>197.3</v>
      </c>
      <c r="F50" s="129">
        <f t="shared" si="19"/>
        <v>194.5</v>
      </c>
      <c r="G50" s="265">
        <f t="shared" si="16"/>
        <v>835.90000000000009</v>
      </c>
      <c r="H50" s="988"/>
      <c r="I50" s="989"/>
      <c r="J50" s="989"/>
      <c r="K50" s="989"/>
      <c r="L50" s="290" t="s">
        <v>9</v>
      </c>
      <c r="M50" s="133">
        <f>SUM(M43:M49)</f>
        <v>15.4</v>
      </c>
      <c r="N50" s="134">
        <f>SUM(N43:N49)</f>
        <v>15.2</v>
      </c>
      <c r="O50" s="134">
        <f>SUM(O43:O49)</f>
        <v>4</v>
      </c>
      <c r="P50" s="134">
        <f t="shared" ref="P50:R50" si="20">SUM(P43:P49)</f>
        <v>15</v>
      </c>
      <c r="Q50" s="260">
        <f t="shared" si="20"/>
        <v>15.2</v>
      </c>
      <c r="R50" s="260">
        <f t="shared" si="20"/>
        <v>4.8</v>
      </c>
      <c r="S50" s="240">
        <f>SUM(S43:S49)</f>
        <v>69.599999999999994</v>
      </c>
      <c r="U50" s="49"/>
      <c r="V50" s="49"/>
      <c r="W50" s="2"/>
      <c r="X50" s="2"/>
      <c r="Y50" s="2"/>
      <c r="Z50" s="2"/>
      <c r="AA50" s="2"/>
      <c r="AB50" s="2"/>
      <c r="AC50" s="2"/>
      <c r="AD50" s="2"/>
    </row>
    <row r="51" spans="1:49" ht="33.75" customHeight="1" x14ac:dyDescent="0.25">
      <c r="A51" s="192" t="s">
        <v>11</v>
      </c>
      <c r="B51" s="23">
        <v>158.69999999999999</v>
      </c>
      <c r="C51" s="24">
        <v>158.69999999999999</v>
      </c>
      <c r="D51" s="24">
        <v>158.69999999999999</v>
      </c>
      <c r="E51" s="24">
        <v>158.69999999999999</v>
      </c>
      <c r="F51" s="25">
        <v>158.69999999999999</v>
      </c>
      <c r="G51" s="137">
        <f>+((G50/G52)/7)*1000</f>
        <v>45.387413802465126</v>
      </c>
      <c r="H51" s="988"/>
      <c r="I51" s="989"/>
      <c r="J51" s="989"/>
      <c r="K51" s="989"/>
      <c r="L51" s="273" t="s">
        <v>11</v>
      </c>
      <c r="M51" s="23">
        <v>156</v>
      </c>
      <c r="N51" s="24">
        <v>154.5</v>
      </c>
      <c r="O51" s="24">
        <v>152.5</v>
      </c>
      <c r="P51" s="24">
        <v>153.5</v>
      </c>
      <c r="Q51" s="228">
        <v>152.5</v>
      </c>
      <c r="R51" s="228">
        <v>152.5</v>
      </c>
      <c r="S51" s="232">
        <f>+((S50/S52)/7)*1000</f>
        <v>56.174334140435832</v>
      </c>
      <c r="U51" s="50"/>
      <c r="V51" s="50"/>
    </row>
    <row r="52" spans="1:49" ht="33.75" customHeight="1" x14ac:dyDescent="0.25">
      <c r="A52" s="193" t="s">
        <v>12</v>
      </c>
      <c r="B52" s="26">
        <v>617</v>
      </c>
      <c r="C52" s="27">
        <v>615</v>
      </c>
      <c r="D52" s="27">
        <v>166</v>
      </c>
      <c r="E52" s="27">
        <v>621</v>
      </c>
      <c r="F52" s="28">
        <v>612</v>
      </c>
      <c r="G52" s="395">
        <f>SUM(B52:F52)</f>
        <v>2631</v>
      </c>
      <c r="H52" s="988"/>
      <c r="I52" s="989"/>
      <c r="J52" s="989"/>
      <c r="K52" s="989"/>
      <c r="L52" s="193" t="s">
        <v>12</v>
      </c>
      <c r="M52" s="257">
        <v>49</v>
      </c>
      <c r="N52" s="275">
        <v>49</v>
      </c>
      <c r="O52" s="275">
        <v>13</v>
      </c>
      <c r="P52" s="275">
        <v>49</v>
      </c>
      <c r="Q52" s="527">
        <v>50</v>
      </c>
      <c r="R52" s="527">
        <v>16</v>
      </c>
      <c r="S52" s="233">
        <f>SUM(N52:R52)</f>
        <v>177</v>
      </c>
      <c r="U52" s="52"/>
      <c r="V52" s="52"/>
    </row>
    <row r="53" spans="1:49" ht="33.75" customHeight="1" x14ac:dyDescent="0.25">
      <c r="A53" s="194" t="s">
        <v>13</v>
      </c>
      <c r="B53" s="30">
        <f>((((B51*7)*B52)/1000))/7</f>
        <v>97.917899999999989</v>
      </c>
      <c r="C53" s="31">
        <f t="shared" ref="C53:F53" si="21">((((C51*7)*C52)/1000))/7</f>
        <v>97.600499999999982</v>
      </c>
      <c r="D53" s="31">
        <f t="shared" si="21"/>
        <v>26.344199999999997</v>
      </c>
      <c r="E53" s="31">
        <f t="shared" si="21"/>
        <v>98.552699999999987</v>
      </c>
      <c r="F53" s="32">
        <f t="shared" si="21"/>
        <v>97.124399999999994</v>
      </c>
      <c r="G53" s="139">
        <f>((G50*1000)/G52)/7</f>
        <v>45.387413802465119</v>
      </c>
      <c r="H53" s="988"/>
      <c r="I53" s="989"/>
      <c r="J53" s="989"/>
      <c r="K53" s="989"/>
      <c r="L53" s="194" t="s">
        <v>13</v>
      </c>
      <c r="M53" s="30">
        <f>((((M51*7)*M52)/1000)-(M43+M44))/5</f>
        <v>7.6216000000000008</v>
      </c>
      <c r="N53" s="31">
        <f>((((N51*7)*N52)/1000)-(N43+N44))/5</f>
        <v>7.5586999999999991</v>
      </c>
      <c r="O53" s="31">
        <f>((((O51*7)*O52)/1000)-(O43+O44))/5</f>
        <v>1.9754999999999998</v>
      </c>
      <c r="P53" s="31">
        <f>((((P51*7)*P52)/1000)-(P43+P44))/5</f>
        <v>7.5301</v>
      </c>
      <c r="Q53" s="163">
        <f t="shared" ref="Q53:R53" si="22">((((Q51*7)*Q52)/1000)-(Q43+Q44))/5</f>
        <v>7.6349999999999998</v>
      </c>
      <c r="R53" s="163">
        <f t="shared" si="22"/>
        <v>2.4559999999999995</v>
      </c>
      <c r="S53" s="234">
        <f>((S50*1000)/S52)/7</f>
        <v>56.174334140435839</v>
      </c>
      <c r="U53" s="52"/>
      <c r="V53" s="52"/>
    </row>
    <row r="54" spans="1:49" ht="33.75" customHeight="1" x14ac:dyDescent="0.25">
      <c r="A54" s="185" t="s">
        <v>14</v>
      </c>
      <c r="B54" s="279">
        <f>((B52*B51)*7)/1000</f>
        <v>685.42529999999988</v>
      </c>
      <c r="C54" s="280">
        <f>((C52*C51)*7)/1000</f>
        <v>683.20349999999996</v>
      </c>
      <c r="D54" s="280">
        <f>((D52*D51)*7)/1000</f>
        <v>184.40939999999998</v>
      </c>
      <c r="E54" s="280">
        <f>((E52*E51)*7)/1000</f>
        <v>689.86890000000005</v>
      </c>
      <c r="F54" s="282">
        <f>((F52*F51)*7)/1000</f>
        <v>679.87079999999992</v>
      </c>
      <c r="G54" s="112"/>
      <c r="H54" s="988"/>
      <c r="I54" s="989"/>
      <c r="J54" s="989"/>
      <c r="K54" s="989"/>
      <c r="L54" s="185" t="s">
        <v>14</v>
      </c>
      <c r="M54" s="279">
        <f>((M52*M51)*7)/1000</f>
        <v>53.508000000000003</v>
      </c>
      <c r="N54" s="280">
        <f>((N52*N51)*7)/1000</f>
        <v>52.993499999999997</v>
      </c>
      <c r="O54" s="280">
        <f>((O52*O51)*7)/1000</f>
        <v>13.8775</v>
      </c>
      <c r="P54" s="280">
        <f t="shared" ref="P54:R54" si="23">((P52*P51)*7)/1000</f>
        <v>52.650500000000001</v>
      </c>
      <c r="Q54" s="281">
        <f t="shared" si="23"/>
        <v>53.375</v>
      </c>
      <c r="R54" s="281">
        <f t="shared" si="23"/>
        <v>17.079999999999998</v>
      </c>
      <c r="S54" s="213"/>
    </row>
    <row r="55" spans="1:49" ht="33.75" customHeight="1" thickBot="1" x14ac:dyDescent="0.3">
      <c r="A55" s="195" t="s">
        <v>15</v>
      </c>
      <c r="B55" s="37">
        <f t="shared" ref="B55:E55" si="24">+(B50/B52)/7*1000</f>
        <v>45.404028710349621</v>
      </c>
      <c r="C55" s="38">
        <f t="shared" si="24"/>
        <v>45.389082462253192</v>
      </c>
      <c r="D55" s="38">
        <f t="shared" si="24"/>
        <v>45.266781411359723</v>
      </c>
      <c r="E55" s="38">
        <f t="shared" si="24"/>
        <v>45.387623648493211</v>
      </c>
      <c r="F55" s="39">
        <f>+(F50/F52)/7*1000</f>
        <v>45.401493930905694</v>
      </c>
      <c r="G55" s="140"/>
      <c r="H55" s="988"/>
      <c r="I55" s="989"/>
      <c r="J55" s="989"/>
      <c r="K55" s="989"/>
      <c r="L55" s="195" t="s">
        <v>15</v>
      </c>
      <c r="M55" s="37">
        <f>+(M50/M52)/7*1000</f>
        <v>44.897959183673464</v>
      </c>
      <c r="N55" s="38">
        <f>+(N50/N52)/7*1000</f>
        <v>44.314868804664727</v>
      </c>
      <c r="O55" s="38">
        <f>+(O50/O52)/7*1000</f>
        <v>43.956043956043956</v>
      </c>
      <c r="P55" s="38">
        <f t="shared" ref="P55:R55" si="25">+(P50/P52)/7*1000</f>
        <v>43.731778425655975</v>
      </c>
      <c r="Q55" s="207">
        <f t="shared" si="25"/>
        <v>43.428571428571431</v>
      </c>
      <c r="R55" s="207">
        <f t="shared" si="25"/>
        <v>42.857142857142854</v>
      </c>
      <c r="S55" s="262"/>
      <c r="U55" s="42"/>
      <c r="V55" s="42"/>
    </row>
    <row r="56" spans="1:49" ht="33.75" customHeight="1" x14ac:dyDescent="0.25">
      <c r="A56" s="41"/>
      <c r="B56" s="43">
        <f>B54-B50</f>
        <v>489.32529999999986</v>
      </c>
      <c r="C56" s="43">
        <f t="shared" ref="C56:F57" si="26">C54-C50</f>
        <v>487.80349999999999</v>
      </c>
      <c r="D56" s="43">
        <f t="shared" si="26"/>
        <v>131.80939999999998</v>
      </c>
      <c r="E56" s="43">
        <f>E54-E50</f>
        <v>492.56890000000004</v>
      </c>
      <c r="F56" s="43">
        <f t="shared" si="26"/>
        <v>485.37079999999992</v>
      </c>
      <c r="G56" s="41"/>
      <c r="H56" s="41"/>
      <c r="I56" s="41"/>
      <c r="J56" s="41"/>
      <c r="K56" s="41"/>
      <c r="L56" s="42"/>
      <c r="M56" s="42">
        <f>M54-M50</f>
        <v>38.108000000000004</v>
      </c>
      <c r="N56" s="42">
        <f t="shared" ref="N56:R57" si="27">N54-N50</f>
        <v>37.793499999999995</v>
      </c>
      <c r="O56" s="42">
        <f t="shared" si="27"/>
        <v>9.8774999999999995</v>
      </c>
      <c r="P56" s="42">
        <f t="shared" si="27"/>
        <v>37.650500000000001</v>
      </c>
      <c r="Q56" s="42">
        <f t="shared" si="27"/>
        <v>38.174999999999997</v>
      </c>
      <c r="R56" s="42">
        <f t="shared" si="27"/>
        <v>12.279999999999998</v>
      </c>
      <c r="T56" s="42"/>
      <c r="U56" s="42"/>
      <c r="V56" s="2"/>
      <c r="W56" s="2"/>
      <c r="X56" s="2"/>
      <c r="Y56" s="2"/>
      <c r="Z56" s="2"/>
    </row>
    <row r="57" spans="1:49" ht="33.75" customHeight="1" x14ac:dyDescent="0.25">
      <c r="A57" s="41"/>
      <c r="B57" s="42">
        <f>B55-B51</f>
        <v>-113.29597128965037</v>
      </c>
      <c r="C57" s="42">
        <f>C55-C51</f>
        <v>-113.3109175377468</v>
      </c>
      <c r="D57" s="42">
        <f t="shared" si="26"/>
        <v>-113.43321858864027</v>
      </c>
      <c r="E57" s="42">
        <f>E55-E51</f>
        <v>-113.31237635150677</v>
      </c>
      <c r="F57" s="42">
        <f>F55-F51</f>
        <v>-113.29850606909429</v>
      </c>
      <c r="G57" s="41"/>
      <c r="H57" s="41"/>
      <c r="I57" s="41"/>
      <c r="J57" s="41"/>
      <c r="K57" s="42"/>
      <c r="L57" s="42"/>
      <c r="M57" s="42">
        <f>M55-M51</f>
        <v>-111.10204081632654</v>
      </c>
      <c r="N57" s="42">
        <f t="shared" si="27"/>
        <v>-110.18513119533527</v>
      </c>
      <c r="O57" s="42">
        <f>O55-O51</f>
        <v>-108.54395604395604</v>
      </c>
      <c r="P57" s="42">
        <f t="shared" si="27"/>
        <v>-109.76822157434403</v>
      </c>
      <c r="Q57" s="42">
        <f t="shared" si="27"/>
        <v>-109.07142857142857</v>
      </c>
      <c r="R57" s="42">
        <f t="shared" si="27"/>
        <v>-109.64285714285714</v>
      </c>
      <c r="T57" s="43"/>
      <c r="U57" s="43"/>
      <c r="V57" s="2"/>
      <c r="W57" s="2"/>
      <c r="X57" s="2"/>
      <c r="Y57" s="2"/>
      <c r="AC57" s="3"/>
    </row>
    <row r="58" spans="1:49" ht="33.75" customHeight="1" x14ac:dyDescent="0.25">
      <c r="A58" s="41"/>
      <c r="B58" s="287">
        <f>B43/B52</f>
        <v>0.15915721231766614</v>
      </c>
      <c r="C58" s="287"/>
      <c r="D58" s="287"/>
      <c r="E58" s="287"/>
      <c r="F58" s="287"/>
      <c r="G58" s="264"/>
      <c r="H58" s="41"/>
      <c r="I58" s="41"/>
      <c r="J58" s="41"/>
      <c r="K58" s="41"/>
      <c r="L58" s="41"/>
      <c r="M58" s="41"/>
      <c r="N58" s="41"/>
      <c r="O58" s="42"/>
      <c r="P58" s="42"/>
      <c r="Q58" s="42"/>
      <c r="R58" s="42"/>
      <c r="S58" s="42"/>
      <c r="T58" s="42"/>
      <c r="U58" s="42"/>
      <c r="V58" s="42"/>
      <c r="W58" s="42"/>
      <c r="X58" s="43"/>
      <c r="Y58" s="43"/>
      <c r="Z58" s="43"/>
      <c r="AA58" s="2"/>
      <c r="AB58" s="2"/>
      <c r="AC58" s="2"/>
      <c r="AD58" s="2"/>
      <c r="AH58" s="3"/>
    </row>
    <row r="59" spans="1:49" ht="33.75" customHeight="1" thickBot="1" x14ac:dyDescent="0.3">
      <c r="A59" s="53"/>
      <c r="B59" s="284"/>
      <c r="C59" s="284"/>
      <c r="D59" s="284"/>
      <c r="E59" s="284"/>
      <c r="F59" s="284"/>
      <c r="G59" s="284"/>
      <c r="H59" s="54"/>
      <c r="I59" s="54"/>
      <c r="J59" s="54"/>
      <c r="K59" s="54"/>
      <c r="L59" s="54"/>
      <c r="M59" s="54"/>
      <c r="N59" s="54"/>
      <c r="O59" s="958"/>
      <c r="P59" s="958"/>
      <c r="Q59" s="283"/>
      <c r="R59" s="283"/>
      <c r="S59" s="283"/>
      <c r="T59" s="54"/>
      <c r="U59" s="55"/>
      <c r="Z59" s="43"/>
      <c r="AA59" s="43"/>
      <c r="AB59" s="43"/>
      <c r="AC59" s="2"/>
      <c r="AD59" s="2"/>
      <c r="AE59" s="2"/>
      <c r="AF59" s="2"/>
      <c r="AH59" s="2"/>
      <c r="AI59" s="2"/>
      <c r="AJ59" s="2"/>
    </row>
    <row r="60" spans="1:49" ht="33.75" customHeight="1" x14ac:dyDescent="0.25">
      <c r="A60" s="359" t="s">
        <v>19</v>
      </c>
      <c r="B60" s="986" t="s">
        <v>8</v>
      </c>
      <c r="C60" s="956"/>
      <c r="D60" s="956"/>
      <c r="E60" s="956"/>
      <c r="F60" s="956"/>
      <c r="G60" s="986" t="s">
        <v>30</v>
      </c>
      <c r="H60" s="956"/>
      <c r="I60" s="956"/>
      <c r="J60" s="956"/>
      <c r="K60" s="956"/>
      <c r="L60" s="987"/>
      <c r="M60" s="986" t="s">
        <v>29</v>
      </c>
      <c r="N60" s="956"/>
      <c r="O60" s="956"/>
      <c r="P60" s="956"/>
      <c r="Q60" s="987"/>
      <c r="R60" s="986" t="s">
        <v>31</v>
      </c>
      <c r="S60" s="956"/>
      <c r="T60" s="956"/>
      <c r="U60" s="956"/>
      <c r="V60" s="987"/>
      <c r="W60" s="586" t="s">
        <v>9</v>
      </c>
      <c r="AE60" s="43"/>
      <c r="AF60" s="43"/>
      <c r="AG60" s="43"/>
      <c r="AH60" s="2"/>
      <c r="AI60" s="2"/>
      <c r="AJ60" s="2"/>
      <c r="AK60" s="2"/>
      <c r="AM60" s="2"/>
      <c r="AN60" s="2"/>
      <c r="AO60" s="2"/>
    </row>
    <row r="61" spans="1:49" ht="33.75" customHeight="1" thickBot="1" x14ac:dyDescent="0.3">
      <c r="A61" s="170" t="s">
        <v>34</v>
      </c>
      <c r="B61" s="360"/>
      <c r="C61" s="361"/>
      <c r="D61" s="361"/>
      <c r="E61" s="361"/>
      <c r="F61" s="361"/>
      <c r="G61" s="360"/>
      <c r="H61" s="361"/>
      <c r="I61" s="361"/>
      <c r="J61" s="361"/>
      <c r="K61" s="361"/>
      <c r="L61" s="590"/>
      <c r="M61" s="360"/>
      <c r="N61" s="361"/>
      <c r="O61" s="361"/>
      <c r="P61" s="361"/>
      <c r="Q61" s="396"/>
      <c r="R61" s="360"/>
      <c r="S61" s="361"/>
      <c r="T61" s="361"/>
      <c r="U61" s="361"/>
      <c r="V61" s="397"/>
      <c r="W61" s="587"/>
      <c r="AC61" s="45"/>
      <c r="AD61" s="45"/>
      <c r="AE61" s="45"/>
      <c r="AF61" s="45"/>
      <c r="AG61" s="57"/>
      <c r="AH61" s="57"/>
      <c r="AI61" s="57"/>
      <c r="AJ61" s="57"/>
      <c r="AK61" s="45"/>
      <c r="AL61" s="45"/>
      <c r="AM61" s="58"/>
      <c r="AN61" s="58"/>
      <c r="AO61" s="58"/>
      <c r="AP61" s="2"/>
      <c r="AQ61" s="2"/>
      <c r="AR61" s="2"/>
      <c r="AS61" s="2"/>
      <c r="AU61" s="2"/>
      <c r="AV61" s="2"/>
      <c r="AW61" s="2"/>
    </row>
    <row r="62" spans="1:49" ht="33.75" customHeight="1" thickBot="1" x14ac:dyDescent="0.3">
      <c r="A62" s="170" t="s">
        <v>10</v>
      </c>
      <c r="B62" s="188">
        <v>1</v>
      </c>
      <c r="C62" s="168">
        <v>2</v>
      </c>
      <c r="D62" s="168">
        <v>3</v>
      </c>
      <c r="E62" s="168">
        <v>4</v>
      </c>
      <c r="F62" s="413">
        <v>5</v>
      </c>
      <c r="G62" s="188">
        <v>1</v>
      </c>
      <c r="H62" s="168">
        <v>2</v>
      </c>
      <c r="I62" s="168">
        <v>3</v>
      </c>
      <c r="J62" s="168">
        <v>4</v>
      </c>
      <c r="K62" s="168">
        <v>5</v>
      </c>
      <c r="L62" s="168">
        <v>6</v>
      </c>
      <c r="M62" s="188">
        <v>1</v>
      </c>
      <c r="N62" s="168">
        <v>2</v>
      </c>
      <c r="O62" s="168">
        <v>3</v>
      </c>
      <c r="P62" s="168">
        <v>4</v>
      </c>
      <c r="Q62" s="413">
        <v>5</v>
      </c>
      <c r="R62" s="188">
        <v>1</v>
      </c>
      <c r="S62" s="168">
        <v>2</v>
      </c>
      <c r="T62" s="168">
        <v>3</v>
      </c>
      <c r="U62" s="168">
        <v>4</v>
      </c>
      <c r="V62" s="414">
        <v>5</v>
      </c>
      <c r="W62" s="126"/>
      <c r="X62" s="45"/>
      <c r="Y62" s="45"/>
      <c r="Z62" s="45"/>
      <c r="AA62" s="45"/>
      <c r="AB62" s="45"/>
      <c r="AC62" s="45"/>
      <c r="AD62" s="45"/>
      <c r="AE62" s="45"/>
      <c r="AF62" s="45"/>
      <c r="AG62" s="57"/>
      <c r="AH62" s="57"/>
      <c r="AI62" s="57"/>
      <c r="AJ62" s="57"/>
      <c r="AK62" s="45"/>
      <c r="AL62" s="45"/>
      <c r="AM62" s="58"/>
      <c r="AN62" s="58"/>
      <c r="AO62" s="58"/>
      <c r="AP62" s="2"/>
      <c r="AQ62" s="2"/>
      <c r="AR62" s="2"/>
      <c r="AS62" s="2"/>
      <c r="AT62" s="2"/>
      <c r="AU62" s="2"/>
      <c r="AV62" s="2"/>
      <c r="AW62" s="2"/>
    </row>
    <row r="63" spans="1:49" ht="33.75" customHeight="1" x14ac:dyDescent="0.25">
      <c r="A63" s="171" t="s">
        <v>53</v>
      </c>
      <c r="B63" s="446">
        <v>8.1999999999999993</v>
      </c>
      <c r="C63" s="19">
        <v>8.4</v>
      </c>
      <c r="D63" s="19">
        <v>2.4</v>
      </c>
      <c r="E63" s="19">
        <v>8.1999999999999993</v>
      </c>
      <c r="F63" s="61">
        <v>8.4</v>
      </c>
      <c r="G63" s="446">
        <v>8.4</v>
      </c>
      <c r="H63" s="19">
        <v>8.4</v>
      </c>
      <c r="I63" s="19">
        <v>2.2000000000000002</v>
      </c>
      <c r="J63" s="19">
        <v>8.4</v>
      </c>
      <c r="K63" s="19">
        <v>8.4</v>
      </c>
      <c r="L63" s="19">
        <v>4.4000000000000004</v>
      </c>
      <c r="M63" s="446">
        <v>7.2</v>
      </c>
      <c r="N63" s="19">
        <v>7.3</v>
      </c>
      <c r="O63" s="19">
        <v>2.2999999999999998</v>
      </c>
      <c r="P63" s="19">
        <v>7.3</v>
      </c>
      <c r="Q63" s="20">
        <v>7.2</v>
      </c>
      <c r="R63" s="18">
        <v>7.4</v>
      </c>
      <c r="S63" s="19">
        <v>7.4</v>
      </c>
      <c r="T63" s="19">
        <v>2.7</v>
      </c>
      <c r="U63" s="19">
        <v>7.4</v>
      </c>
      <c r="V63" s="20">
        <v>7.6</v>
      </c>
      <c r="W63" s="412">
        <f>SUM(B63:V63)</f>
        <v>139.60000000000002</v>
      </c>
      <c r="X63" s="302"/>
      <c r="Y63" s="42"/>
      <c r="Z63" s="42"/>
      <c r="AA63" s="42"/>
      <c r="AB63" s="42"/>
      <c r="AC63" s="2"/>
      <c r="AD63" s="45"/>
      <c r="AE63" s="45"/>
      <c r="AF63" s="45"/>
      <c r="AG63" s="57"/>
      <c r="AH63" s="57"/>
      <c r="AI63" s="57"/>
      <c r="AJ63" s="57"/>
      <c r="AK63" s="45"/>
      <c r="AL63" s="45"/>
      <c r="AM63" s="58"/>
      <c r="AN63" s="58"/>
      <c r="AO63" s="58"/>
      <c r="AP63" s="2"/>
      <c r="AQ63" s="2"/>
      <c r="AR63" s="2"/>
      <c r="AS63" s="2"/>
      <c r="AT63" s="2"/>
      <c r="AU63" s="2"/>
      <c r="AV63" s="2"/>
      <c r="AW63" s="2"/>
    </row>
    <row r="64" spans="1:49" ht="33.75" customHeight="1" x14ac:dyDescent="0.25">
      <c r="A64" s="171" t="s">
        <v>24</v>
      </c>
      <c r="B64" s="446">
        <v>8.1999999999999993</v>
      </c>
      <c r="C64" s="19">
        <v>8.4</v>
      </c>
      <c r="D64" s="19">
        <v>2.4</v>
      </c>
      <c r="E64" s="19">
        <v>8.1999999999999993</v>
      </c>
      <c r="F64" s="61">
        <v>8.4</v>
      </c>
      <c r="G64" s="446">
        <v>8.4</v>
      </c>
      <c r="H64" s="19">
        <v>8.4</v>
      </c>
      <c r="I64" s="19">
        <v>2.2000000000000002</v>
      </c>
      <c r="J64" s="19">
        <v>8.4</v>
      </c>
      <c r="K64" s="19">
        <v>8.4</v>
      </c>
      <c r="L64" s="19">
        <v>4.4000000000000004</v>
      </c>
      <c r="M64" s="446">
        <v>7.2</v>
      </c>
      <c r="N64" s="19">
        <v>7.3</v>
      </c>
      <c r="O64" s="19">
        <v>2.2999999999999998</v>
      </c>
      <c r="P64" s="19">
        <v>7.3</v>
      </c>
      <c r="Q64" s="20">
        <v>7.2</v>
      </c>
      <c r="R64" s="18">
        <v>7.4</v>
      </c>
      <c r="S64" s="19">
        <v>7.4</v>
      </c>
      <c r="T64" s="19">
        <v>2.7</v>
      </c>
      <c r="U64" s="19">
        <v>7.4</v>
      </c>
      <c r="V64" s="20">
        <v>7.6</v>
      </c>
      <c r="W64" s="412">
        <f t="shared" ref="W64:W69" si="28">SUM(B64:V64)</f>
        <v>139.60000000000002</v>
      </c>
      <c r="X64" s="302"/>
      <c r="Y64" s="42"/>
      <c r="Z64" s="42"/>
      <c r="AA64" s="42"/>
      <c r="AB64" s="42"/>
      <c r="AC64" s="2"/>
      <c r="AD64" s="45"/>
      <c r="AE64" s="45"/>
      <c r="AF64" s="45"/>
      <c r="AG64" s="57"/>
      <c r="AH64" s="57"/>
      <c r="AI64" s="57"/>
      <c r="AJ64" s="57"/>
      <c r="AK64" s="45"/>
      <c r="AL64" s="45"/>
      <c r="AM64" s="58"/>
      <c r="AN64" s="58"/>
      <c r="AO64" s="58"/>
      <c r="AP64" s="2"/>
      <c r="AQ64" s="2"/>
      <c r="AR64" s="2"/>
      <c r="AS64" s="2"/>
      <c r="AT64" s="2"/>
      <c r="AU64" s="2"/>
      <c r="AV64" s="2"/>
      <c r="AW64" s="2"/>
    </row>
    <row r="65" spans="1:49" ht="33.75" customHeight="1" x14ac:dyDescent="0.25">
      <c r="A65" s="171" t="s">
        <v>20</v>
      </c>
      <c r="B65" s="446"/>
      <c r="C65" s="19"/>
      <c r="D65" s="19"/>
      <c r="E65" s="19"/>
      <c r="F65" s="61"/>
      <c r="G65" s="446"/>
      <c r="H65" s="19"/>
      <c r="I65" s="19"/>
      <c r="J65" s="19"/>
      <c r="K65" s="19"/>
      <c r="L65" s="19"/>
      <c r="M65" s="446"/>
      <c r="N65" s="19"/>
      <c r="O65" s="19"/>
      <c r="P65" s="19"/>
      <c r="Q65" s="20"/>
      <c r="R65" s="18"/>
      <c r="S65" s="19"/>
      <c r="T65" s="19"/>
      <c r="U65" s="19"/>
      <c r="V65" s="20"/>
      <c r="W65" s="412">
        <f t="shared" si="28"/>
        <v>0</v>
      </c>
      <c r="X65" s="302"/>
      <c r="Y65" s="42"/>
      <c r="Z65" s="42"/>
      <c r="AA65" s="42"/>
      <c r="AB65" s="42"/>
      <c r="AC65" s="2"/>
      <c r="AD65" s="45"/>
      <c r="AE65" s="45"/>
      <c r="AF65" s="45"/>
      <c r="AG65" s="57"/>
      <c r="AH65" s="57"/>
      <c r="AI65" s="57"/>
      <c r="AJ65" s="57"/>
      <c r="AK65" s="45"/>
      <c r="AL65" s="45"/>
      <c r="AM65" s="58"/>
      <c r="AN65" s="58"/>
      <c r="AO65" s="58"/>
      <c r="AP65" s="2"/>
      <c r="AQ65" s="2"/>
      <c r="AR65" s="2"/>
      <c r="AS65" s="2"/>
      <c r="AT65" s="2"/>
      <c r="AU65" s="2"/>
      <c r="AV65" s="2"/>
      <c r="AW65" s="2"/>
    </row>
    <row r="66" spans="1:49" ht="33.75" customHeight="1" x14ac:dyDescent="0.25">
      <c r="A66" s="171" t="s">
        <v>28</v>
      </c>
      <c r="B66" s="446"/>
      <c r="C66" s="19"/>
      <c r="D66" s="19"/>
      <c r="E66" s="19"/>
      <c r="F66" s="61"/>
      <c r="G66" s="446"/>
      <c r="H66" s="19"/>
      <c r="I66" s="19"/>
      <c r="J66" s="19"/>
      <c r="K66" s="19"/>
      <c r="L66" s="19"/>
      <c r="M66" s="446"/>
      <c r="N66" s="19"/>
      <c r="O66" s="19"/>
      <c r="P66" s="19"/>
      <c r="Q66" s="20"/>
      <c r="R66" s="18"/>
      <c r="S66" s="19"/>
      <c r="T66" s="19"/>
      <c r="U66" s="19"/>
      <c r="V66" s="20"/>
      <c r="W66" s="412">
        <f t="shared" si="28"/>
        <v>0</v>
      </c>
      <c r="X66" s="302"/>
      <c r="Y66" s="42"/>
      <c r="Z66" s="42"/>
      <c r="AA66" s="42"/>
      <c r="AB66" s="42"/>
      <c r="AC66" s="2"/>
      <c r="AD66" s="45"/>
      <c r="AE66" s="45"/>
      <c r="AF66" s="45"/>
      <c r="AG66" s="57"/>
      <c r="AH66" s="57"/>
      <c r="AI66" s="57"/>
      <c r="AJ66" s="57"/>
      <c r="AK66" s="45"/>
      <c r="AL66" s="45"/>
      <c r="AM66" s="58"/>
      <c r="AN66" s="58"/>
      <c r="AO66" s="58"/>
      <c r="AP66" s="3"/>
      <c r="AQ66" s="3"/>
      <c r="AR66" s="2"/>
      <c r="AS66" s="2"/>
      <c r="AT66" s="2"/>
      <c r="AU66" s="2"/>
      <c r="AV66" s="2"/>
      <c r="AW66" s="2"/>
    </row>
    <row r="67" spans="1:49" ht="33.75" customHeight="1" x14ac:dyDescent="0.25">
      <c r="A67" s="171" t="s">
        <v>21</v>
      </c>
      <c r="B67" s="446"/>
      <c r="C67" s="19"/>
      <c r="D67" s="19"/>
      <c r="E67" s="19"/>
      <c r="F67" s="61"/>
      <c r="G67" s="446"/>
      <c r="H67" s="19"/>
      <c r="I67" s="19"/>
      <c r="J67" s="19"/>
      <c r="K67" s="19"/>
      <c r="L67" s="19"/>
      <c r="M67" s="446"/>
      <c r="N67" s="19"/>
      <c r="O67" s="19"/>
      <c r="P67" s="19"/>
      <c r="Q67" s="20"/>
      <c r="R67" s="18"/>
      <c r="S67" s="19"/>
      <c r="T67" s="19"/>
      <c r="U67" s="19"/>
      <c r="V67" s="20"/>
      <c r="W67" s="412">
        <f t="shared" si="28"/>
        <v>0</v>
      </c>
      <c r="X67" s="302"/>
      <c r="Y67" s="42"/>
      <c r="Z67" s="42"/>
      <c r="AA67" s="42"/>
      <c r="AB67" s="42"/>
      <c r="AC67" s="2"/>
      <c r="AD67" s="45"/>
      <c r="AE67" s="45"/>
      <c r="AF67" s="45"/>
      <c r="AG67" s="57"/>
      <c r="AH67" s="57"/>
      <c r="AI67" s="57"/>
      <c r="AJ67" s="57"/>
      <c r="AK67" s="45"/>
      <c r="AL67" s="45"/>
      <c r="AM67" s="58"/>
      <c r="AN67" s="58"/>
      <c r="AO67" s="58"/>
      <c r="AP67" s="3"/>
      <c r="AQ67" s="3"/>
      <c r="AR67" s="2"/>
      <c r="AS67" s="2"/>
      <c r="AT67" s="2"/>
      <c r="AU67" s="2"/>
      <c r="AV67" s="2"/>
      <c r="AW67" s="2"/>
    </row>
    <row r="68" spans="1:49" ht="33.75" customHeight="1" x14ac:dyDescent="0.25">
      <c r="A68" s="171" t="s">
        <v>22</v>
      </c>
      <c r="B68" s="446"/>
      <c r="C68" s="19"/>
      <c r="D68" s="19"/>
      <c r="E68" s="19"/>
      <c r="F68" s="61"/>
      <c r="G68" s="446"/>
      <c r="H68" s="19"/>
      <c r="I68" s="19"/>
      <c r="J68" s="19"/>
      <c r="K68" s="19"/>
      <c r="L68" s="19"/>
      <c r="M68" s="446"/>
      <c r="N68" s="19"/>
      <c r="O68" s="19"/>
      <c r="P68" s="19"/>
      <c r="Q68" s="20"/>
      <c r="R68" s="18"/>
      <c r="S68" s="19"/>
      <c r="T68" s="19"/>
      <c r="U68" s="19"/>
      <c r="V68" s="20"/>
      <c r="W68" s="412">
        <f t="shared" si="28"/>
        <v>0</v>
      </c>
      <c r="X68" s="302"/>
      <c r="Y68" s="42"/>
      <c r="Z68" s="42"/>
      <c r="AA68" s="42"/>
      <c r="AB68" s="42"/>
      <c r="AC68" s="2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3"/>
      <c r="AQ68" s="3"/>
      <c r="AT68" s="2"/>
      <c r="AU68" s="2"/>
      <c r="AV68" s="2"/>
      <c r="AW68" s="2"/>
    </row>
    <row r="69" spans="1:49" ht="33.75" customHeight="1" thickBot="1" x14ac:dyDescent="0.3">
      <c r="A69" s="171" t="s">
        <v>23</v>
      </c>
      <c r="B69" s="446"/>
      <c r="C69" s="19"/>
      <c r="D69" s="19"/>
      <c r="E69" s="19"/>
      <c r="F69" s="61"/>
      <c r="G69" s="446"/>
      <c r="H69" s="19"/>
      <c r="I69" s="19"/>
      <c r="J69" s="19"/>
      <c r="K69" s="19"/>
      <c r="L69" s="19"/>
      <c r="M69" s="446"/>
      <c r="N69" s="19"/>
      <c r="O69" s="19"/>
      <c r="P69" s="19"/>
      <c r="Q69" s="20"/>
      <c r="R69" s="18"/>
      <c r="S69" s="19"/>
      <c r="T69" s="19"/>
      <c r="U69" s="19"/>
      <c r="V69" s="20"/>
      <c r="W69" s="412">
        <f t="shared" si="28"/>
        <v>0</v>
      </c>
      <c r="X69" s="302"/>
      <c r="Y69" s="42"/>
      <c r="Z69" s="42"/>
      <c r="AA69" s="42"/>
      <c r="AB69" s="42"/>
      <c r="AC69" s="2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3"/>
      <c r="AQ69" s="3"/>
      <c r="AT69" s="2"/>
      <c r="AU69" s="2"/>
      <c r="AV69" s="2"/>
      <c r="AW69" s="2"/>
    </row>
    <row r="70" spans="1:49" ht="33.75" customHeight="1" thickBot="1" x14ac:dyDescent="0.3">
      <c r="A70" s="170" t="s">
        <v>9</v>
      </c>
      <c r="B70" s="297">
        <f t="shared" ref="B70:V70" si="29">SUM(B63:B69)</f>
        <v>16.399999999999999</v>
      </c>
      <c r="C70" s="298">
        <f t="shared" si="29"/>
        <v>16.8</v>
      </c>
      <c r="D70" s="298">
        <f t="shared" si="29"/>
        <v>4.8</v>
      </c>
      <c r="E70" s="298">
        <f t="shared" si="29"/>
        <v>16.399999999999999</v>
      </c>
      <c r="F70" s="299">
        <f t="shared" si="29"/>
        <v>16.8</v>
      </c>
      <c r="G70" s="297">
        <f t="shared" si="29"/>
        <v>16.8</v>
      </c>
      <c r="H70" s="298">
        <f t="shared" si="29"/>
        <v>16.8</v>
      </c>
      <c r="I70" s="298">
        <f t="shared" si="29"/>
        <v>4.4000000000000004</v>
      </c>
      <c r="J70" s="298">
        <f t="shared" si="29"/>
        <v>16.8</v>
      </c>
      <c r="K70" s="298">
        <f t="shared" si="29"/>
        <v>16.8</v>
      </c>
      <c r="L70" s="298">
        <f t="shared" si="29"/>
        <v>8.8000000000000007</v>
      </c>
      <c r="M70" s="297">
        <f t="shared" si="29"/>
        <v>14.4</v>
      </c>
      <c r="N70" s="298">
        <f t="shared" si="29"/>
        <v>14.6</v>
      </c>
      <c r="O70" s="298">
        <f t="shared" si="29"/>
        <v>4.5999999999999996</v>
      </c>
      <c r="P70" s="298">
        <f t="shared" si="29"/>
        <v>14.6</v>
      </c>
      <c r="Q70" s="299">
        <f t="shared" si="29"/>
        <v>14.4</v>
      </c>
      <c r="R70" s="297">
        <f t="shared" si="29"/>
        <v>14.8</v>
      </c>
      <c r="S70" s="298">
        <f t="shared" si="29"/>
        <v>14.8</v>
      </c>
      <c r="T70" s="298">
        <f t="shared" si="29"/>
        <v>5.4</v>
      </c>
      <c r="U70" s="298">
        <f t="shared" si="29"/>
        <v>14.8</v>
      </c>
      <c r="V70" s="448">
        <f t="shared" si="29"/>
        <v>15.2</v>
      </c>
      <c r="W70" s="449">
        <f>SUM(B70:V70)</f>
        <v>279.20000000000005</v>
      </c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3"/>
      <c r="AQ70" s="3"/>
      <c r="AR70" s="3"/>
      <c r="AS70" s="3"/>
      <c r="AT70" s="2"/>
      <c r="AU70" s="2"/>
      <c r="AV70" s="2"/>
      <c r="AW70" s="2"/>
    </row>
    <row r="71" spans="1:49" ht="33.75" customHeight="1" x14ac:dyDescent="0.25">
      <c r="A71" s="192" t="s">
        <v>11</v>
      </c>
      <c r="B71" s="357">
        <v>158</v>
      </c>
      <c r="C71" s="358">
        <v>158.5</v>
      </c>
      <c r="D71" s="358">
        <v>158</v>
      </c>
      <c r="E71" s="358">
        <v>157.5</v>
      </c>
      <c r="F71" s="358">
        <v>158.5</v>
      </c>
      <c r="G71" s="357">
        <v>156.5</v>
      </c>
      <c r="H71" s="358">
        <v>158.5</v>
      </c>
      <c r="I71" s="358">
        <v>159.5</v>
      </c>
      <c r="J71" s="358">
        <v>159.5</v>
      </c>
      <c r="K71" s="358">
        <v>158</v>
      </c>
      <c r="L71" s="358">
        <v>158</v>
      </c>
      <c r="M71" s="357">
        <v>155.5</v>
      </c>
      <c r="N71" s="358">
        <v>158.5</v>
      </c>
      <c r="O71" s="358">
        <v>155.5</v>
      </c>
      <c r="P71" s="358">
        <v>158.5</v>
      </c>
      <c r="Q71" s="358">
        <v>159.5</v>
      </c>
      <c r="R71" s="357">
        <v>158.5</v>
      </c>
      <c r="S71" s="358">
        <v>158.5</v>
      </c>
      <c r="T71" s="358">
        <v>158.5</v>
      </c>
      <c r="U71" s="358">
        <v>158.5</v>
      </c>
      <c r="V71" s="358">
        <v>158.5</v>
      </c>
      <c r="W71" s="296">
        <f>+((W70/W72)/7)*1000</f>
        <v>45.119586296056887</v>
      </c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3"/>
      <c r="AQ71" s="3"/>
      <c r="AR71" s="3"/>
      <c r="AS71" s="3"/>
      <c r="AT71" s="2"/>
      <c r="AU71" s="2"/>
      <c r="AV71" s="2"/>
      <c r="AW71" s="2"/>
    </row>
    <row r="72" spans="1:49" ht="33.75" customHeight="1" x14ac:dyDescent="0.25">
      <c r="A72" s="193" t="s">
        <v>12</v>
      </c>
      <c r="B72" s="257">
        <v>52</v>
      </c>
      <c r="C72" s="275">
        <v>53</v>
      </c>
      <c r="D72" s="275">
        <v>15</v>
      </c>
      <c r="E72" s="275">
        <v>52</v>
      </c>
      <c r="F72" s="275">
        <v>53</v>
      </c>
      <c r="G72" s="257">
        <v>53</v>
      </c>
      <c r="H72" s="275">
        <v>53</v>
      </c>
      <c r="I72" s="275">
        <v>14</v>
      </c>
      <c r="J72" s="275">
        <v>53</v>
      </c>
      <c r="K72" s="275">
        <v>53</v>
      </c>
      <c r="L72" s="275">
        <v>29</v>
      </c>
      <c r="M72" s="257">
        <v>46</v>
      </c>
      <c r="N72" s="275">
        <v>46</v>
      </c>
      <c r="O72" s="275">
        <v>15</v>
      </c>
      <c r="P72" s="275">
        <v>46</v>
      </c>
      <c r="Q72" s="275">
        <v>45</v>
      </c>
      <c r="R72" s="257">
        <v>47</v>
      </c>
      <c r="S72" s="275">
        <v>47</v>
      </c>
      <c r="T72" s="275">
        <v>17</v>
      </c>
      <c r="U72" s="275">
        <v>47</v>
      </c>
      <c r="V72" s="275">
        <v>48</v>
      </c>
      <c r="W72" s="254">
        <f>SUM(B72:V72)</f>
        <v>884</v>
      </c>
      <c r="AC72" s="59"/>
      <c r="AG72" s="3"/>
      <c r="AH72" s="3"/>
      <c r="AI72" s="3"/>
      <c r="AJ72" s="3"/>
      <c r="AK72" s="3"/>
      <c r="AL72" s="3"/>
    </row>
    <row r="73" spans="1:49" ht="33.75" customHeight="1" x14ac:dyDescent="0.25">
      <c r="A73" s="194" t="s">
        <v>13</v>
      </c>
      <c r="B73" s="30">
        <f>((((B71*7)*B72)/1000))/7</f>
        <v>8.2159999999999993</v>
      </c>
      <c r="C73" s="31">
        <f t="shared" ref="C73:V73" si="30">((((C71*7)*C72)/1000))/7</f>
        <v>8.4004999999999992</v>
      </c>
      <c r="D73" s="31">
        <f t="shared" si="30"/>
        <v>2.37</v>
      </c>
      <c r="E73" s="31">
        <f t="shared" si="30"/>
        <v>8.19</v>
      </c>
      <c r="F73" s="31">
        <f t="shared" si="30"/>
        <v>8.4004999999999992</v>
      </c>
      <c r="G73" s="30">
        <f t="shared" si="30"/>
        <v>8.2945000000000011</v>
      </c>
      <c r="H73" s="31">
        <f t="shared" si="30"/>
        <v>8.4004999999999992</v>
      </c>
      <c r="I73" s="31">
        <f t="shared" si="30"/>
        <v>2.2330000000000001</v>
      </c>
      <c r="J73" s="31">
        <f t="shared" si="30"/>
        <v>8.4535</v>
      </c>
      <c r="K73" s="31">
        <f t="shared" si="30"/>
        <v>8.3740000000000006</v>
      </c>
      <c r="L73" s="31">
        <f t="shared" si="30"/>
        <v>4.5819999999999999</v>
      </c>
      <c r="M73" s="30">
        <f t="shared" si="30"/>
        <v>7.1529999999999996</v>
      </c>
      <c r="N73" s="31">
        <f t="shared" si="30"/>
        <v>7.2909999999999995</v>
      </c>
      <c r="O73" s="31">
        <f t="shared" si="30"/>
        <v>2.3325</v>
      </c>
      <c r="P73" s="31">
        <f t="shared" si="30"/>
        <v>7.2909999999999995</v>
      </c>
      <c r="Q73" s="31">
        <f t="shared" si="30"/>
        <v>7.1775000000000002</v>
      </c>
      <c r="R73" s="30">
        <f t="shared" si="30"/>
        <v>7.4495000000000005</v>
      </c>
      <c r="S73" s="31">
        <f t="shared" si="30"/>
        <v>7.4495000000000005</v>
      </c>
      <c r="T73" s="31">
        <f t="shared" si="30"/>
        <v>2.6945000000000001</v>
      </c>
      <c r="U73" s="31">
        <f t="shared" si="30"/>
        <v>7.4495000000000005</v>
      </c>
      <c r="V73" s="31">
        <f t="shared" si="30"/>
        <v>7.6079999999999997</v>
      </c>
      <c r="W73" s="139">
        <f>((W70*100)/W72)/7</f>
        <v>4.5119586296056893</v>
      </c>
      <c r="AG73" s="3"/>
      <c r="AH73" s="3"/>
      <c r="AI73" s="3"/>
      <c r="AJ73" s="3"/>
      <c r="AK73" s="3"/>
      <c r="AL73" s="3"/>
    </row>
    <row r="74" spans="1:49" ht="33.75" customHeight="1" x14ac:dyDescent="0.25">
      <c r="A74" s="185" t="s">
        <v>14</v>
      </c>
      <c r="B74" s="279">
        <f t="shared" ref="B74:V74" si="31">((B72*B71)*7)/1000</f>
        <v>57.512</v>
      </c>
      <c r="C74" s="280">
        <f t="shared" si="31"/>
        <v>58.8035</v>
      </c>
      <c r="D74" s="280">
        <f t="shared" si="31"/>
        <v>16.59</v>
      </c>
      <c r="E74" s="280">
        <f t="shared" si="31"/>
        <v>57.33</v>
      </c>
      <c r="F74" s="280">
        <f t="shared" si="31"/>
        <v>58.8035</v>
      </c>
      <c r="G74" s="279">
        <f t="shared" si="31"/>
        <v>58.061500000000002</v>
      </c>
      <c r="H74" s="280">
        <f t="shared" si="31"/>
        <v>58.8035</v>
      </c>
      <c r="I74" s="280">
        <f t="shared" si="31"/>
        <v>15.631</v>
      </c>
      <c r="J74" s="280">
        <f t="shared" si="31"/>
        <v>59.174500000000002</v>
      </c>
      <c r="K74" s="280">
        <f t="shared" si="31"/>
        <v>58.618000000000002</v>
      </c>
      <c r="L74" s="280">
        <f t="shared" si="31"/>
        <v>32.073999999999998</v>
      </c>
      <c r="M74" s="279">
        <f t="shared" si="31"/>
        <v>50.070999999999998</v>
      </c>
      <c r="N74" s="280">
        <f t="shared" si="31"/>
        <v>51.036999999999999</v>
      </c>
      <c r="O74" s="280">
        <f t="shared" si="31"/>
        <v>16.327500000000001</v>
      </c>
      <c r="P74" s="280">
        <f t="shared" si="31"/>
        <v>51.036999999999999</v>
      </c>
      <c r="Q74" s="280">
        <f t="shared" si="31"/>
        <v>50.2425</v>
      </c>
      <c r="R74" s="279">
        <f t="shared" si="31"/>
        <v>52.146500000000003</v>
      </c>
      <c r="S74" s="280">
        <f t="shared" si="31"/>
        <v>52.146500000000003</v>
      </c>
      <c r="T74" s="280">
        <f t="shared" si="31"/>
        <v>18.861499999999999</v>
      </c>
      <c r="U74" s="280">
        <f t="shared" si="31"/>
        <v>52.146500000000003</v>
      </c>
      <c r="V74" s="280">
        <f t="shared" si="31"/>
        <v>53.256</v>
      </c>
      <c r="W74" s="112"/>
      <c r="X74" s="41"/>
      <c r="Y74" s="41"/>
      <c r="Z74" s="41"/>
      <c r="AA74" s="41"/>
      <c r="AB74" s="41"/>
      <c r="AL74" s="3"/>
    </row>
    <row r="75" spans="1:49" ht="33.75" customHeight="1" thickBot="1" x14ac:dyDescent="0.3">
      <c r="A75" s="195" t="s">
        <v>15</v>
      </c>
      <c r="B75" s="37">
        <f t="shared" ref="B75:V75" si="32">+(B70/B72)/7*1000</f>
        <v>45.054945054945051</v>
      </c>
      <c r="C75" s="38">
        <f t="shared" si="32"/>
        <v>45.283018867924532</v>
      </c>
      <c r="D75" s="38">
        <f t="shared" si="32"/>
        <v>45.714285714285715</v>
      </c>
      <c r="E75" s="38">
        <f t="shared" si="32"/>
        <v>45.054945054945051</v>
      </c>
      <c r="F75" s="38">
        <f t="shared" si="32"/>
        <v>45.283018867924532</v>
      </c>
      <c r="G75" s="37">
        <f t="shared" si="32"/>
        <v>45.283018867924532</v>
      </c>
      <c r="H75" s="38">
        <f t="shared" si="32"/>
        <v>45.283018867924532</v>
      </c>
      <c r="I75" s="38">
        <f t="shared" si="32"/>
        <v>44.897959183673471</v>
      </c>
      <c r="J75" s="38">
        <f t="shared" si="32"/>
        <v>45.283018867924532</v>
      </c>
      <c r="K75" s="38">
        <f t="shared" si="32"/>
        <v>45.283018867924532</v>
      </c>
      <c r="L75" s="38">
        <f t="shared" si="32"/>
        <v>43.349753694581288</v>
      </c>
      <c r="M75" s="37">
        <f t="shared" si="32"/>
        <v>44.720496894409941</v>
      </c>
      <c r="N75" s="38">
        <f t="shared" si="32"/>
        <v>45.341614906832298</v>
      </c>
      <c r="O75" s="38">
        <f t="shared" si="32"/>
        <v>43.809523809523803</v>
      </c>
      <c r="P75" s="38">
        <f t="shared" si="32"/>
        <v>45.341614906832298</v>
      </c>
      <c r="Q75" s="38">
        <f t="shared" si="32"/>
        <v>45.714285714285715</v>
      </c>
      <c r="R75" s="37">
        <f t="shared" si="32"/>
        <v>44.984802431610944</v>
      </c>
      <c r="S75" s="38">
        <f t="shared" si="32"/>
        <v>44.984802431610944</v>
      </c>
      <c r="T75" s="38">
        <f t="shared" si="32"/>
        <v>45.378151260504204</v>
      </c>
      <c r="U75" s="38">
        <f t="shared" si="32"/>
        <v>44.984802431610944</v>
      </c>
      <c r="V75" s="38">
        <f t="shared" si="32"/>
        <v>45.238095238095234</v>
      </c>
      <c r="W75" s="40"/>
      <c r="AL75" s="3"/>
    </row>
    <row r="76" spans="1:49" ht="33.75" customHeight="1" x14ac:dyDescent="0.25">
      <c r="B76" s="43">
        <f>B74-B70</f>
        <v>41.112000000000002</v>
      </c>
      <c r="C76" s="43">
        <f t="shared" ref="C76:F76" si="33">C74-C70</f>
        <v>42.003500000000003</v>
      </c>
      <c r="D76" s="43">
        <f t="shared" si="33"/>
        <v>11.79</v>
      </c>
      <c r="E76" s="43">
        <f t="shared" si="33"/>
        <v>40.93</v>
      </c>
      <c r="F76" s="43">
        <f t="shared" si="33"/>
        <v>42.003500000000003</v>
      </c>
      <c r="G76" s="43">
        <f>G74-G70</f>
        <v>41.261499999999998</v>
      </c>
      <c r="H76" s="43">
        <f t="shared" ref="H76:V77" si="34">H74-H70</f>
        <v>42.003500000000003</v>
      </c>
      <c r="I76" s="43">
        <f t="shared" si="34"/>
        <v>11.231</v>
      </c>
      <c r="J76" s="43">
        <f t="shared" si="34"/>
        <v>42.374499999999998</v>
      </c>
      <c r="K76" s="43">
        <f t="shared" si="34"/>
        <v>41.817999999999998</v>
      </c>
      <c r="L76" s="43">
        <f t="shared" si="34"/>
        <v>23.273999999999997</v>
      </c>
      <c r="M76" s="43">
        <f>M74-M70</f>
        <v>35.670999999999999</v>
      </c>
      <c r="N76" s="43">
        <f t="shared" ref="N76:Q76" si="35">N74-N70</f>
        <v>36.436999999999998</v>
      </c>
      <c r="O76" s="43">
        <f t="shared" si="35"/>
        <v>11.727500000000001</v>
      </c>
      <c r="P76" s="43">
        <f t="shared" si="35"/>
        <v>36.436999999999998</v>
      </c>
      <c r="Q76" s="43">
        <f t="shared" si="35"/>
        <v>35.842500000000001</v>
      </c>
      <c r="R76" s="43">
        <f>R74-R70</f>
        <v>37.346500000000006</v>
      </c>
      <c r="S76" s="43">
        <f t="shared" ref="S76:V76" si="36">S74-S70</f>
        <v>37.346500000000006</v>
      </c>
      <c r="T76" s="43">
        <f t="shared" si="36"/>
        <v>13.461499999999999</v>
      </c>
      <c r="U76" s="43">
        <f t="shared" si="36"/>
        <v>37.346500000000006</v>
      </c>
      <c r="V76" s="43">
        <f t="shared" si="36"/>
        <v>38.055999999999997</v>
      </c>
    </row>
    <row r="77" spans="1:49" ht="33.75" customHeight="1" x14ac:dyDescent="0.25">
      <c r="B77" s="42">
        <f t="shared" ref="B77:J77" si="37">B75-B71</f>
        <v>-112.94505494505495</v>
      </c>
      <c r="C77" s="42">
        <f t="shared" si="37"/>
        <v>-113.21698113207546</v>
      </c>
      <c r="D77" s="42">
        <f t="shared" si="37"/>
        <v>-112.28571428571428</v>
      </c>
      <c r="E77" s="42">
        <f t="shared" si="37"/>
        <v>-112.44505494505495</v>
      </c>
      <c r="F77" s="42">
        <f t="shared" si="37"/>
        <v>-113.21698113207546</v>
      </c>
      <c r="G77" s="42">
        <f t="shared" si="37"/>
        <v>-111.21698113207546</v>
      </c>
      <c r="H77" s="42">
        <f t="shared" si="37"/>
        <v>-113.21698113207546</v>
      </c>
      <c r="I77" s="42">
        <f>I75-I71</f>
        <v>-114.60204081632654</v>
      </c>
      <c r="J77" s="42">
        <f t="shared" si="37"/>
        <v>-114.21698113207546</v>
      </c>
      <c r="K77" s="42">
        <f t="shared" si="34"/>
        <v>-112.71698113207546</v>
      </c>
      <c r="L77" s="42">
        <f t="shared" si="34"/>
        <v>-114.6502463054187</v>
      </c>
      <c r="M77" s="42">
        <f t="shared" si="34"/>
        <v>-110.77950310559007</v>
      </c>
      <c r="N77" s="42">
        <f t="shared" si="34"/>
        <v>-113.15838509316771</v>
      </c>
      <c r="O77" s="42">
        <f t="shared" si="34"/>
        <v>-111.6904761904762</v>
      </c>
      <c r="P77" s="42">
        <f t="shared" si="34"/>
        <v>-113.15838509316771</v>
      </c>
      <c r="Q77" s="42">
        <f t="shared" si="34"/>
        <v>-113.78571428571428</v>
      </c>
      <c r="R77" s="42">
        <f t="shared" si="34"/>
        <v>-113.51519756838906</v>
      </c>
      <c r="S77" s="42">
        <f t="shared" si="34"/>
        <v>-113.51519756838906</v>
      </c>
      <c r="T77" s="42">
        <f t="shared" si="34"/>
        <v>-113.12184873949579</v>
      </c>
      <c r="U77" s="42">
        <f t="shared" si="34"/>
        <v>-113.51519756838906</v>
      </c>
      <c r="V77" s="42">
        <f t="shared" si="34"/>
        <v>-113.26190476190476</v>
      </c>
      <c r="W77" s="45"/>
      <c r="X77" s="45"/>
      <c r="Y77" s="45"/>
      <c r="Z77" s="45"/>
      <c r="AA77" s="45"/>
      <c r="AB77" s="45"/>
      <c r="AC77" s="52"/>
    </row>
    <row r="78" spans="1:49" ht="33.75" customHeight="1" x14ac:dyDescent="0.25">
      <c r="B78" s="287"/>
      <c r="C78" s="287"/>
      <c r="D78" s="287"/>
      <c r="E78" s="287"/>
      <c r="F78" s="287"/>
    </row>
    <row r="79" spans="1:49" ht="33.75" customHeight="1" x14ac:dyDescent="0.25">
      <c r="A79" s="45"/>
      <c r="B79" s="283"/>
      <c r="C79" s="283"/>
      <c r="D79" s="283"/>
      <c r="E79" s="283"/>
      <c r="F79" s="283"/>
      <c r="G79" s="58"/>
      <c r="H79" s="45"/>
      <c r="I79" s="45"/>
      <c r="J79" s="45"/>
      <c r="K79" s="45"/>
      <c r="L79" s="45"/>
      <c r="M79" s="45"/>
      <c r="N79" s="45"/>
      <c r="O79" s="45"/>
    </row>
    <row r="80" spans="1:49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20">
    <mergeCell ref="R60:V60"/>
    <mergeCell ref="H17:H18"/>
    <mergeCell ref="O17:O18"/>
    <mergeCell ref="B40:F40"/>
    <mergeCell ref="G40:G42"/>
    <mergeCell ref="M40:R40"/>
    <mergeCell ref="S40:S41"/>
    <mergeCell ref="H43:K55"/>
    <mergeCell ref="O59:P59"/>
    <mergeCell ref="B60:F60"/>
    <mergeCell ref="G60:L60"/>
    <mergeCell ref="M60:Q60"/>
    <mergeCell ref="A3:C3"/>
    <mergeCell ref="E9:G9"/>
    <mergeCell ref="W9:X9"/>
    <mergeCell ref="O11:P11"/>
    <mergeCell ref="B16:H16"/>
    <mergeCell ref="I16:O16"/>
    <mergeCell ref="P16:T16"/>
    <mergeCell ref="U16:Y16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1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34</v>
      </c>
      <c r="P11" s="965"/>
      <c r="Q11" s="6"/>
      <c r="R11" s="6"/>
      <c r="S11" s="6"/>
      <c r="T11" s="1"/>
      <c r="U11" s="1"/>
      <c r="V11" s="1" t="s">
        <v>6</v>
      </c>
      <c r="W11" s="95">
        <v>45571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594"/>
      <c r="I17" s="386" t="s">
        <v>100</v>
      </c>
      <c r="J17" s="438">
        <v>1</v>
      </c>
      <c r="K17" s="438">
        <v>2</v>
      </c>
      <c r="L17" s="438">
        <v>3</v>
      </c>
      <c r="M17" s="438">
        <v>4</v>
      </c>
      <c r="N17" s="439">
        <v>5</v>
      </c>
      <c r="O17" s="594"/>
      <c r="P17" s="202">
        <v>1</v>
      </c>
      <c r="Q17" s="174">
        <v>2</v>
      </c>
      <c r="R17" s="174">
        <v>3</v>
      </c>
      <c r="S17" s="174">
        <v>4</v>
      </c>
      <c r="T17" s="203">
        <v>5</v>
      </c>
      <c r="U17" s="186">
        <v>1</v>
      </c>
      <c r="V17" s="174">
        <v>2</v>
      </c>
      <c r="W17" s="174">
        <v>3</v>
      </c>
      <c r="X17" s="174">
        <v>4</v>
      </c>
      <c r="Y17" s="175">
        <v>5</v>
      </c>
      <c r="Z17" s="126"/>
      <c r="AD17" s="2"/>
      <c r="AE17" s="15"/>
    </row>
    <row r="18" spans="1:40" ht="39.950000000000003" customHeight="1" x14ac:dyDescent="0.25">
      <c r="A18" s="171" t="s">
        <v>53</v>
      </c>
      <c r="B18" s="503">
        <v>323.60000000000002</v>
      </c>
      <c r="C18" s="504">
        <v>20.5</v>
      </c>
      <c r="D18" s="504">
        <v>20.6</v>
      </c>
      <c r="E18" s="504">
        <v>5.6</v>
      </c>
      <c r="F18" s="504">
        <v>20.9</v>
      </c>
      <c r="G18" s="505">
        <v>20.9</v>
      </c>
      <c r="H18" s="506">
        <f>SUM(B18:G18)</f>
        <v>412.1</v>
      </c>
      <c r="I18" s="142">
        <v>326</v>
      </c>
      <c r="J18" s="504">
        <v>20.7</v>
      </c>
      <c r="K18" s="504">
        <v>20.9</v>
      </c>
      <c r="L18" s="504">
        <v>5.5</v>
      </c>
      <c r="M18" s="504">
        <v>20</v>
      </c>
      <c r="N18" s="507">
        <v>19.8</v>
      </c>
      <c r="O18" s="506">
        <f>SUM(I18:N18)</f>
        <v>412.9</v>
      </c>
      <c r="P18" s="515">
        <v>79.900000000000006</v>
      </c>
      <c r="Q18" s="504">
        <v>79.599999999999994</v>
      </c>
      <c r="R18" s="504">
        <v>29.3</v>
      </c>
      <c r="S18" s="504">
        <v>80.099999999999994</v>
      </c>
      <c r="T18" s="507">
        <v>80.400000000000006</v>
      </c>
      <c r="U18" s="508">
        <v>83.1</v>
      </c>
      <c r="V18" s="504">
        <v>84</v>
      </c>
      <c r="W18" s="504">
        <v>30.5</v>
      </c>
      <c r="X18" s="504">
        <v>83.7</v>
      </c>
      <c r="Y18" s="507">
        <v>83.5</v>
      </c>
      <c r="Z18" s="209">
        <f>SUM(H18,O18,P18:Y18)</f>
        <v>1539.1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503">
        <v>323.60000000000002</v>
      </c>
      <c r="C19" s="504">
        <v>20.5</v>
      </c>
      <c r="D19" s="504">
        <v>20.6</v>
      </c>
      <c r="E19" s="504">
        <v>5.6</v>
      </c>
      <c r="F19" s="504">
        <v>20.9</v>
      </c>
      <c r="G19" s="505">
        <v>20.9</v>
      </c>
      <c r="H19" s="506">
        <f>SUM(B19:G19)</f>
        <v>412.1</v>
      </c>
      <c r="I19" s="142">
        <v>326</v>
      </c>
      <c r="J19" s="504">
        <v>20.7</v>
      </c>
      <c r="K19" s="504">
        <v>20.9</v>
      </c>
      <c r="L19" s="504">
        <v>5.5</v>
      </c>
      <c r="M19" s="504">
        <v>20</v>
      </c>
      <c r="N19" s="507">
        <v>19.8</v>
      </c>
      <c r="O19" s="506">
        <f t="shared" ref="O19:O24" si="0">SUM(I19:N19)</f>
        <v>412.9</v>
      </c>
      <c r="P19" s="515">
        <v>79.900000000000006</v>
      </c>
      <c r="Q19" s="504">
        <v>79.599999999999994</v>
      </c>
      <c r="R19" s="504">
        <v>29.3</v>
      </c>
      <c r="S19" s="504">
        <v>80.099999999999994</v>
      </c>
      <c r="T19" s="507">
        <v>80.400000000000006</v>
      </c>
      <c r="U19" s="508">
        <v>82.9</v>
      </c>
      <c r="V19" s="504">
        <v>84</v>
      </c>
      <c r="W19" s="504">
        <v>30.3</v>
      </c>
      <c r="X19" s="504">
        <v>83.7</v>
      </c>
      <c r="Y19" s="507">
        <v>83.4</v>
      </c>
      <c r="Z19" s="209">
        <f t="shared" ref="Z19:Z24" si="1">SUM(H19,O19,P19:Y19)</f>
        <v>1538.6000000000001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503">
        <v>323.60000000000002</v>
      </c>
      <c r="C20" s="504">
        <v>20.5</v>
      </c>
      <c r="D20" s="504">
        <v>20.5</v>
      </c>
      <c r="E20" s="504">
        <v>5.5</v>
      </c>
      <c r="F20" s="504">
        <v>20.9</v>
      </c>
      <c r="G20" s="505">
        <v>20.8</v>
      </c>
      <c r="H20" s="506">
        <f t="shared" ref="H20:H24" si="2">SUM(B20:G20)</f>
        <v>411.8</v>
      </c>
      <c r="I20" s="142">
        <v>326</v>
      </c>
      <c r="J20" s="504">
        <v>20.7</v>
      </c>
      <c r="K20" s="504">
        <v>20.9</v>
      </c>
      <c r="L20" s="504">
        <v>5.4</v>
      </c>
      <c r="M20" s="504">
        <v>19.899999999999999</v>
      </c>
      <c r="N20" s="507">
        <v>19.7</v>
      </c>
      <c r="O20" s="506">
        <f t="shared" si="0"/>
        <v>412.59999999999991</v>
      </c>
      <c r="P20" s="515">
        <v>79.900000000000006</v>
      </c>
      <c r="Q20" s="504">
        <v>79.599999999999994</v>
      </c>
      <c r="R20" s="504">
        <v>29.3</v>
      </c>
      <c r="S20" s="504">
        <v>80.099999999999994</v>
      </c>
      <c r="T20" s="507">
        <v>80.400000000000006</v>
      </c>
      <c r="U20" s="508">
        <v>82.8</v>
      </c>
      <c r="V20" s="504">
        <v>84</v>
      </c>
      <c r="W20" s="504">
        <v>30.2</v>
      </c>
      <c r="X20" s="504">
        <v>83.4</v>
      </c>
      <c r="Y20" s="507">
        <v>83.3</v>
      </c>
      <c r="Z20" s="509">
        <f t="shared" si="1"/>
        <v>1537.3999999999999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503">
        <v>323.60000000000002</v>
      </c>
      <c r="C21" s="504">
        <v>20.5</v>
      </c>
      <c r="D21" s="504">
        <v>20.6</v>
      </c>
      <c r="E21" s="504">
        <v>5.5</v>
      </c>
      <c r="F21" s="504">
        <v>20.9</v>
      </c>
      <c r="G21" s="505">
        <v>20.8</v>
      </c>
      <c r="H21" s="506">
        <f t="shared" si="2"/>
        <v>411.90000000000003</v>
      </c>
      <c r="I21" s="142">
        <v>326</v>
      </c>
      <c r="J21" s="504">
        <v>20.7</v>
      </c>
      <c r="K21" s="504">
        <v>20.9</v>
      </c>
      <c r="L21" s="504">
        <v>5.5</v>
      </c>
      <c r="M21" s="504">
        <v>19.899999999999999</v>
      </c>
      <c r="N21" s="507">
        <v>19.7</v>
      </c>
      <c r="O21" s="506">
        <f t="shared" si="0"/>
        <v>412.69999999999993</v>
      </c>
      <c r="P21" s="515">
        <v>79.900000000000006</v>
      </c>
      <c r="Q21" s="504">
        <v>79.599999999999994</v>
      </c>
      <c r="R21" s="504">
        <v>29.3</v>
      </c>
      <c r="S21" s="504">
        <v>80.099999999999994</v>
      </c>
      <c r="T21" s="507">
        <v>80.400000000000006</v>
      </c>
      <c r="U21" s="508">
        <v>82.8</v>
      </c>
      <c r="V21" s="504">
        <v>84</v>
      </c>
      <c r="W21" s="504">
        <v>30.2</v>
      </c>
      <c r="X21" s="504">
        <v>83.5</v>
      </c>
      <c r="Y21" s="507">
        <v>83.3</v>
      </c>
      <c r="Z21" s="209">
        <f t="shared" si="1"/>
        <v>1537.6999999999998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503">
        <v>323.60000000000002</v>
      </c>
      <c r="C22" s="504">
        <v>20.5</v>
      </c>
      <c r="D22" s="504">
        <v>20.5</v>
      </c>
      <c r="E22" s="504">
        <v>5.6</v>
      </c>
      <c r="F22" s="504">
        <v>20.9</v>
      </c>
      <c r="G22" s="505">
        <v>20.9</v>
      </c>
      <c r="H22" s="506">
        <f t="shared" si="2"/>
        <v>412</v>
      </c>
      <c r="I22" s="142">
        <v>326</v>
      </c>
      <c r="J22" s="504">
        <v>20.6</v>
      </c>
      <c r="K22" s="504">
        <v>20.9</v>
      </c>
      <c r="L22" s="504">
        <v>5.5</v>
      </c>
      <c r="M22" s="504">
        <v>19.899999999999999</v>
      </c>
      <c r="N22" s="507">
        <v>19.8</v>
      </c>
      <c r="O22" s="506">
        <f t="shared" si="0"/>
        <v>412.7</v>
      </c>
      <c r="P22" s="515">
        <v>80</v>
      </c>
      <c r="Q22" s="504">
        <v>79.599999999999994</v>
      </c>
      <c r="R22" s="504">
        <v>29.3</v>
      </c>
      <c r="S22" s="504">
        <v>80.099999999999994</v>
      </c>
      <c r="T22" s="507">
        <v>80.400000000000006</v>
      </c>
      <c r="U22" s="508">
        <v>82.9</v>
      </c>
      <c r="V22" s="504">
        <v>84.1</v>
      </c>
      <c r="W22" s="504">
        <v>30.3</v>
      </c>
      <c r="X22" s="504">
        <v>83.5</v>
      </c>
      <c r="Y22" s="507">
        <v>83.4</v>
      </c>
      <c r="Z22" s="509">
        <f t="shared" si="1"/>
        <v>1538.3000000000002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503">
        <v>323.60000000000002</v>
      </c>
      <c r="C23" s="504">
        <v>20.5</v>
      </c>
      <c r="D23" s="504">
        <v>20.5</v>
      </c>
      <c r="E23" s="504">
        <v>5.6</v>
      </c>
      <c r="F23" s="504">
        <v>20.9</v>
      </c>
      <c r="G23" s="505">
        <v>20.8</v>
      </c>
      <c r="H23" s="506">
        <f t="shared" si="2"/>
        <v>411.90000000000003</v>
      </c>
      <c r="I23" s="142">
        <v>326</v>
      </c>
      <c r="J23" s="504">
        <v>20.6</v>
      </c>
      <c r="K23" s="504">
        <v>20.9</v>
      </c>
      <c r="L23" s="504">
        <v>5.5</v>
      </c>
      <c r="M23" s="504">
        <v>19.899999999999999</v>
      </c>
      <c r="N23" s="507">
        <v>19.8</v>
      </c>
      <c r="O23" s="506">
        <f t="shared" si="0"/>
        <v>412.7</v>
      </c>
      <c r="P23" s="515">
        <v>80</v>
      </c>
      <c r="Q23" s="504">
        <v>79.599999999999994</v>
      </c>
      <c r="R23" s="504">
        <v>29.1</v>
      </c>
      <c r="S23" s="504">
        <v>80.099999999999994</v>
      </c>
      <c r="T23" s="507">
        <v>80.2</v>
      </c>
      <c r="U23" s="508">
        <v>82.9</v>
      </c>
      <c r="V23" s="504">
        <v>84.1</v>
      </c>
      <c r="W23" s="504">
        <v>29.8</v>
      </c>
      <c r="X23" s="504">
        <v>83.5</v>
      </c>
      <c r="Y23" s="507">
        <v>83.4</v>
      </c>
      <c r="Z23" s="209">
        <f t="shared" si="1"/>
        <v>1537.3000000000002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595">
        <v>323.60000000000002</v>
      </c>
      <c r="C24" s="596">
        <v>20.5</v>
      </c>
      <c r="D24" s="596">
        <v>20.5</v>
      </c>
      <c r="E24" s="596">
        <v>5.6</v>
      </c>
      <c r="F24" s="596">
        <v>20.9</v>
      </c>
      <c r="G24" s="597">
        <v>20.8</v>
      </c>
      <c r="H24" s="598">
        <f t="shared" si="2"/>
        <v>411.90000000000003</v>
      </c>
      <c r="I24" s="599">
        <v>326</v>
      </c>
      <c r="J24" s="596">
        <v>20.6</v>
      </c>
      <c r="K24" s="596">
        <v>20.9</v>
      </c>
      <c r="L24" s="596">
        <v>5.5</v>
      </c>
      <c r="M24" s="596">
        <v>19.899999999999999</v>
      </c>
      <c r="N24" s="600">
        <v>19.8</v>
      </c>
      <c r="O24" s="598">
        <f t="shared" si="0"/>
        <v>412.7</v>
      </c>
      <c r="P24" s="601">
        <v>80</v>
      </c>
      <c r="Q24" s="596">
        <v>79.7</v>
      </c>
      <c r="R24" s="596">
        <v>29.1</v>
      </c>
      <c r="S24" s="596">
        <v>79.900000000000006</v>
      </c>
      <c r="T24" s="600">
        <v>80.2</v>
      </c>
      <c r="U24" s="602">
        <v>82.9</v>
      </c>
      <c r="V24" s="596">
        <v>84.1</v>
      </c>
      <c r="W24" s="596">
        <v>29.8</v>
      </c>
      <c r="X24" s="596">
        <v>83.5</v>
      </c>
      <c r="Y24" s="600">
        <v>83.4</v>
      </c>
      <c r="Z24" s="412">
        <f t="shared" si="1"/>
        <v>1537.2000000000003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298">
        <f>SUM(C18:C24)</f>
        <v>143.5</v>
      </c>
      <c r="D25" s="298">
        <f t="shared" ref="D25:Y25" si="3">SUM(D18:D24)</f>
        <v>143.80000000000001</v>
      </c>
      <c r="E25" s="298">
        <f t="shared" si="3"/>
        <v>39</v>
      </c>
      <c r="F25" s="298">
        <f t="shared" si="3"/>
        <v>146.30000000000001</v>
      </c>
      <c r="G25" s="448">
        <f t="shared" si="3"/>
        <v>145.89999999999998</v>
      </c>
      <c r="H25" s="436">
        <f>SUM(H18:H24)</f>
        <v>2883.7000000000003</v>
      </c>
      <c r="I25" s="297"/>
      <c r="J25" s="298">
        <f t="shared" si="3"/>
        <v>144.6</v>
      </c>
      <c r="K25" s="298">
        <f>SUM(K18:K24)</f>
        <v>146.30000000000001</v>
      </c>
      <c r="L25" s="298">
        <f t="shared" si="3"/>
        <v>38.4</v>
      </c>
      <c r="M25" s="298">
        <f t="shared" si="3"/>
        <v>139.5</v>
      </c>
      <c r="N25" s="299">
        <f t="shared" si="3"/>
        <v>138.4</v>
      </c>
      <c r="O25" s="436">
        <f>SUM(O18:O24)</f>
        <v>2889.1999999999994</v>
      </c>
      <c r="P25" s="615">
        <f t="shared" si="3"/>
        <v>559.6</v>
      </c>
      <c r="Q25" s="616">
        <f t="shared" si="3"/>
        <v>557.30000000000007</v>
      </c>
      <c r="R25" s="616">
        <f t="shared" si="3"/>
        <v>204.7</v>
      </c>
      <c r="S25" s="616">
        <f t="shared" si="3"/>
        <v>560.5</v>
      </c>
      <c r="T25" s="617">
        <f t="shared" si="3"/>
        <v>562.4</v>
      </c>
      <c r="U25" s="618">
        <f t="shared" si="3"/>
        <v>580.29999999999995</v>
      </c>
      <c r="V25" s="616">
        <f t="shared" si="3"/>
        <v>588.30000000000007</v>
      </c>
      <c r="W25" s="616">
        <f t="shared" si="3"/>
        <v>211.10000000000002</v>
      </c>
      <c r="X25" s="616">
        <f t="shared" si="3"/>
        <v>584.79999999999995</v>
      </c>
      <c r="Y25" s="619">
        <f t="shared" si="3"/>
        <v>583.69999999999993</v>
      </c>
      <c r="Z25" s="607">
        <f>SUM(Z18,Z19,Z20,Z21,Z22,Z23,Z24)</f>
        <v>10765.6</v>
      </c>
      <c r="AA25" s="301"/>
    </row>
    <row r="26" spans="1:40" s="2" customFormat="1" ht="36.75" customHeight="1" x14ac:dyDescent="0.25">
      <c r="A26" s="192" t="s">
        <v>11</v>
      </c>
      <c r="B26" s="293"/>
      <c r="C26" s="603">
        <v>165.52</v>
      </c>
      <c r="D26" s="603">
        <v>165.52</v>
      </c>
      <c r="E26" s="603">
        <v>165.52</v>
      </c>
      <c r="F26" s="603">
        <v>165.52</v>
      </c>
      <c r="G26" s="603">
        <v>165.52</v>
      </c>
      <c r="H26" s="478"/>
      <c r="I26" s="604"/>
      <c r="J26" s="603">
        <v>165.52</v>
      </c>
      <c r="K26" s="603">
        <v>165.52</v>
      </c>
      <c r="L26" s="603">
        <v>163.82</v>
      </c>
      <c r="M26" s="603">
        <v>163.82</v>
      </c>
      <c r="N26" s="603">
        <v>163.82</v>
      </c>
      <c r="O26" s="610"/>
      <c r="P26" s="620">
        <v>163.82</v>
      </c>
      <c r="Q26" s="621">
        <v>163.82</v>
      </c>
      <c r="R26" s="621">
        <v>163.82</v>
      </c>
      <c r="S26" s="621">
        <v>163.82</v>
      </c>
      <c r="T26" s="622">
        <v>163.82</v>
      </c>
      <c r="U26" s="620">
        <v>163.82</v>
      </c>
      <c r="V26" s="621">
        <v>163.82</v>
      </c>
      <c r="W26" s="621">
        <v>163.82</v>
      </c>
      <c r="X26" s="621">
        <v>163.82</v>
      </c>
      <c r="Y26" s="622">
        <v>163.82</v>
      </c>
      <c r="Z26" s="605">
        <f>(((Z25*1000)/7)/Z27)</f>
        <v>164.64434826494562</v>
      </c>
    </row>
    <row r="27" spans="1:40" s="2" customFormat="1" ht="33" customHeight="1" x14ac:dyDescent="0.25">
      <c r="A27" s="193" t="s">
        <v>12</v>
      </c>
      <c r="B27" s="257"/>
      <c r="C27" s="27">
        <v>577</v>
      </c>
      <c r="D27" s="27">
        <v>578</v>
      </c>
      <c r="E27" s="27">
        <v>157</v>
      </c>
      <c r="F27" s="27">
        <v>588</v>
      </c>
      <c r="G27" s="27">
        <v>586</v>
      </c>
      <c r="H27" s="441"/>
      <c r="I27" s="26"/>
      <c r="J27" s="27">
        <v>581</v>
      </c>
      <c r="K27" s="27">
        <v>588</v>
      </c>
      <c r="L27" s="483">
        <v>162</v>
      </c>
      <c r="M27" s="27">
        <v>589</v>
      </c>
      <c r="N27" s="27">
        <v>584</v>
      </c>
      <c r="O27" s="611"/>
      <c r="P27" s="26">
        <v>488</v>
      </c>
      <c r="Q27" s="27">
        <v>486</v>
      </c>
      <c r="R27" s="27">
        <v>178</v>
      </c>
      <c r="S27" s="27">
        <v>488</v>
      </c>
      <c r="T27" s="623">
        <v>490</v>
      </c>
      <c r="U27" s="26">
        <v>506</v>
      </c>
      <c r="V27" s="27">
        <v>513</v>
      </c>
      <c r="W27" s="27">
        <v>183</v>
      </c>
      <c r="X27" s="27">
        <v>510</v>
      </c>
      <c r="Y27" s="28">
        <v>509</v>
      </c>
      <c r="Z27" s="29">
        <f>SUM(C27:Y27)</f>
        <v>9341</v>
      </c>
      <c r="AA27" s="402"/>
    </row>
    <row r="28" spans="1:40" s="2" customFormat="1" ht="33" customHeight="1" x14ac:dyDescent="0.25">
      <c r="A28" s="444" t="s">
        <v>13</v>
      </c>
      <c r="B28" s="445"/>
      <c r="C28" s="31">
        <f>(C33*C27)/1000</f>
        <v>20.495040000000003</v>
      </c>
      <c r="D28" s="31">
        <f>(D33*D27)/1000</f>
        <v>20.530560000000005</v>
      </c>
      <c r="E28" s="31">
        <f t="shared" ref="E28:G28" si="4">(E33*E27)/1000</f>
        <v>5.5766400000000012</v>
      </c>
      <c r="F28" s="31">
        <f t="shared" si="4"/>
        <v>20.885760000000005</v>
      </c>
      <c r="G28" s="31">
        <f t="shared" si="4"/>
        <v>20.814720000000005</v>
      </c>
      <c r="H28" s="442"/>
      <c r="I28" s="30"/>
      <c r="J28" s="31">
        <f>(J33*J27)/1000</f>
        <v>20.637120000000007</v>
      </c>
      <c r="K28" s="31">
        <f t="shared" ref="K28:N28" si="5">(K33*K27)/1000</f>
        <v>20.885760000000005</v>
      </c>
      <c r="L28" s="31">
        <f t="shared" si="5"/>
        <v>5.478839999999999</v>
      </c>
      <c r="M28" s="31">
        <f t="shared" si="5"/>
        <v>19.919979999999995</v>
      </c>
      <c r="N28" s="31">
        <f t="shared" si="5"/>
        <v>19.750879999999999</v>
      </c>
      <c r="O28" s="612"/>
      <c r="P28" s="30">
        <f t="shared" ref="P28" si="6">((((P26*7)*P27)/1000)-P18-P19)/5</f>
        <v>79.961824000000007</v>
      </c>
      <c r="Q28" s="31">
        <f t="shared" ref="Q28" si="7">((((Q26*7)*Q27)/1000)-Q18-Q19)/5</f>
        <v>79.623127999999994</v>
      </c>
      <c r="R28" s="31">
        <f t="shared" ref="R28" si="8">((((R26*7)*R27)/1000)-R18-R19)/5</f>
        <v>29.103943999999995</v>
      </c>
      <c r="S28" s="31">
        <f t="shared" ref="S28" si="9">((((S26*7)*S27)/1000)-S18-S19)/5</f>
        <v>79.88182399999998</v>
      </c>
      <c r="T28" s="32">
        <f t="shared" ref="T28" si="10">((((T26*7)*T27)/1000)-T18-T19)/5</f>
        <v>80.220520000000008</v>
      </c>
      <c r="U28" s="30">
        <f t="shared" ref="U28" si="11">((((U26*7)*U27)/1000)-U18-U19)/5</f>
        <v>82.850088</v>
      </c>
      <c r="V28" s="31">
        <f t="shared" ref="V28" si="12">((((V26*7)*V27)/1000)-V18-V19)/5</f>
        <v>84.055523999999991</v>
      </c>
      <c r="W28" s="31">
        <f t="shared" ref="W28" si="13">((((W26*7)*W27)/1000)-W18-W19)/5</f>
        <v>29.810683999999998</v>
      </c>
      <c r="X28" s="31">
        <f t="shared" ref="X28" si="14">((((X26*7)*X27)/1000)-X18-X19)/5</f>
        <v>83.487480000000005</v>
      </c>
      <c r="Y28" s="32">
        <f t="shared" ref="Y28" si="15">((((Y26*7)*Y27)/1000)-Y18-Y19)/5</f>
        <v>83.358131999999998</v>
      </c>
      <c r="Z28" s="33"/>
    </row>
    <row r="29" spans="1:40" ht="33.75" customHeight="1" x14ac:dyDescent="0.25">
      <c r="A29" s="185" t="s">
        <v>14</v>
      </c>
      <c r="B29" s="34"/>
      <c r="C29" s="280">
        <f>((C27*C30)*7)/1000</f>
        <v>143.5</v>
      </c>
      <c r="D29" s="280">
        <f t="shared" ref="D29:G29" si="16">((D27*D30)*7)/1000</f>
        <v>143.80000000000001</v>
      </c>
      <c r="E29" s="280">
        <f>((E27*E30)*7)/1000</f>
        <v>39.000000000000007</v>
      </c>
      <c r="F29" s="280">
        <f t="shared" si="16"/>
        <v>146.30000000000004</v>
      </c>
      <c r="G29" s="280">
        <f t="shared" si="16"/>
        <v>145.9</v>
      </c>
      <c r="H29" s="443"/>
      <c r="I29" s="279"/>
      <c r="J29" s="280">
        <f>((J27*J30)*7)/1000</f>
        <v>144.6</v>
      </c>
      <c r="K29" s="280">
        <f t="shared" ref="K29:N29" si="17">((K27*K30)*7)/1000</f>
        <v>146.30000000000004</v>
      </c>
      <c r="L29" s="280">
        <f t="shared" si="17"/>
        <v>38.4</v>
      </c>
      <c r="M29" s="280">
        <f t="shared" si="17"/>
        <v>139.5</v>
      </c>
      <c r="N29" s="280">
        <f t="shared" si="17"/>
        <v>138.39999999999998</v>
      </c>
      <c r="O29" s="613"/>
      <c r="P29" s="279">
        <f t="shared" ref="P29:Y29" si="18">((P27*P26)*7)/1000</f>
        <v>559.60911999999996</v>
      </c>
      <c r="Q29" s="280">
        <f t="shared" si="18"/>
        <v>557.31563999999992</v>
      </c>
      <c r="R29" s="280">
        <f t="shared" si="18"/>
        <v>204.11972</v>
      </c>
      <c r="S29" s="280">
        <f t="shared" si="18"/>
        <v>559.60911999999996</v>
      </c>
      <c r="T29" s="282">
        <f t="shared" si="18"/>
        <v>561.90260000000001</v>
      </c>
      <c r="U29" s="279">
        <f t="shared" si="18"/>
        <v>580.25043999999991</v>
      </c>
      <c r="V29" s="280">
        <f t="shared" si="18"/>
        <v>588.27761999999996</v>
      </c>
      <c r="W29" s="280">
        <f t="shared" si="18"/>
        <v>209.85341999999997</v>
      </c>
      <c r="X29" s="280">
        <f t="shared" si="18"/>
        <v>584.8374</v>
      </c>
      <c r="Y29" s="282">
        <f t="shared" si="18"/>
        <v>583.69065999999987</v>
      </c>
      <c r="Z29" s="36"/>
    </row>
    <row r="30" spans="1:40" ht="33.75" customHeight="1" thickBot="1" x14ac:dyDescent="0.3">
      <c r="A30" s="195" t="s">
        <v>15</v>
      </c>
      <c r="B30" s="423"/>
      <c r="C30" s="38">
        <f>+(C25/C27)/7*1000</f>
        <v>35.52859618717504</v>
      </c>
      <c r="D30" s="38">
        <f t="shared" ref="D30:Y30" si="19">+(D25/D27)/7*1000</f>
        <v>35.541275333662881</v>
      </c>
      <c r="E30" s="38">
        <f t="shared" si="19"/>
        <v>35.486806187443136</v>
      </c>
      <c r="F30" s="38">
        <f t="shared" si="19"/>
        <v>35.544217687074834</v>
      </c>
      <c r="G30" s="38">
        <f t="shared" si="19"/>
        <v>35.568015602145294</v>
      </c>
      <c r="H30" s="259"/>
      <c r="I30" s="37"/>
      <c r="J30" s="38">
        <f t="shared" si="19"/>
        <v>35.554462748955004</v>
      </c>
      <c r="K30" s="38">
        <f t="shared" si="19"/>
        <v>35.544217687074834</v>
      </c>
      <c r="L30" s="38">
        <f t="shared" si="19"/>
        <v>33.862433862433861</v>
      </c>
      <c r="M30" s="38">
        <f t="shared" si="19"/>
        <v>33.834586466165412</v>
      </c>
      <c r="N30" s="38">
        <f t="shared" si="19"/>
        <v>33.855185909980428</v>
      </c>
      <c r="O30" s="614"/>
      <c r="P30" s="37">
        <f t="shared" si="19"/>
        <v>163.81733021077284</v>
      </c>
      <c r="Q30" s="38">
        <f t="shared" si="19"/>
        <v>163.81540270429159</v>
      </c>
      <c r="R30" s="38">
        <f t="shared" si="19"/>
        <v>164.28571428571428</v>
      </c>
      <c r="S30" s="38">
        <f t="shared" si="19"/>
        <v>164.0807962529274</v>
      </c>
      <c r="T30" s="39">
        <f t="shared" si="19"/>
        <v>163.9650145772595</v>
      </c>
      <c r="U30" s="37">
        <f t="shared" si="19"/>
        <v>163.83399209486166</v>
      </c>
      <c r="V30" s="38">
        <f t="shared" si="19"/>
        <v>163.82623224728491</v>
      </c>
      <c r="W30" s="38">
        <f t="shared" si="19"/>
        <v>164.79313036690084</v>
      </c>
      <c r="X30" s="38">
        <f t="shared" si="19"/>
        <v>163.8095238095238</v>
      </c>
      <c r="Y30" s="39">
        <f t="shared" si="19"/>
        <v>163.82262138647204</v>
      </c>
      <c r="Z30" s="40"/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20">D29-D25</f>
        <v>0</v>
      </c>
      <c r="E31" s="42">
        <f t="shared" si="20"/>
        <v>0</v>
      </c>
      <c r="F31" s="42">
        <f t="shared" si="20"/>
        <v>0</v>
      </c>
      <c r="G31" s="42">
        <f t="shared" si="20"/>
        <v>0</v>
      </c>
      <c r="H31" s="42"/>
      <c r="I31" s="42"/>
      <c r="J31" s="42">
        <f t="shared" si="20"/>
        <v>0</v>
      </c>
      <c r="K31" s="42">
        <f>K29-K25</f>
        <v>0</v>
      </c>
      <c r="L31" s="42">
        <f t="shared" si="20"/>
        <v>0</v>
      </c>
      <c r="M31" s="42">
        <f t="shared" si="20"/>
        <v>0</v>
      </c>
      <c r="N31" s="42">
        <f t="shared" si="20"/>
        <v>0</v>
      </c>
      <c r="O31" s="42"/>
      <c r="P31" s="42">
        <f t="shared" si="20"/>
        <v>9.1199999999389547E-3</v>
      </c>
      <c r="Q31" s="42">
        <f t="shared" si="20"/>
        <v>1.5639999999848442E-2</v>
      </c>
      <c r="R31" s="42">
        <f t="shared" si="20"/>
        <v>-0.58027999999998769</v>
      </c>
      <c r="S31" s="42">
        <f t="shared" si="20"/>
        <v>-0.89088000000003831</v>
      </c>
      <c r="T31" s="42">
        <f t="shared" si="20"/>
        <v>-0.49739999999997053</v>
      </c>
      <c r="U31" s="42">
        <f t="shared" si="20"/>
        <v>-4.9560000000042237E-2</v>
      </c>
      <c r="V31" s="42">
        <f t="shared" si="20"/>
        <v>-2.2380000000111977E-2</v>
      </c>
      <c r="W31" s="42">
        <f t="shared" si="20"/>
        <v>-1.2465800000000513</v>
      </c>
      <c r="X31" s="42">
        <f t="shared" si="20"/>
        <v>3.7400000000047839E-2</v>
      </c>
      <c r="Y31" s="42">
        <f t="shared" si="20"/>
        <v>-9.3400000000656291E-3</v>
      </c>
      <c r="Z31" s="48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8.5961871750299679E-3</v>
      </c>
      <c r="D32" s="42">
        <f t="shared" ref="D32:G32" si="21">D30-D33</f>
        <v>2.1275333662870821E-2</v>
      </c>
      <c r="E32" s="42">
        <f t="shared" si="21"/>
        <v>-3.3193812556874036E-2</v>
      </c>
      <c r="F32" s="42">
        <f t="shared" si="21"/>
        <v>2.4217687074823857E-2</v>
      </c>
      <c r="G32" s="42">
        <f t="shared" si="21"/>
        <v>4.801560214528422E-2</v>
      </c>
      <c r="H32" s="42"/>
      <c r="I32" s="42"/>
      <c r="J32" s="42">
        <f t="shared" ref="J32:N32" si="22">J30-J33</f>
        <v>3.4462748954993572E-2</v>
      </c>
      <c r="K32" s="42">
        <f t="shared" si="22"/>
        <v>2.4217687074823857E-2</v>
      </c>
      <c r="L32" s="42">
        <f t="shared" si="22"/>
        <v>4.2433862433867375E-2</v>
      </c>
      <c r="M32" s="42">
        <f t="shared" si="22"/>
        <v>1.4586466165418699E-2</v>
      </c>
      <c r="N32" s="42">
        <f t="shared" si="22"/>
        <v>3.518590998043436E-2</v>
      </c>
      <c r="O32" s="42"/>
      <c r="P32" s="42">
        <f t="shared" si="20"/>
        <v>-2.6697892271556611E-3</v>
      </c>
      <c r="Q32" s="42">
        <f t="shared" si="20"/>
        <v>-4.5972957084075006E-3</v>
      </c>
      <c r="R32" s="42">
        <f t="shared" si="20"/>
        <v>0.46571428571428442</v>
      </c>
      <c r="S32" s="42">
        <f t="shared" si="20"/>
        <v>0.26079625292740616</v>
      </c>
      <c r="T32" s="42">
        <f t="shared" si="20"/>
        <v>0.14501457725950218</v>
      </c>
      <c r="U32" s="42">
        <f t="shared" si="20"/>
        <v>1.3992094861663418E-2</v>
      </c>
      <c r="V32" s="42">
        <f t="shared" si="20"/>
        <v>6.2322472849132282E-3</v>
      </c>
      <c r="W32" s="42">
        <f t="shared" si="20"/>
        <v>0.97313036690084687</v>
      </c>
      <c r="X32" s="42">
        <f t="shared" si="20"/>
        <v>-1.0476190476197189E-2</v>
      </c>
      <c r="Y32" s="42">
        <f t="shared" si="20"/>
        <v>2.6213864720432412E-3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35.52000000000001</v>
      </c>
      <c r="D33" s="42">
        <f t="shared" ref="D33:G33" si="23">D26-$B$34</f>
        <v>35.52000000000001</v>
      </c>
      <c r="E33" s="42">
        <f t="shared" si="23"/>
        <v>35.52000000000001</v>
      </c>
      <c r="F33" s="42">
        <f t="shared" si="23"/>
        <v>35.52000000000001</v>
      </c>
      <c r="G33" s="42">
        <f t="shared" si="23"/>
        <v>35.52000000000001</v>
      </c>
      <c r="H33" s="42"/>
      <c r="I33" s="42"/>
      <c r="J33" s="42">
        <f>J26-$I$34</f>
        <v>35.52000000000001</v>
      </c>
      <c r="K33" s="42">
        <f t="shared" ref="K33:N33" si="24">K26-$I$34</f>
        <v>35.52000000000001</v>
      </c>
      <c r="L33" s="42">
        <f t="shared" si="24"/>
        <v>33.819999999999993</v>
      </c>
      <c r="M33" s="42">
        <f t="shared" si="24"/>
        <v>33.819999999999993</v>
      </c>
      <c r="N33" s="42">
        <f t="shared" si="24"/>
        <v>33.819999999999993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323.18</v>
      </c>
      <c r="D34" s="432">
        <f>SUM(C27:G27)</f>
        <v>2486</v>
      </c>
      <c r="E34" s="42"/>
      <c r="F34" s="42"/>
      <c r="G34" s="42"/>
      <c r="H34" s="42"/>
      <c r="I34" s="514">
        <v>130</v>
      </c>
      <c r="J34" s="431">
        <f>(I34*K34)/1000</f>
        <v>325.52</v>
      </c>
      <c r="K34" s="432">
        <f>SUM(J27:N27)</f>
        <v>2504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9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426" t="s">
        <v>18</v>
      </c>
      <c r="M39" s="973" t="s">
        <v>17</v>
      </c>
      <c r="N39" s="974"/>
      <c r="O39" s="974"/>
      <c r="P39" s="974"/>
      <c r="Q39" s="974"/>
      <c r="R39" s="991"/>
      <c r="S39" s="261" t="s">
        <v>9</v>
      </c>
      <c r="U39" s="45"/>
      <c r="V39" s="45"/>
      <c r="W39" s="46"/>
      <c r="X39" s="3"/>
      <c r="Y39" s="45"/>
      <c r="Z39" s="45"/>
      <c r="AA39" s="45"/>
      <c r="AB39" s="3"/>
    </row>
    <row r="40" spans="1:38" ht="33.75" customHeight="1" thickBot="1" x14ac:dyDescent="0.3">
      <c r="A40" s="170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86">
        <v>1</v>
      </c>
      <c r="N40" s="174">
        <v>2</v>
      </c>
      <c r="O40" s="174">
        <v>3</v>
      </c>
      <c r="P40" s="174">
        <v>4</v>
      </c>
      <c r="Q40" s="203">
        <v>5</v>
      </c>
      <c r="R40" s="175" t="s">
        <v>92</v>
      </c>
      <c r="S40" s="126"/>
      <c r="U40" s="47"/>
      <c r="V40" s="47"/>
      <c r="W40" s="48"/>
      <c r="X40" s="48"/>
      <c r="Y40" s="2"/>
      <c r="Z40" s="2"/>
      <c r="AA40" s="2"/>
      <c r="AB40" s="2"/>
    </row>
    <row r="41" spans="1:38" ht="33.75" customHeight="1" x14ac:dyDescent="0.25">
      <c r="A41" s="171" t="s">
        <v>32</v>
      </c>
      <c r="B41" s="625">
        <v>98.2</v>
      </c>
      <c r="C41" s="626">
        <v>97.8</v>
      </c>
      <c r="D41" s="626">
        <v>26.3</v>
      </c>
      <c r="E41" s="626">
        <v>98.7</v>
      </c>
      <c r="F41" s="627">
        <v>97.4</v>
      </c>
      <c r="G41" s="509">
        <f t="shared" ref="G41:G48" si="25">SUM(B41:F41)</f>
        <v>418.4</v>
      </c>
      <c r="H41" s="609"/>
      <c r="I41" s="364"/>
      <c r="J41" s="364"/>
      <c r="K41" s="364"/>
      <c r="L41" s="171" t="s">
        <v>53</v>
      </c>
      <c r="M41" s="133">
        <v>7.7</v>
      </c>
      <c r="N41" s="134">
        <v>7.6</v>
      </c>
      <c r="O41" s="134">
        <v>2</v>
      </c>
      <c r="P41" s="134">
        <v>7.5</v>
      </c>
      <c r="Q41" s="134">
        <v>7.6</v>
      </c>
      <c r="R41" s="156">
        <v>2.2000000000000002</v>
      </c>
      <c r="S41" s="98">
        <f>SUM(M41:R41)</f>
        <v>34.6</v>
      </c>
      <c r="T41" s="302"/>
      <c r="U41" s="2"/>
      <c r="V41" s="49"/>
      <c r="W41" s="48"/>
      <c r="X41" s="48"/>
      <c r="Y41" s="2"/>
      <c r="Z41" s="2"/>
      <c r="AA41" s="2"/>
      <c r="AB41" s="2"/>
    </row>
    <row r="42" spans="1:38" ht="33.75" customHeight="1" x14ac:dyDescent="0.25">
      <c r="A42" s="171" t="s">
        <v>24</v>
      </c>
      <c r="B42" s="142">
        <v>97.9</v>
      </c>
      <c r="C42" s="486">
        <v>97.6</v>
      </c>
      <c r="D42" s="486">
        <v>26.3</v>
      </c>
      <c r="E42" s="486">
        <v>98.6</v>
      </c>
      <c r="F42" s="537">
        <v>97.1</v>
      </c>
      <c r="G42" s="509">
        <f t="shared" si="25"/>
        <v>417.5</v>
      </c>
      <c r="H42" s="609"/>
      <c r="I42" s="364"/>
      <c r="J42" s="364"/>
      <c r="K42" s="364"/>
      <c r="L42" s="171" t="s">
        <v>24</v>
      </c>
      <c r="M42" s="18">
        <v>7.7</v>
      </c>
      <c r="N42" s="19">
        <v>7.6</v>
      </c>
      <c r="O42" s="19">
        <v>2</v>
      </c>
      <c r="P42" s="19">
        <v>7.5</v>
      </c>
      <c r="Q42" s="19">
        <v>7.6</v>
      </c>
      <c r="R42" s="20">
        <v>2.2999999999999998</v>
      </c>
      <c r="S42" s="98">
        <f t="shared" ref="S42:S46" si="26">SUM(M42:R42)</f>
        <v>34.699999999999996</v>
      </c>
      <c r="T42" s="302"/>
      <c r="U42" s="2"/>
      <c r="V42" s="49"/>
      <c r="W42" s="48"/>
      <c r="X42" s="48"/>
      <c r="Y42" s="2"/>
      <c r="Z42" s="2"/>
      <c r="AA42" s="2"/>
      <c r="AB42" s="2"/>
    </row>
    <row r="43" spans="1:38" ht="33.75" customHeight="1" x14ac:dyDescent="0.25">
      <c r="A43" s="171" t="s">
        <v>20</v>
      </c>
      <c r="B43" s="142">
        <v>96.3</v>
      </c>
      <c r="C43" s="486">
        <v>97.1</v>
      </c>
      <c r="D43" s="486">
        <v>25.9</v>
      </c>
      <c r="E43" s="486">
        <v>98</v>
      </c>
      <c r="F43" s="537">
        <v>96.4</v>
      </c>
      <c r="G43" s="509">
        <f t="shared" si="25"/>
        <v>413.69999999999993</v>
      </c>
      <c r="H43" s="609"/>
      <c r="I43" s="364"/>
      <c r="J43" s="364"/>
      <c r="K43" s="364"/>
      <c r="L43" s="171" t="s">
        <v>20</v>
      </c>
      <c r="M43" s="18">
        <v>7.6</v>
      </c>
      <c r="N43" s="19">
        <v>7.5</v>
      </c>
      <c r="O43" s="19">
        <v>1.9</v>
      </c>
      <c r="P43" s="19">
        <v>7.5</v>
      </c>
      <c r="Q43" s="19">
        <v>7.6</v>
      </c>
      <c r="R43" s="20">
        <v>2.2999999999999998</v>
      </c>
      <c r="S43" s="98">
        <f t="shared" si="26"/>
        <v>34.4</v>
      </c>
      <c r="T43" s="302"/>
      <c r="U43" s="2"/>
      <c r="V43" s="49"/>
      <c r="W43" s="48"/>
      <c r="X43" s="48"/>
      <c r="Y43" s="2"/>
      <c r="Z43" s="2"/>
      <c r="AA43" s="2"/>
      <c r="AB43" s="2"/>
    </row>
    <row r="44" spans="1:38" ht="33.75" customHeight="1" x14ac:dyDescent="0.25">
      <c r="A44" s="171" t="s">
        <v>28</v>
      </c>
      <c r="B44" s="142">
        <v>96.3</v>
      </c>
      <c r="C44" s="486">
        <v>96.9</v>
      </c>
      <c r="D44" s="486">
        <v>25.7</v>
      </c>
      <c r="E44" s="486">
        <v>97.6</v>
      </c>
      <c r="F44" s="537">
        <v>96.4</v>
      </c>
      <c r="G44" s="509">
        <f t="shared" si="25"/>
        <v>412.9</v>
      </c>
      <c r="H44" s="609"/>
      <c r="I44" s="364"/>
      <c r="J44" s="364"/>
      <c r="K44" s="364"/>
      <c r="L44" s="171" t="s">
        <v>28</v>
      </c>
      <c r="M44" s="18">
        <v>7.6</v>
      </c>
      <c r="N44" s="19">
        <v>7.5</v>
      </c>
      <c r="O44" s="19">
        <v>2</v>
      </c>
      <c r="P44" s="19">
        <v>7.5</v>
      </c>
      <c r="Q44" s="19">
        <v>7.6</v>
      </c>
      <c r="R44" s="20">
        <v>2.2999999999999998</v>
      </c>
      <c r="S44" s="98">
        <f t="shared" si="26"/>
        <v>34.5</v>
      </c>
      <c r="T44" s="302"/>
      <c r="U44" s="2"/>
      <c r="V44" s="49"/>
      <c r="W44" s="48"/>
      <c r="X44" s="48"/>
      <c r="Y44" s="2"/>
      <c r="Z44" s="2"/>
      <c r="AA44" s="2"/>
      <c r="AB44" s="2"/>
    </row>
    <row r="45" spans="1:38" ht="33.75" customHeight="1" x14ac:dyDescent="0.25">
      <c r="A45" s="171" t="s">
        <v>21</v>
      </c>
      <c r="B45" s="142">
        <v>96.3</v>
      </c>
      <c r="C45" s="486">
        <v>96.4</v>
      </c>
      <c r="D45" s="486">
        <v>25.5</v>
      </c>
      <c r="E45" s="486">
        <v>96.3</v>
      </c>
      <c r="F45" s="537">
        <v>96.4</v>
      </c>
      <c r="G45" s="509">
        <f t="shared" si="25"/>
        <v>410.9</v>
      </c>
      <c r="H45" s="609"/>
      <c r="I45" s="364"/>
      <c r="J45" s="364"/>
      <c r="K45" s="364"/>
      <c r="L45" s="171" t="s">
        <v>21</v>
      </c>
      <c r="M45" s="18">
        <v>7.6</v>
      </c>
      <c r="N45" s="19">
        <v>7.6</v>
      </c>
      <c r="O45" s="19">
        <v>2</v>
      </c>
      <c r="P45" s="19">
        <v>7.6</v>
      </c>
      <c r="Q45" s="19">
        <v>7.6</v>
      </c>
      <c r="R45" s="20">
        <v>2.2999999999999998</v>
      </c>
      <c r="S45" s="98">
        <f t="shared" si="26"/>
        <v>34.699999999999996</v>
      </c>
      <c r="T45" s="302"/>
      <c r="U45" s="2"/>
      <c r="V45" s="49"/>
      <c r="W45" s="48"/>
      <c r="X45" s="48"/>
      <c r="Y45" s="2"/>
      <c r="Z45" s="2"/>
      <c r="AA45" s="2"/>
      <c r="AB45" s="2"/>
    </row>
    <row r="46" spans="1:38" ht="33.75" customHeight="1" x14ac:dyDescent="0.25">
      <c r="A46" s="171" t="s">
        <v>22</v>
      </c>
      <c r="B46" s="142">
        <v>96.3</v>
      </c>
      <c r="C46" s="486">
        <v>96</v>
      </c>
      <c r="D46" s="486">
        <v>25.5</v>
      </c>
      <c r="E46" s="486">
        <v>96.3</v>
      </c>
      <c r="F46" s="537">
        <v>96.2</v>
      </c>
      <c r="G46" s="509">
        <f t="shared" si="25"/>
        <v>410.3</v>
      </c>
      <c r="H46" s="609"/>
      <c r="I46" s="364"/>
      <c r="J46" s="364"/>
      <c r="K46" s="364"/>
      <c r="L46" s="171" t="s">
        <v>22</v>
      </c>
      <c r="M46" s="18">
        <v>7.6</v>
      </c>
      <c r="N46" s="19">
        <v>7.6</v>
      </c>
      <c r="O46" s="19">
        <v>2</v>
      </c>
      <c r="P46" s="19">
        <v>7.6</v>
      </c>
      <c r="Q46" s="19">
        <v>7.7</v>
      </c>
      <c r="R46" s="20">
        <v>2.2999999999999998</v>
      </c>
      <c r="S46" s="98">
        <f t="shared" si="26"/>
        <v>34.799999999999997</v>
      </c>
      <c r="T46" s="302"/>
      <c r="U46" s="2"/>
      <c r="V46" s="49"/>
      <c r="W46" s="48"/>
      <c r="X46" s="48"/>
      <c r="Y46" s="2"/>
      <c r="Z46" s="2"/>
      <c r="AA46" s="2"/>
      <c r="AB46" s="2"/>
    </row>
    <row r="47" spans="1:38" ht="33.75" customHeight="1" thickBot="1" x14ac:dyDescent="0.3">
      <c r="A47" s="285" t="s">
        <v>32</v>
      </c>
      <c r="B47" s="142">
        <v>96.3</v>
      </c>
      <c r="C47" s="486">
        <v>96</v>
      </c>
      <c r="D47" s="486">
        <v>25.3</v>
      </c>
      <c r="E47" s="486">
        <v>96.1</v>
      </c>
      <c r="F47" s="537">
        <v>96</v>
      </c>
      <c r="G47" s="526">
        <f t="shared" si="25"/>
        <v>409.70000000000005</v>
      </c>
      <c r="H47" s="609"/>
      <c r="I47" s="364"/>
      <c r="J47" s="364"/>
      <c r="K47" s="364"/>
      <c r="L47" s="285" t="s">
        <v>23</v>
      </c>
      <c r="M47" s="153">
        <v>7.7</v>
      </c>
      <c r="N47" s="154">
        <v>7.6</v>
      </c>
      <c r="O47" s="154">
        <v>2</v>
      </c>
      <c r="P47" s="154">
        <v>7.6</v>
      </c>
      <c r="Q47" s="154">
        <v>7.7</v>
      </c>
      <c r="R47" s="182">
        <v>2.2999999999999998</v>
      </c>
      <c r="S47" s="628">
        <f>SUM(M47:R47)</f>
        <v>34.9</v>
      </c>
      <c r="T47" s="302"/>
      <c r="U47" s="2"/>
      <c r="V47" s="49"/>
      <c r="W47" s="48"/>
      <c r="X47" s="48"/>
      <c r="Y47" s="48"/>
      <c r="Z47" s="48"/>
      <c r="AA47" s="2"/>
      <c r="AB47" s="2"/>
      <c r="AC47" s="2"/>
      <c r="AD47" s="2"/>
    </row>
    <row r="48" spans="1:38" ht="33.75" customHeight="1" x14ac:dyDescent="0.25">
      <c r="A48" s="290" t="s">
        <v>9</v>
      </c>
      <c r="B48" s="131">
        <f>SUM(B41:B47)</f>
        <v>677.6</v>
      </c>
      <c r="C48" s="128">
        <f t="shared" ref="C48:F48" si="27">SUM(C41:C47)</f>
        <v>677.8</v>
      </c>
      <c r="D48" s="128">
        <f t="shared" si="27"/>
        <v>180.5</v>
      </c>
      <c r="E48" s="128">
        <f t="shared" si="27"/>
        <v>681.6</v>
      </c>
      <c r="F48" s="129">
        <f t="shared" si="27"/>
        <v>675.9</v>
      </c>
      <c r="G48" s="265">
        <f t="shared" si="25"/>
        <v>2893.4</v>
      </c>
      <c r="H48" s="609"/>
      <c r="I48" s="364"/>
      <c r="J48" s="364"/>
      <c r="K48" s="364"/>
      <c r="L48" s="290" t="s">
        <v>9</v>
      </c>
      <c r="M48" s="179">
        <f>SUM(M41:M47)</f>
        <v>53.500000000000007</v>
      </c>
      <c r="N48" s="180">
        <f>SUM(N41:N47)</f>
        <v>53</v>
      </c>
      <c r="O48" s="180">
        <f>SUM(O41:O47)</f>
        <v>13.9</v>
      </c>
      <c r="P48" s="180">
        <f t="shared" ref="P48:R48" si="28">SUM(P41:P47)</f>
        <v>52.800000000000004</v>
      </c>
      <c r="Q48" s="180">
        <f t="shared" si="28"/>
        <v>53.400000000000006</v>
      </c>
      <c r="R48" s="181">
        <f t="shared" si="28"/>
        <v>16</v>
      </c>
      <c r="S48" s="265">
        <f>SUM(S41:S47)</f>
        <v>242.6</v>
      </c>
      <c r="U48" s="49"/>
      <c r="V48" s="49"/>
      <c r="W48" s="2"/>
      <c r="X48" s="2"/>
      <c r="Y48" s="2"/>
      <c r="Z48" s="2"/>
      <c r="AA48" s="2"/>
      <c r="AB48" s="2"/>
      <c r="AC48" s="2"/>
      <c r="AD48" s="2"/>
    </row>
    <row r="49" spans="1:50" ht="33.75" customHeight="1" x14ac:dyDescent="0.25">
      <c r="A49" s="192" t="s">
        <v>11</v>
      </c>
      <c r="B49" s="23">
        <v>158.69999999999999</v>
      </c>
      <c r="C49" s="24">
        <v>158.69999999999999</v>
      </c>
      <c r="D49" s="24">
        <v>158.69999999999999</v>
      </c>
      <c r="E49" s="24">
        <v>158.69999999999999</v>
      </c>
      <c r="F49" s="25">
        <v>158.69999999999999</v>
      </c>
      <c r="G49" s="137">
        <f>+((G48/G50)/7)*1000</f>
        <v>159.2229804094211</v>
      </c>
      <c r="H49" s="609"/>
      <c r="I49" s="364"/>
      <c r="J49" s="364"/>
      <c r="K49" s="364"/>
      <c r="L49" s="273" t="s">
        <v>11</v>
      </c>
      <c r="M49" s="23">
        <v>156</v>
      </c>
      <c r="N49" s="24">
        <v>154.5</v>
      </c>
      <c r="O49" s="24">
        <v>152.5</v>
      </c>
      <c r="P49" s="24">
        <v>154</v>
      </c>
      <c r="Q49" s="24">
        <v>152.5</v>
      </c>
      <c r="R49" s="25">
        <v>152.5</v>
      </c>
      <c r="S49" s="137">
        <f>+((S48/S50)/7)*1000</f>
        <v>154.03174603174602</v>
      </c>
      <c r="U49" s="50"/>
      <c r="V49" s="50"/>
    </row>
    <row r="50" spans="1:50" ht="33.75" customHeight="1" x14ac:dyDescent="0.25">
      <c r="A50" s="193" t="s">
        <v>12</v>
      </c>
      <c r="B50" s="26">
        <v>610</v>
      </c>
      <c r="C50" s="27">
        <v>608</v>
      </c>
      <c r="D50" s="27">
        <v>161</v>
      </c>
      <c r="E50" s="27">
        <v>610</v>
      </c>
      <c r="F50" s="28">
        <v>607</v>
      </c>
      <c r="G50" s="395">
        <f>SUM(B50:F50)</f>
        <v>2596</v>
      </c>
      <c r="H50" s="609"/>
      <c r="I50" s="364"/>
      <c r="J50" s="364"/>
      <c r="K50" s="364"/>
      <c r="L50" s="193" t="s">
        <v>12</v>
      </c>
      <c r="M50" s="257">
        <v>49</v>
      </c>
      <c r="N50" s="275">
        <v>49</v>
      </c>
      <c r="O50" s="275">
        <v>13</v>
      </c>
      <c r="P50" s="275">
        <v>49</v>
      </c>
      <c r="Q50" s="275">
        <v>50</v>
      </c>
      <c r="R50" s="276">
        <v>15</v>
      </c>
      <c r="S50" s="254">
        <f>SUM(M50:R50)</f>
        <v>225</v>
      </c>
      <c r="U50" s="52"/>
      <c r="V50" s="52"/>
    </row>
    <row r="51" spans="1:50" ht="33.75" customHeight="1" x14ac:dyDescent="0.25">
      <c r="A51" s="194" t="s">
        <v>13</v>
      </c>
      <c r="B51" s="30">
        <f>((((B49*7)*B50)/1000)-B41-B42)/5</f>
        <v>96.309799999999967</v>
      </c>
      <c r="C51" s="31">
        <f t="shared" ref="C51:F51" si="29">((((C49*7)*C50)/1000)-C41-C42)/5</f>
        <v>96.005439999999993</v>
      </c>
      <c r="D51" s="31">
        <f t="shared" si="29"/>
        <v>25.250979999999991</v>
      </c>
      <c r="E51" s="31">
        <f t="shared" si="29"/>
        <v>96.069799999999958</v>
      </c>
      <c r="F51" s="32">
        <f t="shared" si="29"/>
        <v>95.963259999999991</v>
      </c>
      <c r="G51" s="139">
        <f>((G48*1000)/G50)/7</f>
        <v>159.2229804094211</v>
      </c>
      <c r="H51" s="609"/>
      <c r="I51" s="364"/>
      <c r="J51" s="364"/>
      <c r="K51" s="364"/>
      <c r="L51" s="194" t="s">
        <v>13</v>
      </c>
      <c r="M51" s="30">
        <f t="shared" ref="M51:R51" si="30">((((M49*7)*M50)/1000)-M41-M42)/5</f>
        <v>7.621599999999999</v>
      </c>
      <c r="N51" s="31">
        <f t="shared" si="30"/>
        <v>7.5586999999999991</v>
      </c>
      <c r="O51" s="31">
        <f t="shared" si="30"/>
        <v>1.9754999999999998</v>
      </c>
      <c r="P51" s="31">
        <f t="shared" si="30"/>
        <v>7.5644000000000009</v>
      </c>
      <c r="Q51" s="31">
        <f t="shared" si="30"/>
        <v>7.6349999999999998</v>
      </c>
      <c r="R51" s="32">
        <f t="shared" si="30"/>
        <v>2.3024999999999998</v>
      </c>
      <c r="S51" s="274">
        <f>((S48*1000)/S50)/7</f>
        <v>154.03174603174602</v>
      </c>
      <c r="U51" s="52"/>
      <c r="V51" s="52"/>
    </row>
    <row r="52" spans="1:50" ht="33.75" customHeight="1" x14ac:dyDescent="0.25">
      <c r="A52" s="185" t="s">
        <v>14</v>
      </c>
      <c r="B52" s="279">
        <f>((B50*B49)*7)/1000</f>
        <v>677.649</v>
      </c>
      <c r="C52" s="280">
        <f>((C50*C49)*7)/1000</f>
        <v>675.42719999999997</v>
      </c>
      <c r="D52" s="280">
        <f>((D50*D49)*7)/1000</f>
        <v>178.85489999999996</v>
      </c>
      <c r="E52" s="280">
        <f>((E50*E49)*7)/1000</f>
        <v>677.649</v>
      </c>
      <c r="F52" s="282">
        <f>((F50*F49)*7)/1000</f>
        <v>674.31629999999996</v>
      </c>
      <c r="G52" s="112"/>
      <c r="H52" s="609"/>
      <c r="I52" s="364"/>
      <c r="J52" s="364"/>
      <c r="K52" s="364"/>
      <c r="L52" s="185" t="s">
        <v>14</v>
      </c>
      <c r="M52" s="279">
        <f>((M50*M49)*7)/1000</f>
        <v>53.508000000000003</v>
      </c>
      <c r="N52" s="280">
        <f>((N50*N49)*7)/1000</f>
        <v>52.993499999999997</v>
      </c>
      <c r="O52" s="280">
        <f>((O50*O49)*7)/1000</f>
        <v>13.8775</v>
      </c>
      <c r="P52" s="280">
        <f t="shared" ref="P52:R52" si="31">((P50*P49)*7)/1000</f>
        <v>52.822000000000003</v>
      </c>
      <c r="Q52" s="280">
        <f t="shared" si="31"/>
        <v>53.375</v>
      </c>
      <c r="R52" s="282">
        <f t="shared" si="31"/>
        <v>16.012499999999999</v>
      </c>
      <c r="S52" s="36"/>
    </row>
    <row r="53" spans="1:50" ht="33.75" customHeight="1" thickBot="1" x14ac:dyDescent="0.3">
      <c r="A53" s="195" t="s">
        <v>15</v>
      </c>
      <c r="B53" s="37">
        <f t="shared" ref="B53:E53" si="32">+(B48/B50)/7*1000</f>
        <v>158.68852459016395</v>
      </c>
      <c r="C53" s="38">
        <f t="shared" si="32"/>
        <v>159.25751879699246</v>
      </c>
      <c r="D53" s="38">
        <f t="shared" si="32"/>
        <v>160.15971606033719</v>
      </c>
      <c r="E53" s="38">
        <f t="shared" si="32"/>
        <v>159.62529274004683</v>
      </c>
      <c r="F53" s="39">
        <f>+(F48/F50)/7*1000</f>
        <v>159.07272299364556</v>
      </c>
      <c r="G53" s="140"/>
      <c r="H53" s="609"/>
      <c r="I53" s="364"/>
      <c r="J53" s="364"/>
      <c r="K53" s="364"/>
      <c r="L53" s="195" t="s">
        <v>15</v>
      </c>
      <c r="M53" s="37">
        <f>+(M48/M50)/7*1000</f>
        <v>155.97667638483966</v>
      </c>
      <c r="N53" s="38">
        <f>+(N48/N50)/7*1000</f>
        <v>154.51895043731781</v>
      </c>
      <c r="O53" s="38">
        <f>+(O48/O50)/7*1000</f>
        <v>152.74725274725273</v>
      </c>
      <c r="P53" s="38">
        <f t="shared" ref="P53:R53" si="33">+(P48/P50)/7*1000</f>
        <v>153.93586005830903</v>
      </c>
      <c r="Q53" s="38">
        <f t="shared" si="33"/>
        <v>152.57142857142858</v>
      </c>
      <c r="R53" s="39">
        <f t="shared" si="33"/>
        <v>152.38095238095238</v>
      </c>
      <c r="S53" s="259"/>
      <c r="U53" s="42"/>
      <c r="V53" s="42"/>
    </row>
    <row r="54" spans="1:50" ht="33.75" customHeight="1" x14ac:dyDescent="0.25">
      <c r="A54" s="41"/>
      <c r="B54" s="43">
        <f>B52-B48</f>
        <v>4.8999999999978172E-2</v>
      </c>
      <c r="C54" s="43">
        <f t="shared" ref="C54:F55" si="34">C52-C48</f>
        <v>-2.3727999999999838</v>
      </c>
      <c r="D54" s="43">
        <f t="shared" si="34"/>
        <v>-1.645100000000042</v>
      </c>
      <c r="E54" s="43">
        <f>E52-E48</f>
        <v>-3.9510000000000218</v>
      </c>
      <c r="F54" s="43">
        <f t="shared" si="34"/>
        <v>-1.5837000000000216</v>
      </c>
      <c r="G54" s="41"/>
      <c r="H54" s="41"/>
      <c r="I54" s="41"/>
      <c r="J54" s="41"/>
      <c r="K54" s="41"/>
      <c r="L54" s="42"/>
      <c r="M54" s="42">
        <f>M52-M48</f>
        <v>7.9999999999955662E-3</v>
      </c>
      <c r="N54" s="42">
        <f t="shared" ref="N54:R55" si="35">N52-N48</f>
        <v>-6.5000000000026148E-3</v>
      </c>
      <c r="O54" s="42">
        <f t="shared" si="35"/>
        <v>-2.2500000000000853E-2</v>
      </c>
      <c r="P54" s="42">
        <f t="shared" si="35"/>
        <v>2.1999999999998465E-2</v>
      </c>
      <c r="Q54" s="42">
        <f t="shared" si="35"/>
        <v>-2.5000000000005684E-2</v>
      </c>
      <c r="R54" s="42">
        <f t="shared" si="35"/>
        <v>1.2499999999999289E-2</v>
      </c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-1.1475409836037898E-2</v>
      </c>
      <c r="C55" s="42">
        <f>C53-C49</f>
        <v>0.55751879699246842</v>
      </c>
      <c r="D55" s="42">
        <f t="shared" si="34"/>
        <v>1.4597160603372004</v>
      </c>
      <c r="E55" s="42">
        <f>E53-E49</f>
        <v>0.92529274004684225</v>
      </c>
      <c r="F55" s="42">
        <f>F53-F49</f>
        <v>0.37272299364556716</v>
      </c>
      <c r="G55" s="41"/>
      <c r="H55" s="41"/>
      <c r="I55" s="41"/>
      <c r="J55" s="41"/>
      <c r="K55" s="42"/>
      <c r="L55" s="42"/>
      <c r="M55" s="42">
        <f>M53-M49</f>
        <v>-2.3323615160336431E-2</v>
      </c>
      <c r="N55" s="42">
        <f t="shared" si="35"/>
        <v>1.895043731781243E-2</v>
      </c>
      <c r="O55" s="42">
        <f>O53-O49</f>
        <v>0.24725274725273039</v>
      </c>
      <c r="P55" s="42">
        <f t="shared" si="35"/>
        <v>-6.4139941690967817E-2</v>
      </c>
      <c r="Q55" s="42">
        <f t="shared" si="35"/>
        <v>7.1428571428583609E-2</v>
      </c>
      <c r="R55" s="42">
        <f t="shared" si="35"/>
        <v>-0.1190476190476204</v>
      </c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1"/>
      <c r="N56" s="41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54"/>
      <c r="N57" s="54"/>
      <c r="O57" s="958"/>
      <c r="P57" s="958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86" t="s">
        <v>30</v>
      </c>
      <c r="H58" s="956"/>
      <c r="I58" s="956"/>
      <c r="J58" s="956"/>
      <c r="K58" s="956"/>
      <c r="L58" s="956"/>
      <c r="M58" s="986" t="s">
        <v>29</v>
      </c>
      <c r="N58" s="956"/>
      <c r="O58" s="956"/>
      <c r="P58" s="956"/>
      <c r="Q58" s="956"/>
      <c r="R58" s="987"/>
      <c r="S58" s="986" t="s">
        <v>31</v>
      </c>
      <c r="T58" s="956"/>
      <c r="U58" s="956"/>
      <c r="V58" s="956"/>
      <c r="W58" s="987"/>
      <c r="X58" s="586" t="s">
        <v>9</v>
      </c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188">
        <v>1</v>
      </c>
      <c r="H59" s="168">
        <v>2</v>
      </c>
      <c r="I59" s="168">
        <v>3</v>
      </c>
      <c r="J59" s="168">
        <v>4</v>
      </c>
      <c r="K59" s="168">
        <v>5</v>
      </c>
      <c r="L59" s="204" t="s">
        <v>117</v>
      </c>
      <c r="M59" s="188">
        <v>1</v>
      </c>
      <c r="N59" s="168">
        <v>2</v>
      </c>
      <c r="O59" s="168">
        <v>3</v>
      </c>
      <c r="P59" s="168">
        <v>4</v>
      </c>
      <c r="Q59" s="413">
        <v>5</v>
      </c>
      <c r="R59" s="414" t="s">
        <v>117</v>
      </c>
      <c r="S59" s="189">
        <v>1</v>
      </c>
      <c r="T59" s="168">
        <v>2</v>
      </c>
      <c r="U59" s="168">
        <v>3</v>
      </c>
      <c r="V59" s="168">
        <v>4</v>
      </c>
      <c r="W59" s="414">
        <v>5</v>
      </c>
      <c r="X59" s="126"/>
      <c r="Y59" s="45"/>
      <c r="Z59" s="45"/>
      <c r="AA59" s="45"/>
      <c r="AB59" s="45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25">
      <c r="A60" s="171" t="s">
        <v>53</v>
      </c>
      <c r="B60" s="446">
        <v>8.1999999999999993</v>
      </c>
      <c r="C60" s="19">
        <v>8.4</v>
      </c>
      <c r="D60" s="19">
        <v>2.4</v>
      </c>
      <c r="E60" s="19">
        <v>8.1999999999999993</v>
      </c>
      <c r="F60" s="61">
        <v>8.4</v>
      </c>
      <c r="G60" s="446">
        <v>8.4</v>
      </c>
      <c r="H60" s="19">
        <v>8.4</v>
      </c>
      <c r="I60" s="19">
        <v>2.2000000000000002</v>
      </c>
      <c r="J60" s="19">
        <v>8.4</v>
      </c>
      <c r="K60" s="19">
        <v>8.4</v>
      </c>
      <c r="L60" s="108">
        <v>4.4000000000000004</v>
      </c>
      <c r="M60" s="133">
        <v>7</v>
      </c>
      <c r="N60" s="134">
        <v>7</v>
      </c>
      <c r="O60" s="134">
        <v>2.2999999999999998</v>
      </c>
      <c r="P60" s="134">
        <v>7</v>
      </c>
      <c r="Q60" s="134">
        <v>7</v>
      </c>
      <c r="R60" s="156">
        <v>2.5</v>
      </c>
      <c r="S60" s="61">
        <v>7.1</v>
      </c>
      <c r="T60" s="19">
        <v>7.1</v>
      </c>
      <c r="U60" s="19">
        <v>2.6</v>
      </c>
      <c r="V60" s="19">
        <v>7</v>
      </c>
      <c r="W60" s="20">
        <v>7.2</v>
      </c>
      <c r="X60" s="412">
        <f>SUM(B60:W60)</f>
        <v>139.59999999999997</v>
      </c>
      <c r="Y60" s="608"/>
      <c r="Z60" s="42"/>
      <c r="AA60" s="42"/>
      <c r="AB60" s="42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25">
      <c r="A61" s="171" t="s">
        <v>24</v>
      </c>
      <c r="B61" s="446">
        <v>8.1999999999999993</v>
      </c>
      <c r="C61" s="19">
        <v>8.4</v>
      </c>
      <c r="D61" s="19">
        <v>2.4</v>
      </c>
      <c r="E61" s="19">
        <v>8.1999999999999993</v>
      </c>
      <c r="F61" s="61">
        <v>8.4</v>
      </c>
      <c r="G61" s="446">
        <v>8.4</v>
      </c>
      <c r="H61" s="19">
        <v>8.4</v>
      </c>
      <c r="I61" s="19">
        <v>2.2000000000000002</v>
      </c>
      <c r="J61" s="19">
        <v>8.4</v>
      </c>
      <c r="K61" s="19">
        <v>8.4</v>
      </c>
      <c r="L61" s="108">
        <v>4.4000000000000004</v>
      </c>
      <c r="M61" s="18">
        <v>7</v>
      </c>
      <c r="N61" s="19">
        <v>7</v>
      </c>
      <c r="O61" s="19">
        <v>2.2999999999999998</v>
      </c>
      <c r="P61" s="19">
        <v>7</v>
      </c>
      <c r="Q61" s="19">
        <v>7</v>
      </c>
      <c r="R61" s="20">
        <v>2.5</v>
      </c>
      <c r="S61" s="61">
        <v>7.1</v>
      </c>
      <c r="T61" s="19">
        <v>7.1</v>
      </c>
      <c r="U61" s="19">
        <v>2.6</v>
      </c>
      <c r="V61" s="19">
        <v>7</v>
      </c>
      <c r="W61" s="20">
        <v>7.2</v>
      </c>
      <c r="X61" s="412">
        <f t="shared" ref="X61:X66" si="36">SUM(B61:W61)</f>
        <v>139.59999999999997</v>
      </c>
      <c r="Y61" s="608"/>
      <c r="Z61" s="42"/>
      <c r="AA61" s="42"/>
      <c r="AB61" s="42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25">
      <c r="A62" s="171" t="s">
        <v>20</v>
      </c>
      <c r="B62" s="446">
        <v>8.1999999999999993</v>
      </c>
      <c r="C62" s="19">
        <v>8.4</v>
      </c>
      <c r="D62" s="19">
        <v>2.2999999999999998</v>
      </c>
      <c r="E62" s="19">
        <v>8.1999999999999993</v>
      </c>
      <c r="F62" s="61">
        <v>8.4</v>
      </c>
      <c r="G62" s="446">
        <v>8.1999999999999993</v>
      </c>
      <c r="H62" s="19">
        <v>8.4</v>
      </c>
      <c r="I62" s="19">
        <v>2.2000000000000002</v>
      </c>
      <c r="J62" s="19">
        <v>8.4</v>
      </c>
      <c r="K62" s="19">
        <v>8.3000000000000007</v>
      </c>
      <c r="L62" s="108">
        <v>4.4000000000000004</v>
      </c>
      <c r="M62" s="18">
        <v>6.7</v>
      </c>
      <c r="N62" s="19">
        <v>7</v>
      </c>
      <c r="O62" s="19">
        <v>2.1</v>
      </c>
      <c r="P62" s="19">
        <v>7</v>
      </c>
      <c r="Q62" s="19">
        <v>7</v>
      </c>
      <c r="R62" s="20">
        <v>2.5</v>
      </c>
      <c r="S62" s="61">
        <v>7.1</v>
      </c>
      <c r="T62" s="19">
        <v>7.2</v>
      </c>
      <c r="U62" s="19">
        <v>2.5</v>
      </c>
      <c r="V62" s="19">
        <v>7.2</v>
      </c>
      <c r="W62" s="20">
        <v>7.5</v>
      </c>
      <c r="X62" s="412">
        <f t="shared" si="36"/>
        <v>139.19999999999999</v>
      </c>
      <c r="Y62" s="608"/>
      <c r="Z62" s="42"/>
      <c r="AA62" s="42"/>
      <c r="AB62" s="42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25">
      <c r="A63" s="171" t="s">
        <v>28</v>
      </c>
      <c r="B63" s="446">
        <v>8.1999999999999993</v>
      </c>
      <c r="C63" s="19">
        <v>8.4</v>
      </c>
      <c r="D63" s="19">
        <v>2.2999999999999998</v>
      </c>
      <c r="E63" s="19">
        <v>8.1999999999999993</v>
      </c>
      <c r="F63" s="61">
        <v>8.4</v>
      </c>
      <c r="G63" s="446">
        <v>8.1999999999999993</v>
      </c>
      <c r="H63" s="19">
        <v>8.4</v>
      </c>
      <c r="I63" s="19">
        <v>2.2000000000000002</v>
      </c>
      <c r="J63" s="19">
        <v>8.4</v>
      </c>
      <c r="K63" s="19">
        <v>8.3000000000000007</v>
      </c>
      <c r="L63" s="108">
        <v>4.4000000000000004</v>
      </c>
      <c r="M63" s="18">
        <v>6.8</v>
      </c>
      <c r="N63" s="19">
        <v>7</v>
      </c>
      <c r="O63" s="19">
        <v>2.1</v>
      </c>
      <c r="P63" s="19">
        <v>7</v>
      </c>
      <c r="Q63" s="19">
        <v>7</v>
      </c>
      <c r="R63" s="20">
        <v>2.6</v>
      </c>
      <c r="S63" s="61">
        <v>7.2</v>
      </c>
      <c r="T63" s="19">
        <v>7.2</v>
      </c>
      <c r="U63" s="19">
        <v>2.5</v>
      </c>
      <c r="V63" s="19">
        <v>7.2</v>
      </c>
      <c r="W63" s="20">
        <v>7.6</v>
      </c>
      <c r="X63" s="412">
        <f t="shared" si="36"/>
        <v>139.6</v>
      </c>
      <c r="Y63" s="608"/>
      <c r="Z63" s="42"/>
      <c r="AA63" s="42"/>
      <c r="AB63" s="42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25">
      <c r="A64" s="171" t="s">
        <v>21</v>
      </c>
      <c r="B64" s="446">
        <v>8.1999999999999993</v>
      </c>
      <c r="C64" s="19">
        <v>8.4</v>
      </c>
      <c r="D64" s="19">
        <v>2.2999999999999998</v>
      </c>
      <c r="E64" s="19">
        <v>8.1999999999999993</v>
      </c>
      <c r="F64" s="61">
        <v>8.4</v>
      </c>
      <c r="G64" s="446">
        <v>8.3000000000000007</v>
      </c>
      <c r="H64" s="19">
        <v>8.4</v>
      </c>
      <c r="I64" s="19">
        <v>2.2000000000000002</v>
      </c>
      <c r="J64" s="19">
        <v>8.4</v>
      </c>
      <c r="K64" s="19">
        <v>8.3000000000000007</v>
      </c>
      <c r="L64" s="108">
        <v>4.4000000000000004</v>
      </c>
      <c r="M64" s="18">
        <v>6.8</v>
      </c>
      <c r="N64" s="19">
        <v>7</v>
      </c>
      <c r="O64" s="19">
        <v>2.1</v>
      </c>
      <c r="P64" s="19">
        <v>7</v>
      </c>
      <c r="Q64" s="19">
        <v>7</v>
      </c>
      <c r="R64" s="20">
        <v>2.6</v>
      </c>
      <c r="S64" s="61">
        <v>7.2</v>
      </c>
      <c r="T64" s="19">
        <v>7.2</v>
      </c>
      <c r="U64" s="19">
        <v>2.5</v>
      </c>
      <c r="V64" s="19">
        <v>7.2</v>
      </c>
      <c r="W64" s="20">
        <v>7.6</v>
      </c>
      <c r="X64" s="412">
        <f t="shared" si="36"/>
        <v>139.69999999999999</v>
      </c>
      <c r="Y64" s="608"/>
      <c r="Z64" s="42"/>
      <c r="AA64" s="42"/>
      <c r="AB64" s="42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25">
      <c r="A65" s="171" t="s">
        <v>22</v>
      </c>
      <c r="B65" s="446">
        <v>8.1999999999999993</v>
      </c>
      <c r="C65" s="19">
        <v>8.5</v>
      </c>
      <c r="D65" s="19">
        <v>2.4</v>
      </c>
      <c r="E65" s="19">
        <v>8.1999999999999993</v>
      </c>
      <c r="F65" s="61">
        <v>8.5</v>
      </c>
      <c r="G65" s="446">
        <v>8.3000000000000007</v>
      </c>
      <c r="H65" s="19">
        <v>8.5</v>
      </c>
      <c r="I65" s="19">
        <v>2.2000000000000002</v>
      </c>
      <c r="J65" s="19">
        <v>8.5</v>
      </c>
      <c r="K65" s="19">
        <v>8.3000000000000007</v>
      </c>
      <c r="L65" s="108">
        <v>4.2</v>
      </c>
      <c r="M65" s="18">
        <v>6.8</v>
      </c>
      <c r="N65" s="19">
        <v>7</v>
      </c>
      <c r="O65" s="19">
        <v>2.1</v>
      </c>
      <c r="P65" s="19">
        <v>7</v>
      </c>
      <c r="Q65" s="19">
        <v>7</v>
      </c>
      <c r="R65" s="20">
        <v>2.6</v>
      </c>
      <c r="S65" s="61">
        <v>7.2</v>
      </c>
      <c r="T65" s="19">
        <v>7.2</v>
      </c>
      <c r="U65" s="19">
        <v>2.6</v>
      </c>
      <c r="V65" s="19">
        <v>7.3</v>
      </c>
      <c r="W65" s="20">
        <v>7.6</v>
      </c>
      <c r="X65" s="412">
        <f t="shared" si="36"/>
        <v>140.19999999999999</v>
      </c>
      <c r="Y65" s="608"/>
      <c r="Z65" s="42"/>
      <c r="AA65" s="42"/>
      <c r="AB65" s="42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3">
      <c r="A66" s="171" t="s">
        <v>23</v>
      </c>
      <c r="B66" s="446">
        <v>8.3000000000000007</v>
      </c>
      <c r="C66" s="19">
        <v>8.5</v>
      </c>
      <c r="D66" s="19">
        <v>2.4</v>
      </c>
      <c r="E66" s="19">
        <v>8.3000000000000007</v>
      </c>
      <c r="F66" s="61">
        <v>8.5</v>
      </c>
      <c r="G66" s="446">
        <v>8.3000000000000007</v>
      </c>
      <c r="H66" s="19">
        <v>8.5</v>
      </c>
      <c r="I66" s="19">
        <v>2.2999999999999998</v>
      </c>
      <c r="J66" s="19">
        <v>8.5</v>
      </c>
      <c r="K66" s="19">
        <v>8.4</v>
      </c>
      <c r="L66" s="108">
        <v>4.2</v>
      </c>
      <c r="M66" s="153">
        <v>6.8</v>
      </c>
      <c r="N66" s="154">
        <v>7</v>
      </c>
      <c r="O66" s="154">
        <v>2.2000000000000002</v>
      </c>
      <c r="P66" s="154">
        <v>7</v>
      </c>
      <c r="Q66" s="154">
        <v>7</v>
      </c>
      <c r="R66" s="182">
        <v>2.6</v>
      </c>
      <c r="S66" s="61">
        <v>7.2</v>
      </c>
      <c r="T66" s="19">
        <v>7.2</v>
      </c>
      <c r="U66" s="19">
        <v>2.6</v>
      </c>
      <c r="V66" s="19">
        <v>7.3</v>
      </c>
      <c r="W66" s="20">
        <v>7.6</v>
      </c>
      <c r="X66" s="412">
        <f t="shared" si="36"/>
        <v>140.69999999999999</v>
      </c>
      <c r="Y66" s="608"/>
      <c r="Z66" s="42"/>
      <c r="AA66" s="42"/>
      <c r="AB66" s="42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618">
        <f t="shared" ref="B67:W67" si="37">SUM(B60:B66)</f>
        <v>57.5</v>
      </c>
      <c r="C67" s="616">
        <f t="shared" si="37"/>
        <v>59</v>
      </c>
      <c r="D67" s="616">
        <f t="shared" si="37"/>
        <v>16.5</v>
      </c>
      <c r="E67" s="616">
        <f t="shared" si="37"/>
        <v>57.5</v>
      </c>
      <c r="F67" s="619">
        <f t="shared" si="37"/>
        <v>59</v>
      </c>
      <c r="G67" s="618">
        <f t="shared" si="37"/>
        <v>58.099999999999994</v>
      </c>
      <c r="H67" s="616">
        <f t="shared" si="37"/>
        <v>59</v>
      </c>
      <c r="I67" s="616">
        <f t="shared" si="37"/>
        <v>15.5</v>
      </c>
      <c r="J67" s="616">
        <f t="shared" si="37"/>
        <v>59</v>
      </c>
      <c r="K67" s="616">
        <f t="shared" si="37"/>
        <v>58.4</v>
      </c>
      <c r="L67" s="617">
        <f t="shared" si="37"/>
        <v>30.4</v>
      </c>
      <c r="M67" s="618">
        <f t="shared" si="37"/>
        <v>47.899999999999991</v>
      </c>
      <c r="N67" s="616">
        <f t="shared" si="37"/>
        <v>49</v>
      </c>
      <c r="O67" s="616">
        <f t="shared" si="37"/>
        <v>15.2</v>
      </c>
      <c r="P67" s="616">
        <f t="shared" si="37"/>
        <v>49</v>
      </c>
      <c r="Q67" s="616">
        <f t="shared" si="37"/>
        <v>49</v>
      </c>
      <c r="R67" s="616">
        <f t="shared" ref="R67" si="38">SUM(R60:R66)</f>
        <v>17.899999999999999</v>
      </c>
      <c r="S67" s="615">
        <f t="shared" si="37"/>
        <v>50.1</v>
      </c>
      <c r="T67" s="616">
        <f t="shared" si="37"/>
        <v>50.2</v>
      </c>
      <c r="U67" s="616">
        <f t="shared" si="37"/>
        <v>17.899999999999999</v>
      </c>
      <c r="V67" s="616">
        <f t="shared" si="37"/>
        <v>50.199999999999996</v>
      </c>
      <c r="W67" s="617">
        <f t="shared" si="37"/>
        <v>52.300000000000004</v>
      </c>
      <c r="X67" s="449">
        <f>SUM(B67:W67)</f>
        <v>978.6</v>
      </c>
      <c r="Y67" s="577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158</v>
      </c>
      <c r="C68" s="358">
        <v>159</v>
      </c>
      <c r="D68" s="358">
        <v>157.5</v>
      </c>
      <c r="E68" s="358">
        <v>158</v>
      </c>
      <c r="F68" s="624">
        <v>159</v>
      </c>
      <c r="G68" s="357">
        <v>156.5</v>
      </c>
      <c r="H68" s="358">
        <v>159</v>
      </c>
      <c r="I68" s="358">
        <v>158.5</v>
      </c>
      <c r="J68" s="358">
        <v>159</v>
      </c>
      <c r="K68" s="358">
        <v>157.5</v>
      </c>
      <c r="L68" s="624">
        <v>158</v>
      </c>
      <c r="M68" s="357">
        <v>155.5</v>
      </c>
      <c r="N68" s="358">
        <v>159</v>
      </c>
      <c r="O68" s="358">
        <v>155</v>
      </c>
      <c r="P68" s="358">
        <v>159</v>
      </c>
      <c r="Q68" s="358">
        <v>159</v>
      </c>
      <c r="R68" s="624">
        <v>159.5</v>
      </c>
      <c r="S68" s="357">
        <v>159</v>
      </c>
      <c r="T68" s="358">
        <v>159.5</v>
      </c>
      <c r="U68" s="358">
        <v>159.5</v>
      </c>
      <c r="V68" s="358">
        <v>159.5</v>
      </c>
      <c r="W68" s="624">
        <v>159</v>
      </c>
      <c r="X68" s="296">
        <f>+((X67/X69)/7)*1000</f>
        <v>158.683314415437</v>
      </c>
      <c r="Y68" s="577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51</v>
      </c>
      <c r="C69" s="275">
        <v>53</v>
      </c>
      <c r="D69" s="275">
        <v>15</v>
      </c>
      <c r="E69" s="275">
        <v>52</v>
      </c>
      <c r="F69" s="276">
        <v>53</v>
      </c>
      <c r="G69" s="257">
        <v>53</v>
      </c>
      <c r="H69" s="275">
        <v>53</v>
      </c>
      <c r="I69" s="275">
        <v>14</v>
      </c>
      <c r="J69" s="275">
        <v>53</v>
      </c>
      <c r="K69" s="275">
        <v>53</v>
      </c>
      <c r="L69" s="276">
        <v>27</v>
      </c>
      <c r="M69" s="257">
        <v>44</v>
      </c>
      <c r="N69" s="275">
        <v>44</v>
      </c>
      <c r="O69" s="275">
        <v>14</v>
      </c>
      <c r="P69" s="275">
        <v>44</v>
      </c>
      <c r="Q69" s="275">
        <v>44</v>
      </c>
      <c r="R69" s="276">
        <v>16</v>
      </c>
      <c r="S69" s="257">
        <v>45</v>
      </c>
      <c r="T69" s="275">
        <v>45</v>
      </c>
      <c r="U69" s="275">
        <v>16</v>
      </c>
      <c r="V69" s="275">
        <v>45</v>
      </c>
      <c r="W69" s="276">
        <v>47</v>
      </c>
      <c r="X69" s="254">
        <f>SUM(B69:W69)</f>
        <v>881</v>
      </c>
      <c r="Y69" s="577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 t="shared" ref="B70:W70" si="39">((((B68*7)*B69)/1000)-B60-B61)/5</f>
        <v>8.0012000000000008</v>
      </c>
      <c r="C70" s="31">
        <f t="shared" si="39"/>
        <v>8.4377999999999993</v>
      </c>
      <c r="D70" s="31">
        <f t="shared" si="39"/>
        <v>2.3475000000000001</v>
      </c>
      <c r="E70" s="31">
        <f t="shared" si="39"/>
        <v>8.2223999999999986</v>
      </c>
      <c r="F70" s="32">
        <f t="shared" si="39"/>
        <v>8.4377999999999993</v>
      </c>
      <c r="G70" s="30">
        <f t="shared" si="39"/>
        <v>8.2523000000000017</v>
      </c>
      <c r="H70" s="31">
        <f t="shared" si="39"/>
        <v>8.4377999999999993</v>
      </c>
      <c r="I70" s="31">
        <f t="shared" si="39"/>
        <v>2.2265999999999999</v>
      </c>
      <c r="J70" s="31">
        <f t="shared" si="39"/>
        <v>8.4377999999999993</v>
      </c>
      <c r="K70" s="31">
        <f t="shared" si="39"/>
        <v>8.3264999999999993</v>
      </c>
      <c r="L70" s="32">
        <f t="shared" si="39"/>
        <v>4.2123999999999997</v>
      </c>
      <c r="M70" s="30">
        <f t="shared" si="39"/>
        <v>6.7787999999999995</v>
      </c>
      <c r="N70" s="31">
        <f t="shared" si="39"/>
        <v>6.9944000000000006</v>
      </c>
      <c r="O70" s="31">
        <f t="shared" si="39"/>
        <v>2.1179999999999999</v>
      </c>
      <c r="P70" s="31">
        <f t="shared" si="39"/>
        <v>6.9944000000000006</v>
      </c>
      <c r="Q70" s="31">
        <f t="shared" si="39"/>
        <v>6.9944000000000006</v>
      </c>
      <c r="R70" s="32">
        <f t="shared" si="39"/>
        <v>2.5728</v>
      </c>
      <c r="S70" s="30">
        <f t="shared" si="39"/>
        <v>7.1769999999999996</v>
      </c>
      <c r="T70" s="31">
        <f t="shared" si="39"/>
        <v>7.208499999999999</v>
      </c>
      <c r="U70" s="31">
        <f t="shared" si="39"/>
        <v>2.5328000000000004</v>
      </c>
      <c r="V70" s="31">
        <f t="shared" si="39"/>
        <v>7.2484999999999999</v>
      </c>
      <c r="W70" s="32">
        <f t="shared" si="39"/>
        <v>7.5821999999999985</v>
      </c>
      <c r="X70" s="139">
        <f>((X67*1000)/X69)/7</f>
        <v>158.683314415437</v>
      </c>
      <c r="Y70" s="577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W71" si="40">((B69*B68)*7)/1000</f>
        <v>56.405999999999999</v>
      </c>
      <c r="C71" s="280">
        <f t="shared" si="40"/>
        <v>58.988999999999997</v>
      </c>
      <c r="D71" s="280">
        <f t="shared" si="40"/>
        <v>16.537500000000001</v>
      </c>
      <c r="E71" s="280">
        <f t="shared" si="40"/>
        <v>57.512</v>
      </c>
      <c r="F71" s="282">
        <f t="shared" si="40"/>
        <v>58.988999999999997</v>
      </c>
      <c r="G71" s="279">
        <f t="shared" si="40"/>
        <v>58.061500000000002</v>
      </c>
      <c r="H71" s="280">
        <f t="shared" si="40"/>
        <v>58.988999999999997</v>
      </c>
      <c r="I71" s="280">
        <f t="shared" si="40"/>
        <v>15.532999999999999</v>
      </c>
      <c r="J71" s="280">
        <f t="shared" si="40"/>
        <v>58.988999999999997</v>
      </c>
      <c r="K71" s="280">
        <f t="shared" si="40"/>
        <v>58.432499999999997</v>
      </c>
      <c r="L71" s="282">
        <f t="shared" si="40"/>
        <v>29.861999999999998</v>
      </c>
      <c r="M71" s="279">
        <f t="shared" si="40"/>
        <v>47.893999999999998</v>
      </c>
      <c r="N71" s="280">
        <f t="shared" si="40"/>
        <v>48.972000000000001</v>
      </c>
      <c r="O71" s="280">
        <f t="shared" si="40"/>
        <v>15.19</v>
      </c>
      <c r="P71" s="280">
        <f t="shared" si="40"/>
        <v>48.972000000000001</v>
      </c>
      <c r="Q71" s="280">
        <f t="shared" si="40"/>
        <v>48.972000000000001</v>
      </c>
      <c r="R71" s="282">
        <f t="shared" ref="R71" si="41">((R69*R68)*7)/1000</f>
        <v>17.864000000000001</v>
      </c>
      <c r="S71" s="279">
        <f t="shared" si="40"/>
        <v>50.085000000000001</v>
      </c>
      <c r="T71" s="280">
        <f t="shared" si="40"/>
        <v>50.2425</v>
      </c>
      <c r="U71" s="280">
        <f t="shared" si="40"/>
        <v>17.864000000000001</v>
      </c>
      <c r="V71" s="280">
        <f t="shared" si="40"/>
        <v>50.2425</v>
      </c>
      <c r="W71" s="282">
        <f t="shared" si="40"/>
        <v>52.311</v>
      </c>
      <c r="X71" s="112"/>
      <c r="Y71" s="41"/>
      <c r="Z71" s="41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W72" si="42">+(B67/B69)/7*1000</f>
        <v>161.06442577030813</v>
      </c>
      <c r="C72" s="38">
        <f t="shared" si="42"/>
        <v>159.02964959568732</v>
      </c>
      <c r="D72" s="38">
        <f t="shared" si="42"/>
        <v>157.14285714285717</v>
      </c>
      <c r="E72" s="38">
        <f t="shared" si="42"/>
        <v>157.96703296703299</v>
      </c>
      <c r="F72" s="39">
        <f t="shared" si="42"/>
        <v>159.02964959568732</v>
      </c>
      <c r="G72" s="37">
        <f t="shared" si="42"/>
        <v>156.60377358490567</v>
      </c>
      <c r="H72" s="38">
        <f t="shared" si="42"/>
        <v>159.02964959568732</v>
      </c>
      <c r="I72" s="38">
        <f t="shared" si="42"/>
        <v>158.16326530612247</v>
      </c>
      <c r="J72" s="38">
        <f t="shared" si="42"/>
        <v>159.02964959568732</v>
      </c>
      <c r="K72" s="38">
        <f t="shared" si="42"/>
        <v>157.41239892183287</v>
      </c>
      <c r="L72" s="39">
        <f t="shared" si="42"/>
        <v>160.84656084656083</v>
      </c>
      <c r="M72" s="37">
        <f t="shared" si="42"/>
        <v>155.51948051948048</v>
      </c>
      <c r="N72" s="38">
        <f t="shared" si="42"/>
        <v>159.09090909090909</v>
      </c>
      <c r="O72" s="38">
        <f t="shared" si="42"/>
        <v>155.10204081632654</v>
      </c>
      <c r="P72" s="38">
        <f t="shared" si="42"/>
        <v>159.09090909090909</v>
      </c>
      <c r="Q72" s="38">
        <f t="shared" si="42"/>
        <v>159.09090909090909</v>
      </c>
      <c r="R72" s="39">
        <f t="shared" ref="R72" si="43">+(R67/R69)/7*1000</f>
        <v>159.82142857142856</v>
      </c>
      <c r="S72" s="37">
        <f t="shared" si="42"/>
        <v>159.04761904761904</v>
      </c>
      <c r="T72" s="38">
        <f t="shared" si="42"/>
        <v>159.36507936507937</v>
      </c>
      <c r="U72" s="38">
        <f t="shared" si="42"/>
        <v>159.82142857142856</v>
      </c>
      <c r="V72" s="38">
        <f t="shared" si="42"/>
        <v>159.36507936507934</v>
      </c>
      <c r="W72" s="39">
        <f t="shared" si="42"/>
        <v>158.96656534954406</v>
      </c>
      <c r="X72" s="40"/>
      <c r="AM72" s="3"/>
    </row>
    <row r="73" spans="1:50" ht="33.75" customHeight="1" x14ac:dyDescent="0.25">
      <c r="B73" s="43">
        <f>B71-B67</f>
        <v>-1.0940000000000012</v>
      </c>
      <c r="C73" s="43">
        <f t="shared" ref="C73:F73" si="44">C71-C67</f>
        <v>-1.1000000000002785E-2</v>
      </c>
      <c r="D73" s="43">
        <f t="shared" si="44"/>
        <v>3.7500000000001421E-2</v>
      </c>
      <c r="E73" s="43">
        <f t="shared" si="44"/>
        <v>1.2000000000000455E-2</v>
      </c>
      <c r="F73" s="43">
        <f t="shared" si="44"/>
        <v>-1.1000000000002785E-2</v>
      </c>
      <c r="G73" s="43">
        <f>G71-G67</f>
        <v>-3.8499999999991985E-2</v>
      </c>
      <c r="H73" s="43">
        <f t="shared" ref="H73:W74" si="45">H71-H67</f>
        <v>-1.1000000000002785E-2</v>
      </c>
      <c r="I73" s="43">
        <f t="shared" si="45"/>
        <v>3.2999999999999474E-2</v>
      </c>
      <c r="J73" s="43">
        <f t="shared" si="45"/>
        <v>-1.1000000000002785E-2</v>
      </c>
      <c r="K73" s="43">
        <f t="shared" si="45"/>
        <v>3.2499999999998863E-2</v>
      </c>
      <c r="L73" s="43">
        <f t="shared" si="45"/>
        <v>-0.53800000000000026</v>
      </c>
      <c r="M73" s="43">
        <f>M71-M67</f>
        <v>-5.9999999999931219E-3</v>
      </c>
      <c r="N73" s="43">
        <f t="shared" ref="N73:Q73" si="46">N71-N67</f>
        <v>-2.7999999999998693E-2</v>
      </c>
      <c r="O73" s="43">
        <f t="shared" si="46"/>
        <v>-9.9999999999997868E-3</v>
      </c>
      <c r="P73" s="43">
        <f t="shared" si="46"/>
        <v>-2.7999999999998693E-2</v>
      </c>
      <c r="Q73" s="43">
        <f t="shared" si="46"/>
        <v>-2.7999999999998693E-2</v>
      </c>
      <c r="R73" s="43">
        <f t="shared" ref="R73" si="47">R71-R67</f>
        <v>-3.5999999999997812E-2</v>
      </c>
      <c r="S73" s="43">
        <f>S71-S67</f>
        <v>-1.5000000000000568E-2</v>
      </c>
      <c r="T73" s="43">
        <f t="shared" ref="T73:W73" si="48">T71-T67</f>
        <v>4.2499999999996874E-2</v>
      </c>
      <c r="U73" s="43">
        <f t="shared" si="48"/>
        <v>-3.5999999999997812E-2</v>
      </c>
      <c r="V73" s="43">
        <f t="shared" si="48"/>
        <v>4.2500000000003979E-2</v>
      </c>
      <c r="W73" s="43">
        <f t="shared" si="48"/>
        <v>1.099999999999568E-2</v>
      </c>
    </row>
    <row r="74" spans="1:50" ht="33.75" customHeight="1" x14ac:dyDescent="0.25">
      <c r="B74" s="42">
        <f t="shared" ref="B74:J74" si="49">B72-B68</f>
        <v>3.0644257703081337</v>
      </c>
      <c r="C74" s="42">
        <f t="shared" si="49"/>
        <v>2.9649595687317287E-2</v>
      </c>
      <c r="D74" s="42">
        <f t="shared" si="49"/>
        <v>-0.35714285714283278</v>
      </c>
      <c r="E74" s="42">
        <f t="shared" si="49"/>
        <v>-3.2967032967007981E-2</v>
      </c>
      <c r="F74" s="42">
        <f t="shared" si="49"/>
        <v>2.9649595687317287E-2</v>
      </c>
      <c r="G74" s="42">
        <f t="shared" si="49"/>
        <v>0.10377358490566735</v>
      </c>
      <c r="H74" s="42">
        <f t="shared" si="49"/>
        <v>2.9649595687317287E-2</v>
      </c>
      <c r="I74" s="42">
        <f>I72-I68</f>
        <v>-0.3367346938775313</v>
      </c>
      <c r="J74" s="42">
        <f t="shared" si="49"/>
        <v>2.9649595687317287E-2</v>
      </c>
      <c r="K74" s="42">
        <f t="shared" si="45"/>
        <v>-8.7601078167125479E-2</v>
      </c>
      <c r="L74" s="42">
        <f t="shared" si="45"/>
        <v>2.8465608465608341</v>
      </c>
      <c r="M74" s="42">
        <f t="shared" si="45"/>
        <v>1.9480519480481462E-2</v>
      </c>
      <c r="N74" s="42">
        <f t="shared" si="45"/>
        <v>9.0909090909093493E-2</v>
      </c>
      <c r="O74" s="42">
        <f t="shared" si="45"/>
        <v>0.10204081632653583</v>
      </c>
      <c r="P74" s="42">
        <f t="shared" si="45"/>
        <v>9.0909090909093493E-2</v>
      </c>
      <c r="Q74" s="42">
        <f t="shared" si="45"/>
        <v>9.0909090909093493E-2</v>
      </c>
      <c r="R74" s="42">
        <f t="shared" ref="R74" si="50">R72-R68</f>
        <v>0.32142857142855519</v>
      </c>
      <c r="S74" s="42">
        <f t="shared" si="45"/>
        <v>4.7619047619036792E-2</v>
      </c>
      <c r="T74" s="42">
        <f t="shared" si="45"/>
        <v>-0.13492063492063266</v>
      </c>
      <c r="U74" s="42">
        <f t="shared" si="45"/>
        <v>0.32142857142855519</v>
      </c>
      <c r="V74" s="42">
        <f t="shared" si="45"/>
        <v>-0.13492063492066109</v>
      </c>
      <c r="W74" s="42">
        <f t="shared" si="45"/>
        <v>-3.3434650455944848E-2</v>
      </c>
      <c r="X74" s="45"/>
      <c r="Y74" s="45"/>
      <c r="Z74" s="45"/>
      <c r="AA74" s="45"/>
      <c r="AB74" s="45"/>
      <c r="AC74" s="45"/>
      <c r="AD74" s="52"/>
    </row>
    <row r="75" spans="1:50" ht="33.75" customHeight="1" x14ac:dyDescent="0.25">
      <c r="B75" s="287"/>
      <c r="C75" s="287"/>
      <c r="D75" s="287"/>
      <c r="E75" s="287"/>
      <c r="F75" s="287"/>
    </row>
    <row r="76" spans="1:50" ht="33.75" customHeight="1" x14ac:dyDescent="0.25">
      <c r="A76" s="45"/>
      <c r="B76" s="283"/>
      <c r="C76" s="283"/>
      <c r="D76" s="283"/>
      <c r="E76" s="283"/>
      <c r="F76" s="283"/>
      <c r="G76" s="58"/>
      <c r="H76" s="45"/>
      <c r="I76" s="45"/>
      <c r="J76" s="45"/>
      <c r="K76" s="45"/>
      <c r="L76" s="45"/>
      <c r="M76" s="45"/>
      <c r="N76" s="45"/>
      <c r="O76" s="45"/>
    </row>
    <row r="77" spans="1:5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6">
    <mergeCell ref="S58:W58"/>
    <mergeCell ref="M58:R58"/>
    <mergeCell ref="O57:P57"/>
    <mergeCell ref="B58:F58"/>
    <mergeCell ref="G58:L58"/>
    <mergeCell ref="W9:X9"/>
    <mergeCell ref="O11:P11"/>
    <mergeCell ref="B16:H16"/>
    <mergeCell ref="I16:O16"/>
    <mergeCell ref="P16:T16"/>
    <mergeCell ref="U16:Y16"/>
    <mergeCell ref="B39:F39"/>
    <mergeCell ref="G39:G40"/>
    <mergeCell ref="M39:R39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1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35</v>
      </c>
      <c r="P11" s="965"/>
      <c r="Q11" s="6"/>
      <c r="R11" s="6"/>
      <c r="S11" s="6"/>
      <c r="T11" s="1"/>
      <c r="U11" s="1"/>
      <c r="V11" s="1" t="s">
        <v>6</v>
      </c>
      <c r="W11" s="95">
        <v>45578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594"/>
      <c r="I17" s="386" t="s">
        <v>100</v>
      </c>
      <c r="J17" s="438">
        <v>1</v>
      </c>
      <c r="K17" s="438">
        <v>2</v>
      </c>
      <c r="L17" s="438">
        <v>3</v>
      </c>
      <c r="M17" s="438">
        <v>4</v>
      </c>
      <c r="N17" s="439">
        <v>5</v>
      </c>
      <c r="O17" s="594"/>
      <c r="P17" s="202">
        <v>1</v>
      </c>
      <c r="Q17" s="174">
        <v>2</v>
      </c>
      <c r="R17" s="174">
        <v>3</v>
      </c>
      <c r="S17" s="174">
        <v>4</v>
      </c>
      <c r="T17" s="203">
        <v>5</v>
      </c>
      <c r="U17" s="186">
        <v>1</v>
      </c>
      <c r="V17" s="174">
        <v>2</v>
      </c>
      <c r="W17" s="174">
        <v>3</v>
      </c>
      <c r="X17" s="174">
        <v>4</v>
      </c>
      <c r="Y17" s="175">
        <v>5</v>
      </c>
      <c r="Z17" s="126"/>
      <c r="AD17" s="2"/>
      <c r="AE17" s="15"/>
    </row>
    <row r="18" spans="1:40" ht="39.950000000000003" customHeight="1" x14ac:dyDescent="0.25">
      <c r="A18" s="171" t="s">
        <v>53</v>
      </c>
      <c r="B18" s="503">
        <v>323.2</v>
      </c>
      <c r="C18" s="504">
        <v>20.5</v>
      </c>
      <c r="D18" s="504">
        <v>20.5</v>
      </c>
      <c r="E18" s="504">
        <v>5.6</v>
      </c>
      <c r="F18" s="504">
        <v>20.9</v>
      </c>
      <c r="G18" s="505">
        <v>20.8</v>
      </c>
      <c r="H18" s="506">
        <f>SUM(B18:G18)</f>
        <v>411.5</v>
      </c>
      <c r="I18" s="142">
        <v>325.5</v>
      </c>
      <c r="J18" s="504">
        <v>20.6</v>
      </c>
      <c r="K18" s="504">
        <v>20.9</v>
      </c>
      <c r="L18" s="504">
        <v>5.5</v>
      </c>
      <c r="M18" s="504">
        <v>19.899999999999999</v>
      </c>
      <c r="N18" s="507">
        <v>19.8</v>
      </c>
      <c r="O18" s="506">
        <f>SUM(I18:N18)</f>
        <v>412.2</v>
      </c>
      <c r="P18" s="515">
        <v>80</v>
      </c>
      <c r="Q18" s="504">
        <v>79.599999999999994</v>
      </c>
      <c r="R18" s="504">
        <v>29.2</v>
      </c>
      <c r="S18" s="504">
        <v>80</v>
      </c>
      <c r="T18" s="507">
        <v>80.3</v>
      </c>
      <c r="U18" s="508">
        <v>82.9</v>
      </c>
      <c r="V18" s="504">
        <v>84</v>
      </c>
      <c r="W18" s="504">
        <v>30.1</v>
      </c>
      <c r="X18" s="504">
        <v>83.5</v>
      </c>
      <c r="Y18" s="507">
        <v>83.4</v>
      </c>
      <c r="Z18" s="209">
        <f>SUM(H18,O18,P18:Y18)</f>
        <v>1536.7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595">
        <v>323.2</v>
      </c>
      <c r="C19" s="596">
        <v>20.5</v>
      </c>
      <c r="D19" s="596">
        <v>20.5</v>
      </c>
      <c r="E19" s="596">
        <v>5.6</v>
      </c>
      <c r="F19" s="596">
        <v>20.9</v>
      </c>
      <c r="G19" s="597">
        <v>20.8</v>
      </c>
      <c r="H19" s="506">
        <f>SUM(B19:G19)</f>
        <v>411.5</v>
      </c>
      <c r="I19" s="599">
        <v>325.5</v>
      </c>
      <c r="J19" s="596">
        <v>20.6</v>
      </c>
      <c r="K19" s="596">
        <v>20.9</v>
      </c>
      <c r="L19" s="596">
        <v>5.5</v>
      </c>
      <c r="M19" s="596">
        <v>19.899999999999999</v>
      </c>
      <c r="N19" s="600">
        <v>19.8</v>
      </c>
      <c r="O19" s="506">
        <f t="shared" ref="O19:O24" si="0">SUM(I19:N19)</f>
        <v>412.2</v>
      </c>
      <c r="P19" s="601">
        <v>80</v>
      </c>
      <c r="Q19" s="504">
        <v>79.599999999999994</v>
      </c>
      <c r="R19" s="596">
        <v>29.1</v>
      </c>
      <c r="S19" s="596">
        <v>79.900000000000006</v>
      </c>
      <c r="T19" s="600">
        <v>80.3</v>
      </c>
      <c r="U19" s="602">
        <v>82.9</v>
      </c>
      <c r="V19" s="596">
        <v>84.1</v>
      </c>
      <c r="W19" s="504">
        <v>30.1</v>
      </c>
      <c r="X19" s="504">
        <v>83.5</v>
      </c>
      <c r="Y19" s="600">
        <v>83.4</v>
      </c>
      <c r="Z19" s="209">
        <f>SUM(H19,O19,P19:Y19)</f>
        <v>1536.6000000000001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595">
        <v>323.2</v>
      </c>
      <c r="C20" s="629">
        <v>20.2</v>
      </c>
      <c r="D20" s="629">
        <v>20.2</v>
      </c>
      <c r="E20" s="629">
        <v>5.5</v>
      </c>
      <c r="F20" s="629">
        <v>20.6</v>
      </c>
      <c r="G20" s="630">
        <v>20.5</v>
      </c>
      <c r="H20" s="506">
        <f t="shared" ref="H20:H24" si="1">SUM(B20:G20)</f>
        <v>410.2</v>
      </c>
      <c r="I20" s="631">
        <v>325.5</v>
      </c>
      <c r="J20" s="629">
        <v>20.3</v>
      </c>
      <c r="K20" s="629">
        <v>20.6</v>
      </c>
      <c r="L20" s="629">
        <v>5.4</v>
      </c>
      <c r="M20" s="629">
        <v>19.600000000000001</v>
      </c>
      <c r="N20" s="632">
        <v>19.399999999999999</v>
      </c>
      <c r="O20" s="506">
        <f t="shared" si="0"/>
        <v>410.8</v>
      </c>
      <c r="P20" s="633">
        <v>79.599999999999994</v>
      </c>
      <c r="Q20" s="455">
        <v>79.3</v>
      </c>
      <c r="R20" s="629">
        <v>28.8</v>
      </c>
      <c r="S20" s="629">
        <v>79.599999999999994</v>
      </c>
      <c r="T20" s="632">
        <v>79.900000000000006</v>
      </c>
      <c r="U20" s="634">
        <v>82.5</v>
      </c>
      <c r="V20" s="629">
        <v>83.7</v>
      </c>
      <c r="W20" s="455">
        <v>29.8</v>
      </c>
      <c r="X20" s="455">
        <v>83.2</v>
      </c>
      <c r="Y20" s="632">
        <v>83</v>
      </c>
      <c r="Z20" s="509">
        <f t="shared" ref="Z20:Z24" si="2">SUM(H20,O20,P20:Y20)</f>
        <v>1530.4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595">
        <v>323.2</v>
      </c>
      <c r="C21" s="596">
        <v>20.2</v>
      </c>
      <c r="D21" s="596">
        <v>20.2</v>
      </c>
      <c r="E21" s="596">
        <v>5.5</v>
      </c>
      <c r="F21" s="596">
        <v>20.6</v>
      </c>
      <c r="G21" s="597">
        <v>20.5</v>
      </c>
      <c r="H21" s="506">
        <f t="shared" si="1"/>
        <v>410.2</v>
      </c>
      <c r="I21" s="599">
        <v>325.5</v>
      </c>
      <c r="J21" s="596">
        <v>20.3</v>
      </c>
      <c r="K21" s="596">
        <v>20.6</v>
      </c>
      <c r="L21" s="596">
        <v>5.4</v>
      </c>
      <c r="M21" s="596">
        <v>19.600000000000001</v>
      </c>
      <c r="N21" s="600">
        <v>19.399999999999999</v>
      </c>
      <c r="O21" s="506">
        <f t="shared" si="0"/>
        <v>410.8</v>
      </c>
      <c r="P21" s="601">
        <v>79.599999999999994</v>
      </c>
      <c r="Q21" s="504">
        <v>79.3</v>
      </c>
      <c r="R21" s="596">
        <v>28.6</v>
      </c>
      <c r="S21" s="596">
        <v>79.599999999999994</v>
      </c>
      <c r="T21" s="600">
        <v>79.900000000000006</v>
      </c>
      <c r="U21" s="602">
        <v>82.5</v>
      </c>
      <c r="V21" s="596">
        <v>83.7</v>
      </c>
      <c r="W21" s="504">
        <v>29.8</v>
      </c>
      <c r="X21" s="504">
        <v>83.2</v>
      </c>
      <c r="Y21" s="600">
        <v>83</v>
      </c>
      <c r="Z21" s="209">
        <f t="shared" si="2"/>
        <v>1530.2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595">
        <v>323.2</v>
      </c>
      <c r="C22" s="596">
        <v>20.2</v>
      </c>
      <c r="D22" s="596">
        <v>20.2</v>
      </c>
      <c r="E22" s="596">
        <v>5.5</v>
      </c>
      <c r="F22" s="596">
        <v>20.6</v>
      </c>
      <c r="G22" s="597">
        <v>20.5</v>
      </c>
      <c r="H22" s="506">
        <f t="shared" si="1"/>
        <v>410.2</v>
      </c>
      <c r="I22" s="599">
        <v>325.5</v>
      </c>
      <c r="J22" s="596">
        <v>20.3</v>
      </c>
      <c r="K22" s="596">
        <v>20.6</v>
      </c>
      <c r="L22" s="596">
        <v>5.4</v>
      </c>
      <c r="M22" s="596">
        <v>19.600000000000001</v>
      </c>
      <c r="N22" s="600">
        <v>19.399999999999999</v>
      </c>
      <c r="O22" s="506">
        <f t="shared" si="0"/>
        <v>410.8</v>
      </c>
      <c r="P22" s="601">
        <v>79.599999999999994</v>
      </c>
      <c r="Q22" s="504">
        <v>79</v>
      </c>
      <c r="R22" s="596">
        <v>28.6</v>
      </c>
      <c r="S22" s="596">
        <v>79.599999999999994</v>
      </c>
      <c r="T22" s="600">
        <v>79.900000000000006</v>
      </c>
      <c r="U22" s="602">
        <v>82.5</v>
      </c>
      <c r="V22" s="596">
        <v>83.7</v>
      </c>
      <c r="W22" s="504">
        <v>29.8</v>
      </c>
      <c r="X22" s="504">
        <v>83.2</v>
      </c>
      <c r="Y22" s="600">
        <v>83</v>
      </c>
      <c r="Z22" s="509">
        <f t="shared" si="2"/>
        <v>1529.9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595">
        <v>323.2</v>
      </c>
      <c r="C23" s="596">
        <v>20.2</v>
      </c>
      <c r="D23" s="596">
        <v>20.2</v>
      </c>
      <c r="E23" s="596">
        <v>5.5</v>
      </c>
      <c r="F23" s="596">
        <v>20.6</v>
      </c>
      <c r="G23" s="597">
        <v>20.5</v>
      </c>
      <c r="H23" s="506">
        <f t="shared" si="1"/>
        <v>410.2</v>
      </c>
      <c r="I23" s="599">
        <v>325.5</v>
      </c>
      <c r="J23" s="596">
        <v>20.3</v>
      </c>
      <c r="K23" s="596">
        <v>20.6</v>
      </c>
      <c r="L23" s="596">
        <v>5.4</v>
      </c>
      <c r="M23" s="596">
        <v>19.600000000000001</v>
      </c>
      <c r="N23" s="600">
        <v>19.399999999999999</v>
      </c>
      <c r="O23" s="506">
        <f t="shared" si="0"/>
        <v>410.8</v>
      </c>
      <c r="P23" s="601">
        <v>79.3</v>
      </c>
      <c r="Q23" s="504">
        <v>79</v>
      </c>
      <c r="R23" s="596">
        <v>28.3</v>
      </c>
      <c r="S23" s="596">
        <v>79.599999999999994</v>
      </c>
      <c r="T23" s="600">
        <v>79.900000000000006</v>
      </c>
      <c r="U23" s="602">
        <v>82.5</v>
      </c>
      <c r="V23" s="596">
        <v>83.7</v>
      </c>
      <c r="W23" s="504">
        <v>29.8</v>
      </c>
      <c r="X23" s="504">
        <v>83.2</v>
      </c>
      <c r="Y23" s="600">
        <v>83</v>
      </c>
      <c r="Z23" s="209">
        <f t="shared" si="2"/>
        <v>1529.3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595">
        <v>323.2</v>
      </c>
      <c r="C24" s="596">
        <v>20.2</v>
      </c>
      <c r="D24" s="596">
        <v>20.2</v>
      </c>
      <c r="E24" s="596">
        <v>5.5</v>
      </c>
      <c r="F24" s="596">
        <v>20.6</v>
      </c>
      <c r="G24" s="597">
        <v>20.5</v>
      </c>
      <c r="H24" s="598">
        <f t="shared" si="1"/>
        <v>410.2</v>
      </c>
      <c r="I24" s="599">
        <v>325.5</v>
      </c>
      <c r="J24" s="596">
        <v>20.3</v>
      </c>
      <c r="K24" s="596">
        <v>20.6</v>
      </c>
      <c r="L24" s="596">
        <v>5.3</v>
      </c>
      <c r="M24" s="596">
        <v>19.600000000000001</v>
      </c>
      <c r="N24" s="600">
        <v>19.399999999999999</v>
      </c>
      <c r="O24" s="598">
        <f t="shared" si="0"/>
        <v>410.70000000000005</v>
      </c>
      <c r="P24" s="601">
        <v>79.3</v>
      </c>
      <c r="Q24" s="504">
        <v>79</v>
      </c>
      <c r="R24" s="596">
        <v>28.1</v>
      </c>
      <c r="S24" s="596">
        <v>79.599999999999994</v>
      </c>
      <c r="T24" s="600">
        <v>79.7</v>
      </c>
      <c r="U24" s="602">
        <v>82.5</v>
      </c>
      <c r="V24" s="596">
        <v>83.7</v>
      </c>
      <c r="W24" s="504">
        <v>29.6</v>
      </c>
      <c r="X24" s="504">
        <v>83.2</v>
      </c>
      <c r="Y24" s="600">
        <v>83</v>
      </c>
      <c r="Z24" s="412">
        <f t="shared" si="2"/>
        <v>1528.6000000000001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298">
        <f>SUM(C18:C24)</f>
        <v>142</v>
      </c>
      <c r="D25" s="298">
        <f t="shared" ref="D25:Y25" si="3">SUM(D18:D24)</f>
        <v>142</v>
      </c>
      <c r="E25" s="298">
        <f t="shared" si="3"/>
        <v>38.700000000000003</v>
      </c>
      <c r="F25" s="298">
        <f t="shared" si="3"/>
        <v>144.79999999999998</v>
      </c>
      <c r="G25" s="448">
        <f t="shared" si="3"/>
        <v>144.1</v>
      </c>
      <c r="H25" s="436">
        <f>SUM(H18:H24)</f>
        <v>2873.9999999999995</v>
      </c>
      <c r="I25" s="297"/>
      <c r="J25" s="298">
        <f t="shared" si="3"/>
        <v>142.69999999999999</v>
      </c>
      <c r="K25" s="298">
        <f>SUM(K18:K24)</f>
        <v>144.79999999999998</v>
      </c>
      <c r="L25" s="298">
        <f t="shared" si="3"/>
        <v>37.899999999999991</v>
      </c>
      <c r="M25" s="298">
        <f t="shared" si="3"/>
        <v>137.79999999999998</v>
      </c>
      <c r="N25" s="299">
        <f t="shared" si="3"/>
        <v>136.60000000000002</v>
      </c>
      <c r="O25" s="436">
        <f>SUM(O18:O24)</f>
        <v>2878.3</v>
      </c>
      <c r="P25" s="615">
        <f t="shared" si="3"/>
        <v>557.4</v>
      </c>
      <c r="Q25" s="616">
        <f t="shared" si="3"/>
        <v>554.79999999999995</v>
      </c>
      <c r="R25" s="616">
        <f t="shared" si="3"/>
        <v>200.7</v>
      </c>
      <c r="S25" s="616">
        <f t="shared" si="3"/>
        <v>557.90000000000009</v>
      </c>
      <c r="T25" s="617">
        <f t="shared" si="3"/>
        <v>559.9</v>
      </c>
      <c r="U25" s="618">
        <f t="shared" si="3"/>
        <v>578.29999999999995</v>
      </c>
      <c r="V25" s="616">
        <f t="shared" si="3"/>
        <v>586.6</v>
      </c>
      <c r="W25" s="616">
        <f t="shared" si="3"/>
        <v>209</v>
      </c>
      <c r="X25" s="616">
        <f t="shared" si="3"/>
        <v>583</v>
      </c>
      <c r="Y25" s="619">
        <f t="shared" si="3"/>
        <v>581.79999999999995</v>
      </c>
      <c r="Z25" s="607">
        <f>SUM(Z18,Z19,Z20,Z21,Z22,Z23,Z24)</f>
        <v>10721.7</v>
      </c>
      <c r="AA25" s="301"/>
    </row>
    <row r="26" spans="1:40" s="2" customFormat="1" ht="36.75" customHeight="1" x14ac:dyDescent="0.25">
      <c r="A26" s="192" t="s">
        <v>11</v>
      </c>
      <c r="B26" s="293"/>
      <c r="C26" s="603">
        <v>165</v>
      </c>
      <c r="D26" s="603">
        <v>165</v>
      </c>
      <c r="E26" s="603">
        <v>165</v>
      </c>
      <c r="F26" s="603">
        <v>165</v>
      </c>
      <c r="G26" s="603">
        <v>165</v>
      </c>
      <c r="H26" s="478"/>
      <c r="I26" s="604"/>
      <c r="J26" s="603">
        <v>165</v>
      </c>
      <c r="K26" s="603">
        <v>165</v>
      </c>
      <c r="L26" s="603">
        <v>163.30000000000001</v>
      </c>
      <c r="M26" s="603">
        <v>163.30000000000001</v>
      </c>
      <c r="N26" s="603">
        <v>163.30000000000001</v>
      </c>
      <c r="O26" s="610"/>
      <c r="P26" s="620">
        <v>163.30000000000001</v>
      </c>
      <c r="Q26" s="621">
        <v>163.30000000000001</v>
      </c>
      <c r="R26" s="621">
        <v>163.30000000000001</v>
      </c>
      <c r="S26" s="621">
        <v>163.30000000000001</v>
      </c>
      <c r="T26" s="622">
        <v>163.30000000000001</v>
      </c>
      <c r="U26" s="620">
        <v>163.30000000000001</v>
      </c>
      <c r="V26" s="621">
        <v>163.30000000000001</v>
      </c>
      <c r="W26" s="621">
        <v>163.30000000000001</v>
      </c>
      <c r="X26" s="621">
        <v>163.30000000000001</v>
      </c>
      <c r="Y26" s="622">
        <v>163.30000000000001</v>
      </c>
      <c r="Z26" s="605">
        <f>(((Z25*1000)/7)/Z27)</f>
        <v>164.25430869398699</v>
      </c>
    </row>
    <row r="27" spans="1:40" s="2" customFormat="1" ht="33" customHeight="1" x14ac:dyDescent="0.25">
      <c r="A27" s="193" t="s">
        <v>12</v>
      </c>
      <c r="B27" s="257"/>
      <c r="C27" s="27">
        <v>577</v>
      </c>
      <c r="D27" s="27">
        <v>576</v>
      </c>
      <c r="E27" s="27">
        <v>157</v>
      </c>
      <c r="F27" s="27">
        <v>588</v>
      </c>
      <c r="G27" s="27">
        <v>585</v>
      </c>
      <c r="H27" s="441"/>
      <c r="I27" s="26"/>
      <c r="J27" s="27">
        <v>580</v>
      </c>
      <c r="K27" s="27">
        <v>588</v>
      </c>
      <c r="L27" s="483">
        <v>160</v>
      </c>
      <c r="M27" s="27">
        <v>589</v>
      </c>
      <c r="N27" s="27">
        <v>582</v>
      </c>
      <c r="O27" s="611"/>
      <c r="P27" s="26">
        <v>487</v>
      </c>
      <c r="Q27" s="27">
        <v>485</v>
      </c>
      <c r="R27" s="27">
        <v>174</v>
      </c>
      <c r="S27" s="27">
        <v>488</v>
      </c>
      <c r="T27" s="623">
        <v>489</v>
      </c>
      <c r="U27" s="26">
        <v>506</v>
      </c>
      <c r="V27" s="27">
        <v>513</v>
      </c>
      <c r="W27" s="27">
        <v>182</v>
      </c>
      <c r="X27" s="27">
        <v>510</v>
      </c>
      <c r="Y27" s="28">
        <v>509</v>
      </c>
      <c r="Z27" s="29">
        <f>SUM(C27:Y27)</f>
        <v>9325</v>
      </c>
      <c r="AA27" s="402"/>
    </row>
    <row r="28" spans="1:40" s="2" customFormat="1" ht="33" customHeight="1" x14ac:dyDescent="0.25">
      <c r="A28" s="444" t="s">
        <v>13</v>
      </c>
      <c r="B28" s="445"/>
      <c r="C28" s="31">
        <f>(C33*C27)/1000</f>
        <v>20.195</v>
      </c>
      <c r="D28" s="31">
        <f>(D33*D27)/1000</f>
        <v>20.16</v>
      </c>
      <c r="E28" s="31">
        <f t="shared" ref="E28:F28" si="4">(E33*E27)/1000</f>
        <v>5.4950000000000001</v>
      </c>
      <c r="F28" s="31">
        <f t="shared" si="4"/>
        <v>20.58</v>
      </c>
      <c r="G28" s="31">
        <f>(G33*G27)/1000</f>
        <v>20.475000000000001</v>
      </c>
      <c r="H28" s="442"/>
      <c r="I28" s="30"/>
      <c r="J28" s="31">
        <f>(J33*J27)/1000</f>
        <v>20.3</v>
      </c>
      <c r="K28" s="31">
        <f t="shared" ref="K28:N28" si="5">(K33*K27)/1000</f>
        <v>20.58</v>
      </c>
      <c r="L28" s="31">
        <f t="shared" si="5"/>
        <v>5.3280000000000021</v>
      </c>
      <c r="M28" s="31">
        <f t="shared" si="5"/>
        <v>19.613700000000009</v>
      </c>
      <c r="N28" s="31">
        <f t="shared" si="5"/>
        <v>19.380600000000005</v>
      </c>
      <c r="O28" s="612"/>
      <c r="P28" s="30">
        <f t="shared" ref="P28:Y28" si="6">((((P26*7)*P27)/1000)-P18-P19)/5</f>
        <v>79.337940000000003</v>
      </c>
      <c r="Q28" s="31">
        <f t="shared" si="6"/>
        <v>79.040700000000015</v>
      </c>
      <c r="R28" s="31">
        <f t="shared" si="6"/>
        <v>28.119880000000006</v>
      </c>
      <c r="S28" s="31">
        <f t="shared" si="6"/>
        <v>79.586560000000006</v>
      </c>
      <c r="T28" s="32">
        <f t="shared" si="6"/>
        <v>79.675179999999997</v>
      </c>
      <c r="U28" s="30">
        <f t="shared" si="6"/>
        <v>82.52172000000003</v>
      </c>
      <c r="V28" s="31">
        <f t="shared" si="6"/>
        <v>83.662059999999997</v>
      </c>
      <c r="W28" s="31">
        <f t="shared" si="6"/>
        <v>29.568840000000005</v>
      </c>
      <c r="X28" s="31">
        <f t="shared" si="6"/>
        <v>83.196200000000019</v>
      </c>
      <c r="Y28" s="32">
        <f t="shared" si="6"/>
        <v>83.007580000000004</v>
      </c>
      <c r="Z28" s="33"/>
    </row>
    <row r="29" spans="1:40" ht="33.75" customHeight="1" x14ac:dyDescent="0.25">
      <c r="A29" s="185" t="s">
        <v>14</v>
      </c>
      <c r="B29" s="34"/>
      <c r="C29" s="280">
        <f>((C27*C30)*7)/1000</f>
        <v>142</v>
      </c>
      <c r="D29" s="280">
        <f t="shared" ref="D29:G29" si="7">((D27*D30)*7)/1000</f>
        <v>142</v>
      </c>
      <c r="E29" s="280">
        <f>((E27*E30)*7)/1000</f>
        <v>38.70000000000001</v>
      </c>
      <c r="F29" s="280">
        <f t="shared" si="7"/>
        <v>144.79999999999998</v>
      </c>
      <c r="G29" s="280">
        <f t="shared" si="7"/>
        <v>144.1</v>
      </c>
      <c r="H29" s="443"/>
      <c r="I29" s="279"/>
      <c r="J29" s="280">
        <f>((J27*J30)*7)/1000</f>
        <v>142.69999999999996</v>
      </c>
      <c r="K29" s="280">
        <f t="shared" ref="K29:N29" si="8">((K27*K30)*7)/1000</f>
        <v>144.79999999999998</v>
      </c>
      <c r="L29" s="280">
        <f t="shared" si="8"/>
        <v>37.899999999999984</v>
      </c>
      <c r="M29" s="280">
        <f t="shared" si="8"/>
        <v>137.79999999999998</v>
      </c>
      <c r="N29" s="280">
        <f t="shared" si="8"/>
        <v>136.60000000000005</v>
      </c>
      <c r="O29" s="613"/>
      <c r="P29" s="279">
        <f t="shared" ref="P29:Y29" si="9">((P27*P26)*7)/1000</f>
        <v>556.68970000000002</v>
      </c>
      <c r="Q29" s="280">
        <f t="shared" si="9"/>
        <v>554.40350000000001</v>
      </c>
      <c r="R29" s="280">
        <f t="shared" si="9"/>
        <v>198.89939999999999</v>
      </c>
      <c r="S29" s="280">
        <f t="shared" si="9"/>
        <v>557.83280000000002</v>
      </c>
      <c r="T29" s="282">
        <f t="shared" si="9"/>
        <v>558.97590000000014</v>
      </c>
      <c r="U29" s="279">
        <f t="shared" si="9"/>
        <v>578.40859999999998</v>
      </c>
      <c r="V29" s="280">
        <f t="shared" si="9"/>
        <v>586.41030000000001</v>
      </c>
      <c r="W29" s="280">
        <f t="shared" si="9"/>
        <v>208.04420000000002</v>
      </c>
      <c r="X29" s="280">
        <f t="shared" si="9"/>
        <v>582.98099999999999</v>
      </c>
      <c r="Y29" s="282">
        <f t="shared" si="9"/>
        <v>581.8379000000001</v>
      </c>
      <c r="Z29" s="36"/>
    </row>
    <row r="30" spans="1:40" ht="33.75" customHeight="1" thickBot="1" x14ac:dyDescent="0.3">
      <c r="A30" s="195" t="s">
        <v>15</v>
      </c>
      <c r="B30" s="423"/>
      <c r="C30" s="38">
        <f>+(C25/C27)/7*1000</f>
        <v>35.157217132953704</v>
      </c>
      <c r="D30" s="38">
        <f t="shared" ref="D30:Y30" si="10">+(D25/D27)/7*1000</f>
        <v>35.218253968253968</v>
      </c>
      <c r="E30" s="38">
        <f t="shared" si="10"/>
        <v>35.213830755232031</v>
      </c>
      <c r="F30" s="38">
        <f t="shared" si="10"/>
        <v>35.179786200194357</v>
      </c>
      <c r="G30" s="38">
        <f t="shared" si="10"/>
        <v>35.189255189255192</v>
      </c>
      <c r="H30" s="259"/>
      <c r="I30" s="37"/>
      <c r="J30" s="38">
        <f t="shared" si="10"/>
        <v>35.147783251231523</v>
      </c>
      <c r="K30" s="38">
        <f t="shared" si="10"/>
        <v>35.179786200194357</v>
      </c>
      <c r="L30" s="38">
        <f t="shared" si="10"/>
        <v>33.839285714285701</v>
      </c>
      <c r="M30" s="38">
        <f t="shared" si="10"/>
        <v>33.422265340771276</v>
      </c>
      <c r="N30" s="38">
        <f t="shared" si="10"/>
        <v>33.529700540009827</v>
      </c>
      <c r="O30" s="614"/>
      <c r="P30" s="37">
        <f t="shared" si="10"/>
        <v>163.50836022293927</v>
      </c>
      <c r="Q30" s="38">
        <f t="shared" si="10"/>
        <v>163.41678939617083</v>
      </c>
      <c r="R30" s="38">
        <f t="shared" si="10"/>
        <v>164.77832512315271</v>
      </c>
      <c r="S30" s="38">
        <f t="shared" si="10"/>
        <v>163.31967213114757</v>
      </c>
      <c r="T30" s="39">
        <f t="shared" si="10"/>
        <v>163.5699678644464</v>
      </c>
      <c r="U30" s="37">
        <f t="shared" si="10"/>
        <v>163.26933935629586</v>
      </c>
      <c r="V30" s="38">
        <f t="shared" si="10"/>
        <v>163.35282651072129</v>
      </c>
      <c r="W30" s="38">
        <f t="shared" si="10"/>
        <v>164.05023547880691</v>
      </c>
      <c r="X30" s="38">
        <f t="shared" si="10"/>
        <v>163.30532212885154</v>
      </c>
      <c r="Y30" s="39">
        <f t="shared" si="10"/>
        <v>163.28936289643559</v>
      </c>
      <c r="Z30" s="40"/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1">D29-D25</f>
        <v>0</v>
      </c>
      <c r="E31" s="42">
        <f t="shared" si="11"/>
        <v>0</v>
      </c>
      <c r="F31" s="42">
        <f t="shared" si="11"/>
        <v>0</v>
      </c>
      <c r="G31" s="42">
        <f t="shared" si="11"/>
        <v>0</v>
      </c>
      <c r="H31" s="42"/>
      <c r="I31" s="42"/>
      <c r="J31" s="42">
        <f t="shared" si="11"/>
        <v>0</v>
      </c>
      <c r="K31" s="42">
        <f>K29-K25</f>
        <v>0</v>
      </c>
      <c r="L31" s="42">
        <f t="shared" si="11"/>
        <v>0</v>
      </c>
      <c r="M31" s="42">
        <f t="shared" si="11"/>
        <v>0</v>
      </c>
      <c r="N31" s="42">
        <f t="shared" si="11"/>
        <v>0</v>
      </c>
      <c r="O31" s="42"/>
      <c r="P31" s="42">
        <f t="shared" si="11"/>
        <v>-0.71029999999996107</v>
      </c>
      <c r="Q31" s="42">
        <f t="shared" si="11"/>
        <v>-0.39649999999994634</v>
      </c>
      <c r="R31" s="42">
        <f t="shared" si="11"/>
        <v>-1.8006000000000029</v>
      </c>
      <c r="S31" s="42">
        <f t="shared" si="11"/>
        <v>-6.7200000000070759E-2</v>
      </c>
      <c r="T31" s="42">
        <f t="shared" si="11"/>
        <v>-0.92409999999983938</v>
      </c>
      <c r="U31" s="42">
        <f t="shared" si="11"/>
        <v>0.10860000000002401</v>
      </c>
      <c r="V31" s="42">
        <f t="shared" si="11"/>
        <v>-0.18970000000001619</v>
      </c>
      <c r="W31" s="42">
        <f t="shared" si="11"/>
        <v>-0.95579999999998222</v>
      </c>
      <c r="X31" s="42">
        <f t="shared" si="11"/>
        <v>-1.9000000000005457E-2</v>
      </c>
      <c r="Y31" s="42">
        <f t="shared" si="11"/>
        <v>3.7900000000149703E-2</v>
      </c>
      <c r="Z31" s="48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0.15721713295370421</v>
      </c>
      <c r="D32" s="42">
        <f t="shared" ref="D32:G32" si="12">D30-D33</f>
        <v>0.21825396825396837</v>
      </c>
      <c r="E32" s="42">
        <f t="shared" si="12"/>
        <v>0.21383075523203132</v>
      </c>
      <c r="F32" s="42">
        <f t="shared" si="12"/>
        <v>0.17978620019435709</v>
      </c>
      <c r="G32" s="42">
        <f t="shared" si="12"/>
        <v>0.18925518925519214</v>
      </c>
      <c r="H32" s="42"/>
      <c r="I32" s="42"/>
      <c r="J32" s="42">
        <f t="shared" ref="J32:N32" si="13">J30-J33</f>
        <v>0.14778325123152314</v>
      </c>
      <c r="K32" s="42">
        <f t="shared" si="13"/>
        <v>0.17978620019435709</v>
      </c>
      <c r="L32" s="42">
        <f t="shared" si="13"/>
        <v>0.53928571428568972</v>
      </c>
      <c r="M32" s="42">
        <f t="shared" si="13"/>
        <v>0.12226534077126416</v>
      </c>
      <c r="N32" s="42">
        <f t="shared" si="13"/>
        <v>0.22970054000981577</v>
      </c>
      <c r="O32" s="42"/>
      <c r="P32" s="42">
        <f t="shared" si="11"/>
        <v>0.20836022293926248</v>
      </c>
      <c r="Q32" s="42">
        <f t="shared" si="11"/>
        <v>0.11678939617081596</v>
      </c>
      <c r="R32" s="42">
        <f t="shared" si="11"/>
        <v>1.4783251231527004</v>
      </c>
      <c r="S32" s="42">
        <f t="shared" si="11"/>
        <v>1.9672131147558503E-2</v>
      </c>
      <c r="T32" s="42">
        <f t="shared" si="11"/>
        <v>0.26996786444638587</v>
      </c>
      <c r="U32" s="42">
        <f t="shared" si="11"/>
        <v>-3.0660643704152335E-2</v>
      </c>
      <c r="V32" s="42">
        <f t="shared" si="11"/>
        <v>5.2826510721274644E-2</v>
      </c>
      <c r="W32" s="42">
        <f t="shared" si="11"/>
        <v>0.75023547880689989</v>
      </c>
      <c r="X32" s="42">
        <f t="shared" si="11"/>
        <v>5.3221288515317156E-3</v>
      </c>
      <c r="Y32" s="42">
        <f t="shared" si="11"/>
        <v>-1.0637103564420158E-2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35</v>
      </c>
      <c r="D33" s="42">
        <f t="shared" ref="D33:G33" si="14">D26-$B$34</f>
        <v>35</v>
      </c>
      <c r="E33" s="42">
        <f t="shared" si="14"/>
        <v>35</v>
      </c>
      <c r="F33" s="42">
        <f t="shared" si="14"/>
        <v>35</v>
      </c>
      <c r="G33" s="42">
        <f t="shared" si="14"/>
        <v>35</v>
      </c>
      <c r="H33" s="42"/>
      <c r="I33" s="42"/>
      <c r="J33" s="42">
        <f>J26-$I$34</f>
        <v>35</v>
      </c>
      <c r="K33" s="42">
        <f t="shared" ref="K33:N33" si="15">K26-$I$34</f>
        <v>35</v>
      </c>
      <c r="L33" s="42">
        <f t="shared" si="15"/>
        <v>33.300000000000011</v>
      </c>
      <c r="M33" s="42">
        <f t="shared" si="15"/>
        <v>33.300000000000011</v>
      </c>
      <c r="N33" s="42">
        <f t="shared" si="15"/>
        <v>33.300000000000011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322.79000000000002</v>
      </c>
      <c r="D34" s="432">
        <f>SUM(C27:G27)</f>
        <v>2483</v>
      </c>
      <c r="E34" s="42"/>
      <c r="F34" s="42"/>
      <c r="G34" s="42"/>
      <c r="H34" s="42"/>
      <c r="I34" s="514">
        <v>130</v>
      </c>
      <c r="J34" s="431">
        <f>(I34*K34)/1000</f>
        <v>324.87</v>
      </c>
      <c r="K34" s="432">
        <f>SUM(J27:N27)</f>
        <v>2499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9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426" t="s">
        <v>18</v>
      </c>
      <c r="M39" s="973" t="s">
        <v>17</v>
      </c>
      <c r="N39" s="974"/>
      <c r="O39" s="974"/>
      <c r="P39" s="974"/>
      <c r="Q39" s="974"/>
      <c r="R39" s="991"/>
      <c r="S39" s="261" t="s">
        <v>9</v>
      </c>
      <c r="U39" s="45"/>
      <c r="V39" s="45"/>
      <c r="W39" s="46"/>
      <c r="X39" s="3"/>
      <c r="Y39" s="45"/>
      <c r="Z39" s="45"/>
      <c r="AA39" s="45"/>
      <c r="AB39" s="3"/>
    </row>
    <row r="40" spans="1:38" ht="33.75" customHeight="1" thickBot="1" x14ac:dyDescent="0.3">
      <c r="A40" s="170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86">
        <v>1</v>
      </c>
      <c r="N40" s="174">
        <v>2</v>
      </c>
      <c r="O40" s="174">
        <v>3</v>
      </c>
      <c r="P40" s="174">
        <v>4</v>
      </c>
      <c r="Q40" s="203">
        <v>5</v>
      </c>
      <c r="R40" s="175" t="s">
        <v>92</v>
      </c>
      <c r="S40" s="126"/>
      <c r="U40" s="47"/>
      <c r="V40" s="47"/>
      <c r="W40" s="48"/>
      <c r="X40" s="48"/>
      <c r="Y40" s="2"/>
      <c r="Z40" s="2"/>
      <c r="AA40" s="2"/>
      <c r="AB40" s="2"/>
    </row>
    <row r="41" spans="1:38" ht="33.75" customHeight="1" x14ac:dyDescent="0.25">
      <c r="A41" s="171" t="s">
        <v>32</v>
      </c>
      <c r="B41" s="142">
        <v>96.8</v>
      </c>
      <c r="C41" s="486">
        <v>96.5</v>
      </c>
      <c r="D41" s="486">
        <v>25.6</v>
      </c>
      <c r="E41" s="486">
        <v>96.8</v>
      </c>
      <c r="F41" s="537">
        <v>96.4</v>
      </c>
      <c r="G41" s="509">
        <f t="shared" ref="G41:G48" si="16">SUM(B41:F41)</f>
        <v>412.1</v>
      </c>
      <c r="H41" s="609"/>
      <c r="I41" s="364"/>
      <c r="J41" s="364"/>
      <c r="K41" s="364"/>
      <c r="L41" s="171" t="s">
        <v>53</v>
      </c>
      <c r="M41" s="18">
        <v>7.7</v>
      </c>
      <c r="N41" s="19">
        <v>7.6</v>
      </c>
      <c r="O41" s="19">
        <v>2</v>
      </c>
      <c r="P41" s="19">
        <v>7.6</v>
      </c>
      <c r="Q41" s="19">
        <v>7.7</v>
      </c>
      <c r="R41" s="20">
        <v>2.2999999999999998</v>
      </c>
      <c r="S41" s="98">
        <f>SUM(M41:R41)</f>
        <v>34.9</v>
      </c>
      <c r="T41" s="302"/>
      <c r="U41" s="2"/>
      <c r="V41" s="49"/>
      <c r="W41" s="48"/>
      <c r="X41" s="48"/>
      <c r="Y41" s="2"/>
      <c r="Z41" s="2"/>
      <c r="AA41" s="2"/>
      <c r="AB41" s="2"/>
    </row>
    <row r="42" spans="1:38" ht="33.75" customHeight="1" x14ac:dyDescent="0.25">
      <c r="A42" s="171" t="s">
        <v>24</v>
      </c>
      <c r="B42" s="142">
        <v>96.8</v>
      </c>
      <c r="C42" s="486">
        <v>96.5</v>
      </c>
      <c r="D42" s="486">
        <v>25.5</v>
      </c>
      <c r="E42" s="486">
        <v>96.8</v>
      </c>
      <c r="F42" s="537">
        <v>96.4</v>
      </c>
      <c r="G42" s="509">
        <f t="shared" si="16"/>
        <v>412</v>
      </c>
      <c r="H42" s="609"/>
      <c r="I42" s="364"/>
      <c r="J42" s="364"/>
      <c r="K42" s="364"/>
      <c r="L42" s="171" t="s">
        <v>24</v>
      </c>
      <c r="M42" s="18">
        <v>7.7</v>
      </c>
      <c r="N42" s="19">
        <v>7.6</v>
      </c>
      <c r="O42" s="19">
        <v>2</v>
      </c>
      <c r="P42" s="19">
        <v>7.3</v>
      </c>
      <c r="Q42" s="19">
        <v>7.7</v>
      </c>
      <c r="R42" s="20">
        <v>2.2999999999999998</v>
      </c>
      <c r="S42" s="98">
        <f t="shared" ref="S42:S46" si="17">SUM(M42:R42)</f>
        <v>34.6</v>
      </c>
      <c r="T42" s="302"/>
      <c r="U42" s="2"/>
      <c r="V42" s="49"/>
      <c r="W42" s="48"/>
      <c r="X42" s="48"/>
      <c r="Y42" s="2"/>
      <c r="Z42" s="2"/>
      <c r="AA42" s="2"/>
      <c r="AB42" s="2"/>
    </row>
    <row r="43" spans="1:38" ht="33.75" customHeight="1" x14ac:dyDescent="0.25">
      <c r="A43" s="171" t="s">
        <v>20</v>
      </c>
      <c r="B43" s="142">
        <v>96.8</v>
      </c>
      <c r="C43" s="486">
        <v>96.5</v>
      </c>
      <c r="D43" s="486">
        <v>25.3</v>
      </c>
      <c r="E43" s="486">
        <v>96.8</v>
      </c>
      <c r="F43" s="537">
        <v>96.4</v>
      </c>
      <c r="G43" s="509">
        <f t="shared" si="16"/>
        <v>411.80000000000007</v>
      </c>
      <c r="H43" s="609"/>
      <c r="I43" s="364"/>
      <c r="J43" s="364"/>
      <c r="K43" s="364"/>
      <c r="L43" s="171" t="s">
        <v>20</v>
      </c>
      <c r="M43" s="18">
        <v>7.7</v>
      </c>
      <c r="N43" s="19">
        <v>7.6</v>
      </c>
      <c r="O43" s="19">
        <v>2</v>
      </c>
      <c r="P43" s="19">
        <v>7.4</v>
      </c>
      <c r="Q43" s="19">
        <v>7.7</v>
      </c>
      <c r="R43" s="20">
        <v>2.1</v>
      </c>
      <c r="S43" s="98">
        <f t="shared" si="17"/>
        <v>34.500000000000007</v>
      </c>
      <c r="T43" s="302"/>
      <c r="U43" s="2"/>
      <c r="V43" s="49"/>
      <c r="W43" s="48"/>
      <c r="X43" s="48"/>
      <c r="Y43" s="2"/>
      <c r="Z43" s="2"/>
      <c r="AA43" s="2"/>
      <c r="AB43" s="2"/>
    </row>
    <row r="44" spans="1:38" ht="33.75" customHeight="1" x14ac:dyDescent="0.25">
      <c r="A44" s="171" t="s">
        <v>28</v>
      </c>
      <c r="B44" s="142">
        <v>96.6</v>
      </c>
      <c r="C44" s="486">
        <v>96.5</v>
      </c>
      <c r="D44" s="486">
        <v>25.3</v>
      </c>
      <c r="E44" s="486">
        <v>96.8</v>
      </c>
      <c r="F44" s="537">
        <v>96.3</v>
      </c>
      <c r="G44" s="509">
        <f t="shared" si="16"/>
        <v>411.5</v>
      </c>
      <c r="H44" s="609"/>
      <c r="I44" s="364"/>
      <c r="J44" s="364"/>
      <c r="K44" s="364"/>
      <c r="L44" s="171" t="s">
        <v>28</v>
      </c>
      <c r="M44" s="18">
        <v>7.7</v>
      </c>
      <c r="N44" s="19">
        <v>7.6</v>
      </c>
      <c r="O44" s="19">
        <v>2</v>
      </c>
      <c r="P44" s="19">
        <v>7.4</v>
      </c>
      <c r="Q44" s="19">
        <v>7.7</v>
      </c>
      <c r="R44" s="20">
        <v>2.1</v>
      </c>
      <c r="S44" s="98">
        <f t="shared" si="17"/>
        <v>34.500000000000007</v>
      </c>
      <c r="T44" s="302"/>
      <c r="U44" s="2"/>
      <c r="V44" s="49"/>
      <c r="W44" s="48"/>
      <c r="X44" s="48"/>
      <c r="Y44" s="2"/>
      <c r="Z44" s="2"/>
      <c r="AA44" s="2"/>
      <c r="AB44" s="2"/>
    </row>
    <row r="45" spans="1:38" ht="33.75" customHeight="1" x14ac:dyDescent="0.25">
      <c r="A45" s="171" t="s">
        <v>21</v>
      </c>
      <c r="B45" s="142">
        <v>96.6</v>
      </c>
      <c r="C45" s="486">
        <v>96.5</v>
      </c>
      <c r="D45" s="486">
        <v>25.3</v>
      </c>
      <c r="E45" s="486">
        <v>96.8</v>
      </c>
      <c r="F45" s="537">
        <v>96.3</v>
      </c>
      <c r="G45" s="509">
        <f t="shared" si="16"/>
        <v>411.5</v>
      </c>
      <c r="H45" s="609"/>
      <c r="I45" s="364"/>
      <c r="J45" s="364"/>
      <c r="K45" s="364"/>
      <c r="L45" s="171" t="s">
        <v>21</v>
      </c>
      <c r="M45" s="18">
        <v>7.7</v>
      </c>
      <c r="N45" s="19">
        <v>7.6</v>
      </c>
      <c r="O45" s="19">
        <v>2</v>
      </c>
      <c r="P45" s="19">
        <v>7.4</v>
      </c>
      <c r="Q45" s="19">
        <v>7.7</v>
      </c>
      <c r="R45" s="20">
        <v>2.1</v>
      </c>
      <c r="S45" s="98">
        <f t="shared" si="17"/>
        <v>34.500000000000007</v>
      </c>
      <c r="T45" s="302"/>
      <c r="U45" s="2"/>
      <c r="V45" s="49"/>
      <c r="W45" s="48"/>
      <c r="X45" s="48"/>
      <c r="Y45" s="2"/>
      <c r="Z45" s="2"/>
      <c r="AA45" s="2"/>
      <c r="AB45" s="2"/>
    </row>
    <row r="46" spans="1:38" ht="33.75" customHeight="1" x14ac:dyDescent="0.25">
      <c r="A46" s="171" t="s">
        <v>22</v>
      </c>
      <c r="B46" s="142">
        <v>96.6</v>
      </c>
      <c r="C46" s="486">
        <v>96.5</v>
      </c>
      <c r="D46" s="486">
        <v>25.3</v>
      </c>
      <c r="E46" s="486">
        <v>96.8</v>
      </c>
      <c r="F46" s="537">
        <v>96.3</v>
      </c>
      <c r="G46" s="509">
        <f t="shared" si="16"/>
        <v>411.5</v>
      </c>
      <c r="H46" s="609"/>
      <c r="I46" s="364"/>
      <c r="J46" s="364"/>
      <c r="K46" s="364"/>
      <c r="L46" s="171" t="s">
        <v>22</v>
      </c>
      <c r="M46" s="18">
        <v>7.7</v>
      </c>
      <c r="N46" s="19">
        <v>7.6</v>
      </c>
      <c r="O46" s="19">
        <v>2</v>
      </c>
      <c r="P46" s="19">
        <v>7.4</v>
      </c>
      <c r="Q46" s="19">
        <v>7.7</v>
      </c>
      <c r="R46" s="20">
        <v>2.1</v>
      </c>
      <c r="S46" s="98">
        <f t="shared" si="17"/>
        <v>34.500000000000007</v>
      </c>
      <c r="T46" s="302"/>
      <c r="U46" s="2"/>
      <c r="V46" s="49"/>
      <c r="W46" s="48"/>
      <c r="X46" s="48"/>
      <c r="Y46" s="2"/>
      <c r="Z46" s="2"/>
      <c r="AA46" s="2"/>
      <c r="AB46" s="2"/>
    </row>
    <row r="47" spans="1:38" ht="33.75" customHeight="1" thickBot="1" x14ac:dyDescent="0.3">
      <c r="A47" s="285" t="s">
        <v>23</v>
      </c>
      <c r="B47" s="142">
        <v>96.6</v>
      </c>
      <c r="C47" s="486">
        <v>95.8</v>
      </c>
      <c r="D47" s="486">
        <v>25.1</v>
      </c>
      <c r="E47" s="486">
        <v>96.8</v>
      </c>
      <c r="F47" s="537">
        <v>96.1</v>
      </c>
      <c r="G47" s="526">
        <f t="shared" si="16"/>
        <v>410.4</v>
      </c>
      <c r="H47" s="609"/>
      <c r="I47" s="364"/>
      <c r="J47" s="364"/>
      <c r="K47" s="364"/>
      <c r="L47" s="285" t="s">
        <v>23</v>
      </c>
      <c r="M47" s="18">
        <v>7.7</v>
      </c>
      <c r="N47" s="19">
        <v>7.6</v>
      </c>
      <c r="O47" s="19">
        <v>2</v>
      </c>
      <c r="P47" s="19">
        <v>7.4</v>
      </c>
      <c r="Q47" s="19">
        <v>7.7</v>
      </c>
      <c r="R47" s="20">
        <v>2.1</v>
      </c>
      <c r="S47" s="628">
        <f>SUM(M47:R47)</f>
        <v>34.500000000000007</v>
      </c>
      <c r="T47" s="302"/>
      <c r="U47" s="2"/>
      <c r="V47" s="49"/>
      <c r="W47" s="48"/>
      <c r="X47" s="48"/>
      <c r="Y47" s="48"/>
      <c r="Z47" s="48"/>
      <c r="AA47" s="2"/>
      <c r="AB47" s="2"/>
      <c r="AC47" s="2"/>
      <c r="AD47" s="2"/>
    </row>
    <row r="48" spans="1:38" ht="33.75" customHeight="1" x14ac:dyDescent="0.25">
      <c r="A48" s="290" t="s">
        <v>9</v>
      </c>
      <c r="B48" s="131">
        <f>SUM(B41:B47)</f>
        <v>676.80000000000007</v>
      </c>
      <c r="C48" s="128">
        <f t="shared" ref="C48:F48" si="18">SUM(C41:C47)</f>
        <v>674.8</v>
      </c>
      <c r="D48" s="128">
        <f t="shared" si="18"/>
        <v>177.4</v>
      </c>
      <c r="E48" s="128">
        <f t="shared" si="18"/>
        <v>677.59999999999991</v>
      </c>
      <c r="F48" s="129">
        <f t="shared" si="18"/>
        <v>674.2</v>
      </c>
      <c r="G48" s="265">
        <f t="shared" si="16"/>
        <v>2880.8</v>
      </c>
      <c r="H48" s="609"/>
      <c r="I48" s="364"/>
      <c r="J48" s="364"/>
      <c r="K48" s="364"/>
      <c r="L48" s="290" t="s">
        <v>9</v>
      </c>
      <c r="M48" s="179">
        <f>SUM(M41:M47)</f>
        <v>53.900000000000006</v>
      </c>
      <c r="N48" s="180">
        <f>SUM(N41:N47)</f>
        <v>53.2</v>
      </c>
      <c r="O48" s="180">
        <f>SUM(O41:O47)</f>
        <v>14</v>
      </c>
      <c r="P48" s="180">
        <f t="shared" ref="P48:R48" si="19">SUM(P41:P47)</f>
        <v>51.899999999999991</v>
      </c>
      <c r="Q48" s="180">
        <f t="shared" si="19"/>
        <v>53.900000000000006</v>
      </c>
      <c r="R48" s="181">
        <f t="shared" si="19"/>
        <v>15.099999999999998</v>
      </c>
      <c r="S48" s="265">
        <f>SUM(S41:S47)</f>
        <v>242</v>
      </c>
      <c r="U48" s="49"/>
      <c r="V48" s="49"/>
      <c r="W48" s="2"/>
      <c r="X48" s="2"/>
      <c r="Y48" s="2"/>
      <c r="Z48" s="2"/>
      <c r="AA48" s="2"/>
      <c r="AB48" s="2"/>
      <c r="AC48" s="2"/>
      <c r="AD48" s="2"/>
    </row>
    <row r="49" spans="1:50" ht="33.75" customHeight="1" x14ac:dyDescent="0.25">
      <c r="A49" s="192" t="s">
        <v>11</v>
      </c>
      <c r="B49" s="23">
        <v>158.69999999999999</v>
      </c>
      <c r="C49" s="24">
        <v>158.69999999999999</v>
      </c>
      <c r="D49" s="24">
        <v>158.69999999999999</v>
      </c>
      <c r="E49" s="24">
        <v>158.69999999999999</v>
      </c>
      <c r="F49" s="25">
        <v>158.69999999999999</v>
      </c>
      <c r="G49" s="137">
        <f>+((G48/G50)/7)*1000</f>
        <v>158.95822987364122</v>
      </c>
      <c r="H49" s="609"/>
      <c r="I49" s="364"/>
      <c r="J49" s="364"/>
      <c r="K49" s="364"/>
      <c r="L49" s="273" t="s">
        <v>11</v>
      </c>
      <c r="M49" s="23">
        <v>156</v>
      </c>
      <c r="N49" s="24">
        <v>154.5</v>
      </c>
      <c r="O49" s="24">
        <v>152.5</v>
      </c>
      <c r="P49" s="24">
        <v>154</v>
      </c>
      <c r="Q49" s="24">
        <v>152.5</v>
      </c>
      <c r="R49" s="25">
        <v>152.5</v>
      </c>
      <c r="S49" s="137">
        <f>+((S48/S50)/7)*1000</f>
        <v>155.02882767456757</v>
      </c>
      <c r="U49" s="50"/>
      <c r="V49" s="50"/>
    </row>
    <row r="50" spans="1:50" ht="33.75" customHeight="1" x14ac:dyDescent="0.25">
      <c r="A50" s="193" t="s">
        <v>12</v>
      </c>
      <c r="B50" s="26">
        <v>609</v>
      </c>
      <c r="C50" s="27">
        <v>605</v>
      </c>
      <c r="D50" s="27">
        <v>159</v>
      </c>
      <c r="E50" s="27">
        <v>610</v>
      </c>
      <c r="F50" s="28">
        <v>606</v>
      </c>
      <c r="G50" s="395">
        <f>SUM(B50:F50)</f>
        <v>2589</v>
      </c>
      <c r="H50" s="609"/>
      <c r="I50" s="364"/>
      <c r="J50" s="364"/>
      <c r="K50" s="364"/>
      <c r="L50" s="193" t="s">
        <v>12</v>
      </c>
      <c r="M50" s="257">
        <v>49</v>
      </c>
      <c r="N50" s="275">
        <v>49</v>
      </c>
      <c r="O50" s="275">
        <v>13</v>
      </c>
      <c r="P50" s="275">
        <v>48</v>
      </c>
      <c r="Q50" s="275">
        <v>50</v>
      </c>
      <c r="R50" s="276">
        <v>14</v>
      </c>
      <c r="S50" s="254">
        <f>SUM(M50:R50)</f>
        <v>223</v>
      </c>
      <c r="U50" s="52"/>
      <c r="V50" s="52"/>
    </row>
    <row r="51" spans="1:50" ht="33.75" customHeight="1" x14ac:dyDescent="0.25">
      <c r="A51" s="194" t="s">
        <v>13</v>
      </c>
      <c r="B51" s="30">
        <f>((((B49*7)*B50)/1000)-B41-B42)/5</f>
        <v>96.587619999999987</v>
      </c>
      <c r="C51" s="31">
        <f t="shared" ref="C51:F51" si="20">((((C49*7)*C50)/1000)-C41-C42)/5</f>
        <v>95.818899999999985</v>
      </c>
      <c r="D51" s="31">
        <f t="shared" si="20"/>
        <v>25.106619999999999</v>
      </c>
      <c r="E51" s="31">
        <f t="shared" si="20"/>
        <v>96.809799999999981</v>
      </c>
      <c r="F51" s="32">
        <f t="shared" si="20"/>
        <v>96.08108</v>
      </c>
      <c r="G51" s="139">
        <f>((G48*1000)/G50)/7</f>
        <v>158.95822987364122</v>
      </c>
      <c r="H51" s="609"/>
      <c r="I51" s="364"/>
      <c r="J51" s="364"/>
      <c r="K51" s="364"/>
      <c r="L51" s="194" t="s">
        <v>13</v>
      </c>
      <c r="M51" s="30">
        <f t="shared" ref="M51:R51" si="21">((((M49*7)*M50)/1000)-M41-M42)/5</f>
        <v>7.621599999999999</v>
      </c>
      <c r="N51" s="31">
        <f t="shared" si="21"/>
        <v>7.5586999999999991</v>
      </c>
      <c r="O51" s="31">
        <f t="shared" si="21"/>
        <v>1.9754999999999998</v>
      </c>
      <c r="P51" s="31">
        <f t="shared" si="21"/>
        <v>7.3688000000000002</v>
      </c>
      <c r="Q51" s="31">
        <f t="shared" si="21"/>
        <v>7.5949999999999989</v>
      </c>
      <c r="R51" s="32">
        <f t="shared" si="21"/>
        <v>2.069</v>
      </c>
      <c r="S51" s="274">
        <f>((S48*1000)/S50)/7</f>
        <v>155.02882767456757</v>
      </c>
      <c r="U51" s="52"/>
      <c r="V51" s="52"/>
    </row>
    <row r="52" spans="1:50" ht="33.75" customHeight="1" x14ac:dyDescent="0.25">
      <c r="A52" s="185" t="s">
        <v>14</v>
      </c>
      <c r="B52" s="279">
        <f>((B50*B49)*7)/1000</f>
        <v>676.53809999999987</v>
      </c>
      <c r="C52" s="280">
        <f>((C50*C49)*7)/1000</f>
        <v>672.09450000000004</v>
      </c>
      <c r="D52" s="280">
        <f>((D50*D49)*7)/1000</f>
        <v>176.63310000000001</v>
      </c>
      <c r="E52" s="280">
        <f>((E50*E49)*7)/1000</f>
        <v>677.649</v>
      </c>
      <c r="F52" s="282">
        <f>((F50*F49)*7)/1000</f>
        <v>673.20540000000005</v>
      </c>
      <c r="G52" s="112"/>
      <c r="H52" s="609"/>
      <c r="I52" s="364"/>
      <c r="J52" s="364"/>
      <c r="K52" s="364"/>
      <c r="L52" s="185" t="s">
        <v>14</v>
      </c>
      <c r="M52" s="279">
        <f>((M50*M49)*7)/1000</f>
        <v>53.508000000000003</v>
      </c>
      <c r="N52" s="280">
        <f>((N50*N49)*7)/1000</f>
        <v>52.993499999999997</v>
      </c>
      <c r="O52" s="280">
        <f>((O50*O49)*7)/1000</f>
        <v>13.8775</v>
      </c>
      <c r="P52" s="280">
        <f t="shared" ref="P52:R52" si="22">((P50*P49)*7)/1000</f>
        <v>51.744</v>
      </c>
      <c r="Q52" s="280">
        <f t="shared" si="22"/>
        <v>53.375</v>
      </c>
      <c r="R52" s="282">
        <f t="shared" si="22"/>
        <v>14.945</v>
      </c>
      <c r="S52" s="36"/>
    </row>
    <row r="53" spans="1:50" ht="33.75" customHeight="1" thickBot="1" x14ac:dyDescent="0.3">
      <c r="A53" s="195" t="s">
        <v>15</v>
      </c>
      <c r="B53" s="37">
        <f t="shared" ref="B53:E53" si="23">+(B48/B50)/7*1000</f>
        <v>158.76143560872626</v>
      </c>
      <c r="C53" s="38">
        <f t="shared" si="23"/>
        <v>159.3388429752066</v>
      </c>
      <c r="D53" s="38">
        <f t="shared" si="23"/>
        <v>159.38903863432165</v>
      </c>
      <c r="E53" s="38">
        <f t="shared" si="23"/>
        <v>158.68852459016392</v>
      </c>
      <c r="F53" s="39">
        <f>+(F48/F50)/7*1000</f>
        <v>158.93446487505898</v>
      </c>
      <c r="G53" s="140"/>
      <c r="H53" s="609"/>
      <c r="I53" s="364"/>
      <c r="J53" s="364"/>
      <c r="K53" s="364"/>
      <c r="L53" s="195" t="s">
        <v>15</v>
      </c>
      <c r="M53" s="37">
        <f>+(M48/M50)/7*1000</f>
        <v>157.14285714285717</v>
      </c>
      <c r="N53" s="38">
        <f>+(N48/N50)/7*1000</f>
        <v>155.10204081632656</v>
      </c>
      <c r="O53" s="38">
        <f>+(O48/O50)/7*1000</f>
        <v>153.84615384615384</v>
      </c>
      <c r="P53" s="38">
        <f t="shared" ref="P53:R53" si="24">+(P48/P50)/7*1000</f>
        <v>154.46428571428569</v>
      </c>
      <c r="Q53" s="38">
        <f t="shared" si="24"/>
        <v>154</v>
      </c>
      <c r="R53" s="39">
        <f t="shared" si="24"/>
        <v>154.08163265306121</v>
      </c>
      <c r="S53" s="259"/>
      <c r="U53" s="42"/>
      <c r="V53" s="42"/>
    </row>
    <row r="54" spans="1:50" ht="33.75" customHeight="1" x14ac:dyDescent="0.25">
      <c r="A54" s="41"/>
      <c r="B54" s="43">
        <f>B52-B48</f>
        <v>-0.26190000000019609</v>
      </c>
      <c r="C54" s="43">
        <f t="shared" ref="C54:F55" si="25">C52-C48</f>
        <v>-2.7054999999999154</v>
      </c>
      <c r="D54" s="43">
        <f t="shared" si="25"/>
        <v>-0.76689999999999259</v>
      </c>
      <c r="E54" s="43">
        <f>E52-E48</f>
        <v>4.9000000000091859E-2</v>
      </c>
      <c r="F54" s="43">
        <f t="shared" si="25"/>
        <v>-0.99459999999999127</v>
      </c>
      <c r="G54" s="41"/>
      <c r="H54" s="41"/>
      <c r="I54" s="41"/>
      <c r="J54" s="41"/>
      <c r="K54" s="41"/>
      <c r="L54" s="42"/>
      <c r="M54" s="42">
        <f>M52-M48</f>
        <v>-0.39200000000000301</v>
      </c>
      <c r="N54" s="42">
        <f t="shared" ref="N54:R55" si="26">N52-N48</f>
        <v>-0.20650000000000546</v>
      </c>
      <c r="O54" s="42">
        <f t="shared" si="26"/>
        <v>-0.1225000000000005</v>
      </c>
      <c r="P54" s="42">
        <f t="shared" si="26"/>
        <v>-0.1559999999999917</v>
      </c>
      <c r="Q54" s="42">
        <f t="shared" si="26"/>
        <v>-0.52500000000000568</v>
      </c>
      <c r="R54" s="42">
        <f t="shared" si="26"/>
        <v>-0.15499999999999758</v>
      </c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6.143560872627063E-2</v>
      </c>
      <c r="C55" s="42">
        <f>C53-C49</f>
        <v>0.63884297520661448</v>
      </c>
      <c r="D55" s="42">
        <f t="shared" si="25"/>
        <v>0.6890386343216619</v>
      </c>
      <c r="E55" s="42">
        <f>E53-E49</f>
        <v>-1.1475409836066319E-2</v>
      </c>
      <c r="F55" s="42">
        <f>F53-F49</f>
        <v>0.23446487505898972</v>
      </c>
      <c r="G55" s="41"/>
      <c r="H55" s="41"/>
      <c r="I55" s="41"/>
      <c r="J55" s="41"/>
      <c r="K55" s="42"/>
      <c r="L55" s="42"/>
      <c r="M55" s="42">
        <f>M53-M49</f>
        <v>1.1428571428571672</v>
      </c>
      <c r="N55" s="42">
        <f t="shared" si="26"/>
        <v>0.60204081632656425</v>
      </c>
      <c r="O55" s="42">
        <f>O53-O49</f>
        <v>1.3461538461538396</v>
      </c>
      <c r="P55" s="42">
        <f t="shared" si="26"/>
        <v>0.46428571428569398</v>
      </c>
      <c r="Q55" s="42">
        <f t="shared" si="26"/>
        <v>1.5</v>
      </c>
      <c r="R55" s="42">
        <f t="shared" si="26"/>
        <v>1.5816326530612059</v>
      </c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1"/>
      <c r="N56" s="41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54"/>
      <c r="N57" s="54"/>
      <c r="O57" s="958"/>
      <c r="P57" s="958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86" t="s">
        <v>30</v>
      </c>
      <c r="H58" s="956"/>
      <c r="I58" s="956"/>
      <c r="J58" s="956"/>
      <c r="K58" s="956"/>
      <c r="L58" s="956"/>
      <c r="M58" s="986" t="s">
        <v>29</v>
      </c>
      <c r="N58" s="956"/>
      <c r="O58" s="956"/>
      <c r="P58" s="956"/>
      <c r="Q58" s="956"/>
      <c r="R58" s="987"/>
      <c r="S58" s="986" t="s">
        <v>31</v>
      </c>
      <c r="T58" s="956"/>
      <c r="U58" s="956"/>
      <c r="V58" s="956"/>
      <c r="W58" s="987"/>
      <c r="X58" s="586" t="s">
        <v>9</v>
      </c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188">
        <v>1</v>
      </c>
      <c r="H59" s="168">
        <v>2</v>
      </c>
      <c r="I59" s="168">
        <v>3</v>
      </c>
      <c r="J59" s="168">
        <v>4</v>
      </c>
      <c r="K59" s="168">
        <v>5</v>
      </c>
      <c r="L59" s="204" t="s">
        <v>117</v>
      </c>
      <c r="M59" s="188">
        <v>1</v>
      </c>
      <c r="N59" s="168">
        <v>2</v>
      </c>
      <c r="O59" s="168">
        <v>3</v>
      </c>
      <c r="P59" s="168">
        <v>4</v>
      </c>
      <c r="Q59" s="413">
        <v>5</v>
      </c>
      <c r="R59" s="414" t="s">
        <v>117</v>
      </c>
      <c r="S59" s="189">
        <v>1</v>
      </c>
      <c r="T59" s="168">
        <v>2</v>
      </c>
      <c r="U59" s="168">
        <v>3</v>
      </c>
      <c r="V59" s="168">
        <v>4</v>
      </c>
      <c r="W59" s="414">
        <v>5</v>
      </c>
      <c r="X59" s="126"/>
      <c r="Y59" s="45"/>
      <c r="Z59" s="45"/>
      <c r="AA59" s="45"/>
      <c r="AB59" s="45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25">
      <c r="A60" s="171" t="s">
        <v>53</v>
      </c>
      <c r="B60" s="446">
        <v>8.1999999999999993</v>
      </c>
      <c r="C60" s="19">
        <v>8.5</v>
      </c>
      <c r="D60" s="19">
        <v>2.4</v>
      </c>
      <c r="E60" s="19">
        <v>8.1999999999999993</v>
      </c>
      <c r="F60" s="61">
        <v>8.5</v>
      </c>
      <c r="G60" s="446">
        <v>8.3000000000000007</v>
      </c>
      <c r="H60" s="19">
        <v>8.5</v>
      </c>
      <c r="I60" s="19">
        <v>2.2000000000000002</v>
      </c>
      <c r="J60" s="19">
        <v>8.5</v>
      </c>
      <c r="K60" s="19">
        <v>8.3000000000000007</v>
      </c>
      <c r="L60" s="108">
        <v>4.3</v>
      </c>
      <c r="M60" s="18">
        <v>6.8</v>
      </c>
      <c r="N60" s="19">
        <v>7</v>
      </c>
      <c r="O60" s="19">
        <v>2.2000000000000002</v>
      </c>
      <c r="P60" s="19">
        <v>7</v>
      </c>
      <c r="Q60" s="19">
        <v>7</v>
      </c>
      <c r="R60" s="20">
        <v>2.6</v>
      </c>
      <c r="S60" s="61">
        <v>7.2</v>
      </c>
      <c r="T60" s="19">
        <v>7.2</v>
      </c>
      <c r="U60" s="19">
        <v>2.6</v>
      </c>
      <c r="V60" s="19">
        <v>7.3</v>
      </c>
      <c r="W60" s="20">
        <v>7.6</v>
      </c>
      <c r="X60" s="412">
        <f>SUM(B60:W60)</f>
        <v>140.39999999999998</v>
      </c>
      <c r="Y60" s="608"/>
      <c r="Z60" s="42"/>
      <c r="AA60" s="42"/>
      <c r="AB60" s="42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25">
      <c r="A61" s="171" t="s">
        <v>24</v>
      </c>
      <c r="B61" s="447">
        <v>8.3000000000000007</v>
      </c>
      <c r="C61" s="124">
        <v>8.5</v>
      </c>
      <c r="D61" s="124">
        <v>2.4</v>
      </c>
      <c r="E61" s="124">
        <v>8.3000000000000007</v>
      </c>
      <c r="F61" s="123">
        <v>8.5</v>
      </c>
      <c r="G61" s="447">
        <v>8.3000000000000007</v>
      </c>
      <c r="H61" s="124">
        <v>8.5</v>
      </c>
      <c r="I61" s="124">
        <v>2.2999999999999998</v>
      </c>
      <c r="J61" s="124">
        <v>8.5</v>
      </c>
      <c r="K61" s="124">
        <v>8.4</v>
      </c>
      <c r="L61" s="125">
        <v>4.3</v>
      </c>
      <c r="M61" s="130">
        <v>6.8</v>
      </c>
      <c r="N61" s="124">
        <v>7</v>
      </c>
      <c r="O61" s="124">
        <v>2.2000000000000002</v>
      </c>
      <c r="P61" s="124">
        <v>7</v>
      </c>
      <c r="Q61" s="124">
        <v>7</v>
      </c>
      <c r="R61" s="132">
        <v>2.6</v>
      </c>
      <c r="S61" s="123">
        <v>7.2</v>
      </c>
      <c r="T61" s="124">
        <v>7.2</v>
      </c>
      <c r="U61" s="124">
        <v>2.6</v>
      </c>
      <c r="V61" s="124">
        <v>7.3</v>
      </c>
      <c r="W61" s="132">
        <v>7.2</v>
      </c>
      <c r="X61" s="412">
        <f t="shared" ref="X61:X66" si="27">SUM(B61:W61)</f>
        <v>140.39999999999998</v>
      </c>
      <c r="Y61" s="608"/>
      <c r="Z61" s="42"/>
      <c r="AA61" s="42"/>
      <c r="AB61" s="42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25">
      <c r="A62" s="171" t="s">
        <v>20</v>
      </c>
      <c r="B62" s="447">
        <v>8.3000000000000007</v>
      </c>
      <c r="C62" s="124">
        <v>8.5</v>
      </c>
      <c r="D62" s="124">
        <v>2.4</v>
      </c>
      <c r="E62" s="124">
        <v>8.3000000000000007</v>
      </c>
      <c r="F62" s="123">
        <v>8.5</v>
      </c>
      <c r="G62" s="447">
        <v>8.3000000000000007</v>
      </c>
      <c r="H62" s="124">
        <v>8.5</v>
      </c>
      <c r="I62" s="124">
        <v>2.2999999999999998</v>
      </c>
      <c r="J62" s="124">
        <v>8.5</v>
      </c>
      <c r="K62" s="124">
        <v>8.4</v>
      </c>
      <c r="L62" s="125">
        <v>4.3</v>
      </c>
      <c r="M62" s="130">
        <v>6.8</v>
      </c>
      <c r="N62" s="124">
        <v>7</v>
      </c>
      <c r="O62" s="124">
        <v>2.2000000000000002</v>
      </c>
      <c r="P62" s="124">
        <v>7</v>
      </c>
      <c r="Q62" s="124">
        <v>7</v>
      </c>
      <c r="R62" s="132">
        <v>2.6</v>
      </c>
      <c r="S62" s="123">
        <v>7.2</v>
      </c>
      <c r="T62" s="124">
        <v>7.2</v>
      </c>
      <c r="U62" s="124">
        <v>2.6</v>
      </c>
      <c r="V62" s="124">
        <v>7.3</v>
      </c>
      <c r="W62" s="132">
        <v>7.2</v>
      </c>
      <c r="X62" s="412">
        <f t="shared" si="27"/>
        <v>140.39999999999998</v>
      </c>
      <c r="Y62" s="608"/>
      <c r="Z62" s="42"/>
      <c r="AA62" s="42"/>
      <c r="AB62" s="42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25">
      <c r="A63" s="171" t="s">
        <v>28</v>
      </c>
      <c r="B63" s="447">
        <v>8.3000000000000007</v>
      </c>
      <c r="C63" s="124">
        <v>8.5</v>
      </c>
      <c r="D63" s="124">
        <v>2.4</v>
      </c>
      <c r="E63" s="124">
        <v>8.3000000000000007</v>
      </c>
      <c r="F63" s="123">
        <v>8.5</v>
      </c>
      <c r="G63" s="447">
        <v>8.3000000000000007</v>
      </c>
      <c r="H63" s="124">
        <v>8.5</v>
      </c>
      <c r="I63" s="124">
        <v>2.2999999999999998</v>
      </c>
      <c r="J63" s="124">
        <v>8.5</v>
      </c>
      <c r="K63" s="124">
        <v>8.4</v>
      </c>
      <c r="L63" s="125">
        <v>4.3</v>
      </c>
      <c r="M63" s="130">
        <v>6.8</v>
      </c>
      <c r="N63" s="124">
        <v>7</v>
      </c>
      <c r="O63" s="124">
        <v>2.2000000000000002</v>
      </c>
      <c r="P63" s="124">
        <v>7</v>
      </c>
      <c r="Q63" s="124">
        <v>7</v>
      </c>
      <c r="R63" s="132">
        <v>2.6</v>
      </c>
      <c r="S63" s="123">
        <v>7.2</v>
      </c>
      <c r="T63" s="124">
        <v>7.2</v>
      </c>
      <c r="U63" s="124">
        <v>2.6</v>
      </c>
      <c r="V63" s="124">
        <v>7.3</v>
      </c>
      <c r="W63" s="132">
        <v>7.2</v>
      </c>
      <c r="X63" s="412">
        <f t="shared" si="27"/>
        <v>140.39999999999998</v>
      </c>
      <c r="Y63" s="608"/>
      <c r="Z63" s="42"/>
      <c r="AA63" s="42"/>
      <c r="AB63" s="42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25">
      <c r="A64" s="171" t="s">
        <v>21</v>
      </c>
      <c r="B64" s="447">
        <v>8.3000000000000007</v>
      </c>
      <c r="C64" s="124">
        <v>8.5</v>
      </c>
      <c r="D64" s="124">
        <v>2.4</v>
      </c>
      <c r="E64" s="124">
        <v>8.3000000000000007</v>
      </c>
      <c r="F64" s="123">
        <v>8.5</v>
      </c>
      <c r="G64" s="447">
        <v>8.3000000000000007</v>
      </c>
      <c r="H64" s="124">
        <v>8.5</v>
      </c>
      <c r="I64" s="124">
        <v>2.2999999999999998</v>
      </c>
      <c r="J64" s="124">
        <v>8.5</v>
      </c>
      <c r="K64" s="124">
        <v>8.4</v>
      </c>
      <c r="L64" s="125">
        <v>4.3</v>
      </c>
      <c r="M64" s="130">
        <v>6.8</v>
      </c>
      <c r="N64" s="124">
        <v>7</v>
      </c>
      <c r="O64" s="124">
        <v>2.2000000000000002</v>
      </c>
      <c r="P64" s="124">
        <v>7</v>
      </c>
      <c r="Q64" s="124">
        <v>7</v>
      </c>
      <c r="R64" s="132">
        <v>2.6</v>
      </c>
      <c r="S64" s="123">
        <v>7.2</v>
      </c>
      <c r="T64" s="124">
        <v>7.2</v>
      </c>
      <c r="U64" s="124">
        <v>2.6</v>
      </c>
      <c r="V64" s="124">
        <v>7.3</v>
      </c>
      <c r="W64" s="132">
        <v>7.2</v>
      </c>
      <c r="X64" s="412">
        <f t="shared" si="27"/>
        <v>140.39999999999998</v>
      </c>
      <c r="Y64" s="608"/>
      <c r="Z64" s="42"/>
      <c r="AA64" s="42"/>
      <c r="AB64" s="42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25">
      <c r="A65" s="171" t="s">
        <v>22</v>
      </c>
      <c r="B65" s="447">
        <v>8.3000000000000007</v>
      </c>
      <c r="C65" s="124">
        <v>8.5</v>
      </c>
      <c r="D65" s="124">
        <v>2.4</v>
      </c>
      <c r="E65" s="124">
        <v>8.3000000000000007</v>
      </c>
      <c r="F65" s="123">
        <v>8.5</v>
      </c>
      <c r="G65" s="447">
        <v>8.3000000000000007</v>
      </c>
      <c r="H65" s="124">
        <v>8.5</v>
      </c>
      <c r="I65" s="124">
        <v>2.2999999999999998</v>
      </c>
      <c r="J65" s="124">
        <v>8.5</v>
      </c>
      <c r="K65" s="124">
        <v>8.4</v>
      </c>
      <c r="L65" s="125">
        <v>4.3</v>
      </c>
      <c r="M65" s="130">
        <v>6.8</v>
      </c>
      <c r="N65" s="124">
        <v>7</v>
      </c>
      <c r="O65" s="124">
        <v>2.2000000000000002</v>
      </c>
      <c r="P65" s="124">
        <v>7</v>
      </c>
      <c r="Q65" s="124">
        <v>7</v>
      </c>
      <c r="R65" s="132">
        <v>2.6</v>
      </c>
      <c r="S65" s="123">
        <v>7.2</v>
      </c>
      <c r="T65" s="124">
        <v>7.2</v>
      </c>
      <c r="U65" s="124">
        <v>2.6</v>
      </c>
      <c r="V65" s="124">
        <v>7.3</v>
      </c>
      <c r="W65" s="132">
        <v>7.2</v>
      </c>
      <c r="X65" s="412">
        <f t="shared" si="27"/>
        <v>140.39999999999998</v>
      </c>
      <c r="Y65" s="608"/>
      <c r="Z65" s="42"/>
      <c r="AA65" s="42"/>
      <c r="AB65" s="42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3">
      <c r="A66" s="171" t="s">
        <v>23</v>
      </c>
      <c r="B66" s="447">
        <v>8.3000000000000007</v>
      </c>
      <c r="C66" s="124">
        <v>8.5</v>
      </c>
      <c r="D66" s="124">
        <v>2.4</v>
      </c>
      <c r="E66" s="124">
        <v>8.3000000000000007</v>
      </c>
      <c r="F66" s="123">
        <v>8.5</v>
      </c>
      <c r="G66" s="447">
        <v>8.3000000000000007</v>
      </c>
      <c r="H66" s="124">
        <v>8.5</v>
      </c>
      <c r="I66" s="124">
        <v>2.2999999999999998</v>
      </c>
      <c r="J66" s="124">
        <v>8.5</v>
      </c>
      <c r="K66" s="124">
        <v>8.4</v>
      </c>
      <c r="L66" s="125">
        <v>4.3</v>
      </c>
      <c r="M66" s="130">
        <v>6.8</v>
      </c>
      <c r="N66" s="124">
        <v>7</v>
      </c>
      <c r="O66" s="124">
        <v>2.2000000000000002</v>
      </c>
      <c r="P66" s="124">
        <v>7</v>
      </c>
      <c r="Q66" s="124">
        <v>7</v>
      </c>
      <c r="R66" s="132">
        <v>2.6</v>
      </c>
      <c r="S66" s="123">
        <v>7.2</v>
      </c>
      <c r="T66" s="124">
        <v>7.2</v>
      </c>
      <c r="U66" s="124">
        <v>2.6</v>
      </c>
      <c r="V66" s="124">
        <v>7.3</v>
      </c>
      <c r="W66" s="132">
        <v>7.2</v>
      </c>
      <c r="X66" s="412">
        <f t="shared" si="27"/>
        <v>140.39999999999998</v>
      </c>
      <c r="Y66" s="608"/>
      <c r="Z66" s="42"/>
      <c r="AA66" s="42"/>
      <c r="AB66" s="42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618">
        <f t="shared" ref="B67:W67" si="28">SUM(B60:B66)</f>
        <v>58</v>
      </c>
      <c r="C67" s="616">
        <f t="shared" si="28"/>
        <v>59.5</v>
      </c>
      <c r="D67" s="616">
        <f t="shared" si="28"/>
        <v>16.8</v>
      </c>
      <c r="E67" s="616">
        <f t="shared" si="28"/>
        <v>58</v>
      </c>
      <c r="F67" s="619">
        <f t="shared" si="28"/>
        <v>59.5</v>
      </c>
      <c r="G67" s="618">
        <f t="shared" si="28"/>
        <v>58.099999999999994</v>
      </c>
      <c r="H67" s="616">
        <f t="shared" si="28"/>
        <v>59.5</v>
      </c>
      <c r="I67" s="616">
        <f t="shared" si="28"/>
        <v>16</v>
      </c>
      <c r="J67" s="616">
        <f t="shared" si="28"/>
        <v>59.5</v>
      </c>
      <c r="K67" s="616">
        <f t="shared" si="28"/>
        <v>58.699999999999996</v>
      </c>
      <c r="L67" s="617">
        <f t="shared" si="28"/>
        <v>30.1</v>
      </c>
      <c r="M67" s="618">
        <f t="shared" si="28"/>
        <v>47.599999999999994</v>
      </c>
      <c r="N67" s="616">
        <f t="shared" si="28"/>
        <v>49</v>
      </c>
      <c r="O67" s="616">
        <f t="shared" si="28"/>
        <v>15.399999999999999</v>
      </c>
      <c r="P67" s="616">
        <f t="shared" si="28"/>
        <v>49</v>
      </c>
      <c r="Q67" s="616">
        <f t="shared" si="28"/>
        <v>49</v>
      </c>
      <c r="R67" s="616">
        <f t="shared" si="28"/>
        <v>18.2</v>
      </c>
      <c r="S67" s="615">
        <f t="shared" si="28"/>
        <v>50.400000000000006</v>
      </c>
      <c r="T67" s="616">
        <f t="shared" si="28"/>
        <v>50.400000000000006</v>
      </c>
      <c r="U67" s="616">
        <f t="shared" si="28"/>
        <v>18.2</v>
      </c>
      <c r="V67" s="616">
        <f t="shared" si="28"/>
        <v>51.099999999999994</v>
      </c>
      <c r="W67" s="617">
        <f t="shared" si="28"/>
        <v>50.800000000000004</v>
      </c>
      <c r="X67" s="449">
        <f>SUM(B67:W67)</f>
        <v>982.8</v>
      </c>
      <c r="Y67" s="577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158</v>
      </c>
      <c r="C68" s="358">
        <v>159</v>
      </c>
      <c r="D68" s="358">
        <v>157.5</v>
      </c>
      <c r="E68" s="358">
        <v>158</v>
      </c>
      <c r="F68" s="624">
        <v>159</v>
      </c>
      <c r="G68" s="357">
        <v>156.5</v>
      </c>
      <c r="H68" s="358">
        <v>159</v>
      </c>
      <c r="I68" s="358">
        <v>158.5</v>
      </c>
      <c r="J68" s="358">
        <v>159</v>
      </c>
      <c r="K68" s="358">
        <v>157.5</v>
      </c>
      <c r="L68" s="624">
        <v>158</v>
      </c>
      <c r="M68" s="357">
        <v>155.5</v>
      </c>
      <c r="N68" s="358">
        <v>159</v>
      </c>
      <c r="O68" s="358">
        <v>155</v>
      </c>
      <c r="P68" s="358">
        <v>159</v>
      </c>
      <c r="Q68" s="358">
        <v>159</v>
      </c>
      <c r="R68" s="624">
        <v>159.5</v>
      </c>
      <c r="S68" s="357">
        <v>159</v>
      </c>
      <c r="T68" s="358">
        <v>159.5</v>
      </c>
      <c r="U68" s="358">
        <v>159.5</v>
      </c>
      <c r="V68" s="358">
        <v>159.5</v>
      </c>
      <c r="W68" s="624">
        <v>159</v>
      </c>
      <c r="X68" s="296">
        <f>+((X67/X69)/7)*1000</f>
        <v>159.90888382687925</v>
      </c>
      <c r="Y68" s="577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52</v>
      </c>
      <c r="C69" s="275">
        <v>53</v>
      </c>
      <c r="D69" s="275">
        <v>15</v>
      </c>
      <c r="E69" s="275">
        <v>52</v>
      </c>
      <c r="F69" s="276">
        <v>53</v>
      </c>
      <c r="G69" s="257">
        <v>53</v>
      </c>
      <c r="H69" s="275">
        <v>53</v>
      </c>
      <c r="I69" s="275">
        <v>14</v>
      </c>
      <c r="J69" s="275">
        <v>53</v>
      </c>
      <c r="K69" s="275">
        <v>53</v>
      </c>
      <c r="L69" s="276">
        <v>25</v>
      </c>
      <c r="M69" s="257">
        <v>44</v>
      </c>
      <c r="N69" s="275">
        <v>44</v>
      </c>
      <c r="O69" s="275">
        <v>14</v>
      </c>
      <c r="P69" s="275">
        <v>44</v>
      </c>
      <c r="Q69" s="275">
        <v>44</v>
      </c>
      <c r="R69" s="276">
        <v>15</v>
      </c>
      <c r="S69" s="257">
        <v>45</v>
      </c>
      <c r="T69" s="275">
        <v>45</v>
      </c>
      <c r="U69" s="275">
        <v>16</v>
      </c>
      <c r="V69" s="275">
        <v>45</v>
      </c>
      <c r="W69" s="276">
        <v>46</v>
      </c>
      <c r="X69" s="254">
        <f>SUM(B69:W69)</f>
        <v>878</v>
      </c>
      <c r="Y69" s="577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 t="shared" ref="B70:W70" si="29">((((B68*7)*B69)/1000)-B60-B61)/5</f>
        <v>8.2024000000000008</v>
      </c>
      <c r="C70" s="31">
        <f t="shared" si="29"/>
        <v>8.3978000000000002</v>
      </c>
      <c r="D70" s="31">
        <f t="shared" si="29"/>
        <v>2.3475000000000001</v>
      </c>
      <c r="E70" s="31">
        <f t="shared" si="29"/>
        <v>8.2024000000000008</v>
      </c>
      <c r="F70" s="32">
        <f t="shared" si="29"/>
        <v>8.3978000000000002</v>
      </c>
      <c r="G70" s="30">
        <f t="shared" si="29"/>
        <v>8.2923000000000009</v>
      </c>
      <c r="H70" s="31">
        <f t="shared" si="29"/>
        <v>8.3978000000000002</v>
      </c>
      <c r="I70" s="31">
        <f t="shared" si="29"/>
        <v>2.2065999999999995</v>
      </c>
      <c r="J70" s="31">
        <f t="shared" si="29"/>
        <v>8.3978000000000002</v>
      </c>
      <c r="K70" s="31">
        <f t="shared" si="29"/>
        <v>8.3464999999999989</v>
      </c>
      <c r="L70" s="32">
        <f t="shared" si="29"/>
        <v>3.8099999999999996</v>
      </c>
      <c r="M70" s="30">
        <f t="shared" si="29"/>
        <v>6.8588000000000005</v>
      </c>
      <c r="N70" s="31">
        <f t="shared" si="29"/>
        <v>6.9944000000000006</v>
      </c>
      <c r="O70" s="31">
        <f t="shared" si="29"/>
        <v>2.1579999999999999</v>
      </c>
      <c r="P70" s="31">
        <f t="shared" si="29"/>
        <v>6.9944000000000006</v>
      </c>
      <c r="Q70" s="31">
        <f t="shared" si="29"/>
        <v>6.9944000000000006</v>
      </c>
      <c r="R70" s="32">
        <f t="shared" si="29"/>
        <v>2.3094999999999999</v>
      </c>
      <c r="S70" s="30">
        <f t="shared" si="29"/>
        <v>7.1369999999999987</v>
      </c>
      <c r="T70" s="31">
        <f t="shared" si="29"/>
        <v>7.168499999999999</v>
      </c>
      <c r="U70" s="31">
        <f t="shared" si="29"/>
        <v>2.5328000000000004</v>
      </c>
      <c r="V70" s="31">
        <f t="shared" si="29"/>
        <v>7.1285000000000007</v>
      </c>
      <c r="W70" s="32">
        <f t="shared" si="29"/>
        <v>7.2795999999999994</v>
      </c>
      <c r="X70" s="139">
        <f>((X67*1000)/X69)/7</f>
        <v>159.90888382687928</v>
      </c>
      <c r="Y70" s="577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W71" si="30">((B69*B68)*7)/1000</f>
        <v>57.512</v>
      </c>
      <c r="C71" s="280">
        <f t="shared" si="30"/>
        <v>58.988999999999997</v>
      </c>
      <c r="D71" s="280">
        <f t="shared" si="30"/>
        <v>16.537500000000001</v>
      </c>
      <c r="E71" s="280">
        <f t="shared" si="30"/>
        <v>57.512</v>
      </c>
      <c r="F71" s="282">
        <f t="shared" si="30"/>
        <v>58.988999999999997</v>
      </c>
      <c r="G71" s="279">
        <f t="shared" si="30"/>
        <v>58.061500000000002</v>
      </c>
      <c r="H71" s="280">
        <f t="shared" si="30"/>
        <v>58.988999999999997</v>
      </c>
      <c r="I71" s="280">
        <f t="shared" si="30"/>
        <v>15.532999999999999</v>
      </c>
      <c r="J71" s="280">
        <f t="shared" si="30"/>
        <v>58.988999999999997</v>
      </c>
      <c r="K71" s="280">
        <f t="shared" si="30"/>
        <v>58.432499999999997</v>
      </c>
      <c r="L71" s="282">
        <f t="shared" si="30"/>
        <v>27.65</v>
      </c>
      <c r="M71" s="279">
        <f t="shared" si="30"/>
        <v>47.893999999999998</v>
      </c>
      <c r="N71" s="280">
        <f t="shared" si="30"/>
        <v>48.972000000000001</v>
      </c>
      <c r="O71" s="280">
        <f t="shared" si="30"/>
        <v>15.19</v>
      </c>
      <c r="P71" s="280">
        <f t="shared" si="30"/>
        <v>48.972000000000001</v>
      </c>
      <c r="Q71" s="280">
        <f t="shared" si="30"/>
        <v>48.972000000000001</v>
      </c>
      <c r="R71" s="282">
        <f t="shared" si="30"/>
        <v>16.747499999999999</v>
      </c>
      <c r="S71" s="279">
        <f t="shared" si="30"/>
        <v>50.085000000000001</v>
      </c>
      <c r="T71" s="280">
        <f t="shared" si="30"/>
        <v>50.2425</v>
      </c>
      <c r="U71" s="280">
        <f t="shared" si="30"/>
        <v>17.864000000000001</v>
      </c>
      <c r="V71" s="280">
        <f t="shared" si="30"/>
        <v>50.2425</v>
      </c>
      <c r="W71" s="282">
        <f t="shared" si="30"/>
        <v>51.198</v>
      </c>
      <c r="X71" s="112"/>
      <c r="Y71" s="41"/>
      <c r="Z71" s="41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W72" si="31">+(B67/B69)/7*1000</f>
        <v>159.34065934065936</v>
      </c>
      <c r="C72" s="38">
        <f t="shared" si="31"/>
        <v>160.37735849056605</v>
      </c>
      <c r="D72" s="38">
        <f t="shared" si="31"/>
        <v>160</v>
      </c>
      <c r="E72" s="38">
        <f t="shared" si="31"/>
        <v>159.34065934065936</v>
      </c>
      <c r="F72" s="39">
        <f t="shared" si="31"/>
        <v>160.37735849056605</v>
      </c>
      <c r="G72" s="37">
        <f t="shared" si="31"/>
        <v>156.60377358490567</v>
      </c>
      <c r="H72" s="38">
        <f t="shared" si="31"/>
        <v>160.37735849056605</v>
      </c>
      <c r="I72" s="38">
        <f t="shared" si="31"/>
        <v>163.26530612244898</v>
      </c>
      <c r="J72" s="38">
        <f t="shared" si="31"/>
        <v>160.37735849056605</v>
      </c>
      <c r="K72" s="38">
        <f t="shared" si="31"/>
        <v>158.22102425876008</v>
      </c>
      <c r="L72" s="39">
        <f t="shared" si="31"/>
        <v>172</v>
      </c>
      <c r="M72" s="37">
        <f t="shared" si="31"/>
        <v>154.54545454545453</v>
      </c>
      <c r="N72" s="38">
        <f t="shared" si="31"/>
        <v>159.09090909090909</v>
      </c>
      <c r="O72" s="38">
        <f t="shared" si="31"/>
        <v>157.14285714285711</v>
      </c>
      <c r="P72" s="38">
        <f t="shared" si="31"/>
        <v>159.09090909090909</v>
      </c>
      <c r="Q72" s="38">
        <f t="shared" si="31"/>
        <v>159.09090909090909</v>
      </c>
      <c r="R72" s="39">
        <f t="shared" si="31"/>
        <v>173.33333333333334</v>
      </c>
      <c r="S72" s="37">
        <f t="shared" si="31"/>
        <v>160</v>
      </c>
      <c r="T72" s="38">
        <f t="shared" si="31"/>
        <v>160</v>
      </c>
      <c r="U72" s="38">
        <f t="shared" si="31"/>
        <v>162.5</v>
      </c>
      <c r="V72" s="38">
        <f t="shared" si="31"/>
        <v>162.2222222222222</v>
      </c>
      <c r="W72" s="39">
        <f t="shared" si="31"/>
        <v>157.76397515527952</v>
      </c>
      <c r="X72" s="40"/>
      <c r="AM72" s="3"/>
    </row>
    <row r="73" spans="1:50" ht="33.75" customHeight="1" x14ac:dyDescent="0.25">
      <c r="B73" s="43">
        <f>B71-B67</f>
        <v>-0.48799999999999955</v>
      </c>
      <c r="C73" s="43">
        <f t="shared" ref="C73:F73" si="32">C71-C67</f>
        <v>-0.51100000000000279</v>
      </c>
      <c r="D73" s="43">
        <f t="shared" si="32"/>
        <v>-0.26249999999999929</v>
      </c>
      <c r="E73" s="43">
        <f t="shared" si="32"/>
        <v>-0.48799999999999955</v>
      </c>
      <c r="F73" s="43">
        <f t="shared" si="32"/>
        <v>-0.51100000000000279</v>
      </c>
      <c r="G73" s="43">
        <f>G71-G67</f>
        <v>-3.8499999999991985E-2</v>
      </c>
      <c r="H73" s="43">
        <f t="shared" ref="H73:W74" si="33">H71-H67</f>
        <v>-0.51100000000000279</v>
      </c>
      <c r="I73" s="43">
        <f t="shared" si="33"/>
        <v>-0.46700000000000053</v>
      </c>
      <c r="J73" s="43">
        <f t="shared" si="33"/>
        <v>-0.51100000000000279</v>
      </c>
      <c r="K73" s="43">
        <f t="shared" si="33"/>
        <v>-0.26749999999999829</v>
      </c>
      <c r="L73" s="43">
        <f t="shared" si="33"/>
        <v>-2.4500000000000028</v>
      </c>
      <c r="M73" s="43">
        <f>M71-M67</f>
        <v>0.29400000000000404</v>
      </c>
      <c r="N73" s="43">
        <f t="shared" ref="N73:R74" si="34">N71-N67</f>
        <v>-2.7999999999998693E-2</v>
      </c>
      <c r="O73" s="43">
        <f t="shared" si="34"/>
        <v>-0.20999999999999908</v>
      </c>
      <c r="P73" s="43">
        <f t="shared" si="34"/>
        <v>-2.7999999999998693E-2</v>
      </c>
      <c r="Q73" s="43">
        <f t="shared" si="34"/>
        <v>-2.7999999999998693E-2</v>
      </c>
      <c r="R73" s="43">
        <f t="shared" si="34"/>
        <v>-1.4525000000000006</v>
      </c>
      <c r="S73" s="43">
        <f>S71-S67</f>
        <v>-0.31500000000000483</v>
      </c>
      <c r="T73" s="43">
        <f t="shared" ref="T73:W73" si="35">T71-T67</f>
        <v>-0.15750000000000597</v>
      </c>
      <c r="U73" s="43">
        <f t="shared" si="35"/>
        <v>-0.33599999999999852</v>
      </c>
      <c r="V73" s="43">
        <f t="shared" si="35"/>
        <v>-0.8574999999999946</v>
      </c>
      <c r="W73" s="43">
        <f t="shared" si="35"/>
        <v>0.39799999999999613</v>
      </c>
    </row>
    <row r="74" spans="1:50" ht="33.75" customHeight="1" x14ac:dyDescent="0.25">
      <c r="B74" s="42">
        <f t="shared" ref="B74:J74" si="36">B72-B68</f>
        <v>1.3406593406593572</v>
      </c>
      <c r="C74" s="42">
        <f t="shared" si="36"/>
        <v>1.3773584905660528</v>
      </c>
      <c r="D74" s="42">
        <f t="shared" si="36"/>
        <v>2.5</v>
      </c>
      <c r="E74" s="42">
        <f t="shared" si="36"/>
        <v>1.3406593406593572</v>
      </c>
      <c r="F74" s="42">
        <f t="shared" si="36"/>
        <v>1.3773584905660528</v>
      </c>
      <c r="G74" s="42">
        <f t="shared" si="36"/>
        <v>0.10377358490566735</v>
      </c>
      <c r="H74" s="42">
        <f t="shared" si="36"/>
        <v>1.3773584905660528</v>
      </c>
      <c r="I74" s="42">
        <f>I72-I68</f>
        <v>4.7653061224489761</v>
      </c>
      <c r="J74" s="42">
        <f t="shared" si="36"/>
        <v>1.3773584905660528</v>
      </c>
      <c r="K74" s="42">
        <f t="shared" si="33"/>
        <v>0.72102425876008169</v>
      </c>
      <c r="L74" s="42">
        <f t="shared" si="33"/>
        <v>14</v>
      </c>
      <c r="M74" s="42">
        <f t="shared" si="33"/>
        <v>-0.95454545454546746</v>
      </c>
      <c r="N74" s="42">
        <f t="shared" si="33"/>
        <v>9.0909090909093493E-2</v>
      </c>
      <c r="O74" s="42">
        <f t="shared" si="33"/>
        <v>2.1428571428571104</v>
      </c>
      <c r="P74" s="42">
        <f t="shared" si="33"/>
        <v>9.0909090909093493E-2</v>
      </c>
      <c r="Q74" s="42">
        <f t="shared" si="33"/>
        <v>9.0909090909093493E-2</v>
      </c>
      <c r="R74" s="42">
        <f t="shared" si="34"/>
        <v>13.833333333333343</v>
      </c>
      <c r="S74" s="42">
        <f t="shared" si="33"/>
        <v>1</v>
      </c>
      <c r="T74" s="42">
        <f t="shared" si="33"/>
        <v>0.5</v>
      </c>
      <c r="U74" s="42">
        <f t="shared" si="33"/>
        <v>3</v>
      </c>
      <c r="V74" s="42">
        <f t="shared" si="33"/>
        <v>2.7222222222222001</v>
      </c>
      <c r="W74" s="42">
        <f t="shared" si="33"/>
        <v>-1.2360248447204754</v>
      </c>
      <c r="X74" s="45"/>
      <c r="Y74" s="45"/>
      <c r="Z74" s="45"/>
      <c r="AA74" s="45"/>
      <c r="AB74" s="45"/>
      <c r="AC74" s="45"/>
      <c r="AD74" s="52"/>
    </row>
    <row r="75" spans="1:50" ht="33.75" customHeight="1" x14ac:dyDescent="0.25">
      <c r="B75" s="287"/>
      <c r="C75" s="287"/>
      <c r="D75" s="287"/>
      <c r="E75" s="287"/>
      <c r="F75" s="287"/>
    </row>
    <row r="76" spans="1:50" ht="33.75" customHeight="1" x14ac:dyDescent="0.25">
      <c r="A76" s="45"/>
      <c r="B76" s="283"/>
      <c r="C76" s="283"/>
      <c r="D76" s="283"/>
      <c r="E76" s="283"/>
      <c r="F76" s="283"/>
      <c r="G76" s="58"/>
      <c r="H76" s="45"/>
      <c r="I76" s="45"/>
      <c r="J76" s="45"/>
      <c r="K76" s="45"/>
      <c r="L76" s="45"/>
      <c r="M76" s="45"/>
      <c r="N76" s="45"/>
      <c r="O76" s="45"/>
    </row>
    <row r="77" spans="1:5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6">
    <mergeCell ref="A3:C3"/>
    <mergeCell ref="E9:G9"/>
    <mergeCell ref="W9:X9"/>
    <mergeCell ref="O11:P11"/>
    <mergeCell ref="B16:H16"/>
    <mergeCell ref="I16:O16"/>
    <mergeCell ref="P16:T16"/>
    <mergeCell ref="U16:Y16"/>
    <mergeCell ref="S58:W58"/>
    <mergeCell ref="B39:F39"/>
    <mergeCell ref="G39:G40"/>
    <mergeCell ref="M39:R39"/>
    <mergeCell ref="O57:P57"/>
    <mergeCell ref="B58:F58"/>
    <mergeCell ref="G58:L58"/>
    <mergeCell ref="M58:R58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1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36</v>
      </c>
      <c r="P11" s="965"/>
      <c r="Q11" s="6"/>
      <c r="R11" s="6"/>
      <c r="S11" s="6"/>
      <c r="T11" s="1"/>
      <c r="U11" s="1"/>
      <c r="V11" s="1" t="s">
        <v>6</v>
      </c>
      <c r="W11" s="95">
        <v>45582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594"/>
      <c r="I17" s="386" t="s">
        <v>100</v>
      </c>
      <c r="J17" s="438">
        <v>1</v>
      </c>
      <c r="K17" s="438">
        <v>2</v>
      </c>
      <c r="L17" s="438">
        <v>3</v>
      </c>
      <c r="M17" s="438">
        <v>4</v>
      </c>
      <c r="N17" s="439">
        <v>5</v>
      </c>
      <c r="O17" s="594"/>
      <c r="P17" s="202">
        <v>1</v>
      </c>
      <c r="Q17" s="174">
        <v>2</v>
      </c>
      <c r="R17" s="174">
        <v>3</v>
      </c>
      <c r="S17" s="174">
        <v>4</v>
      </c>
      <c r="T17" s="203">
        <v>5</v>
      </c>
      <c r="U17" s="186">
        <v>1</v>
      </c>
      <c r="V17" s="174">
        <v>2</v>
      </c>
      <c r="W17" s="174">
        <v>3</v>
      </c>
      <c r="X17" s="174">
        <v>4</v>
      </c>
      <c r="Y17" s="175">
        <v>5</v>
      </c>
      <c r="Z17" s="126"/>
      <c r="AD17" s="2"/>
      <c r="AE17" s="15"/>
    </row>
    <row r="18" spans="1:40" ht="39.950000000000003" customHeight="1" x14ac:dyDescent="0.25">
      <c r="A18" s="171" t="s">
        <v>53</v>
      </c>
      <c r="B18" s="595">
        <v>322.8</v>
      </c>
      <c r="C18" s="596">
        <v>20.2</v>
      </c>
      <c r="D18" s="596">
        <v>20.2</v>
      </c>
      <c r="E18" s="596">
        <v>5.5</v>
      </c>
      <c r="F18" s="596">
        <v>20.6</v>
      </c>
      <c r="G18" s="597">
        <v>20.5</v>
      </c>
      <c r="H18" s="506">
        <f t="shared" ref="H18:H19" si="0">SUM(B18:G18)</f>
        <v>409.8</v>
      </c>
      <c r="I18" s="599">
        <v>324.60000000000002</v>
      </c>
      <c r="J18" s="596">
        <v>20.3</v>
      </c>
      <c r="K18" s="596">
        <v>20.6</v>
      </c>
      <c r="L18" s="596">
        <v>5.3</v>
      </c>
      <c r="M18" s="596">
        <v>19.600000000000001</v>
      </c>
      <c r="N18" s="600">
        <v>19.399999999999999</v>
      </c>
      <c r="O18" s="506">
        <f t="shared" ref="O18:O19" si="1">SUM(I18:N18)</f>
        <v>409.80000000000007</v>
      </c>
      <c r="P18" s="601">
        <v>79.3</v>
      </c>
      <c r="Q18" s="504">
        <v>79</v>
      </c>
      <c r="R18" s="596">
        <v>28.3</v>
      </c>
      <c r="S18" s="596">
        <v>79.5</v>
      </c>
      <c r="T18" s="600">
        <v>79.900000000000006</v>
      </c>
      <c r="U18" s="602">
        <v>82.5</v>
      </c>
      <c r="V18" s="596">
        <v>83.7</v>
      </c>
      <c r="W18" s="504">
        <v>29.5</v>
      </c>
      <c r="X18" s="504">
        <v>83.2</v>
      </c>
      <c r="Y18" s="600">
        <v>83</v>
      </c>
      <c r="Z18" s="209">
        <f>SUM(H18,O18,P18:Y18)</f>
        <v>1527.5000000000002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595">
        <v>322.8</v>
      </c>
      <c r="C19" s="596">
        <v>20.2</v>
      </c>
      <c r="D19" s="596">
        <v>20.2</v>
      </c>
      <c r="E19" s="596">
        <v>5.5</v>
      </c>
      <c r="F19" s="596">
        <v>20.6</v>
      </c>
      <c r="G19" s="597">
        <v>20.5</v>
      </c>
      <c r="H19" s="635">
        <f t="shared" si="0"/>
        <v>409.8</v>
      </c>
      <c r="I19" s="599">
        <v>324.60000000000002</v>
      </c>
      <c r="J19" s="596">
        <v>20.3</v>
      </c>
      <c r="K19" s="596">
        <v>20.6</v>
      </c>
      <c r="L19" s="596">
        <v>5.3</v>
      </c>
      <c r="M19" s="596">
        <v>19.5</v>
      </c>
      <c r="N19" s="600">
        <v>19.399999999999999</v>
      </c>
      <c r="O19" s="635">
        <f t="shared" si="1"/>
        <v>409.70000000000005</v>
      </c>
      <c r="P19" s="601">
        <v>79.3</v>
      </c>
      <c r="Q19" s="504">
        <v>79</v>
      </c>
      <c r="R19" s="596">
        <v>28.1</v>
      </c>
      <c r="S19" s="596">
        <v>79.5</v>
      </c>
      <c r="T19" s="600">
        <v>79.7</v>
      </c>
      <c r="U19" s="602">
        <v>82.5</v>
      </c>
      <c r="V19" s="596">
        <v>83.7</v>
      </c>
      <c r="W19" s="504">
        <v>29.5</v>
      </c>
      <c r="X19" s="504">
        <v>83.2</v>
      </c>
      <c r="Y19" s="600">
        <v>83</v>
      </c>
      <c r="Z19" s="209">
        <f>SUM(H19,O19,P19:Y19)</f>
        <v>1527.0000000000002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595">
        <v>322.8</v>
      </c>
      <c r="C20" s="629">
        <v>19.8</v>
      </c>
      <c r="D20" s="629">
        <v>19.8</v>
      </c>
      <c r="E20" s="629">
        <v>5.4</v>
      </c>
      <c r="F20" s="629">
        <v>20.2</v>
      </c>
      <c r="G20" s="630">
        <v>20.100000000000001</v>
      </c>
      <c r="H20" s="506">
        <f t="shared" ref="H20:H24" si="2">SUM(B20:G20)</f>
        <v>408.1</v>
      </c>
      <c r="I20" s="631">
        <v>324.60000000000002</v>
      </c>
      <c r="J20" s="629">
        <v>20</v>
      </c>
      <c r="K20" s="629">
        <v>20.2</v>
      </c>
      <c r="L20" s="629">
        <v>5.2</v>
      </c>
      <c r="M20" s="629">
        <v>19.2</v>
      </c>
      <c r="N20" s="632">
        <v>19</v>
      </c>
      <c r="O20" s="506">
        <f t="shared" ref="O20:O24" si="3">SUM(I20:N20)</f>
        <v>408.2</v>
      </c>
      <c r="P20" s="633">
        <v>79.2</v>
      </c>
      <c r="Q20" s="455">
        <v>78.900000000000006</v>
      </c>
      <c r="R20" s="629">
        <v>28.1</v>
      </c>
      <c r="S20" s="629">
        <v>79.099999999999994</v>
      </c>
      <c r="T20" s="632">
        <v>79.5</v>
      </c>
      <c r="U20" s="634">
        <v>82.3</v>
      </c>
      <c r="V20" s="629">
        <v>83.4</v>
      </c>
      <c r="W20" s="455">
        <v>29.4</v>
      </c>
      <c r="X20" s="455">
        <v>82.9</v>
      </c>
      <c r="Y20" s="632">
        <v>82.7</v>
      </c>
      <c r="Z20" s="509">
        <f t="shared" ref="Z20:Z24" si="4">SUM(H20,O20,P20:Y20)</f>
        <v>1521.8000000000002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595">
        <v>322.39999999999998</v>
      </c>
      <c r="C21" s="596">
        <v>19.8</v>
      </c>
      <c r="D21" s="596">
        <v>19.8</v>
      </c>
      <c r="E21" s="596">
        <v>5.4</v>
      </c>
      <c r="F21" s="596">
        <v>20.2</v>
      </c>
      <c r="G21" s="597">
        <v>20.100000000000001</v>
      </c>
      <c r="H21" s="506">
        <f t="shared" si="2"/>
        <v>407.7</v>
      </c>
      <c r="I21" s="599">
        <v>324.10000000000002</v>
      </c>
      <c r="J21" s="596">
        <v>20</v>
      </c>
      <c r="K21" s="596">
        <v>20.2</v>
      </c>
      <c r="L21" s="596">
        <v>5.2</v>
      </c>
      <c r="M21" s="596">
        <v>19.2</v>
      </c>
      <c r="N21" s="600">
        <v>19</v>
      </c>
      <c r="O21" s="506">
        <f t="shared" si="3"/>
        <v>407.7</v>
      </c>
      <c r="P21" s="601">
        <v>79.2</v>
      </c>
      <c r="Q21" s="504">
        <v>78.599999999999994</v>
      </c>
      <c r="R21" s="596">
        <v>28.1</v>
      </c>
      <c r="S21" s="596">
        <v>79.099999999999994</v>
      </c>
      <c r="T21" s="600">
        <v>79.5</v>
      </c>
      <c r="U21" s="602">
        <v>82.3</v>
      </c>
      <c r="V21" s="596">
        <v>83.4</v>
      </c>
      <c r="W21" s="504">
        <v>29.4</v>
      </c>
      <c r="X21" s="504">
        <v>82.9</v>
      </c>
      <c r="Y21" s="600">
        <v>82.7</v>
      </c>
      <c r="Z21" s="209">
        <f t="shared" si="4"/>
        <v>1520.6000000000004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595">
        <v>322.39999999999998</v>
      </c>
      <c r="C22" s="596">
        <v>19.8</v>
      </c>
      <c r="D22" s="596">
        <v>19.8</v>
      </c>
      <c r="E22" s="596">
        <v>5.4</v>
      </c>
      <c r="F22" s="596">
        <v>20.2</v>
      </c>
      <c r="G22" s="597">
        <v>20.100000000000001</v>
      </c>
      <c r="H22" s="506">
        <f t="shared" si="2"/>
        <v>407.7</v>
      </c>
      <c r="I22" s="599">
        <v>324.10000000000002</v>
      </c>
      <c r="J22" s="596">
        <v>20</v>
      </c>
      <c r="K22" s="596">
        <v>20.2</v>
      </c>
      <c r="L22" s="596">
        <v>5.2</v>
      </c>
      <c r="M22" s="596">
        <v>19.2</v>
      </c>
      <c r="N22" s="600">
        <v>19</v>
      </c>
      <c r="O22" s="506">
        <f t="shared" si="3"/>
        <v>407.7</v>
      </c>
      <c r="P22" s="601">
        <v>79.2</v>
      </c>
      <c r="Q22" s="504">
        <v>78.599999999999994</v>
      </c>
      <c r="R22" s="596">
        <v>28.1</v>
      </c>
      <c r="S22" s="596">
        <v>79.099999999999994</v>
      </c>
      <c r="T22" s="600">
        <v>79.5</v>
      </c>
      <c r="U22" s="602">
        <v>82.3</v>
      </c>
      <c r="V22" s="596">
        <v>83.4</v>
      </c>
      <c r="W22" s="504">
        <v>29.4</v>
      </c>
      <c r="X22" s="504">
        <v>82.9</v>
      </c>
      <c r="Y22" s="600">
        <v>82.7</v>
      </c>
      <c r="Z22" s="509">
        <f t="shared" si="4"/>
        <v>1520.6000000000004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595">
        <v>322.39999999999998</v>
      </c>
      <c r="C23" s="596">
        <v>19.8</v>
      </c>
      <c r="D23" s="596">
        <v>19.8</v>
      </c>
      <c r="E23" s="596">
        <v>5.4</v>
      </c>
      <c r="F23" s="596">
        <v>20.2</v>
      </c>
      <c r="G23" s="597">
        <v>20.100000000000001</v>
      </c>
      <c r="H23" s="506">
        <f t="shared" si="2"/>
        <v>407.7</v>
      </c>
      <c r="I23" s="599">
        <v>324.10000000000002</v>
      </c>
      <c r="J23" s="596">
        <v>20</v>
      </c>
      <c r="K23" s="596">
        <v>20.2</v>
      </c>
      <c r="L23" s="596">
        <v>5.2</v>
      </c>
      <c r="M23" s="596">
        <v>19.2</v>
      </c>
      <c r="N23" s="600">
        <v>19</v>
      </c>
      <c r="O23" s="506">
        <f t="shared" si="3"/>
        <v>407.7</v>
      </c>
      <c r="P23" s="601">
        <v>79.2</v>
      </c>
      <c r="Q23" s="504">
        <v>78.599999999999994</v>
      </c>
      <c r="R23" s="596">
        <v>28.1</v>
      </c>
      <c r="S23" s="596">
        <v>79.099999999999994</v>
      </c>
      <c r="T23" s="600">
        <v>79.5</v>
      </c>
      <c r="U23" s="602">
        <v>82.3</v>
      </c>
      <c r="V23" s="596">
        <v>83.4</v>
      </c>
      <c r="W23" s="504">
        <v>29.4</v>
      </c>
      <c r="X23" s="504">
        <v>82.9</v>
      </c>
      <c r="Y23" s="600">
        <v>82.7</v>
      </c>
      <c r="Z23" s="209">
        <f t="shared" si="4"/>
        <v>1520.6000000000004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595">
        <v>322.39999999999998</v>
      </c>
      <c r="C24" s="596">
        <v>19.8</v>
      </c>
      <c r="D24" s="596">
        <v>19.8</v>
      </c>
      <c r="E24" s="596">
        <v>5.4</v>
      </c>
      <c r="F24" s="596">
        <v>20.2</v>
      </c>
      <c r="G24" s="597">
        <v>20.100000000000001</v>
      </c>
      <c r="H24" s="598">
        <f t="shared" si="2"/>
        <v>407.7</v>
      </c>
      <c r="I24" s="599">
        <v>324.10000000000002</v>
      </c>
      <c r="J24" s="596">
        <v>20</v>
      </c>
      <c r="K24" s="596">
        <v>20.2</v>
      </c>
      <c r="L24" s="596">
        <v>5.2</v>
      </c>
      <c r="M24" s="596">
        <v>19.2</v>
      </c>
      <c r="N24" s="600">
        <v>19</v>
      </c>
      <c r="O24" s="598">
        <f t="shared" si="3"/>
        <v>407.7</v>
      </c>
      <c r="P24" s="601">
        <v>79.2</v>
      </c>
      <c r="Q24" s="504">
        <v>78.599999999999994</v>
      </c>
      <c r="R24" s="596">
        <v>28.1</v>
      </c>
      <c r="S24" s="596">
        <v>79.099999999999994</v>
      </c>
      <c r="T24" s="600">
        <v>79.5</v>
      </c>
      <c r="U24" s="602">
        <v>82.3</v>
      </c>
      <c r="V24" s="596">
        <v>83.4</v>
      </c>
      <c r="W24" s="504">
        <v>29.4</v>
      </c>
      <c r="X24" s="504">
        <v>82.9</v>
      </c>
      <c r="Y24" s="600">
        <v>82.7</v>
      </c>
      <c r="Z24" s="412">
        <f t="shared" si="4"/>
        <v>1520.6000000000004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298">
        <f>SUM(C18:C24)</f>
        <v>139.4</v>
      </c>
      <c r="D25" s="298">
        <f t="shared" ref="D25:Y25" si="5">SUM(D18:D24)</f>
        <v>139.4</v>
      </c>
      <c r="E25" s="298">
        <f t="shared" si="5"/>
        <v>37.999999999999993</v>
      </c>
      <c r="F25" s="298">
        <f t="shared" si="5"/>
        <v>142.20000000000002</v>
      </c>
      <c r="G25" s="448">
        <f t="shared" si="5"/>
        <v>141.5</v>
      </c>
      <c r="H25" s="436">
        <f>SUM(H18:H24)</f>
        <v>2858.5</v>
      </c>
      <c r="I25" s="297"/>
      <c r="J25" s="298">
        <f t="shared" si="5"/>
        <v>140.6</v>
      </c>
      <c r="K25" s="298">
        <f>SUM(K18:K24)</f>
        <v>142.20000000000002</v>
      </c>
      <c r="L25" s="298">
        <f t="shared" si="5"/>
        <v>36.6</v>
      </c>
      <c r="M25" s="298">
        <f t="shared" si="5"/>
        <v>135.1</v>
      </c>
      <c r="N25" s="299">
        <f t="shared" si="5"/>
        <v>133.80000000000001</v>
      </c>
      <c r="O25" s="436">
        <f>SUM(O18:O24)</f>
        <v>2858.5</v>
      </c>
      <c r="P25" s="297">
        <f t="shared" si="5"/>
        <v>554.6</v>
      </c>
      <c r="Q25" s="298">
        <f t="shared" si="5"/>
        <v>551.30000000000007</v>
      </c>
      <c r="R25" s="298">
        <f t="shared" si="5"/>
        <v>196.89999999999998</v>
      </c>
      <c r="S25" s="298">
        <f t="shared" si="5"/>
        <v>554.5</v>
      </c>
      <c r="T25" s="448">
        <f t="shared" si="5"/>
        <v>557.1</v>
      </c>
      <c r="U25" s="297">
        <f t="shared" si="5"/>
        <v>576.5</v>
      </c>
      <c r="V25" s="298">
        <f t="shared" si="5"/>
        <v>584.4</v>
      </c>
      <c r="W25" s="298">
        <f t="shared" si="5"/>
        <v>206.00000000000003</v>
      </c>
      <c r="X25" s="298">
        <f t="shared" si="5"/>
        <v>580.9</v>
      </c>
      <c r="Y25" s="299">
        <f t="shared" si="5"/>
        <v>579.5</v>
      </c>
      <c r="Z25" s="607">
        <f>SUM(Z18,Z19,Z20,Z21,Z22,Z23,Z24)</f>
        <v>10658.700000000003</v>
      </c>
      <c r="AA25" s="301"/>
    </row>
    <row r="26" spans="1:40" s="2" customFormat="1" ht="36.75" customHeight="1" x14ac:dyDescent="0.25">
      <c r="A26" s="192" t="s">
        <v>11</v>
      </c>
      <c r="B26" s="293"/>
      <c r="C26" s="603">
        <v>164.4</v>
      </c>
      <c r="D26" s="603">
        <v>164.4</v>
      </c>
      <c r="E26" s="603">
        <v>164.4</v>
      </c>
      <c r="F26" s="603">
        <v>164.4</v>
      </c>
      <c r="G26" s="603">
        <v>164.4</v>
      </c>
      <c r="H26" s="478"/>
      <c r="I26" s="604"/>
      <c r="J26" s="603">
        <v>164.4</v>
      </c>
      <c r="K26" s="603">
        <v>164.4</v>
      </c>
      <c r="L26" s="603">
        <v>162.69999999999999</v>
      </c>
      <c r="M26" s="603">
        <v>162.69999999999999</v>
      </c>
      <c r="N26" s="603">
        <v>162.69999999999999</v>
      </c>
      <c r="O26" s="610"/>
      <c r="P26" s="603">
        <v>162.69999999999999</v>
      </c>
      <c r="Q26" s="603">
        <v>162.69999999999999</v>
      </c>
      <c r="R26" s="603">
        <v>162.69999999999999</v>
      </c>
      <c r="S26" s="603">
        <v>162.69999999999999</v>
      </c>
      <c r="T26" s="603">
        <v>162.69999999999999</v>
      </c>
      <c r="U26" s="603">
        <v>162.69999999999999</v>
      </c>
      <c r="V26" s="603">
        <v>162.69999999999999</v>
      </c>
      <c r="W26" s="603">
        <v>162.69999999999999</v>
      </c>
      <c r="X26" s="603">
        <v>162.69999999999999</v>
      </c>
      <c r="Y26" s="603">
        <v>162.69999999999999</v>
      </c>
      <c r="Z26" s="605">
        <f>(((Z25*1000)/7)/Z27)</f>
        <v>163.49956282308912</v>
      </c>
    </row>
    <row r="27" spans="1:40" s="2" customFormat="1" ht="33" customHeight="1" x14ac:dyDescent="0.25">
      <c r="A27" s="193" t="s">
        <v>12</v>
      </c>
      <c r="B27" s="257"/>
      <c r="C27" s="27">
        <v>576</v>
      </c>
      <c r="D27" s="27">
        <v>576</v>
      </c>
      <c r="E27" s="27">
        <v>156</v>
      </c>
      <c r="F27" s="27">
        <v>587</v>
      </c>
      <c r="G27" s="27">
        <v>585</v>
      </c>
      <c r="H27" s="441"/>
      <c r="I27" s="26"/>
      <c r="J27" s="27">
        <v>580</v>
      </c>
      <c r="K27" s="27">
        <v>587</v>
      </c>
      <c r="L27" s="483">
        <v>158</v>
      </c>
      <c r="M27" s="27">
        <v>586</v>
      </c>
      <c r="N27" s="27">
        <v>582</v>
      </c>
      <c r="O27" s="611"/>
      <c r="P27" s="26">
        <v>487</v>
      </c>
      <c r="Q27" s="27">
        <v>484</v>
      </c>
      <c r="R27" s="27">
        <v>174</v>
      </c>
      <c r="S27" s="27">
        <v>487</v>
      </c>
      <c r="T27" s="623">
        <v>489</v>
      </c>
      <c r="U27" s="26">
        <v>506</v>
      </c>
      <c r="V27" s="27">
        <v>513</v>
      </c>
      <c r="W27" s="27">
        <v>181</v>
      </c>
      <c r="X27" s="27">
        <v>510</v>
      </c>
      <c r="Y27" s="28">
        <v>509</v>
      </c>
      <c r="Z27" s="29">
        <f>SUM(C27:Y27)</f>
        <v>9313</v>
      </c>
      <c r="AA27" s="402"/>
    </row>
    <row r="28" spans="1:40" s="2" customFormat="1" ht="33" customHeight="1" x14ac:dyDescent="0.25">
      <c r="A28" s="444" t="s">
        <v>13</v>
      </c>
      <c r="B28" s="445"/>
      <c r="C28" s="31">
        <f>(C33*C27)/1000</f>
        <v>19.814400000000003</v>
      </c>
      <c r="D28" s="31">
        <f>(D33*D27)/1000</f>
        <v>19.814400000000003</v>
      </c>
      <c r="E28" s="31">
        <f t="shared" ref="E28:F28" si="6">(E33*E27)/1000</f>
        <v>5.3664000000000005</v>
      </c>
      <c r="F28" s="31">
        <f t="shared" si="6"/>
        <v>20.192800000000002</v>
      </c>
      <c r="G28" s="31">
        <f>(G33*G27)/1000</f>
        <v>20.124000000000002</v>
      </c>
      <c r="H28" s="442"/>
      <c r="I28" s="30"/>
      <c r="J28" s="31">
        <f>(J33*J27)/1000</f>
        <v>19.952000000000005</v>
      </c>
      <c r="K28" s="31">
        <f t="shared" ref="K28:N28" si="7">(K33*K27)/1000</f>
        <v>20.192800000000002</v>
      </c>
      <c r="L28" s="31">
        <f t="shared" si="7"/>
        <v>5.166599999999999</v>
      </c>
      <c r="M28" s="31">
        <f t="shared" si="7"/>
        <v>19.162199999999995</v>
      </c>
      <c r="N28" s="31">
        <f t="shared" si="7"/>
        <v>19.031399999999994</v>
      </c>
      <c r="O28" s="612"/>
      <c r="P28" s="30">
        <f>((((P26*7)*P27)/1000)-P18-P19)/5</f>
        <v>79.208859999999987</v>
      </c>
      <c r="Q28" s="31">
        <f t="shared" ref="Q28:Y28" si="8">((((Q26*7)*Q27)/1000)-Q18-Q19)/5</f>
        <v>78.645519999999991</v>
      </c>
      <c r="R28" s="31">
        <f>((((R26*7)*R27)/1000)-R18-R19)/5</f>
        <v>28.353719999999992</v>
      </c>
      <c r="S28" s="31">
        <f t="shared" si="8"/>
        <v>79.128859999999989</v>
      </c>
      <c r="T28" s="32">
        <f t="shared" si="8"/>
        <v>79.464420000000004</v>
      </c>
      <c r="U28" s="30">
        <f t="shared" si="8"/>
        <v>82.256679999999989</v>
      </c>
      <c r="V28" s="31">
        <f t="shared" si="8"/>
        <v>83.371139999999997</v>
      </c>
      <c r="W28" s="31">
        <f t="shared" si="8"/>
        <v>29.42817999999999</v>
      </c>
      <c r="X28" s="31">
        <f t="shared" si="8"/>
        <v>82.88779999999997</v>
      </c>
      <c r="Y28" s="32">
        <f t="shared" si="8"/>
        <v>82.740020000000001</v>
      </c>
      <c r="Z28" s="33"/>
    </row>
    <row r="29" spans="1:40" ht="33.75" customHeight="1" x14ac:dyDescent="0.25">
      <c r="A29" s="185" t="s">
        <v>14</v>
      </c>
      <c r="B29" s="34"/>
      <c r="C29" s="280">
        <f>((C27*C30)*7)/1000</f>
        <v>139.40000000000003</v>
      </c>
      <c r="D29" s="280">
        <f t="shared" ref="D29:G29" si="9">((D27*D30)*7)/1000</f>
        <v>139.40000000000003</v>
      </c>
      <c r="E29" s="280">
        <f>((E27*E30)*7)/1000</f>
        <v>38</v>
      </c>
      <c r="F29" s="280">
        <f t="shared" si="9"/>
        <v>142.19999999999999</v>
      </c>
      <c r="G29" s="280">
        <f t="shared" si="9"/>
        <v>141.50000000000003</v>
      </c>
      <c r="H29" s="443"/>
      <c r="I29" s="279"/>
      <c r="J29" s="280">
        <f>((J27*J30)*7)/1000</f>
        <v>140.6</v>
      </c>
      <c r="K29" s="280">
        <f t="shared" ref="K29:N29" si="10">((K27*K30)*7)/1000</f>
        <v>142.19999999999999</v>
      </c>
      <c r="L29" s="280">
        <f t="shared" si="10"/>
        <v>36.600000000000009</v>
      </c>
      <c r="M29" s="280">
        <f t="shared" si="10"/>
        <v>135.1</v>
      </c>
      <c r="N29" s="280">
        <f t="shared" si="10"/>
        <v>133.80000000000004</v>
      </c>
      <c r="O29" s="613"/>
      <c r="P29" s="279">
        <f t="shared" ref="P29:Y29" si="11">((P27*P26)*7)/1000</f>
        <v>554.64429999999993</v>
      </c>
      <c r="Q29" s="280">
        <f t="shared" si="11"/>
        <v>551.22759999999982</v>
      </c>
      <c r="R29" s="280">
        <f t="shared" si="11"/>
        <v>198.1686</v>
      </c>
      <c r="S29" s="280">
        <f t="shared" si="11"/>
        <v>554.64429999999993</v>
      </c>
      <c r="T29" s="282">
        <f t="shared" si="11"/>
        <v>556.92209999999989</v>
      </c>
      <c r="U29" s="279">
        <f t="shared" si="11"/>
        <v>576.28340000000003</v>
      </c>
      <c r="V29" s="280">
        <f t="shared" si="11"/>
        <v>584.25569999999993</v>
      </c>
      <c r="W29" s="280">
        <f t="shared" si="11"/>
        <v>206.14089999999996</v>
      </c>
      <c r="X29" s="280">
        <f t="shared" si="11"/>
        <v>580.83900000000006</v>
      </c>
      <c r="Y29" s="282">
        <f t="shared" si="11"/>
        <v>579.70009999999991</v>
      </c>
      <c r="Z29" s="36"/>
    </row>
    <row r="30" spans="1:40" ht="33.75" customHeight="1" thickBot="1" x14ac:dyDescent="0.3">
      <c r="A30" s="195" t="s">
        <v>15</v>
      </c>
      <c r="B30" s="423"/>
      <c r="C30" s="38">
        <f>+(C25/C27)/7*1000</f>
        <v>34.573412698412703</v>
      </c>
      <c r="D30" s="38">
        <f t="shared" ref="D30:Y30" si="12">+(D25/D27)/7*1000</f>
        <v>34.573412698412703</v>
      </c>
      <c r="E30" s="38">
        <f t="shared" si="12"/>
        <v>34.798534798534796</v>
      </c>
      <c r="F30" s="38">
        <f t="shared" si="12"/>
        <v>34.606960330980776</v>
      </c>
      <c r="G30" s="38">
        <f t="shared" si="12"/>
        <v>34.554334554334559</v>
      </c>
      <c r="H30" s="259"/>
      <c r="I30" s="37"/>
      <c r="J30" s="38">
        <f t="shared" si="12"/>
        <v>34.630541871921181</v>
      </c>
      <c r="K30" s="38">
        <f t="shared" si="12"/>
        <v>34.606960330980776</v>
      </c>
      <c r="L30" s="38">
        <f t="shared" si="12"/>
        <v>33.092224231464741</v>
      </c>
      <c r="M30" s="38">
        <f t="shared" si="12"/>
        <v>32.935153583617748</v>
      </c>
      <c r="N30" s="38">
        <f t="shared" si="12"/>
        <v>32.842415316642125</v>
      </c>
      <c r="O30" s="614"/>
      <c r="P30" s="37">
        <f t="shared" si="12"/>
        <v>162.68700498679968</v>
      </c>
      <c r="Q30" s="38">
        <f t="shared" si="12"/>
        <v>162.72136953955138</v>
      </c>
      <c r="R30" s="38">
        <f t="shared" si="12"/>
        <v>161.65845648604267</v>
      </c>
      <c r="S30" s="38">
        <f t="shared" si="12"/>
        <v>162.65767087122325</v>
      </c>
      <c r="T30" s="39">
        <f t="shared" si="12"/>
        <v>162.75197195442595</v>
      </c>
      <c r="U30" s="37">
        <f t="shared" si="12"/>
        <v>162.76115189158665</v>
      </c>
      <c r="V30" s="38">
        <f t="shared" si="12"/>
        <v>162.74018379281534</v>
      </c>
      <c r="W30" s="38">
        <f t="shared" si="12"/>
        <v>162.58879242304661</v>
      </c>
      <c r="X30" s="38">
        <f t="shared" si="12"/>
        <v>162.71708683473386</v>
      </c>
      <c r="Y30" s="39">
        <f t="shared" si="12"/>
        <v>162.64383946112827</v>
      </c>
      <c r="Z30" s="40"/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3">D29-D25</f>
        <v>0</v>
      </c>
      <c r="E31" s="42">
        <f t="shared" si="13"/>
        <v>0</v>
      </c>
      <c r="F31" s="42">
        <f t="shared" si="13"/>
        <v>0</v>
      </c>
      <c r="G31" s="42">
        <f t="shared" si="13"/>
        <v>0</v>
      </c>
      <c r="H31" s="42"/>
      <c r="I31" s="42"/>
      <c r="J31" s="42">
        <f t="shared" si="13"/>
        <v>0</v>
      </c>
      <c r="K31" s="42">
        <f>K29-K25</f>
        <v>0</v>
      </c>
      <c r="L31" s="42">
        <f t="shared" si="13"/>
        <v>0</v>
      </c>
      <c r="M31" s="42">
        <f t="shared" si="13"/>
        <v>0</v>
      </c>
      <c r="N31" s="42">
        <f t="shared" si="13"/>
        <v>0</v>
      </c>
      <c r="O31" s="42"/>
      <c r="P31" s="42">
        <f t="shared" si="13"/>
        <v>4.4299999999907413E-2</v>
      </c>
      <c r="Q31" s="42">
        <f t="shared" si="13"/>
        <v>-7.2400000000243381E-2</v>
      </c>
      <c r="R31" s="42">
        <f t="shared" si="13"/>
        <v>1.2686000000000206</v>
      </c>
      <c r="S31" s="42">
        <f t="shared" si="13"/>
        <v>0.14429999999993015</v>
      </c>
      <c r="T31" s="42">
        <f t="shared" si="13"/>
        <v>-0.17790000000013606</v>
      </c>
      <c r="U31" s="42">
        <f t="shared" si="13"/>
        <v>-0.21659999999997126</v>
      </c>
      <c r="V31" s="42">
        <f t="shared" si="13"/>
        <v>-0.14430000000004384</v>
      </c>
      <c r="W31" s="42">
        <f t="shared" si="13"/>
        <v>0.14089999999993097</v>
      </c>
      <c r="X31" s="42">
        <f t="shared" si="13"/>
        <v>-6.0999999999921783E-2</v>
      </c>
      <c r="Y31" s="42">
        <f t="shared" si="13"/>
        <v>0.20009999999990669</v>
      </c>
      <c r="Z31" s="48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0.17341269841269735</v>
      </c>
      <c r="D32" s="42">
        <f t="shared" ref="D32:G32" si="14">D30-D33</f>
        <v>0.17341269841269735</v>
      </c>
      <c r="E32" s="42">
        <f t="shared" si="14"/>
        <v>0.39853479853479001</v>
      </c>
      <c r="F32" s="42">
        <f t="shared" si="14"/>
        <v>0.20696033098077038</v>
      </c>
      <c r="G32" s="42">
        <f t="shared" si="14"/>
        <v>0.15433455433455379</v>
      </c>
      <c r="H32" s="42"/>
      <c r="I32" s="42"/>
      <c r="J32" s="42">
        <f t="shared" ref="J32:N32" si="15">J30-J33</f>
        <v>0.23054187192117581</v>
      </c>
      <c r="K32" s="42">
        <f t="shared" si="15"/>
        <v>0.20696033098077038</v>
      </c>
      <c r="L32" s="42">
        <f t="shared" si="15"/>
        <v>0.39222423146475194</v>
      </c>
      <c r="M32" s="42">
        <f t="shared" si="15"/>
        <v>0.23515358361775895</v>
      </c>
      <c r="N32" s="42">
        <f t="shared" si="15"/>
        <v>0.14241531664213625</v>
      </c>
      <c r="O32" s="42"/>
      <c r="P32" s="42">
        <f t="shared" si="13"/>
        <v>-1.2995013200310268E-2</v>
      </c>
      <c r="Q32" s="42">
        <f t="shared" si="13"/>
        <v>2.1369539551386652E-2</v>
      </c>
      <c r="R32" s="42">
        <f t="shared" si="13"/>
        <v>-1.0415435139573219</v>
      </c>
      <c r="S32" s="42">
        <f t="shared" si="13"/>
        <v>-4.2329128776742664E-2</v>
      </c>
      <c r="T32" s="42">
        <f t="shared" si="13"/>
        <v>5.1971954425965805E-2</v>
      </c>
      <c r="U32" s="42">
        <f t="shared" si="13"/>
        <v>6.1151891586661122E-2</v>
      </c>
      <c r="V32" s="42">
        <f t="shared" si="13"/>
        <v>4.0183792815355446E-2</v>
      </c>
      <c r="W32" s="42">
        <f t="shared" si="13"/>
        <v>-0.11120757695337602</v>
      </c>
      <c r="X32" s="42">
        <f t="shared" si="13"/>
        <v>1.7086834733873957E-2</v>
      </c>
      <c r="Y32" s="42">
        <f t="shared" si="13"/>
        <v>-5.6160538871722565E-2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34.400000000000006</v>
      </c>
      <c r="D33" s="42">
        <f t="shared" ref="D33:G33" si="16">D26-$B$34</f>
        <v>34.400000000000006</v>
      </c>
      <c r="E33" s="42">
        <f t="shared" si="16"/>
        <v>34.400000000000006</v>
      </c>
      <c r="F33" s="42">
        <f t="shared" si="16"/>
        <v>34.400000000000006</v>
      </c>
      <c r="G33" s="42">
        <f t="shared" si="16"/>
        <v>34.400000000000006</v>
      </c>
      <c r="H33" s="42"/>
      <c r="I33" s="42"/>
      <c r="J33" s="42">
        <f>J26-$I$34</f>
        <v>34.400000000000006</v>
      </c>
      <c r="K33" s="42">
        <f t="shared" ref="K33:N33" si="17">K26-$I$34</f>
        <v>34.400000000000006</v>
      </c>
      <c r="L33" s="42">
        <f t="shared" si="17"/>
        <v>32.699999999999989</v>
      </c>
      <c r="M33" s="42">
        <f t="shared" si="17"/>
        <v>32.699999999999989</v>
      </c>
      <c r="N33" s="42">
        <f t="shared" si="17"/>
        <v>32.699999999999989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322.39999999999998</v>
      </c>
      <c r="D34" s="432">
        <f>SUM(C27:G27)</f>
        <v>2480</v>
      </c>
      <c r="E34" s="42"/>
      <c r="F34" s="42"/>
      <c r="G34" s="42"/>
      <c r="H34" s="42"/>
      <c r="I34" s="514">
        <v>130</v>
      </c>
      <c r="J34" s="431">
        <f>(I34*K34)/1000</f>
        <v>324.08999999999997</v>
      </c>
      <c r="K34" s="432">
        <f>SUM(J27:N27)</f>
        <v>2493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9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426" t="s">
        <v>18</v>
      </c>
      <c r="M39" s="973" t="s">
        <v>17</v>
      </c>
      <c r="N39" s="974"/>
      <c r="O39" s="974"/>
      <c r="P39" s="974"/>
      <c r="Q39" s="974"/>
      <c r="R39" s="991"/>
      <c r="S39" s="261" t="s">
        <v>9</v>
      </c>
      <c r="U39" s="45"/>
      <c r="V39" s="45"/>
      <c r="W39" s="46"/>
      <c r="X39" s="3"/>
      <c r="Y39" s="45"/>
      <c r="Z39" s="45"/>
      <c r="AA39" s="45"/>
      <c r="AB39" s="3"/>
    </row>
    <row r="40" spans="1:38" ht="33.75" customHeight="1" thickBot="1" x14ac:dyDescent="0.3">
      <c r="A40" s="170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86">
        <v>1</v>
      </c>
      <c r="N40" s="174">
        <v>2</v>
      </c>
      <c r="O40" s="174">
        <v>3</v>
      </c>
      <c r="P40" s="174">
        <v>4</v>
      </c>
      <c r="Q40" s="203">
        <v>5</v>
      </c>
      <c r="R40" s="175" t="s">
        <v>92</v>
      </c>
      <c r="S40" s="126"/>
      <c r="U40" s="47"/>
      <c r="V40" s="47"/>
      <c r="W40" s="48"/>
      <c r="X40" s="48"/>
      <c r="Y40" s="2"/>
      <c r="Z40" s="2"/>
      <c r="AA40" s="2"/>
      <c r="AB40" s="2"/>
    </row>
    <row r="41" spans="1:38" ht="33.75" customHeight="1" x14ac:dyDescent="0.25">
      <c r="A41" s="171" t="s">
        <v>32</v>
      </c>
      <c r="B41" s="142">
        <v>96.6</v>
      </c>
      <c r="C41" s="486">
        <v>96.8</v>
      </c>
      <c r="D41" s="486">
        <v>25.1</v>
      </c>
      <c r="E41" s="486">
        <v>96.6</v>
      </c>
      <c r="F41" s="537">
        <v>96.1</v>
      </c>
      <c r="G41" s="509">
        <f t="shared" ref="G41:G48" si="18">SUM(B41:F41)</f>
        <v>411.19999999999993</v>
      </c>
      <c r="H41" s="609"/>
      <c r="I41" s="364"/>
      <c r="J41" s="364"/>
      <c r="K41" s="364"/>
      <c r="L41" s="171" t="s">
        <v>53</v>
      </c>
      <c r="M41" s="18">
        <v>7.7</v>
      </c>
      <c r="N41" s="19">
        <v>7.6</v>
      </c>
      <c r="O41" s="19">
        <v>2</v>
      </c>
      <c r="P41" s="19">
        <v>7.4</v>
      </c>
      <c r="Q41" s="19">
        <v>7.7</v>
      </c>
      <c r="R41" s="20">
        <v>2.1</v>
      </c>
      <c r="S41" s="98">
        <f>SUM(M41:R41)</f>
        <v>34.500000000000007</v>
      </c>
      <c r="T41" s="302"/>
      <c r="U41" s="2"/>
      <c r="V41" s="49"/>
      <c r="W41" s="48"/>
      <c r="X41" s="48"/>
      <c r="Y41" s="2"/>
      <c r="Z41" s="2"/>
      <c r="AA41" s="2"/>
      <c r="AB41" s="2"/>
    </row>
    <row r="42" spans="1:38" ht="33.75" customHeight="1" x14ac:dyDescent="0.25">
      <c r="A42" s="171" t="s">
        <v>24</v>
      </c>
      <c r="B42" s="532">
        <v>96.4</v>
      </c>
      <c r="C42" s="431">
        <v>95.3</v>
      </c>
      <c r="D42" s="431">
        <v>24.7</v>
      </c>
      <c r="E42" s="431">
        <v>96.4</v>
      </c>
      <c r="F42" s="533">
        <v>95.9</v>
      </c>
      <c r="G42" s="509">
        <f t="shared" si="18"/>
        <v>408.69999999999993</v>
      </c>
      <c r="H42" s="609"/>
      <c r="I42" s="364"/>
      <c r="J42" s="364"/>
      <c r="K42" s="364"/>
      <c r="L42" s="171" t="s">
        <v>24</v>
      </c>
      <c r="M42" s="18">
        <v>7.7</v>
      </c>
      <c r="N42" s="19">
        <v>7.6</v>
      </c>
      <c r="O42" s="19">
        <v>2</v>
      </c>
      <c r="P42" s="19">
        <v>7.4</v>
      </c>
      <c r="Q42" s="19">
        <v>7.7</v>
      </c>
      <c r="R42" s="20">
        <v>2.1</v>
      </c>
      <c r="S42" s="98">
        <f t="shared" ref="S42:S46" si="19">SUM(M42:R42)</f>
        <v>34.500000000000007</v>
      </c>
      <c r="T42" s="302"/>
      <c r="U42" s="2"/>
      <c r="V42" s="49"/>
      <c r="W42" s="48"/>
      <c r="X42" s="48"/>
      <c r="Y42" s="2"/>
      <c r="Z42" s="2"/>
      <c r="AA42" s="2"/>
      <c r="AB42" s="2"/>
    </row>
    <row r="43" spans="1:38" ht="33.75" customHeight="1" x14ac:dyDescent="0.25">
      <c r="A43" s="171" t="s">
        <v>20</v>
      </c>
      <c r="B43" s="142">
        <v>96.2</v>
      </c>
      <c r="C43" s="486">
        <v>94.6</v>
      </c>
      <c r="D43" s="486">
        <v>24.7</v>
      </c>
      <c r="E43" s="486">
        <v>96.4</v>
      </c>
      <c r="F43" s="537">
        <v>95.9</v>
      </c>
      <c r="G43" s="509">
        <f t="shared" si="18"/>
        <v>407.79999999999995</v>
      </c>
      <c r="H43" s="609"/>
      <c r="I43" s="364"/>
      <c r="J43" s="364"/>
      <c r="K43" s="364"/>
      <c r="L43" s="171" t="s">
        <v>20</v>
      </c>
      <c r="M43" s="18">
        <v>7.7</v>
      </c>
      <c r="N43" s="19">
        <v>7.6</v>
      </c>
      <c r="O43" s="19">
        <v>2</v>
      </c>
      <c r="P43" s="19">
        <v>7.4</v>
      </c>
      <c r="Q43" s="19">
        <v>7.7</v>
      </c>
      <c r="R43" s="20">
        <v>2.1</v>
      </c>
      <c r="S43" s="98">
        <f t="shared" si="19"/>
        <v>34.500000000000007</v>
      </c>
      <c r="T43" s="302"/>
      <c r="U43" s="2"/>
      <c r="V43" s="49"/>
      <c r="W43" s="48"/>
      <c r="X43" s="48"/>
      <c r="Y43" s="2"/>
      <c r="Z43" s="2"/>
      <c r="AA43" s="2"/>
      <c r="AB43" s="2"/>
    </row>
    <row r="44" spans="1:38" ht="33.75" customHeight="1" x14ac:dyDescent="0.25">
      <c r="A44" s="171" t="s">
        <v>28</v>
      </c>
      <c r="B44" s="142">
        <v>96</v>
      </c>
      <c r="C44" s="486">
        <v>94.6</v>
      </c>
      <c r="D44" s="486">
        <v>24.7</v>
      </c>
      <c r="E44" s="486">
        <v>96.4</v>
      </c>
      <c r="F44" s="537">
        <v>95.9</v>
      </c>
      <c r="G44" s="509">
        <f t="shared" si="18"/>
        <v>407.6</v>
      </c>
      <c r="H44" s="609"/>
      <c r="I44" s="364"/>
      <c r="J44" s="364"/>
      <c r="K44" s="364"/>
      <c r="L44" s="171" t="s">
        <v>28</v>
      </c>
      <c r="M44" s="18">
        <v>7.7</v>
      </c>
      <c r="N44" s="19">
        <v>7.6</v>
      </c>
      <c r="O44" s="19">
        <v>2</v>
      </c>
      <c r="P44" s="19">
        <v>7.4</v>
      </c>
      <c r="Q44" s="19">
        <v>7.7</v>
      </c>
      <c r="R44" s="20">
        <v>2.1</v>
      </c>
      <c r="S44" s="98">
        <f t="shared" si="19"/>
        <v>34.500000000000007</v>
      </c>
      <c r="T44" s="302"/>
      <c r="U44" s="2"/>
      <c r="V44" s="49"/>
      <c r="W44" s="48"/>
      <c r="X44" s="48"/>
      <c r="Y44" s="2"/>
      <c r="Z44" s="2"/>
      <c r="AA44" s="2"/>
      <c r="AB44" s="2"/>
    </row>
    <row r="45" spans="1:38" ht="33.75" customHeight="1" x14ac:dyDescent="0.25">
      <c r="A45" s="171" t="s">
        <v>21</v>
      </c>
      <c r="B45" s="142">
        <v>96</v>
      </c>
      <c r="C45" s="486">
        <v>94.6</v>
      </c>
      <c r="D45" s="486">
        <v>24.7</v>
      </c>
      <c r="E45" s="486">
        <v>96.4</v>
      </c>
      <c r="F45" s="537">
        <v>95.9</v>
      </c>
      <c r="G45" s="509">
        <f t="shared" si="18"/>
        <v>407.6</v>
      </c>
      <c r="H45" s="609"/>
      <c r="I45" s="364"/>
      <c r="J45" s="364"/>
      <c r="K45" s="364"/>
      <c r="L45" s="171" t="s">
        <v>21</v>
      </c>
      <c r="M45" s="18">
        <v>7.7</v>
      </c>
      <c r="N45" s="19">
        <v>7.6</v>
      </c>
      <c r="O45" s="19">
        <v>2</v>
      </c>
      <c r="P45" s="19">
        <v>7.4</v>
      </c>
      <c r="Q45" s="19">
        <v>7.7</v>
      </c>
      <c r="R45" s="20">
        <v>2.1</v>
      </c>
      <c r="S45" s="98">
        <f t="shared" si="19"/>
        <v>34.500000000000007</v>
      </c>
      <c r="T45" s="302"/>
      <c r="U45" s="2"/>
      <c r="V45" s="49"/>
      <c r="W45" s="48"/>
      <c r="X45" s="48"/>
      <c r="Y45" s="2"/>
      <c r="Z45" s="2"/>
      <c r="AA45" s="2"/>
      <c r="AB45" s="2"/>
    </row>
    <row r="46" spans="1:38" ht="33.75" customHeight="1" x14ac:dyDescent="0.25">
      <c r="A46" s="171" t="s">
        <v>22</v>
      </c>
      <c r="B46" s="142">
        <v>96</v>
      </c>
      <c r="C46" s="486">
        <v>94.6</v>
      </c>
      <c r="D46" s="486">
        <v>24.7</v>
      </c>
      <c r="E46" s="486">
        <v>96.4</v>
      </c>
      <c r="F46" s="537">
        <v>95.9</v>
      </c>
      <c r="G46" s="509">
        <f t="shared" si="18"/>
        <v>407.6</v>
      </c>
      <c r="H46" s="609"/>
      <c r="I46" s="364"/>
      <c r="J46" s="364"/>
      <c r="K46" s="364"/>
      <c r="L46" s="171" t="s">
        <v>22</v>
      </c>
      <c r="M46" s="18">
        <v>7.7</v>
      </c>
      <c r="N46" s="19">
        <v>7.6</v>
      </c>
      <c r="O46" s="19">
        <v>2</v>
      </c>
      <c r="P46" s="19">
        <v>7.4</v>
      </c>
      <c r="Q46" s="19">
        <v>7.7</v>
      </c>
      <c r="R46" s="20">
        <v>2.1</v>
      </c>
      <c r="S46" s="98">
        <f t="shared" si="19"/>
        <v>34.500000000000007</v>
      </c>
      <c r="T46" s="302"/>
      <c r="U46" s="2"/>
      <c r="V46" s="49"/>
      <c r="W46" s="48"/>
      <c r="X46" s="48"/>
      <c r="Y46" s="2"/>
      <c r="Z46" s="2"/>
      <c r="AA46" s="2"/>
      <c r="AB46" s="2"/>
    </row>
    <row r="47" spans="1:38" ht="33.75" customHeight="1" thickBot="1" x14ac:dyDescent="0.3">
      <c r="A47" s="285" t="s">
        <v>23</v>
      </c>
      <c r="B47" s="142">
        <v>96</v>
      </c>
      <c r="C47" s="486">
        <v>94.6</v>
      </c>
      <c r="D47" s="486">
        <v>24.7</v>
      </c>
      <c r="E47" s="486">
        <v>96.4</v>
      </c>
      <c r="F47" s="537">
        <v>95.9</v>
      </c>
      <c r="G47" s="526">
        <f t="shared" si="18"/>
        <v>407.6</v>
      </c>
      <c r="H47" s="609"/>
      <c r="I47" s="364"/>
      <c r="J47" s="364"/>
      <c r="K47" s="364"/>
      <c r="L47" s="285" t="s">
        <v>23</v>
      </c>
      <c r="M47" s="18">
        <v>7.7</v>
      </c>
      <c r="N47" s="19">
        <v>7.6</v>
      </c>
      <c r="O47" s="19">
        <v>2</v>
      </c>
      <c r="P47" s="19">
        <v>7.4</v>
      </c>
      <c r="Q47" s="19">
        <v>7.7</v>
      </c>
      <c r="R47" s="20">
        <v>2.1</v>
      </c>
      <c r="S47" s="628">
        <f>SUM(M47:R47)</f>
        <v>34.500000000000007</v>
      </c>
      <c r="T47" s="302"/>
      <c r="U47" s="2"/>
      <c r="V47" s="49"/>
      <c r="W47" s="48"/>
      <c r="X47" s="48"/>
      <c r="Y47" s="48"/>
      <c r="Z47" s="48"/>
      <c r="AA47" s="2"/>
      <c r="AB47" s="2"/>
      <c r="AC47" s="2"/>
      <c r="AD47" s="2"/>
    </row>
    <row r="48" spans="1:38" ht="33.75" customHeight="1" x14ac:dyDescent="0.25">
      <c r="A48" s="290" t="s">
        <v>9</v>
      </c>
      <c r="B48" s="131">
        <f>SUM(B41:B47)</f>
        <v>673.2</v>
      </c>
      <c r="C48" s="128">
        <f t="shared" ref="C48:F48" si="20">SUM(C41:C47)</f>
        <v>665.1</v>
      </c>
      <c r="D48" s="128">
        <f t="shared" si="20"/>
        <v>173.29999999999998</v>
      </c>
      <c r="E48" s="128">
        <f t="shared" si="20"/>
        <v>674.99999999999989</v>
      </c>
      <c r="F48" s="129">
        <f t="shared" si="20"/>
        <v>671.49999999999989</v>
      </c>
      <c r="G48" s="265">
        <f t="shared" si="18"/>
        <v>2858.1</v>
      </c>
      <c r="H48" s="609"/>
      <c r="I48" s="364"/>
      <c r="J48" s="364"/>
      <c r="K48" s="364"/>
      <c r="L48" s="290" t="s">
        <v>9</v>
      </c>
      <c r="M48" s="179">
        <f>SUM(M41:M47)</f>
        <v>53.900000000000006</v>
      </c>
      <c r="N48" s="180">
        <f>SUM(N41:N47)</f>
        <v>53.2</v>
      </c>
      <c r="O48" s="180">
        <f>SUM(O41:O47)</f>
        <v>14</v>
      </c>
      <c r="P48" s="180">
        <f t="shared" ref="P48:R48" si="21">SUM(P41:P47)</f>
        <v>51.8</v>
      </c>
      <c r="Q48" s="180">
        <f t="shared" si="21"/>
        <v>53.900000000000006</v>
      </c>
      <c r="R48" s="181">
        <f t="shared" si="21"/>
        <v>14.7</v>
      </c>
      <c r="S48" s="265">
        <f>SUM(S41:S47)</f>
        <v>241.50000000000003</v>
      </c>
      <c r="U48" s="49"/>
      <c r="V48" s="49"/>
      <c r="W48" s="2"/>
      <c r="X48" s="2"/>
      <c r="Y48" s="2"/>
      <c r="Z48" s="2"/>
      <c r="AA48" s="2"/>
      <c r="AB48" s="2"/>
      <c r="AC48" s="2"/>
      <c r="AD48" s="2"/>
    </row>
    <row r="49" spans="1:50" ht="33.75" customHeight="1" x14ac:dyDescent="0.25">
      <c r="A49" s="192" t="s">
        <v>11</v>
      </c>
      <c r="B49" s="23">
        <v>158.4</v>
      </c>
      <c r="C49" s="24">
        <v>158.4</v>
      </c>
      <c r="D49" s="24">
        <v>158.4</v>
      </c>
      <c r="E49" s="24">
        <v>158.4</v>
      </c>
      <c r="F49" s="25">
        <v>158.4</v>
      </c>
      <c r="G49" s="137">
        <f>+((G48/G50)/7)*1000</f>
        <v>158.44004656577417</v>
      </c>
      <c r="H49" s="609"/>
      <c r="I49" s="364"/>
      <c r="J49" s="364"/>
      <c r="K49" s="364"/>
      <c r="L49" s="273" t="s">
        <v>11</v>
      </c>
      <c r="M49" s="23">
        <v>156</v>
      </c>
      <c r="N49" s="24">
        <v>154.5</v>
      </c>
      <c r="O49" s="24">
        <v>152.5</v>
      </c>
      <c r="P49" s="24">
        <v>154</v>
      </c>
      <c r="Q49" s="24">
        <v>152.5</v>
      </c>
      <c r="R49" s="25">
        <v>152.5</v>
      </c>
      <c r="S49" s="137">
        <f>+((S48/S50)/7)*1000</f>
        <v>154.70852017937221</v>
      </c>
      <c r="U49" s="50"/>
      <c r="V49" s="50"/>
    </row>
    <row r="50" spans="1:50" ht="33.75" customHeight="1" x14ac:dyDescent="0.25">
      <c r="A50" s="193" t="s">
        <v>12</v>
      </c>
      <c r="B50" s="26">
        <v>607</v>
      </c>
      <c r="C50" s="27">
        <v>600</v>
      </c>
      <c r="D50" s="27">
        <v>156</v>
      </c>
      <c r="E50" s="27">
        <v>609</v>
      </c>
      <c r="F50" s="28">
        <v>605</v>
      </c>
      <c r="G50" s="395">
        <f>SUM(B50:F50)</f>
        <v>2577</v>
      </c>
      <c r="H50" s="609"/>
      <c r="I50" s="364"/>
      <c r="J50" s="364"/>
      <c r="K50" s="364"/>
      <c r="L50" s="193" t="s">
        <v>12</v>
      </c>
      <c r="M50" s="257">
        <v>49</v>
      </c>
      <c r="N50" s="275">
        <v>49</v>
      </c>
      <c r="O50" s="275">
        <v>13</v>
      </c>
      <c r="P50" s="275">
        <v>48</v>
      </c>
      <c r="Q50" s="275">
        <v>50</v>
      </c>
      <c r="R50" s="276">
        <v>14</v>
      </c>
      <c r="S50" s="254">
        <f>SUM(M50:R50)</f>
        <v>223</v>
      </c>
      <c r="U50" s="52"/>
      <c r="V50" s="52"/>
    </row>
    <row r="51" spans="1:50" ht="33.75" customHeight="1" x14ac:dyDescent="0.25">
      <c r="A51" s="194" t="s">
        <v>13</v>
      </c>
      <c r="B51" s="30">
        <f>((((B49*7)*B50)/1000)-B41-B42)/5</f>
        <v>96.008319999999998</v>
      </c>
      <c r="C51" s="31">
        <f t="shared" ref="C51:F51" si="22">((((C49*7)*C50)/1000)-C41-C42)/5</f>
        <v>94.635999999999996</v>
      </c>
      <c r="D51" s="31">
        <f t="shared" si="22"/>
        <v>24.634559999999997</v>
      </c>
      <c r="E51" s="31">
        <f t="shared" si="22"/>
        <v>96.45183999999999</v>
      </c>
      <c r="F51" s="32">
        <f t="shared" si="22"/>
        <v>95.764799999999994</v>
      </c>
      <c r="G51" s="139">
        <f>((G48*1000)/G50)/7</f>
        <v>158.44004656577414</v>
      </c>
      <c r="H51" s="609"/>
      <c r="I51" s="364"/>
      <c r="J51" s="364"/>
      <c r="K51" s="364"/>
      <c r="L51" s="194" t="s">
        <v>13</v>
      </c>
      <c r="M51" s="30">
        <f t="shared" ref="M51:R51" si="23">((((M49*7)*M50)/1000)-M41-M42)/5</f>
        <v>7.621599999999999</v>
      </c>
      <c r="N51" s="31">
        <f t="shared" si="23"/>
        <v>7.5586999999999991</v>
      </c>
      <c r="O51" s="31">
        <f t="shared" si="23"/>
        <v>1.9754999999999998</v>
      </c>
      <c r="P51" s="31">
        <f t="shared" si="23"/>
        <v>7.3888000000000007</v>
      </c>
      <c r="Q51" s="31">
        <f t="shared" si="23"/>
        <v>7.5949999999999989</v>
      </c>
      <c r="R51" s="32">
        <f t="shared" si="23"/>
        <v>2.149</v>
      </c>
      <c r="S51" s="274">
        <f>((S48*1000)/S50)/7</f>
        <v>154.70852017937221</v>
      </c>
      <c r="U51" s="52"/>
      <c r="V51" s="52"/>
    </row>
    <row r="52" spans="1:50" ht="33.75" customHeight="1" x14ac:dyDescent="0.25">
      <c r="A52" s="185" t="s">
        <v>14</v>
      </c>
      <c r="B52" s="279">
        <f>((B50*B49)*7)/1000</f>
        <v>673.04160000000002</v>
      </c>
      <c r="C52" s="280">
        <f>((C50*C49)*7)/1000</f>
        <v>665.28</v>
      </c>
      <c r="D52" s="280">
        <f>((D50*D49)*7)/1000</f>
        <v>172.97280000000001</v>
      </c>
      <c r="E52" s="280">
        <f>((E50*E49)*7)/1000</f>
        <v>675.25920000000008</v>
      </c>
      <c r="F52" s="282">
        <f>((F50*F49)*7)/1000</f>
        <v>670.82399999999996</v>
      </c>
      <c r="G52" s="112"/>
      <c r="H52" s="609"/>
      <c r="I52" s="364"/>
      <c r="J52" s="364"/>
      <c r="K52" s="364"/>
      <c r="L52" s="185" t="s">
        <v>14</v>
      </c>
      <c r="M52" s="279">
        <f>((M50*M49)*7)/1000</f>
        <v>53.508000000000003</v>
      </c>
      <c r="N52" s="280">
        <f>((N50*N49)*7)/1000</f>
        <v>52.993499999999997</v>
      </c>
      <c r="O52" s="280">
        <f>((O50*O49)*7)/1000</f>
        <v>13.8775</v>
      </c>
      <c r="P52" s="280">
        <f t="shared" ref="P52:R52" si="24">((P50*P49)*7)/1000</f>
        <v>51.744</v>
      </c>
      <c r="Q52" s="280">
        <f t="shared" si="24"/>
        <v>53.375</v>
      </c>
      <c r="R52" s="282">
        <f t="shared" si="24"/>
        <v>14.945</v>
      </c>
      <c r="S52" s="36"/>
    </row>
    <row r="53" spans="1:50" ht="33.75" customHeight="1" thickBot="1" x14ac:dyDescent="0.3">
      <c r="A53" s="195" t="s">
        <v>15</v>
      </c>
      <c r="B53" s="37">
        <f t="shared" ref="B53:E53" si="25">+(B48/B50)/7*1000</f>
        <v>158.43727935984938</v>
      </c>
      <c r="C53" s="38">
        <f t="shared" si="25"/>
        <v>158.35714285714286</v>
      </c>
      <c r="D53" s="38">
        <f t="shared" si="25"/>
        <v>158.69963369963367</v>
      </c>
      <c r="E53" s="38">
        <f t="shared" si="25"/>
        <v>158.33919774806475</v>
      </c>
      <c r="F53" s="39">
        <f>+(F48/F50)/7*1000</f>
        <v>158.55962219598578</v>
      </c>
      <c r="G53" s="140"/>
      <c r="H53" s="609"/>
      <c r="I53" s="364"/>
      <c r="J53" s="364"/>
      <c r="K53" s="364"/>
      <c r="L53" s="195" t="s">
        <v>15</v>
      </c>
      <c r="M53" s="37">
        <f>+(M48/M50)/7*1000</f>
        <v>157.14285714285717</v>
      </c>
      <c r="N53" s="38">
        <f>+(N48/N50)/7*1000</f>
        <v>155.10204081632656</v>
      </c>
      <c r="O53" s="38">
        <f>+(O48/O50)/7*1000</f>
        <v>153.84615384615384</v>
      </c>
      <c r="P53" s="38">
        <f t="shared" ref="P53:R53" si="26">+(P48/P50)/7*1000</f>
        <v>154.16666666666666</v>
      </c>
      <c r="Q53" s="38">
        <f t="shared" si="26"/>
        <v>154</v>
      </c>
      <c r="R53" s="39">
        <f t="shared" si="26"/>
        <v>150</v>
      </c>
      <c r="S53" s="259"/>
      <c r="U53" s="42"/>
      <c r="V53" s="42"/>
    </row>
    <row r="54" spans="1:50" ht="33.75" customHeight="1" x14ac:dyDescent="0.25">
      <c r="A54" s="41"/>
      <c r="B54" s="43">
        <f>B52-B48</f>
        <v>-0.15840000000002874</v>
      </c>
      <c r="C54" s="43">
        <f t="shared" ref="C54:F55" si="27">C52-C48</f>
        <v>0.17999999999994998</v>
      </c>
      <c r="D54" s="43">
        <f t="shared" si="27"/>
        <v>-0.3271999999999764</v>
      </c>
      <c r="E54" s="43">
        <f>E52-E48</f>
        <v>0.25920000000019172</v>
      </c>
      <c r="F54" s="43">
        <f t="shared" si="27"/>
        <v>-0.67599999999993088</v>
      </c>
      <c r="G54" s="41"/>
      <c r="H54" s="41"/>
      <c r="I54" s="41"/>
      <c r="J54" s="41"/>
      <c r="K54" s="41"/>
      <c r="L54" s="42"/>
      <c r="M54" s="42">
        <f>M52-M48</f>
        <v>-0.39200000000000301</v>
      </c>
      <c r="N54" s="42">
        <f t="shared" ref="N54:R55" si="28">N52-N48</f>
        <v>-0.20650000000000546</v>
      </c>
      <c r="O54" s="42">
        <f t="shared" si="28"/>
        <v>-0.1225000000000005</v>
      </c>
      <c r="P54" s="42">
        <f t="shared" si="28"/>
        <v>-5.5999999999997385E-2</v>
      </c>
      <c r="Q54" s="42">
        <f t="shared" si="28"/>
        <v>-0.52500000000000568</v>
      </c>
      <c r="R54" s="42">
        <f t="shared" si="28"/>
        <v>0.24500000000000099</v>
      </c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3.7279359849378579E-2</v>
      </c>
      <c r="C55" s="42">
        <f>C53-C49</f>
        <v>-4.2857142857144481E-2</v>
      </c>
      <c r="D55" s="42">
        <f t="shared" si="27"/>
        <v>0.29963369963365949</v>
      </c>
      <c r="E55" s="42">
        <f>E53-E49</f>
        <v>-6.0802251935257345E-2</v>
      </c>
      <c r="F55" s="42">
        <f>F53-F49</f>
        <v>0.15962219598577576</v>
      </c>
      <c r="G55" s="41"/>
      <c r="H55" s="41"/>
      <c r="I55" s="41"/>
      <c r="J55" s="41"/>
      <c r="K55" s="42"/>
      <c r="L55" s="42"/>
      <c r="M55" s="42">
        <f>M53-M49</f>
        <v>1.1428571428571672</v>
      </c>
      <c r="N55" s="42">
        <f t="shared" si="28"/>
        <v>0.60204081632656425</v>
      </c>
      <c r="O55" s="42">
        <f>O53-O49</f>
        <v>1.3461538461538396</v>
      </c>
      <c r="P55" s="42">
        <f t="shared" si="28"/>
        <v>0.16666666666665719</v>
      </c>
      <c r="Q55" s="42">
        <f t="shared" si="28"/>
        <v>1.5</v>
      </c>
      <c r="R55" s="42">
        <f t="shared" si="28"/>
        <v>-2.5</v>
      </c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1"/>
      <c r="N56" s="41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54">
        <f>M41/M50</f>
        <v>0.15714285714285714</v>
      </c>
      <c r="N57" s="54">
        <f t="shared" ref="N57:R57" si="29">N41/N50</f>
        <v>0.15510204081632653</v>
      </c>
      <c r="O57" s="54">
        <f t="shared" si="29"/>
        <v>0.15384615384615385</v>
      </c>
      <c r="P57" s="54">
        <f t="shared" si="29"/>
        <v>0.15416666666666667</v>
      </c>
      <c r="Q57" s="54">
        <f t="shared" si="29"/>
        <v>0.154</v>
      </c>
      <c r="R57" s="54">
        <f t="shared" si="29"/>
        <v>0.15</v>
      </c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86" t="s">
        <v>30</v>
      </c>
      <c r="H58" s="956"/>
      <c r="I58" s="956"/>
      <c r="J58" s="956"/>
      <c r="K58" s="956"/>
      <c r="L58" s="956"/>
      <c r="M58" s="986" t="s">
        <v>29</v>
      </c>
      <c r="N58" s="956"/>
      <c r="O58" s="956"/>
      <c r="P58" s="956"/>
      <c r="Q58" s="956"/>
      <c r="R58" s="987"/>
      <c r="S58" s="986" t="s">
        <v>31</v>
      </c>
      <c r="T58" s="956"/>
      <c r="U58" s="956"/>
      <c r="V58" s="956"/>
      <c r="W58" s="987"/>
      <c r="X58" s="586" t="s">
        <v>9</v>
      </c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188">
        <v>1</v>
      </c>
      <c r="H59" s="168">
        <v>2</v>
      </c>
      <c r="I59" s="168">
        <v>3</v>
      </c>
      <c r="J59" s="168">
        <v>4</v>
      </c>
      <c r="K59" s="168">
        <v>5</v>
      </c>
      <c r="L59" s="204" t="s">
        <v>117</v>
      </c>
      <c r="M59" s="188">
        <v>1</v>
      </c>
      <c r="N59" s="168">
        <v>2</v>
      </c>
      <c r="O59" s="168">
        <v>3</v>
      </c>
      <c r="P59" s="168">
        <v>4</v>
      </c>
      <c r="Q59" s="413">
        <v>5</v>
      </c>
      <c r="R59" s="414" t="s">
        <v>117</v>
      </c>
      <c r="S59" s="189">
        <v>1</v>
      </c>
      <c r="T59" s="168">
        <v>2</v>
      </c>
      <c r="U59" s="168">
        <v>3</v>
      </c>
      <c r="V59" s="168">
        <v>4</v>
      </c>
      <c r="W59" s="414">
        <v>5</v>
      </c>
      <c r="X59" s="126"/>
      <c r="Y59" s="45"/>
      <c r="Z59" s="45"/>
      <c r="AA59" s="45"/>
      <c r="AB59" s="45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25">
      <c r="A60" s="171" t="s">
        <v>53</v>
      </c>
      <c r="B60" s="447">
        <v>8.3000000000000007</v>
      </c>
      <c r="C60" s="124">
        <v>8.5</v>
      </c>
      <c r="D60" s="124">
        <v>2.4</v>
      </c>
      <c r="E60" s="124">
        <v>8.3000000000000007</v>
      </c>
      <c r="F60" s="123">
        <v>8.5</v>
      </c>
      <c r="G60" s="447">
        <v>8.3000000000000007</v>
      </c>
      <c r="H60" s="124">
        <v>8.5</v>
      </c>
      <c r="I60" s="124">
        <v>2.2999999999999998</v>
      </c>
      <c r="J60" s="124">
        <v>8.5</v>
      </c>
      <c r="K60" s="124">
        <v>8.4</v>
      </c>
      <c r="L60" s="125">
        <v>4.3</v>
      </c>
      <c r="M60" s="130">
        <v>6.8</v>
      </c>
      <c r="N60" s="124">
        <v>7</v>
      </c>
      <c r="O60" s="124">
        <v>2.2000000000000002</v>
      </c>
      <c r="P60" s="124">
        <v>7</v>
      </c>
      <c r="Q60" s="124">
        <v>7</v>
      </c>
      <c r="R60" s="132">
        <v>2.6</v>
      </c>
      <c r="S60" s="123">
        <v>7.2</v>
      </c>
      <c r="T60" s="124">
        <v>7.2</v>
      </c>
      <c r="U60" s="124">
        <v>2.6</v>
      </c>
      <c r="V60" s="124">
        <v>7.3</v>
      </c>
      <c r="W60" s="132">
        <v>7.2</v>
      </c>
      <c r="X60" s="412">
        <f>SUM(B60:W60)</f>
        <v>140.39999999999998</v>
      </c>
      <c r="Y60" s="608"/>
      <c r="Z60" s="42"/>
      <c r="AA60" s="42"/>
      <c r="AB60" s="42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25">
      <c r="A61" s="171" t="s">
        <v>24</v>
      </c>
      <c r="B61" s="447">
        <v>8.3000000000000007</v>
      </c>
      <c r="C61" s="124">
        <v>8.5</v>
      </c>
      <c r="D61" s="124">
        <v>2.4</v>
      </c>
      <c r="E61" s="124">
        <v>8.3000000000000007</v>
      </c>
      <c r="F61" s="123">
        <v>8.5</v>
      </c>
      <c r="G61" s="447">
        <v>8.3000000000000007</v>
      </c>
      <c r="H61" s="124">
        <v>8.5</v>
      </c>
      <c r="I61" s="124">
        <v>2.2999999999999998</v>
      </c>
      <c r="J61" s="124">
        <v>8.5</v>
      </c>
      <c r="K61" s="124">
        <v>8.4</v>
      </c>
      <c r="L61" s="125">
        <v>4.3</v>
      </c>
      <c r="M61" s="130">
        <v>6.8</v>
      </c>
      <c r="N61" s="124">
        <v>7</v>
      </c>
      <c r="O61" s="124">
        <v>2.2000000000000002</v>
      </c>
      <c r="P61" s="124">
        <v>7</v>
      </c>
      <c r="Q61" s="124">
        <v>7</v>
      </c>
      <c r="R61" s="132">
        <v>2.6</v>
      </c>
      <c r="S61" s="123">
        <v>7.2</v>
      </c>
      <c r="T61" s="124">
        <v>7.2</v>
      </c>
      <c r="U61" s="124">
        <v>2.6</v>
      </c>
      <c r="V61" s="124">
        <v>7.3</v>
      </c>
      <c r="W61" s="132">
        <v>7.2</v>
      </c>
      <c r="X61" s="412">
        <f t="shared" ref="X61:X66" si="30">SUM(B61:W61)</f>
        <v>140.39999999999998</v>
      </c>
      <c r="Y61" s="608"/>
      <c r="Z61" s="42"/>
      <c r="AA61" s="42"/>
      <c r="AB61" s="42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25">
      <c r="A62" s="171" t="s">
        <v>20</v>
      </c>
      <c r="B62" s="447">
        <v>8.3000000000000007</v>
      </c>
      <c r="C62" s="124">
        <v>8.5</v>
      </c>
      <c r="D62" s="124">
        <v>2.4</v>
      </c>
      <c r="E62" s="124">
        <v>8.3000000000000007</v>
      </c>
      <c r="F62" s="123">
        <v>8.5</v>
      </c>
      <c r="G62" s="447">
        <v>8.3000000000000007</v>
      </c>
      <c r="H62" s="124">
        <v>8.5</v>
      </c>
      <c r="I62" s="124">
        <v>2.2999999999999998</v>
      </c>
      <c r="J62" s="124">
        <v>8.5</v>
      </c>
      <c r="K62" s="124">
        <v>8.4</v>
      </c>
      <c r="L62" s="125">
        <v>4.3</v>
      </c>
      <c r="M62" s="130">
        <v>6.8</v>
      </c>
      <c r="N62" s="124">
        <v>7</v>
      </c>
      <c r="O62" s="124">
        <v>2.2000000000000002</v>
      </c>
      <c r="P62" s="124">
        <v>7</v>
      </c>
      <c r="Q62" s="124">
        <v>7</v>
      </c>
      <c r="R62" s="132">
        <v>2.1</v>
      </c>
      <c r="S62" s="123">
        <v>7.2</v>
      </c>
      <c r="T62" s="124">
        <v>7.2</v>
      </c>
      <c r="U62" s="124">
        <v>2.6</v>
      </c>
      <c r="V62" s="124">
        <v>7.3</v>
      </c>
      <c r="W62" s="132">
        <v>7.2</v>
      </c>
      <c r="X62" s="412">
        <f t="shared" si="30"/>
        <v>139.89999999999998</v>
      </c>
      <c r="Y62" s="608"/>
      <c r="Z62" s="42"/>
      <c r="AA62" s="42"/>
      <c r="AB62" s="42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25">
      <c r="A63" s="171" t="s">
        <v>28</v>
      </c>
      <c r="B63" s="447">
        <v>8.3000000000000007</v>
      </c>
      <c r="C63" s="124">
        <v>8.5</v>
      </c>
      <c r="D63" s="124">
        <v>2.4</v>
      </c>
      <c r="E63" s="124">
        <v>8.3000000000000007</v>
      </c>
      <c r="F63" s="123">
        <v>8.5</v>
      </c>
      <c r="G63" s="447">
        <v>8.3000000000000007</v>
      </c>
      <c r="H63" s="124">
        <v>8.5</v>
      </c>
      <c r="I63" s="124">
        <v>2.2999999999999998</v>
      </c>
      <c r="J63" s="124">
        <v>8.5</v>
      </c>
      <c r="K63" s="124">
        <v>8.4</v>
      </c>
      <c r="L63" s="125">
        <v>4.3</v>
      </c>
      <c r="M63" s="130">
        <v>6.8</v>
      </c>
      <c r="N63" s="124">
        <v>7</v>
      </c>
      <c r="O63" s="124">
        <v>2.2000000000000002</v>
      </c>
      <c r="P63" s="124">
        <v>7</v>
      </c>
      <c r="Q63" s="124">
        <v>7</v>
      </c>
      <c r="R63" s="132">
        <v>2.1</v>
      </c>
      <c r="S63" s="123">
        <v>7.2</v>
      </c>
      <c r="T63" s="124">
        <v>7.2</v>
      </c>
      <c r="U63" s="124">
        <v>2.6</v>
      </c>
      <c r="V63" s="124">
        <v>7.3</v>
      </c>
      <c r="W63" s="132">
        <v>7.2</v>
      </c>
      <c r="X63" s="412">
        <f t="shared" si="30"/>
        <v>139.89999999999998</v>
      </c>
      <c r="Y63" s="608"/>
      <c r="Z63" s="42"/>
      <c r="AA63" s="42"/>
      <c r="AB63" s="42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25">
      <c r="A64" s="171" t="s">
        <v>21</v>
      </c>
      <c r="B64" s="447">
        <v>8.3000000000000007</v>
      </c>
      <c r="C64" s="124">
        <v>8.5</v>
      </c>
      <c r="D64" s="124">
        <v>2.4</v>
      </c>
      <c r="E64" s="124">
        <v>8.3000000000000007</v>
      </c>
      <c r="F64" s="123">
        <v>8.5</v>
      </c>
      <c r="G64" s="447">
        <v>8.3000000000000007</v>
      </c>
      <c r="H64" s="124">
        <v>8.5</v>
      </c>
      <c r="I64" s="124">
        <v>2.2999999999999998</v>
      </c>
      <c r="J64" s="124">
        <v>8.5</v>
      </c>
      <c r="K64" s="124">
        <v>8.4</v>
      </c>
      <c r="L64" s="125">
        <v>4.3</v>
      </c>
      <c r="M64" s="130">
        <v>6.8</v>
      </c>
      <c r="N64" s="124">
        <v>7</v>
      </c>
      <c r="O64" s="124">
        <v>2.2000000000000002</v>
      </c>
      <c r="P64" s="124">
        <v>7</v>
      </c>
      <c r="Q64" s="124">
        <v>7</v>
      </c>
      <c r="R64" s="132">
        <v>2.1</v>
      </c>
      <c r="S64" s="123">
        <v>7.2</v>
      </c>
      <c r="T64" s="124">
        <v>7.2</v>
      </c>
      <c r="U64" s="124">
        <v>2.6</v>
      </c>
      <c r="V64" s="124">
        <v>7.3</v>
      </c>
      <c r="W64" s="132">
        <v>7.2</v>
      </c>
      <c r="X64" s="412">
        <f t="shared" si="30"/>
        <v>139.89999999999998</v>
      </c>
      <c r="Y64" s="608"/>
      <c r="Z64" s="42"/>
      <c r="AA64" s="42"/>
      <c r="AB64" s="42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25">
      <c r="A65" s="171" t="s">
        <v>22</v>
      </c>
      <c r="B65" s="447">
        <v>8.3000000000000007</v>
      </c>
      <c r="C65" s="124">
        <v>8.5</v>
      </c>
      <c r="D65" s="124">
        <v>2.4</v>
      </c>
      <c r="E65" s="124">
        <v>8.3000000000000007</v>
      </c>
      <c r="F65" s="123">
        <v>8.5</v>
      </c>
      <c r="G65" s="447">
        <v>8.3000000000000007</v>
      </c>
      <c r="H65" s="124">
        <v>8.5</v>
      </c>
      <c r="I65" s="124">
        <v>2.2999999999999998</v>
      </c>
      <c r="J65" s="124">
        <v>8.5</v>
      </c>
      <c r="K65" s="124">
        <v>8.4</v>
      </c>
      <c r="L65" s="125">
        <v>4.3</v>
      </c>
      <c r="M65" s="130">
        <v>6.8</v>
      </c>
      <c r="N65" s="124">
        <v>7</v>
      </c>
      <c r="O65" s="124">
        <v>2.2000000000000002</v>
      </c>
      <c r="P65" s="124">
        <v>7</v>
      </c>
      <c r="Q65" s="124">
        <v>7</v>
      </c>
      <c r="R65" s="132">
        <v>2.1</v>
      </c>
      <c r="S65" s="123">
        <v>7.2</v>
      </c>
      <c r="T65" s="124">
        <v>7.2</v>
      </c>
      <c r="U65" s="124">
        <v>2.6</v>
      </c>
      <c r="V65" s="124">
        <v>7.3</v>
      </c>
      <c r="W65" s="132">
        <v>7.2</v>
      </c>
      <c r="X65" s="412">
        <f t="shared" si="30"/>
        <v>139.89999999999998</v>
      </c>
      <c r="Y65" s="608"/>
      <c r="Z65" s="42"/>
      <c r="AA65" s="42"/>
      <c r="AB65" s="42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3">
      <c r="A66" s="171" t="s">
        <v>23</v>
      </c>
      <c r="B66" s="447">
        <v>8.3000000000000007</v>
      </c>
      <c r="C66" s="124">
        <v>8.5</v>
      </c>
      <c r="D66" s="124">
        <v>2.4</v>
      </c>
      <c r="E66" s="124">
        <v>8.3000000000000007</v>
      </c>
      <c r="F66" s="123">
        <v>8.5</v>
      </c>
      <c r="G66" s="447">
        <v>8.3000000000000007</v>
      </c>
      <c r="H66" s="124">
        <v>8.5</v>
      </c>
      <c r="I66" s="124">
        <v>2.2999999999999998</v>
      </c>
      <c r="J66" s="124">
        <v>8.5</v>
      </c>
      <c r="K66" s="124">
        <v>8.4</v>
      </c>
      <c r="L66" s="125">
        <v>4.3</v>
      </c>
      <c r="M66" s="130">
        <v>6.8</v>
      </c>
      <c r="N66" s="124">
        <v>7</v>
      </c>
      <c r="O66" s="124">
        <v>2.2000000000000002</v>
      </c>
      <c r="P66" s="124">
        <v>7</v>
      </c>
      <c r="Q66" s="124">
        <v>7</v>
      </c>
      <c r="R66" s="132">
        <v>2.1</v>
      </c>
      <c r="S66" s="123">
        <v>7.2</v>
      </c>
      <c r="T66" s="124">
        <v>7.2</v>
      </c>
      <c r="U66" s="124">
        <v>2.6</v>
      </c>
      <c r="V66" s="124">
        <v>7.3</v>
      </c>
      <c r="W66" s="132">
        <v>7.2</v>
      </c>
      <c r="X66" s="412">
        <f t="shared" si="30"/>
        <v>139.89999999999998</v>
      </c>
      <c r="Y66" s="608"/>
      <c r="Z66" s="42"/>
      <c r="AA66" s="42"/>
      <c r="AB66" s="42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618">
        <f t="shared" ref="B67:W67" si="31">SUM(B60:B66)</f>
        <v>58.099999999999994</v>
      </c>
      <c r="C67" s="616">
        <f t="shared" si="31"/>
        <v>59.5</v>
      </c>
      <c r="D67" s="616">
        <f t="shared" si="31"/>
        <v>16.8</v>
      </c>
      <c r="E67" s="616">
        <f t="shared" si="31"/>
        <v>58.099999999999994</v>
      </c>
      <c r="F67" s="619">
        <f t="shared" si="31"/>
        <v>59.5</v>
      </c>
      <c r="G67" s="618">
        <f t="shared" si="31"/>
        <v>58.099999999999994</v>
      </c>
      <c r="H67" s="616">
        <f t="shared" si="31"/>
        <v>59.5</v>
      </c>
      <c r="I67" s="616">
        <f t="shared" si="31"/>
        <v>16.100000000000001</v>
      </c>
      <c r="J67" s="616">
        <f t="shared" si="31"/>
        <v>59.5</v>
      </c>
      <c r="K67" s="616">
        <f t="shared" si="31"/>
        <v>58.8</v>
      </c>
      <c r="L67" s="617">
        <f t="shared" si="31"/>
        <v>30.1</v>
      </c>
      <c r="M67" s="618">
        <f t="shared" si="31"/>
        <v>47.599999999999994</v>
      </c>
      <c r="N67" s="616">
        <f t="shared" si="31"/>
        <v>49</v>
      </c>
      <c r="O67" s="616">
        <f t="shared" si="31"/>
        <v>15.399999999999999</v>
      </c>
      <c r="P67" s="616">
        <f t="shared" si="31"/>
        <v>49</v>
      </c>
      <c r="Q67" s="616">
        <f t="shared" si="31"/>
        <v>49</v>
      </c>
      <c r="R67" s="616">
        <f t="shared" si="31"/>
        <v>15.7</v>
      </c>
      <c r="S67" s="615">
        <f t="shared" si="31"/>
        <v>50.400000000000006</v>
      </c>
      <c r="T67" s="616">
        <f t="shared" si="31"/>
        <v>50.400000000000006</v>
      </c>
      <c r="U67" s="616">
        <f t="shared" si="31"/>
        <v>18.2</v>
      </c>
      <c r="V67" s="616">
        <f t="shared" si="31"/>
        <v>51.099999999999994</v>
      </c>
      <c r="W67" s="617">
        <f t="shared" si="31"/>
        <v>50.400000000000006</v>
      </c>
      <c r="X67" s="449">
        <f>SUM(B67:W67)</f>
        <v>980.30000000000007</v>
      </c>
      <c r="Y67" s="577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158</v>
      </c>
      <c r="C68" s="358">
        <v>159</v>
      </c>
      <c r="D68" s="358">
        <v>157.5</v>
      </c>
      <c r="E68" s="358">
        <v>158</v>
      </c>
      <c r="F68" s="624">
        <v>159</v>
      </c>
      <c r="G68" s="357">
        <v>156.5</v>
      </c>
      <c r="H68" s="358">
        <v>159</v>
      </c>
      <c r="I68" s="358">
        <v>158.5</v>
      </c>
      <c r="J68" s="358">
        <v>159</v>
      </c>
      <c r="K68" s="358">
        <v>157.5</v>
      </c>
      <c r="L68" s="624">
        <v>158</v>
      </c>
      <c r="M68" s="357">
        <v>155.5</v>
      </c>
      <c r="N68" s="358">
        <v>159</v>
      </c>
      <c r="O68" s="358">
        <v>155</v>
      </c>
      <c r="P68" s="358">
        <v>159</v>
      </c>
      <c r="Q68" s="358">
        <v>159</v>
      </c>
      <c r="R68" s="624">
        <v>159.5</v>
      </c>
      <c r="S68" s="357">
        <v>159</v>
      </c>
      <c r="T68" s="358">
        <v>159.5</v>
      </c>
      <c r="U68" s="358">
        <v>159.5</v>
      </c>
      <c r="V68" s="358">
        <v>159.5</v>
      </c>
      <c r="W68" s="624">
        <v>159</v>
      </c>
      <c r="X68" s="296">
        <f>+((X67/X69)/7)*1000</f>
        <v>159.68398762013362</v>
      </c>
      <c r="Y68" s="577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52</v>
      </c>
      <c r="C69" s="275">
        <v>53</v>
      </c>
      <c r="D69" s="275">
        <v>15</v>
      </c>
      <c r="E69" s="275">
        <v>52</v>
      </c>
      <c r="F69" s="276">
        <v>53</v>
      </c>
      <c r="G69" s="257">
        <v>53</v>
      </c>
      <c r="H69" s="275">
        <v>53</v>
      </c>
      <c r="I69" s="275">
        <v>14</v>
      </c>
      <c r="J69" s="275">
        <v>53</v>
      </c>
      <c r="K69" s="275">
        <v>53</v>
      </c>
      <c r="L69" s="276">
        <v>25</v>
      </c>
      <c r="M69" s="257">
        <v>44</v>
      </c>
      <c r="N69" s="275">
        <v>44</v>
      </c>
      <c r="O69" s="275">
        <v>14</v>
      </c>
      <c r="P69" s="275">
        <v>44</v>
      </c>
      <c r="Q69" s="275">
        <v>44</v>
      </c>
      <c r="R69" s="276">
        <v>14</v>
      </c>
      <c r="S69" s="257">
        <v>45</v>
      </c>
      <c r="T69" s="275">
        <v>45</v>
      </c>
      <c r="U69" s="275">
        <v>16</v>
      </c>
      <c r="V69" s="275">
        <v>45</v>
      </c>
      <c r="W69" s="276">
        <v>46</v>
      </c>
      <c r="X69" s="254">
        <f>SUM(B69:W69)</f>
        <v>877</v>
      </c>
      <c r="Y69" s="577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 t="shared" ref="B70:W70" si="32">((((B68*7)*B69)/1000)-B60-B61)/5</f>
        <v>8.1824000000000012</v>
      </c>
      <c r="C70" s="31">
        <f t="shared" si="32"/>
        <v>8.3978000000000002</v>
      </c>
      <c r="D70" s="31">
        <f t="shared" si="32"/>
        <v>2.3475000000000001</v>
      </c>
      <c r="E70" s="31">
        <f t="shared" si="32"/>
        <v>8.1824000000000012</v>
      </c>
      <c r="F70" s="32">
        <f t="shared" si="32"/>
        <v>8.3978000000000002</v>
      </c>
      <c r="G70" s="30">
        <f t="shared" si="32"/>
        <v>8.2923000000000009</v>
      </c>
      <c r="H70" s="31">
        <f t="shared" si="32"/>
        <v>8.3978000000000002</v>
      </c>
      <c r="I70" s="31">
        <f t="shared" si="32"/>
        <v>2.1865999999999999</v>
      </c>
      <c r="J70" s="31">
        <f t="shared" si="32"/>
        <v>8.3978000000000002</v>
      </c>
      <c r="K70" s="31">
        <f t="shared" si="32"/>
        <v>8.3264999999999993</v>
      </c>
      <c r="L70" s="32">
        <f t="shared" si="32"/>
        <v>3.8099999999999996</v>
      </c>
      <c r="M70" s="30">
        <f t="shared" si="32"/>
        <v>6.8588000000000005</v>
      </c>
      <c r="N70" s="31">
        <f t="shared" si="32"/>
        <v>6.9944000000000006</v>
      </c>
      <c r="O70" s="31">
        <f t="shared" si="32"/>
        <v>2.1579999999999999</v>
      </c>
      <c r="P70" s="31">
        <f t="shared" si="32"/>
        <v>6.9944000000000006</v>
      </c>
      <c r="Q70" s="31">
        <f t="shared" si="32"/>
        <v>6.9944000000000006</v>
      </c>
      <c r="R70" s="32">
        <f t="shared" si="32"/>
        <v>2.0862000000000003</v>
      </c>
      <c r="S70" s="30">
        <f t="shared" si="32"/>
        <v>7.1369999999999987</v>
      </c>
      <c r="T70" s="31">
        <f t="shared" si="32"/>
        <v>7.168499999999999</v>
      </c>
      <c r="U70" s="31">
        <f t="shared" si="32"/>
        <v>2.5328000000000004</v>
      </c>
      <c r="V70" s="31">
        <f t="shared" si="32"/>
        <v>7.1285000000000007</v>
      </c>
      <c r="W70" s="32">
        <f t="shared" si="32"/>
        <v>7.3595999999999986</v>
      </c>
      <c r="X70" s="139">
        <f>((X67*1000)/X69)/7</f>
        <v>159.68398762013359</v>
      </c>
      <c r="Y70" s="577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W71" si="33">((B69*B68)*7)/1000</f>
        <v>57.512</v>
      </c>
      <c r="C71" s="280">
        <f t="shared" si="33"/>
        <v>58.988999999999997</v>
      </c>
      <c r="D71" s="280">
        <f t="shared" si="33"/>
        <v>16.537500000000001</v>
      </c>
      <c r="E71" s="280">
        <f t="shared" si="33"/>
        <v>57.512</v>
      </c>
      <c r="F71" s="282">
        <f t="shared" si="33"/>
        <v>58.988999999999997</v>
      </c>
      <c r="G71" s="279">
        <f t="shared" si="33"/>
        <v>58.061500000000002</v>
      </c>
      <c r="H71" s="280">
        <f t="shared" si="33"/>
        <v>58.988999999999997</v>
      </c>
      <c r="I71" s="280">
        <f t="shared" si="33"/>
        <v>15.532999999999999</v>
      </c>
      <c r="J71" s="280">
        <f t="shared" si="33"/>
        <v>58.988999999999997</v>
      </c>
      <c r="K71" s="280">
        <f t="shared" si="33"/>
        <v>58.432499999999997</v>
      </c>
      <c r="L71" s="282">
        <f t="shared" si="33"/>
        <v>27.65</v>
      </c>
      <c r="M71" s="279">
        <f t="shared" si="33"/>
        <v>47.893999999999998</v>
      </c>
      <c r="N71" s="280">
        <f t="shared" si="33"/>
        <v>48.972000000000001</v>
      </c>
      <c r="O71" s="280">
        <f t="shared" si="33"/>
        <v>15.19</v>
      </c>
      <c r="P71" s="280">
        <f t="shared" si="33"/>
        <v>48.972000000000001</v>
      </c>
      <c r="Q71" s="280">
        <f t="shared" si="33"/>
        <v>48.972000000000001</v>
      </c>
      <c r="R71" s="282">
        <f t="shared" si="33"/>
        <v>15.631</v>
      </c>
      <c r="S71" s="279">
        <f t="shared" si="33"/>
        <v>50.085000000000001</v>
      </c>
      <c r="T71" s="280">
        <f t="shared" si="33"/>
        <v>50.2425</v>
      </c>
      <c r="U71" s="280">
        <f t="shared" si="33"/>
        <v>17.864000000000001</v>
      </c>
      <c r="V71" s="280">
        <f t="shared" si="33"/>
        <v>50.2425</v>
      </c>
      <c r="W71" s="282">
        <f t="shared" si="33"/>
        <v>51.198</v>
      </c>
      <c r="X71" s="112"/>
      <c r="Y71" s="41"/>
      <c r="Z71" s="41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W72" si="34">+(B67/B69)/7*1000</f>
        <v>159.61538461538458</v>
      </c>
      <c r="C72" s="38">
        <f t="shared" si="34"/>
        <v>160.37735849056605</v>
      </c>
      <c r="D72" s="38">
        <f t="shared" si="34"/>
        <v>160</v>
      </c>
      <c r="E72" s="38">
        <f t="shared" si="34"/>
        <v>159.61538461538458</v>
      </c>
      <c r="F72" s="39">
        <f t="shared" si="34"/>
        <v>160.37735849056605</v>
      </c>
      <c r="G72" s="37">
        <f t="shared" si="34"/>
        <v>156.60377358490567</v>
      </c>
      <c r="H72" s="38">
        <f t="shared" si="34"/>
        <v>160.37735849056605</v>
      </c>
      <c r="I72" s="38">
        <f t="shared" si="34"/>
        <v>164.28571428571431</v>
      </c>
      <c r="J72" s="38">
        <f t="shared" si="34"/>
        <v>160.37735849056605</v>
      </c>
      <c r="K72" s="38">
        <f t="shared" si="34"/>
        <v>158.49056603773585</v>
      </c>
      <c r="L72" s="39">
        <f t="shared" si="34"/>
        <v>172</v>
      </c>
      <c r="M72" s="37">
        <f t="shared" si="34"/>
        <v>154.54545454545453</v>
      </c>
      <c r="N72" s="38">
        <f t="shared" si="34"/>
        <v>159.09090909090909</v>
      </c>
      <c r="O72" s="38">
        <f t="shared" si="34"/>
        <v>157.14285714285711</v>
      </c>
      <c r="P72" s="38">
        <f t="shared" si="34"/>
        <v>159.09090909090909</v>
      </c>
      <c r="Q72" s="38">
        <f t="shared" si="34"/>
        <v>159.09090909090909</v>
      </c>
      <c r="R72" s="39">
        <f t="shared" si="34"/>
        <v>160.20408163265307</v>
      </c>
      <c r="S72" s="37">
        <f t="shared" si="34"/>
        <v>160</v>
      </c>
      <c r="T72" s="38">
        <f t="shared" si="34"/>
        <v>160</v>
      </c>
      <c r="U72" s="38">
        <f t="shared" si="34"/>
        <v>162.5</v>
      </c>
      <c r="V72" s="38">
        <f t="shared" si="34"/>
        <v>162.2222222222222</v>
      </c>
      <c r="W72" s="39">
        <f t="shared" si="34"/>
        <v>156.52173913043478</v>
      </c>
      <c r="X72" s="40"/>
      <c r="AM72" s="3"/>
    </row>
    <row r="73" spans="1:50" ht="33.75" customHeight="1" x14ac:dyDescent="0.25">
      <c r="B73" s="43">
        <f>B71-B67</f>
        <v>-0.58799999999999386</v>
      </c>
      <c r="C73" s="43">
        <f t="shared" ref="C73:F73" si="35">C71-C67</f>
        <v>-0.51100000000000279</v>
      </c>
      <c r="D73" s="43">
        <f t="shared" si="35"/>
        <v>-0.26249999999999929</v>
      </c>
      <c r="E73" s="43">
        <f t="shared" si="35"/>
        <v>-0.58799999999999386</v>
      </c>
      <c r="F73" s="43">
        <f t="shared" si="35"/>
        <v>-0.51100000000000279</v>
      </c>
      <c r="G73" s="43">
        <f>G71-G67</f>
        <v>-3.8499999999991985E-2</v>
      </c>
      <c r="H73" s="43">
        <f t="shared" ref="H73:W74" si="36">H71-H67</f>
        <v>-0.51100000000000279</v>
      </c>
      <c r="I73" s="43">
        <f t="shared" si="36"/>
        <v>-0.56700000000000195</v>
      </c>
      <c r="J73" s="43">
        <f t="shared" si="36"/>
        <v>-0.51100000000000279</v>
      </c>
      <c r="K73" s="43">
        <f t="shared" si="36"/>
        <v>-0.36749999999999972</v>
      </c>
      <c r="L73" s="43">
        <f t="shared" si="36"/>
        <v>-2.4500000000000028</v>
      </c>
      <c r="M73" s="43">
        <f>M71-M67</f>
        <v>0.29400000000000404</v>
      </c>
      <c r="N73" s="43">
        <f t="shared" ref="N73:R74" si="37">N71-N67</f>
        <v>-2.7999999999998693E-2</v>
      </c>
      <c r="O73" s="43">
        <f t="shared" si="37"/>
        <v>-0.20999999999999908</v>
      </c>
      <c r="P73" s="43">
        <f t="shared" si="37"/>
        <v>-2.7999999999998693E-2</v>
      </c>
      <c r="Q73" s="43">
        <f t="shared" si="37"/>
        <v>-2.7999999999998693E-2</v>
      </c>
      <c r="R73" s="43">
        <f t="shared" si="37"/>
        <v>-6.8999999999999062E-2</v>
      </c>
      <c r="S73" s="43">
        <f>S71-S67</f>
        <v>-0.31500000000000483</v>
      </c>
      <c r="T73" s="43">
        <f t="shared" ref="T73:W73" si="38">T71-T67</f>
        <v>-0.15750000000000597</v>
      </c>
      <c r="U73" s="43">
        <f t="shared" si="38"/>
        <v>-0.33599999999999852</v>
      </c>
      <c r="V73" s="43">
        <f t="shared" si="38"/>
        <v>-0.8574999999999946</v>
      </c>
      <c r="W73" s="43">
        <f t="shared" si="38"/>
        <v>0.79799999999999471</v>
      </c>
    </row>
    <row r="74" spans="1:50" ht="33.75" customHeight="1" x14ac:dyDescent="0.25">
      <c r="B74" s="42">
        <f t="shared" ref="B74:J74" si="39">B72-B68</f>
        <v>1.6153846153845848</v>
      </c>
      <c r="C74" s="42">
        <f t="shared" si="39"/>
        <v>1.3773584905660528</v>
      </c>
      <c r="D74" s="42">
        <f t="shared" si="39"/>
        <v>2.5</v>
      </c>
      <c r="E74" s="42">
        <f t="shared" si="39"/>
        <v>1.6153846153845848</v>
      </c>
      <c r="F74" s="42">
        <f t="shared" si="39"/>
        <v>1.3773584905660528</v>
      </c>
      <c r="G74" s="42">
        <f t="shared" si="39"/>
        <v>0.10377358490566735</v>
      </c>
      <c r="H74" s="42">
        <f t="shared" si="39"/>
        <v>1.3773584905660528</v>
      </c>
      <c r="I74" s="42">
        <f>I72-I68</f>
        <v>5.785714285714306</v>
      </c>
      <c r="J74" s="42">
        <f t="shared" si="39"/>
        <v>1.3773584905660528</v>
      </c>
      <c r="K74" s="42">
        <f t="shared" si="36"/>
        <v>0.99056603773584584</v>
      </c>
      <c r="L74" s="42">
        <f t="shared" si="36"/>
        <v>14</v>
      </c>
      <c r="M74" s="42">
        <f t="shared" si="36"/>
        <v>-0.95454545454546746</v>
      </c>
      <c r="N74" s="42">
        <f t="shared" si="36"/>
        <v>9.0909090909093493E-2</v>
      </c>
      <c r="O74" s="42">
        <f t="shared" si="36"/>
        <v>2.1428571428571104</v>
      </c>
      <c r="P74" s="42">
        <f t="shared" si="36"/>
        <v>9.0909090909093493E-2</v>
      </c>
      <c r="Q74" s="42">
        <f t="shared" si="36"/>
        <v>9.0909090909093493E-2</v>
      </c>
      <c r="R74" s="42">
        <f t="shared" si="37"/>
        <v>0.70408163265307167</v>
      </c>
      <c r="S74" s="42">
        <f t="shared" si="36"/>
        <v>1</v>
      </c>
      <c r="T74" s="42">
        <f t="shared" si="36"/>
        <v>0.5</v>
      </c>
      <c r="U74" s="42">
        <f t="shared" si="36"/>
        <v>3</v>
      </c>
      <c r="V74" s="42">
        <f t="shared" si="36"/>
        <v>2.7222222222222001</v>
      </c>
      <c r="W74" s="42">
        <f t="shared" si="36"/>
        <v>-2.4782608695652186</v>
      </c>
      <c r="X74" s="45"/>
      <c r="Y74" s="45"/>
      <c r="Z74" s="45"/>
      <c r="AA74" s="45"/>
      <c r="AB74" s="45"/>
      <c r="AC74" s="45"/>
      <c r="AD74" s="52"/>
    </row>
    <row r="75" spans="1:50" ht="33.75" customHeight="1" x14ac:dyDescent="0.25">
      <c r="B75" s="287"/>
      <c r="C75" s="287"/>
      <c r="D75" s="287"/>
      <c r="E75" s="287"/>
      <c r="F75" s="287"/>
    </row>
    <row r="76" spans="1:50" ht="33.75" customHeight="1" x14ac:dyDescent="0.25">
      <c r="A76" s="45"/>
      <c r="B76" s="283"/>
      <c r="C76" s="283"/>
      <c r="D76" s="283"/>
      <c r="E76" s="283"/>
      <c r="F76" s="283"/>
      <c r="G76" s="58"/>
      <c r="H76" s="45"/>
      <c r="I76" s="45"/>
      <c r="J76" s="45"/>
      <c r="K76" s="45"/>
      <c r="L76" s="45"/>
      <c r="M76" s="45"/>
      <c r="N76" s="45"/>
      <c r="O76" s="45"/>
    </row>
    <row r="77" spans="1:50" ht="33.75" customHeight="1" x14ac:dyDescent="0.25">
      <c r="A77" s="45"/>
      <c r="B77" s="45">
        <f>B60/B69</f>
        <v>0.15961538461538463</v>
      </c>
      <c r="C77" s="45">
        <f t="shared" ref="C77:W77" si="40">C60/C69</f>
        <v>0.16037735849056603</v>
      </c>
      <c r="D77" s="45">
        <f t="shared" si="40"/>
        <v>0.16</v>
      </c>
      <c r="E77" s="45">
        <f t="shared" si="40"/>
        <v>0.15961538461538463</v>
      </c>
      <c r="F77" s="45">
        <f t="shared" si="40"/>
        <v>0.16037735849056603</v>
      </c>
      <c r="G77" s="45">
        <f t="shared" si="40"/>
        <v>0.15660377358490568</v>
      </c>
      <c r="H77" s="45">
        <f t="shared" si="40"/>
        <v>0.16037735849056603</v>
      </c>
      <c r="I77" s="45">
        <f t="shared" si="40"/>
        <v>0.16428571428571428</v>
      </c>
      <c r="J77" s="45">
        <f t="shared" si="40"/>
        <v>0.16037735849056603</v>
      </c>
      <c r="K77" s="45">
        <f t="shared" si="40"/>
        <v>0.15849056603773587</v>
      </c>
      <c r="L77" s="45">
        <f t="shared" si="40"/>
        <v>0.17199999999999999</v>
      </c>
      <c r="M77" s="45">
        <f t="shared" si="40"/>
        <v>0.15454545454545454</v>
      </c>
      <c r="N77" s="45">
        <f t="shared" si="40"/>
        <v>0.15909090909090909</v>
      </c>
      <c r="O77" s="45">
        <f t="shared" si="40"/>
        <v>0.15714285714285717</v>
      </c>
      <c r="P77" s="45">
        <f t="shared" si="40"/>
        <v>0.15909090909090909</v>
      </c>
      <c r="Q77" s="45">
        <f t="shared" si="40"/>
        <v>0.15909090909090909</v>
      </c>
      <c r="R77" s="45">
        <f t="shared" si="40"/>
        <v>0.18571428571428572</v>
      </c>
      <c r="S77" s="45">
        <f t="shared" si="40"/>
        <v>0.16</v>
      </c>
      <c r="T77" s="45">
        <f t="shared" si="40"/>
        <v>0.16</v>
      </c>
      <c r="U77" s="45">
        <f t="shared" si="40"/>
        <v>0.16250000000000001</v>
      </c>
      <c r="V77" s="45">
        <f t="shared" si="40"/>
        <v>0.16222222222222221</v>
      </c>
      <c r="W77" s="45">
        <f t="shared" si="40"/>
        <v>0.15652173913043479</v>
      </c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5">
    <mergeCell ref="A3:C3"/>
    <mergeCell ref="E9:G9"/>
    <mergeCell ref="W9:X9"/>
    <mergeCell ref="O11:P11"/>
    <mergeCell ref="B16:H16"/>
    <mergeCell ref="I16:O16"/>
    <mergeCell ref="P16:T16"/>
    <mergeCell ref="U16:Y16"/>
    <mergeCell ref="S58:W58"/>
    <mergeCell ref="B39:F39"/>
    <mergeCell ref="G39:G40"/>
    <mergeCell ref="M39:R39"/>
    <mergeCell ref="B58:F58"/>
    <mergeCell ref="G58:L58"/>
    <mergeCell ref="M58:R58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1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36</v>
      </c>
      <c r="P11" s="965"/>
      <c r="Q11" s="6"/>
      <c r="R11" s="6"/>
      <c r="S11" s="6"/>
      <c r="T11" s="1"/>
      <c r="U11" s="1"/>
      <c r="V11" s="1" t="s">
        <v>6</v>
      </c>
      <c r="W11" s="95">
        <v>45585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594"/>
      <c r="I17" s="386" t="s">
        <v>100</v>
      </c>
      <c r="J17" s="438">
        <v>1</v>
      </c>
      <c r="K17" s="438">
        <v>2</v>
      </c>
      <c r="L17" s="438">
        <v>3</v>
      </c>
      <c r="M17" s="438">
        <v>4</v>
      </c>
      <c r="N17" s="439">
        <v>5</v>
      </c>
      <c r="O17" s="594"/>
      <c r="P17" s="202">
        <v>1</v>
      </c>
      <c r="Q17" s="174">
        <v>2</v>
      </c>
      <c r="R17" s="174">
        <v>3</v>
      </c>
      <c r="S17" s="174">
        <v>4</v>
      </c>
      <c r="T17" s="203">
        <v>5</v>
      </c>
      <c r="U17" s="186">
        <v>1</v>
      </c>
      <c r="V17" s="174">
        <v>2</v>
      </c>
      <c r="W17" s="174">
        <v>3</v>
      </c>
      <c r="X17" s="174">
        <v>4</v>
      </c>
      <c r="Y17" s="175">
        <v>5</v>
      </c>
      <c r="Z17" s="126"/>
      <c r="AD17" s="2"/>
      <c r="AE17" s="15"/>
    </row>
    <row r="18" spans="1:40" ht="39.950000000000003" customHeight="1" x14ac:dyDescent="0.25">
      <c r="A18" s="171" t="s">
        <v>53</v>
      </c>
      <c r="B18" s="595">
        <v>322.8</v>
      </c>
      <c r="C18" s="596">
        <v>20.2</v>
      </c>
      <c r="D18" s="596">
        <v>20.2</v>
      </c>
      <c r="E18" s="596">
        <v>5.5</v>
      </c>
      <c r="F18" s="596">
        <v>20.6</v>
      </c>
      <c r="G18" s="597">
        <v>20.5</v>
      </c>
      <c r="H18" s="506">
        <f t="shared" ref="H18:H19" si="0">SUM(B18:G18)</f>
        <v>409.8</v>
      </c>
      <c r="I18" s="599">
        <v>324.60000000000002</v>
      </c>
      <c r="J18" s="596">
        <v>20.3</v>
      </c>
      <c r="K18" s="596">
        <v>20.6</v>
      </c>
      <c r="L18" s="596">
        <v>5.3</v>
      </c>
      <c r="M18" s="596">
        <v>19.600000000000001</v>
      </c>
      <c r="N18" s="600">
        <v>19.399999999999999</v>
      </c>
      <c r="O18" s="506">
        <f t="shared" ref="O18:O19" si="1">SUM(I18:N18)</f>
        <v>409.80000000000007</v>
      </c>
      <c r="P18" s="601">
        <v>79.3</v>
      </c>
      <c r="Q18" s="504">
        <v>79</v>
      </c>
      <c r="R18" s="596">
        <v>28.3</v>
      </c>
      <c r="S18" s="596">
        <v>79.5</v>
      </c>
      <c r="T18" s="600">
        <v>79.900000000000006</v>
      </c>
      <c r="U18" s="602">
        <v>82.5</v>
      </c>
      <c r="V18" s="596">
        <v>83.7</v>
      </c>
      <c r="W18" s="504">
        <v>29.5</v>
      </c>
      <c r="X18" s="504">
        <v>83.2</v>
      </c>
      <c r="Y18" s="600">
        <v>83</v>
      </c>
      <c r="Z18" s="638">
        <f>SUM(H18,O18,P18:Y18)</f>
        <v>1527.5000000000002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595">
        <v>322.8</v>
      </c>
      <c r="C19" s="596">
        <v>20.2</v>
      </c>
      <c r="D19" s="596">
        <v>20.2</v>
      </c>
      <c r="E19" s="596">
        <v>5.5</v>
      </c>
      <c r="F19" s="596">
        <v>20.6</v>
      </c>
      <c r="G19" s="597">
        <v>20.5</v>
      </c>
      <c r="H19" s="635">
        <f t="shared" si="0"/>
        <v>409.8</v>
      </c>
      <c r="I19" s="599">
        <v>324.60000000000002</v>
      </c>
      <c r="J19" s="596">
        <v>20.3</v>
      </c>
      <c r="K19" s="596">
        <v>20.6</v>
      </c>
      <c r="L19" s="596">
        <v>5.3</v>
      </c>
      <c r="M19" s="596">
        <v>19.5</v>
      </c>
      <c r="N19" s="600">
        <v>19.399999999999999</v>
      </c>
      <c r="O19" s="635">
        <f t="shared" si="1"/>
        <v>409.70000000000005</v>
      </c>
      <c r="P19" s="601">
        <v>79.3</v>
      </c>
      <c r="Q19" s="504">
        <v>79</v>
      </c>
      <c r="R19" s="596">
        <v>28.1</v>
      </c>
      <c r="S19" s="596">
        <v>79.5</v>
      </c>
      <c r="T19" s="600">
        <v>79.7</v>
      </c>
      <c r="U19" s="602">
        <v>82.5</v>
      </c>
      <c r="V19" s="596">
        <v>83.7</v>
      </c>
      <c r="W19" s="504">
        <v>29.5</v>
      </c>
      <c r="X19" s="504">
        <v>83.2</v>
      </c>
      <c r="Y19" s="600">
        <v>83</v>
      </c>
      <c r="Z19" s="638">
        <f>SUM(H19,O19,P19:Y19)</f>
        <v>1527.0000000000002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595">
        <v>322.8</v>
      </c>
      <c r="C20" s="629">
        <v>19.8</v>
      </c>
      <c r="D20" s="629">
        <v>19.8</v>
      </c>
      <c r="E20" s="629">
        <v>5.4</v>
      </c>
      <c r="F20" s="629">
        <v>20.2</v>
      </c>
      <c r="G20" s="630">
        <v>20.100000000000001</v>
      </c>
      <c r="H20" s="506">
        <f t="shared" ref="H20:H24" si="2">SUM(B20:G20)</f>
        <v>408.1</v>
      </c>
      <c r="I20" s="631">
        <v>324.60000000000002</v>
      </c>
      <c r="J20" s="629">
        <v>20</v>
      </c>
      <c r="K20" s="629">
        <v>20.2</v>
      </c>
      <c r="L20" s="629">
        <v>5.2</v>
      </c>
      <c r="M20" s="629">
        <v>19.2</v>
      </c>
      <c r="N20" s="632">
        <v>19</v>
      </c>
      <c r="O20" s="506">
        <f t="shared" ref="O20:O24" si="3">SUM(I20:N20)</f>
        <v>408.2</v>
      </c>
      <c r="P20" s="633">
        <v>79.2</v>
      </c>
      <c r="Q20" s="455">
        <v>78.900000000000006</v>
      </c>
      <c r="R20" s="629">
        <v>28.1</v>
      </c>
      <c r="S20" s="629">
        <v>79.099999999999994</v>
      </c>
      <c r="T20" s="632">
        <v>79.5</v>
      </c>
      <c r="U20" s="634">
        <v>82.3</v>
      </c>
      <c r="V20" s="629">
        <v>83.4</v>
      </c>
      <c r="W20" s="455">
        <v>29.4</v>
      </c>
      <c r="X20" s="455">
        <v>82.9</v>
      </c>
      <c r="Y20" s="632">
        <v>82.7</v>
      </c>
      <c r="Z20" s="638">
        <f t="shared" ref="Z20:Z24" si="4">SUM(H20,O20,P20:Y20)</f>
        <v>1521.8000000000002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595">
        <v>322.39999999999998</v>
      </c>
      <c r="C21" s="596">
        <v>19.8</v>
      </c>
      <c r="D21" s="596">
        <v>19.8</v>
      </c>
      <c r="E21" s="596">
        <v>5.4</v>
      </c>
      <c r="F21" s="596">
        <v>20.2</v>
      </c>
      <c r="G21" s="597">
        <v>20.100000000000001</v>
      </c>
      <c r="H21" s="506">
        <f t="shared" si="2"/>
        <v>407.7</v>
      </c>
      <c r="I21" s="599">
        <v>324.10000000000002</v>
      </c>
      <c r="J21" s="596">
        <v>20</v>
      </c>
      <c r="K21" s="596">
        <v>20.2</v>
      </c>
      <c r="L21" s="596">
        <v>5.2</v>
      </c>
      <c r="M21" s="596">
        <v>19.2</v>
      </c>
      <c r="N21" s="600">
        <v>19</v>
      </c>
      <c r="O21" s="506">
        <f t="shared" si="3"/>
        <v>407.7</v>
      </c>
      <c r="P21" s="601">
        <v>79.2</v>
      </c>
      <c r="Q21" s="504">
        <v>78.599999999999994</v>
      </c>
      <c r="R21" s="596">
        <v>28.1</v>
      </c>
      <c r="S21" s="596">
        <v>79.099999999999994</v>
      </c>
      <c r="T21" s="600">
        <v>79.5</v>
      </c>
      <c r="U21" s="602">
        <v>82.3</v>
      </c>
      <c r="V21" s="596">
        <v>83.4</v>
      </c>
      <c r="W21" s="504">
        <v>29.4</v>
      </c>
      <c r="X21" s="504">
        <v>82.9</v>
      </c>
      <c r="Y21" s="600">
        <v>82.7</v>
      </c>
      <c r="Z21" s="209">
        <f t="shared" si="4"/>
        <v>1520.6000000000004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595">
        <v>321.89999999999998</v>
      </c>
      <c r="C22" s="596">
        <v>19.8</v>
      </c>
      <c r="D22" s="596">
        <v>19.8</v>
      </c>
      <c r="E22" s="596">
        <v>5.3</v>
      </c>
      <c r="F22" s="596">
        <v>20.2</v>
      </c>
      <c r="G22" s="597">
        <v>20.100000000000001</v>
      </c>
      <c r="H22" s="506">
        <f t="shared" si="2"/>
        <v>407.1</v>
      </c>
      <c r="I22" s="599">
        <v>324</v>
      </c>
      <c r="J22" s="596">
        <v>20</v>
      </c>
      <c r="K22" s="596">
        <v>20.2</v>
      </c>
      <c r="L22" s="596">
        <v>5.2</v>
      </c>
      <c r="M22" s="596">
        <v>19.100000000000001</v>
      </c>
      <c r="N22" s="600">
        <v>19</v>
      </c>
      <c r="O22" s="506">
        <f t="shared" si="3"/>
        <v>407.5</v>
      </c>
      <c r="P22" s="601">
        <v>79.2</v>
      </c>
      <c r="Q22" s="504">
        <v>78.599999999999994</v>
      </c>
      <c r="R22" s="596">
        <v>28.1</v>
      </c>
      <c r="S22" s="596">
        <v>79.099999999999994</v>
      </c>
      <c r="T22" s="600">
        <v>79.5</v>
      </c>
      <c r="U22" s="602">
        <v>82.3</v>
      </c>
      <c r="V22" s="596">
        <v>83.4</v>
      </c>
      <c r="W22" s="504">
        <v>29.4</v>
      </c>
      <c r="X22" s="504">
        <v>82.9</v>
      </c>
      <c r="Y22" s="600">
        <v>82.7</v>
      </c>
      <c r="Z22" s="509">
        <f t="shared" si="4"/>
        <v>1519.8000000000004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595">
        <v>321.89999999999998</v>
      </c>
      <c r="C23" s="596">
        <v>19.7</v>
      </c>
      <c r="D23" s="596">
        <v>19.8</v>
      </c>
      <c r="E23" s="596">
        <v>5.3</v>
      </c>
      <c r="F23" s="596">
        <v>20.2</v>
      </c>
      <c r="G23" s="597">
        <v>20.100000000000001</v>
      </c>
      <c r="H23" s="506">
        <f t="shared" si="2"/>
        <v>407</v>
      </c>
      <c r="I23" s="599">
        <v>324</v>
      </c>
      <c r="J23" s="596">
        <v>20</v>
      </c>
      <c r="K23" s="596">
        <v>20.2</v>
      </c>
      <c r="L23" s="596">
        <v>5.2</v>
      </c>
      <c r="M23" s="596">
        <v>19.100000000000001</v>
      </c>
      <c r="N23" s="600">
        <v>19</v>
      </c>
      <c r="O23" s="506">
        <f t="shared" si="3"/>
        <v>407.5</v>
      </c>
      <c r="P23" s="601">
        <v>79.2</v>
      </c>
      <c r="Q23" s="504">
        <v>78.599999999999994</v>
      </c>
      <c r="R23" s="596">
        <v>27.9</v>
      </c>
      <c r="S23" s="596">
        <v>79.099999999999994</v>
      </c>
      <c r="T23" s="600">
        <v>79</v>
      </c>
      <c r="U23" s="602">
        <v>82</v>
      </c>
      <c r="V23" s="596">
        <v>83.4</v>
      </c>
      <c r="W23" s="504">
        <v>29.4</v>
      </c>
      <c r="X23" s="504">
        <v>82.9</v>
      </c>
      <c r="Y23" s="600">
        <v>82.7</v>
      </c>
      <c r="Z23" s="209">
        <f t="shared" si="4"/>
        <v>1518.7000000000003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595">
        <v>321.39999999999998</v>
      </c>
      <c r="C24" s="596">
        <v>19.7</v>
      </c>
      <c r="D24" s="596">
        <v>19.8</v>
      </c>
      <c r="E24" s="596">
        <v>5.3</v>
      </c>
      <c r="F24" s="596">
        <v>20.2</v>
      </c>
      <c r="G24" s="597">
        <v>20.100000000000001</v>
      </c>
      <c r="H24" s="598">
        <f t="shared" si="2"/>
        <v>406.5</v>
      </c>
      <c r="I24" s="599">
        <v>323.8</v>
      </c>
      <c r="J24" s="596">
        <v>19.899999999999999</v>
      </c>
      <c r="K24" s="596">
        <v>20.2</v>
      </c>
      <c r="L24" s="596">
        <v>5.2</v>
      </c>
      <c r="M24" s="596">
        <v>19.100000000000001</v>
      </c>
      <c r="N24" s="600">
        <v>19</v>
      </c>
      <c r="O24" s="598">
        <f t="shared" si="3"/>
        <v>407.2</v>
      </c>
      <c r="P24" s="601">
        <v>79.2</v>
      </c>
      <c r="Q24" s="504">
        <v>78.599999999999994</v>
      </c>
      <c r="R24" s="596">
        <v>27.9</v>
      </c>
      <c r="S24" s="596">
        <v>79.099999999999994</v>
      </c>
      <c r="T24" s="600">
        <v>79</v>
      </c>
      <c r="U24" s="602">
        <v>81.8</v>
      </c>
      <c r="V24" s="596">
        <v>83.1</v>
      </c>
      <c r="W24" s="504">
        <v>29.4</v>
      </c>
      <c r="X24" s="504">
        <v>82.9</v>
      </c>
      <c r="Y24" s="600">
        <v>82.7</v>
      </c>
      <c r="Z24" s="412">
        <f t="shared" si="4"/>
        <v>1517.4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298">
        <f>SUM(C18:C24)</f>
        <v>139.19999999999999</v>
      </c>
      <c r="D25" s="298">
        <f t="shared" ref="D25:Y25" si="5">SUM(D18:D24)</f>
        <v>139.4</v>
      </c>
      <c r="E25" s="298">
        <f t="shared" si="5"/>
        <v>37.699999999999996</v>
      </c>
      <c r="F25" s="298">
        <f t="shared" si="5"/>
        <v>142.20000000000002</v>
      </c>
      <c r="G25" s="448">
        <f t="shared" si="5"/>
        <v>141.5</v>
      </c>
      <c r="H25" s="436">
        <f>SUM(H18:H24)</f>
        <v>2856</v>
      </c>
      <c r="I25" s="297"/>
      <c r="J25" s="298">
        <f t="shared" si="5"/>
        <v>140.5</v>
      </c>
      <c r="K25" s="298">
        <f>SUM(K18:K24)</f>
        <v>142.20000000000002</v>
      </c>
      <c r="L25" s="298">
        <f t="shared" si="5"/>
        <v>36.6</v>
      </c>
      <c r="M25" s="298">
        <f t="shared" si="5"/>
        <v>134.79999999999998</v>
      </c>
      <c r="N25" s="299">
        <f t="shared" si="5"/>
        <v>133.80000000000001</v>
      </c>
      <c r="O25" s="436">
        <f>SUM(O18:O24)</f>
        <v>2857.6</v>
      </c>
      <c r="P25" s="297">
        <f t="shared" si="5"/>
        <v>554.6</v>
      </c>
      <c r="Q25" s="298">
        <f t="shared" si="5"/>
        <v>551.30000000000007</v>
      </c>
      <c r="R25" s="298">
        <f t="shared" si="5"/>
        <v>196.5</v>
      </c>
      <c r="S25" s="298">
        <f t="shared" si="5"/>
        <v>554.5</v>
      </c>
      <c r="T25" s="448">
        <f t="shared" si="5"/>
        <v>556.1</v>
      </c>
      <c r="U25" s="297">
        <f t="shared" si="5"/>
        <v>575.70000000000005</v>
      </c>
      <c r="V25" s="298">
        <f t="shared" si="5"/>
        <v>584.1</v>
      </c>
      <c r="W25" s="298">
        <f t="shared" si="5"/>
        <v>206.00000000000003</v>
      </c>
      <c r="X25" s="298">
        <f t="shared" si="5"/>
        <v>580.9</v>
      </c>
      <c r="Y25" s="299">
        <f t="shared" si="5"/>
        <v>579.5</v>
      </c>
      <c r="Z25" s="607">
        <f>SUM(Z18,Z19,Z20,Z21,Z22,Z23,Z24)</f>
        <v>10652.800000000001</v>
      </c>
      <c r="AA25" s="301"/>
    </row>
    <row r="26" spans="1:40" s="2" customFormat="1" ht="36.75" customHeight="1" x14ac:dyDescent="0.25">
      <c r="A26" s="192" t="s">
        <v>11</v>
      </c>
      <c r="B26" s="293"/>
      <c r="C26" s="603">
        <v>164.4</v>
      </c>
      <c r="D26" s="603">
        <v>164.4</v>
      </c>
      <c r="E26" s="603">
        <v>164.4</v>
      </c>
      <c r="F26" s="603">
        <v>164.4</v>
      </c>
      <c r="G26" s="603">
        <v>164.4</v>
      </c>
      <c r="H26" s="478"/>
      <c r="I26" s="604"/>
      <c r="J26" s="603">
        <v>164.4</v>
      </c>
      <c r="K26" s="603">
        <v>164.4</v>
      </c>
      <c r="L26" s="603">
        <v>162.69999999999999</v>
      </c>
      <c r="M26" s="603">
        <v>162.69999999999999</v>
      </c>
      <c r="N26" s="603">
        <v>162.69999999999999</v>
      </c>
      <c r="O26" s="610"/>
      <c r="P26" s="603">
        <v>162.69999999999999</v>
      </c>
      <c r="Q26" s="603">
        <v>162.69999999999999</v>
      </c>
      <c r="R26" s="603">
        <v>162.69999999999999</v>
      </c>
      <c r="S26" s="603">
        <v>162.69999999999999</v>
      </c>
      <c r="T26" s="603">
        <v>162.69999999999999</v>
      </c>
      <c r="U26" s="603">
        <v>162.69999999999999</v>
      </c>
      <c r="V26" s="603">
        <v>162.69999999999999</v>
      </c>
      <c r="W26" s="603">
        <v>162.69999999999999</v>
      </c>
      <c r="X26" s="603">
        <v>162.69999999999999</v>
      </c>
      <c r="Y26" s="603">
        <v>162.69999999999999</v>
      </c>
      <c r="Z26" s="605">
        <f>(((Z25*1000)/7)/Z27)</f>
        <v>163.70789279567251</v>
      </c>
    </row>
    <row r="27" spans="1:40" s="2" customFormat="1" ht="33" customHeight="1" x14ac:dyDescent="0.25">
      <c r="A27" s="193" t="s">
        <v>12</v>
      </c>
      <c r="B27" s="257"/>
      <c r="C27" s="27">
        <v>573</v>
      </c>
      <c r="D27" s="27">
        <v>575</v>
      </c>
      <c r="E27" s="27">
        <v>153</v>
      </c>
      <c r="F27" s="27">
        <v>586</v>
      </c>
      <c r="G27" s="27">
        <v>585</v>
      </c>
      <c r="H27" s="441"/>
      <c r="I27" s="26"/>
      <c r="J27" s="27">
        <v>579</v>
      </c>
      <c r="K27" s="27">
        <v>587</v>
      </c>
      <c r="L27" s="483">
        <v>158</v>
      </c>
      <c r="M27" s="27">
        <v>585</v>
      </c>
      <c r="N27" s="27">
        <v>582</v>
      </c>
      <c r="O27" s="611"/>
      <c r="P27" s="26">
        <v>487</v>
      </c>
      <c r="Q27" s="27">
        <v>484</v>
      </c>
      <c r="R27" s="27">
        <v>172</v>
      </c>
      <c r="S27" s="27">
        <v>487</v>
      </c>
      <c r="T27" s="623">
        <v>487</v>
      </c>
      <c r="U27" s="26">
        <v>504</v>
      </c>
      <c r="V27" s="27">
        <v>512</v>
      </c>
      <c r="W27" s="27">
        <v>181</v>
      </c>
      <c r="X27" s="27">
        <v>510</v>
      </c>
      <c r="Y27" s="28">
        <v>509</v>
      </c>
      <c r="Z27" s="29">
        <f>SUM(C27:Y27)</f>
        <v>9296</v>
      </c>
      <c r="AA27" s="402"/>
    </row>
    <row r="28" spans="1:40" s="2" customFormat="1" ht="33" customHeight="1" x14ac:dyDescent="0.25">
      <c r="A28" s="444" t="s">
        <v>13</v>
      </c>
      <c r="B28" s="445"/>
      <c r="C28" s="31">
        <f>(C33*C27)/1000</f>
        <v>19.711200000000005</v>
      </c>
      <c r="D28" s="31">
        <f>(D33*D27)/1000</f>
        <v>19.780000000000005</v>
      </c>
      <c r="E28" s="31">
        <f t="shared" ref="E28:F28" si="6">(E33*E27)/1000</f>
        <v>5.2632000000000003</v>
      </c>
      <c r="F28" s="31">
        <f t="shared" si="6"/>
        <v>20.158400000000004</v>
      </c>
      <c r="G28" s="31">
        <f>(G33*G27)/1000</f>
        <v>20.124000000000002</v>
      </c>
      <c r="H28" s="442"/>
      <c r="I28" s="30"/>
      <c r="J28" s="31">
        <f>(J33*J27)/1000</f>
        <v>19.917600000000004</v>
      </c>
      <c r="K28" s="31">
        <f t="shared" ref="K28:N28" si="7">(K33*K27)/1000</f>
        <v>20.192800000000002</v>
      </c>
      <c r="L28" s="31">
        <f t="shared" si="7"/>
        <v>5.166599999999999</v>
      </c>
      <c r="M28" s="31">
        <f t="shared" si="7"/>
        <v>19.129499999999993</v>
      </c>
      <c r="N28" s="31">
        <f t="shared" si="7"/>
        <v>19.031399999999994</v>
      </c>
      <c r="O28" s="612"/>
      <c r="P28" s="30">
        <f>((((P26*7)*P27)/1000)-P18-P19)/5</f>
        <v>79.208859999999987</v>
      </c>
      <c r="Q28" s="31">
        <f t="shared" ref="Q28:Y28" si="8">((((Q26*7)*Q27)/1000)-Q18-Q19)/5</f>
        <v>78.645519999999991</v>
      </c>
      <c r="R28" s="31">
        <f>((((R26*7)*R27)/1000)-R18-R19)/5</f>
        <v>27.898159999999997</v>
      </c>
      <c r="S28" s="31">
        <f t="shared" si="8"/>
        <v>79.128859999999989</v>
      </c>
      <c r="T28" s="32">
        <f t="shared" si="8"/>
        <v>79.008859999999999</v>
      </c>
      <c r="U28" s="30">
        <f t="shared" si="8"/>
        <v>81.801119999999997</v>
      </c>
      <c r="V28" s="31">
        <f t="shared" si="8"/>
        <v>83.143359999999987</v>
      </c>
      <c r="W28" s="31">
        <f t="shared" si="8"/>
        <v>29.42817999999999</v>
      </c>
      <c r="X28" s="31">
        <f t="shared" si="8"/>
        <v>82.88779999999997</v>
      </c>
      <c r="Y28" s="32">
        <f t="shared" si="8"/>
        <v>82.740020000000001</v>
      </c>
      <c r="Z28" s="33"/>
    </row>
    <row r="29" spans="1:40" ht="33.75" customHeight="1" x14ac:dyDescent="0.25">
      <c r="A29" s="185" t="s">
        <v>14</v>
      </c>
      <c r="B29" s="34"/>
      <c r="C29" s="280">
        <f>((C27*C30)*7)/1000</f>
        <v>139.19999999999996</v>
      </c>
      <c r="D29" s="280">
        <f t="shared" ref="D29:G29" si="9">((D27*D30)*7)/1000</f>
        <v>139.4</v>
      </c>
      <c r="E29" s="280">
        <f>((E27*E30)*7)/1000</f>
        <v>37.700000000000003</v>
      </c>
      <c r="F29" s="280">
        <f t="shared" si="9"/>
        <v>142.20000000000002</v>
      </c>
      <c r="G29" s="280">
        <f t="shared" si="9"/>
        <v>141.50000000000003</v>
      </c>
      <c r="H29" s="443"/>
      <c r="I29" s="279"/>
      <c r="J29" s="280">
        <f>((J27*J30)*7)/1000</f>
        <v>140.49999999999997</v>
      </c>
      <c r="K29" s="280">
        <f t="shared" ref="K29:N29" si="10">((K27*K30)*7)/1000</f>
        <v>142.19999999999999</v>
      </c>
      <c r="L29" s="280">
        <f t="shared" si="10"/>
        <v>36.600000000000009</v>
      </c>
      <c r="M29" s="280">
        <f t="shared" si="10"/>
        <v>134.80000000000001</v>
      </c>
      <c r="N29" s="280">
        <f t="shared" si="10"/>
        <v>133.80000000000004</v>
      </c>
      <c r="O29" s="613"/>
      <c r="P29" s="279">
        <f t="shared" ref="P29:Y29" si="11">((P27*P26)*7)/1000</f>
        <v>554.64429999999993</v>
      </c>
      <c r="Q29" s="280">
        <f t="shared" si="11"/>
        <v>551.22759999999982</v>
      </c>
      <c r="R29" s="280">
        <f t="shared" si="11"/>
        <v>195.89079999999998</v>
      </c>
      <c r="S29" s="280">
        <f t="shared" si="11"/>
        <v>554.64429999999993</v>
      </c>
      <c r="T29" s="282">
        <f t="shared" si="11"/>
        <v>554.64429999999993</v>
      </c>
      <c r="U29" s="279">
        <f t="shared" si="11"/>
        <v>574.00559999999984</v>
      </c>
      <c r="V29" s="280">
        <f t="shared" si="11"/>
        <v>583.1167999999999</v>
      </c>
      <c r="W29" s="280">
        <f t="shared" si="11"/>
        <v>206.14089999999996</v>
      </c>
      <c r="X29" s="280">
        <f t="shared" si="11"/>
        <v>580.83900000000006</v>
      </c>
      <c r="Y29" s="282">
        <f t="shared" si="11"/>
        <v>579.70009999999991</v>
      </c>
      <c r="Z29" s="36"/>
    </row>
    <row r="30" spans="1:40" ht="33.75" customHeight="1" thickBot="1" x14ac:dyDescent="0.3">
      <c r="A30" s="195" t="s">
        <v>15</v>
      </c>
      <c r="B30" s="423"/>
      <c r="C30" s="38">
        <f>+(C25/C27)/7*1000</f>
        <v>34.704562453253544</v>
      </c>
      <c r="D30" s="38">
        <f t="shared" ref="D30:Y30" si="12">+(D25/D27)/7*1000</f>
        <v>34.633540372670808</v>
      </c>
      <c r="E30" s="38">
        <f t="shared" si="12"/>
        <v>35.200746965452851</v>
      </c>
      <c r="F30" s="38">
        <f t="shared" si="12"/>
        <v>34.666016577279379</v>
      </c>
      <c r="G30" s="38">
        <f t="shared" si="12"/>
        <v>34.554334554334559</v>
      </c>
      <c r="H30" s="259"/>
      <c r="I30" s="37"/>
      <c r="J30" s="38">
        <f t="shared" si="12"/>
        <v>34.665679743399949</v>
      </c>
      <c r="K30" s="38">
        <f t="shared" si="12"/>
        <v>34.606960330980776</v>
      </c>
      <c r="L30" s="38">
        <f t="shared" si="12"/>
        <v>33.092224231464741</v>
      </c>
      <c r="M30" s="38">
        <f t="shared" si="12"/>
        <v>32.918192918192915</v>
      </c>
      <c r="N30" s="38">
        <f t="shared" si="12"/>
        <v>32.842415316642125</v>
      </c>
      <c r="O30" s="614"/>
      <c r="P30" s="37">
        <f t="shared" si="12"/>
        <v>162.68700498679968</v>
      </c>
      <c r="Q30" s="38">
        <f t="shared" si="12"/>
        <v>162.72136953955138</v>
      </c>
      <c r="R30" s="38">
        <f t="shared" si="12"/>
        <v>163.20598006644519</v>
      </c>
      <c r="S30" s="38">
        <f t="shared" si="12"/>
        <v>162.65767087122325</v>
      </c>
      <c r="T30" s="39">
        <f t="shared" si="12"/>
        <v>163.12701672044588</v>
      </c>
      <c r="U30" s="37">
        <f t="shared" si="12"/>
        <v>163.18027210884355</v>
      </c>
      <c r="V30" s="38">
        <f t="shared" si="12"/>
        <v>162.97433035714286</v>
      </c>
      <c r="W30" s="38">
        <f t="shared" si="12"/>
        <v>162.58879242304661</v>
      </c>
      <c r="X30" s="38">
        <f t="shared" si="12"/>
        <v>162.71708683473386</v>
      </c>
      <c r="Y30" s="39">
        <f t="shared" si="12"/>
        <v>162.64383946112827</v>
      </c>
      <c r="Z30" s="40"/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3">D29-D25</f>
        <v>0</v>
      </c>
      <c r="E31" s="42">
        <f t="shared" si="13"/>
        <v>0</v>
      </c>
      <c r="F31" s="42">
        <f t="shared" si="13"/>
        <v>0</v>
      </c>
      <c r="G31" s="42">
        <f t="shared" si="13"/>
        <v>0</v>
      </c>
      <c r="H31" s="42"/>
      <c r="I31" s="42"/>
      <c r="J31" s="42">
        <f t="shared" si="13"/>
        <v>0</v>
      </c>
      <c r="K31" s="42">
        <f>K29-K25</f>
        <v>0</v>
      </c>
      <c r="L31" s="42">
        <f t="shared" si="13"/>
        <v>0</v>
      </c>
      <c r="M31" s="42">
        <f t="shared" si="13"/>
        <v>0</v>
      </c>
      <c r="N31" s="42">
        <f t="shared" si="13"/>
        <v>0</v>
      </c>
      <c r="O31" s="42"/>
      <c r="P31" s="42">
        <f t="shared" si="13"/>
        <v>4.4299999999907413E-2</v>
      </c>
      <c r="Q31" s="42">
        <f t="shared" si="13"/>
        <v>-7.2400000000243381E-2</v>
      </c>
      <c r="R31" s="42">
        <f t="shared" si="13"/>
        <v>-0.60920000000001551</v>
      </c>
      <c r="S31" s="42">
        <f t="shared" si="13"/>
        <v>0.14429999999993015</v>
      </c>
      <c r="T31" s="42">
        <f t="shared" si="13"/>
        <v>-1.4557000000000926</v>
      </c>
      <c r="U31" s="42">
        <f t="shared" si="13"/>
        <v>-1.6944000000002006</v>
      </c>
      <c r="V31" s="42">
        <f t="shared" si="13"/>
        <v>-0.98320000000012442</v>
      </c>
      <c r="W31" s="42">
        <f t="shared" si="13"/>
        <v>0.14089999999993097</v>
      </c>
      <c r="X31" s="42">
        <f t="shared" si="13"/>
        <v>-6.0999999999921783E-2</v>
      </c>
      <c r="Y31" s="42">
        <f t="shared" si="13"/>
        <v>0.20009999999990669</v>
      </c>
      <c r="Z31" s="48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0.30456245325353848</v>
      </c>
      <c r="D32" s="42">
        <f t="shared" ref="D32:G32" si="14">D30-D33</f>
        <v>0.2335403726708023</v>
      </c>
      <c r="E32" s="42">
        <f t="shared" si="14"/>
        <v>0.80074696545284496</v>
      </c>
      <c r="F32" s="42">
        <f t="shared" si="14"/>
        <v>0.26601657727937322</v>
      </c>
      <c r="G32" s="42">
        <f t="shared" si="14"/>
        <v>0.15433455433455379</v>
      </c>
      <c r="H32" s="42"/>
      <c r="I32" s="42"/>
      <c r="J32" s="42">
        <f t="shared" ref="J32:N32" si="15">J30-J33</f>
        <v>0.26567974339994294</v>
      </c>
      <c r="K32" s="42">
        <f t="shared" si="15"/>
        <v>0.20696033098077038</v>
      </c>
      <c r="L32" s="42">
        <f t="shared" si="15"/>
        <v>0.39222423146475194</v>
      </c>
      <c r="M32" s="42">
        <f t="shared" si="15"/>
        <v>0.2181929181929263</v>
      </c>
      <c r="N32" s="42">
        <f t="shared" si="15"/>
        <v>0.14241531664213625</v>
      </c>
      <c r="O32" s="42"/>
      <c r="P32" s="42">
        <f t="shared" si="13"/>
        <v>-1.2995013200310268E-2</v>
      </c>
      <c r="Q32" s="42">
        <f t="shared" si="13"/>
        <v>2.1369539551386652E-2</v>
      </c>
      <c r="R32" s="42">
        <f t="shared" si="13"/>
        <v>0.5059800664452041</v>
      </c>
      <c r="S32" s="42">
        <f t="shared" si="13"/>
        <v>-4.2329128776742664E-2</v>
      </c>
      <c r="T32" s="42">
        <f t="shared" si="13"/>
        <v>0.42701672044589145</v>
      </c>
      <c r="U32" s="42">
        <f t="shared" si="13"/>
        <v>0.48027210884356464</v>
      </c>
      <c r="V32" s="42">
        <f t="shared" si="13"/>
        <v>0.27433035714287257</v>
      </c>
      <c r="W32" s="42">
        <f t="shared" si="13"/>
        <v>-0.11120757695337602</v>
      </c>
      <c r="X32" s="42">
        <f t="shared" si="13"/>
        <v>1.7086834733873957E-2</v>
      </c>
      <c r="Y32" s="42">
        <f t="shared" si="13"/>
        <v>-5.6160538871722565E-2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34.400000000000006</v>
      </c>
      <c r="D33" s="42">
        <f t="shared" ref="D33:G33" si="16">D26-$B$34</f>
        <v>34.400000000000006</v>
      </c>
      <c r="E33" s="42">
        <f t="shared" si="16"/>
        <v>34.400000000000006</v>
      </c>
      <c r="F33" s="42">
        <f t="shared" si="16"/>
        <v>34.400000000000006</v>
      </c>
      <c r="G33" s="42">
        <f t="shared" si="16"/>
        <v>34.400000000000006</v>
      </c>
      <c r="H33" s="42"/>
      <c r="I33" s="42"/>
      <c r="J33" s="42">
        <f>J26-$I$34</f>
        <v>34.400000000000006</v>
      </c>
      <c r="K33" s="42">
        <f t="shared" ref="K33:N33" si="17">K26-$I$34</f>
        <v>34.400000000000006</v>
      </c>
      <c r="L33" s="42">
        <f t="shared" si="17"/>
        <v>32.699999999999989</v>
      </c>
      <c r="M33" s="42">
        <f t="shared" si="17"/>
        <v>32.699999999999989</v>
      </c>
      <c r="N33" s="42">
        <f t="shared" si="17"/>
        <v>32.699999999999989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321.36</v>
      </c>
      <c r="D34" s="432">
        <f>SUM(C27:G27)</f>
        <v>2472</v>
      </c>
      <c r="E34" s="42"/>
      <c r="F34" s="42"/>
      <c r="G34" s="42"/>
      <c r="H34" s="42"/>
      <c r="I34" s="514">
        <v>130</v>
      </c>
      <c r="J34" s="431">
        <f>(I34*K34)/1000</f>
        <v>323.83</v>
      </c>
      <c r="K34" s="432">
        <f>SUM(J27:N27)</f>
        <v>2491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9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426" t="s">
        <v>18</v>
      </c>
      <c r="M39" s="640" t="s">
        <v>17</v>
      </c>
      <c r="N39" s="641"/>
      <c r="O39" s="641"/>
      <c r="P39" s="641"/>
      <c r="Q39" s="641"/>
      <c r="R39" s="642"/>
      <c r="S39" s="261" t="s">
        <v>9</v>
      </c>
      <c r="U39" s="45"/>
      <c r="V39" s="45"/>
      <c r="W39" s="46"/>
      <c r="X39" s="3"/>
      <c r="Y39" s="45"/>
      <c r="Z39" s="45"/>
      <c r="AA39" s="45"/>
      <c r="AB39" s="3"/>
    </row>
    <row r="40" spans="1:38" ht="33.75" customHeight="1" thickBot="1" x14ac:dyDescent="0.3">
      <c r="A40" s="170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86">
        <v>1</v>
      </c>
      <c r="N40" s="174">
        <v>2</v>
      </c>
      <c r="O40" s="174">
        <v>3</v>
      </c>
      <c r="P40" s="174">
        <v>4</v>
      </c>
      <c r="Q40" s="203">
        <v>5</v>
      </c>
      <c r="R40" s="175" t="s">
        <v>92</v>
      </c>
      <c r="S40" s="126"/>
      <c r="U40" s="47"/>
      <c r="X40" s="48"/>
      <c r="Y40" s="2"/>
      <c r="Z40" s="2"/>
      <c r="AA40" s="2"/>
      <c r="AB40" s="2"/>
    </row>
    <row r="41" spans="1:38" ht="33.75" customHeight="1" x14ac:dyDescent="0.25">
      <c r="A41" s="171" t="s">
        <v>32</v>
      </c>
      <c r="B41" s="142">
        <v>96.6</v>
      </c>
      <c r="C41" s="486">
        <v>96.8</v>
      </c>
      <c r="D41" s="486">
        <v>25.1</v>
      </c>
      <c r="E41" s="486">
        <v>96.6</v>
      </c>
      <c r="F41" s="537">
        <v>96.1</v>
      </c>
      <c r="G41" s="638">
        <f t="shared" ref="G41:G48" si="18">SUM(B41:F41)</f>
        <v>411.19999999999993</v>
      </c>
      <c r="H41" s="609"/>
      <c r="I41" s="364"/>
      <c r="J41" s="364"/>
      <c r="K41" s="364"/>
      <c r="L41" s="171" t="s">
        <v>53</v>
      </c>
      <c r="M41" s="18">
        <v>7.4</v>
      </c>
      <c r="N41" s="19">
        <v>7.3</v>
      </c>
      <c r="O41" s="19">
        <v>1.8</v>
      </c>
      <c r="P41" s="19">
        <v>7.4</v>
      </c>
      <c r="Q41" s="19">
        <v>7.2</v>
      </c>
      <c r="R41" s="20">
        <v>3.4</v>
      </c>
      <c r="S41" s="98">
        <f>SUM(M41:R41)</f>
        <v>34.5</v>
      </c>
      <c r="T41" s="45" t="s">
        <v>118</v>
      </c>
      <c r="U41" s="45" t="s">
        <v>59</v>
      </c>
      <c r="X41" s="48"/>
      <c r="Y41" s="2"/>
      <c r="Z41" s="2"/>
      <c r="AA41" s="2"/>
      <c r="AB41" s="2"/>
    </row>
    <row r="42" spans="1:38" ht="33.75" customHeight="1" x14ac:dyDescent="0.25">
      <c r="A42" s="171" t="s">
        <v>24</v>
      </c>
      <c r="B42" s="532">
        <v>96.4</v>
      </c>
      <c r="C42" s="431">
        <v>95.3</v>
      </c>
      <c r="D42" s="431">
        <v>24.7</v>
      </c>
      <c r="E42" s="431">
        <v>96.4</v>
      </c>
      <c r="F42" s="533">
        <v>95.9</v>
      </c>
      <c r="G42" s="638">
        <f t="shared" si="18"/>
        <v>408.69999999999993</v>
      </c>
      <c r="H42" s="609"/>
      <c r="I42" s="364"/>
      <c r="J42" s="364"/>
      <c r="K42" s="364"/>
      <c r="L42" s="171" t="s">
        <v>24</v>
      </c>
      <c r="M42" s="18">
        <v>7.4</v>
      </c>
      <c r="N42" s="19">
        <v>7.3</v>
      </c>
      <c r="O42" s="19">
        <v>1.8</v>
      </c>
      <c r="P42" s="19">
        <v>7.4</v>
      </c>
      <c r="Q42" s="19">
        <v>7.2</v>
      </c>
      <c r="R42" s="20">
        <v>3.4</v>
      </c>
      <c r="S42" s="98">
        <f t="shared" ref="S42:S46" si="19">SUM(M42:R42)</f>
        <v>34.5</v>
      </c>
      <c r="T42" s="147">
        <f t="shared" ref="T42:T49" si="20">S41-R41</f>
        <v>31.1</v>
      </c>
      <c r="U42" s="48">
        <f t="shared" ref="U42:U49" si="21">R41</f>
        <v>3.4</v>
      </c>
      <c r="X42" s="48"/>
      <c r="Y42" s="2"/>
      <c r="Z42" s="2"/>
      <c r="AA42" s="2"/>
      <c r="AB42" s="2"/>
    </row>
    <row r="43" spans="1:38" ht="33.75" customHeight="1" x14ac:dyDescent="0.25">
      <c r="A43" s="171" t="s">
        <v>20</v>
      </c>
      <c r="B43" s="142">
        <v>96.2</v>
      </c>
      <c r="C43" s="486">
        <v>94.6</v>
      </c>
      <c r="D43" s="486">
        <v>24.7</v>
      </c>
      <c r="E43" s="486">
        <v>96.4</v>
      </c>
      <c r="F43" s="537">
        <v>95.9</v>
      </c>
      <c r="G43" s="638">
        <f t="shared" si="18"/>
        <v>407.79999999999995</v>
      </c>
      <c r="H43" s="609"/>
      <c r="I43" s="364"/>
      <c r="J43" s="364"/>
      <c r="K43" s="364"/>
      <c r="L43" s="171" t="s">
        <v>20</v>
      </c>
      <c r="M43" s="18">
        <v>7.3</v>
      </c>
      <c r="N43" s="19">
        <v>7.2</v>
      </c>
      <c r="O43" s="19">
        <v>1.8</v>
      </c>
      <c r="P43" s="19">
        <v>7.4</v>
      </c>
      <c r="Q43" s="19">
        <v>7.2</v>
      </c>
      <c r="R43" s="20">
        <v>3.6</v>
      </c>
      <c r="S43" s="98">
        <f t="shared" si="19"/>
        <v>34.5</v>
      </c>
      <c r="T43" s="147">
        <f t="shared" si="20"/>
        <v>31.1</v>
      </c>
      <c r="U43" s="48">
        <f t="shared" si="21"/>
        <v>3.4</v>
      </c>
      <c r="X43" s="48"/>
      <c r="Y43" s="2"/>
      <c r="Z43" s="2"/>
      <c r="AA43" s="2"/>
      <c r="AB43" s="2"/>
    </row>
    <row r="44" spans="1:38" ht="33.75" customHeight="1" x14ac:dyDescent="0.25">
      <c r="A44" s="171" t="s">
        <v>28</v>
      </c>
      <c r="B44" s="142">
        <v>96</v>
      </c>
      <c r="C44" s="486">
        <v>94.6</v>
      </c>
      <c r="D44" s="486">
        <v>24.7</v>
      </c>
      <c r="E44" s="486">
        <v>96.4</v>
      </c>
      <c r="F44" s="537">
        <v>95.9</v>
      </c>
      <c r="G44" s="509">
        <f t="shared" si="18"/>
        <v>407.6</v>
      </c>
      <c r="H44" s="609"/>
      <c r="I44" s="364"/>
      <c r="J44" s="364"/>
      <c r="K44" s="364"/>
      <c r="L44" s="171" t="s">
        <v>28</v>
      </c>
      <c r="M44" s="18">
        <v>7.3</v>
      </c>
      <c r="N44" s="19">
        <v>7.2</v>
      </c>
      <c r="O44" s="19">
        <v>1.8</v>
      </c>
      <c r="P44" s="19">
        <v>7.4</v>
      </c>
      <c r="Q44" s="19">
        <v>7.2</v>
      </c>
      <c r="R44" s="20">
        <v>3.6</v>
      </c>
      <c r="S44" s="98">
        <f t="shared" si="19"/>
        <v>34.5</v>
      </c>
      <c r="T44" s="147">
        <f t="shared" si="20"/>
        <v>30.9</v>
      </c>
      <c r="U44" s="48">
        <f t="shared" si="21"/>
        <v>3.6</v>
      </c>
      <c r="X44" s="48"/>
      <c r="Y44" s="2"/>
      <c r="Z44" s="2"/>
      <c r="AA44" s="2"/>
      <c r="AB44" s="2"/>
    </row>
    <row r="45" spans="1:38" ht="33.75" customHeight="1" x14ac:dyDescent="0.25">
      <c r="A45" s="171" t="s">
        <v>21</v>
      </c>
      <c r="B45" s="142">
        <v>95.6</v>
      </c>
      <c r="C45" s="486">
        <v>94.4</v>
      </c>
      <c r="D45" s="486">
        <v>23.7</v>
      </c>
      <c r="E45" s="486">
        <v>96.2</v>
      </c>
      <c r="F45" s="537">
        <v>95.5</v>
      </c>
      <c r="G45" s="509">
        <f t="shared" si="18"/>
        <v>405.4</v>
      </c>
      <c r="H45" s="609"/>
      <c r="I45" s="364"/>
      <c r="J45" s="364"/>
      <c r="K45" s="364"/>
      <c r="L45" s="171" t="s">
        <v>21</v>
      </c>
      <c r="M45" s="18">
        <v>7.3</v>
      </c>
      <c r="N45" s="19">
        <v>7.2</v>
      </c>
      <c r="O45" s="19">
        <v>1.8</v>
      </c>
      <c r="P45" s="19">
        <v>7.4</v>
      </c>
      <c r="Q45" s="19">
        <v>7.2</v>
      </c>
      <c r="R45" s="20">
        <v>3.6</v>
      </c>
      <c r="S45" s="98">
        <f t="shared" si="19"/>
        <v>34.5</v>
      </c>
      <c r="T45" s="49">
        <f t="shared" si="20"/>
        <v>30.9</v>
      </c>
      <c r="U45" s="48">
        <f t="shared" si="21"/>
        <v>3.6</v>
      </c>
      <c r="X45" s="48"/>
      <c r="Y45" s="2"/>
      <c r="Z45" s="2"/>
      <c r="AA45" s="2"/>
      <c r="AB45" s="2"/>
    </row>
    <row r="46" spans="1:38" ht="33.75" customHeight="1" x14ac:dyDescent="0.25">
      <c r="A46" s="171" t="s">
        <v>22</v>
      </c>
      <c r="B46" s="142">
        <v>95.6</v>
      </c>
      <c r="C46" s="486">
        <v>94.4</v>
      </c>
      <c r="D46" s="486">
        <v>23.7</v>
      </c>
      <c r="E46" s="486">
        <v>96.2</v>
      </c>
      <c r="F46" s="537">
        <v>95.1</v>
      </c>
      <c r="G46" s="509">
        <f t="shared" si="18"/>
        <v>405</v>
      </c>
      <c r="H46" s="609"/>
      <c r="I46" s="364"/>
      <c r="J46" s="364"/>
      <c r="K46" s="364"/>
      <c r="L46" s="171" t="s">
        <v>22</v>
      </c>
      <c r="M46" s="18">
        <v>7.3</v>
      </c>
      <c r="N46" s="19">
        <v>7.2</v>
      </c>
      <c r="O46" s="19">
        <v>1.8</v>
      </c>
      <c r="P46" s="19">
        <v>7.4</v>
      </c>
      <c r="Q46" s="19">
        <v>7.2</v>
      </c>
      <c r="R46" s="20"/>
      <c r="S46" s="98">
        <f t="shared" si="19"/>
        <v>30.900000000000002</v>
      </c>
      <c r="T46" s="49">
        <f t="shared" si="20"/>
        <v>30.9</v>
      </c>
      <c r="U46" s="48">
        <f t="shared" si="21"/>
        <v>3.6</v>
      </c>
      <c r="X46" s="48"/>
      <c r="Y46" s="2"/>
      <c r="Z46" s="2"/>
      <c r="AA46" s="2"/>
      <c r="AB46" s="2"/>
    </row>
    <row r="47" spans="1:38" ht="33.75" customHeight="1" thickBot="1" x14ac:dyDescent="0.3">
      <c r="A47" s="285" t="s">
        <v>23</v>
      </c>
      <c r="B47" s="142">
        <v>95.6</v>
      </c>
      <c r="C47" s="486">
        <v>94.2</v>
      </c>
      <c r="D47" s="486">
        <v>23.5</v>
      </c>
      <c r="E47" s="486">
        <v>96</v>
      </c>
      <c r="F47" s="537">
        <v>95.1</v>
      </c>
      <c r="G47" s="526">
        <f t="shared" si="18"/>
        <v>404.4</v>
      </c>
      <c r="H47" s="609"/>
      <c r="I47" s="364"/>
      <c r="J47" s="364"/>
      <c r="K47" s="364"/>
      <c r="L47" s="285" t="s">
        <v>23</v>
      </c>
      <c r="M47" s="18">
        <v>7.3</v>
      </c>
      <c r="N47" s="19">
        <v>7.2</v>
      </c>
      <c r="O47" s="19">
        <v>1.8</v>
      </c>
      <c r="P47" s="19">
        <v>7.4</v>
      </c>
      <c r="Q47" s="19">
        <v>7.2</v>
      </c>
      <c r="R47" s="20"/>
      <c r="S47" s="628">
        <f>SUM(M47:R47)</f>
        <v>30.900000000000002</v>
      </c>
      <c r="T47" s="49">
        <f t="shared" si="20"/>
        <v>30.900000000000002</v>
      </c>
      <c r="U47" s="48">
        <f t="shared" si="21"/>
        <v>0</v>
      </c>
      <c r="X47" s="48"/>
      <c r="Y47" s="48"/>
      <c r="Z47" s="48"/>
      <c r="AA47" s="2"/>
      <c r="AB47" s="2"/>
      <c r="AC47" s="2"/>
      <c r="AD47" s="2"/>
    </row>
    <row r="48" spans="1:38" ht="33.75" customHeight="1" x14ac:dyDescent="0.25">
      <c r="A48" s="290" t="s">
        <v>9</v>
      </c>
      <c r="B48" s="131">
        <f>SUM(B41:B47)</f>
        <v>672</v>
      </c>
      <c r="C48" s="128">
        <f t="shared" ref="C48:F48" si="22">SUM(C41:C47)</f>
        <v>664.3</v>
      </c>
      <c r="D48" s="128">
        <f t="shared" si="22"/>
        <v>170.1</v>
      </c>
      <c r="E48" s="128">
        <f t="shared" si="22"/>
        <v>674.19999999999993</v>
      </c>
      <c r="F48" s="129">
        <f t="shared" si="22"/>
        <v>669.5</v>
      </c>
      <c r="G48" s="265">
        <f t="shared" si="18"/>
        <v>2850.1</v>
      </c>
      <c r="H48" s="609"/>
      <c r="I48" s="364"/>
      <c r="J48" s="364"/>
      <c r="K48" s="364"/>
      <c r="L48" s="290" t="s">
        <v>9</v>
      </c>
      <c r="M48" s="179">
        <f>SUM(M41:M47)</f>
        <v>51.3</v>
      </c>
      <c r="N48" s="180">
        <f>SUM(N41:N47)</f>
        <v>50.600000000000009</v>
      </c>
      <c r="O48" s="180">
        <f>SUM(O41:O47)</f>
        <v>12.600000000000001</v>
      </c>
      <c r="P48" s="180">
        <f t="shared" ref="P48:R48" si="23">SUM(P41:P47)</f>
        <v>51.8</v>
      </c>
      <c r="Q48" s="180">
        <f t="shared" si="23"/>
        <v>50.400000000000006</v>
      </c>
      <c r="R48" s="181">
        <f t="shared" si="23"/>
        <v>17.600000000000001</v>
      </c>
      <c r="S48" s="265">
        <f>SUM(S41:S47)</f>
        <v>234.3</v>
      </c>
      <c r="T48" s="49">
        <f t="shared" si="20"/>
        <v>30.900000000000002</v>
      </c>
      <c r="U48" s="48">
        <f t="shared" si="21"/>
        <v>0</v>
      </c>
      <c r="X48" s="2"/>
      <c r="Y48" s="2"/>
      <c r="Z48" s="2"/>
      <c r="AA48" s="2"/>
      <c r="AB48" s="2"/>
      <c r="AC48" s="2"/>
      <c r="AD48" s="2"/>
    </row>
    <row r="49" spans="1:50" ht="33.75" customHeight="1" x14ac:dyDescent="0.25">
      <c r="A49" s="192" t="s">
        <v>11</v>
      </c>
      <c r="B49" s="23">
        <v>158.4</v>
      </c>
      <c r="C49" s="24">
        <v>158.4</v>
      </c>
      <c r="D49" s="24">
        <v>158.4</v>
      </c>
      <c r="E49" s="24">
        <v>158.4</v>
      </c>
      <c r="F49" s="25">
        <v>158.4</v>
      </c>
      <c r="G49" s="137">
        <f>+((G48/G50)/7)*1000</f>
        <v>158.85959534028206</v>
      </c>
      <c r="H49" s="609"/>
      <c r="I49" s="364"/>
      <c r="J49" s="364"/>
      <c r="K49" s="364"/>
      <c r="L49" s="273" t="s">
        <v>11</v>
      </c>
      <c r="M49" s="23">
        <v>156</v>
      </c>
      <c r="N49" s="24">
        <v>154.5</v>
      </c>
      <c r="O49" s="24">
        <v>152.5</v>
      </c>
      <c r="P49" s="24">
        <v>154</v>
      </c>
      <c r="Q49" s="24">
        <v>152.5</v>
      </c>
      <c r="R49" s="25">
        <v>152.5</v>
      </c>
      <c r="S49" s="137">
        <f>+((S48/S50)/7)*1000</f>
        <v>166.52452025586356</v>
      </c>
      <c r="T49" s="49">
        <f t="shared" si="20"/>
        <v>216.70000000000002</v>
      </c>
      <c r="U49" s="48">
        <f t="shared" si="21"/>
        <v>17.600000000000001</v>
      </c>
      <c r="V49" s="50"/>
    </row>
    <row r="50" spans="1:50" ht="33.75" customHeight="1" x14ac:dyDescent="0.25">
      <c r="A50" s="193" t="s">
        <v>12</v>
      </c>
      <c r="B50" s="26">
        <v>605</v>
      </c>
      <c r="C50" s="27">
        <v>598</v>
      </c>
      <c r="D50" s="27">
        <v>151</v>
      </c>
      <c r="E50" s="27">
        <v>607</v>
      </c>
      <c r="F50" s="28">
        <v>602</v>
      </c>
      <c r="G50" s="395">
        <f>SUM(B50:F50)</f>
        <v>2563</v>
      </c>
      <c r="H50" s="609"/>
      <c r="I50" s="364"/>
      <c r="J50" s="364"/>
      <c r="K50" s="364"/>
      <c r="L50" s="193" t="s">
        <v>12</v>
      </c>
      <c r="M50" s="257">
        <v>47</v>
      </c>
      <c r="N50" s="275">
        <v>47</v>
      </c>
      <c r="O50" s="275">
        <v>12</v>
      </c>
      <c r="P50" s="275">
        <v>48</v>
      </c>
      <c r="Q50" s="275">
        <v>47</v>
      </c>
      <c r="R50" s="276"/>
      <c r="S50" s="254">
        <f>SUM(M50:R50)</f>
        <v>201</v>
      </c>
      <c r="T50" s="301"/>
      <c r="U50" s="52"/>
      <c r="V50" s="52"/>
    </row>
    <row r="51" spans="1:50" ht="33.75" customHeight="1" x14ac:dyDescent="0.25">
      <c r="A51" s="194" t="s">
        <v>13</v>
      </c>
      <c r="B51" s="30">
        <f>((((B49*7)*B50)/1000)-B41-B42)/5</f>
        <v>95.564799999999991</v>
      </c>
      <c r="C51" s="31">
        <f t="shared" ref="C51:F51" si="24">((((C49*7)*C50)/1000)-C41-C42)/5</f>
        <v>94.192480000000018</v>
      </c>
      <c r="D51" s="31">
        <f t="shared" si="24"/>
        <v>23.525759999999998</v>
      </c>
      <c r="E51" s="31">
        <f t="shared" si="24"/>
        <v>96.008319999999998</v>
      </c>
      <c r="F51" s="32">
        <f t="shared" si="24"/>
        <v>95.099519999999984</v>
      </c>
      <c r="G51" s="139">
        <f>((G48*1000)/G50)/7</f>
        <v>158.85959534028206</v>
      </c>
      <c r="H51" s="609"/>
      <c r="I51" s="364"/>
      <c r="J51" s="364"/>
      <c r="K51" s="364"/>
      <c r="L51" s="194" t="s">
        <v>13</v>
      </c>
      <c r="M51" s="30">
        <f t="shared" ref="M51:R51" si="25">((((M49*7)*M50)/1000)-M41-M42)/5</f>
        <v>7.3048000000000002</v>
      </c>
      <c r="N51" s="31">
        <f t="shared" si="25"/>
        <v>7.2461000000000011</v>
      </c>
      <c r="O51" s="31">
        <f t="shared" si="25"/>
        <v>1.8419999999999999</v>
      </c>
      <c r="P51" s="31">
        <f t="shared" si="25"/>
        <v>7.3888000000000007</v>
      </c>
      <c r="Q51" s="31">
        <f t="shared" si="25"/>
        <v>7.1544999999999987</v>
      </c>
      <c r="R51" s="32">
        <f t="shared" si="25"/>
        <v>-1.3599999999999999</v>
      </c>
      <c r="S51" s="274">
        <f>((S48*1000)/S50)/7</f>
        <v>166.52452025586354</v>
      </c>
      <c r="T51" s="301"/>
      <c r="U51" s="52"/>
      <c r="V51" s="52"/>
    </row>
    <row r="52" spans="1:50" ht="33.75" customHeight="1" x14ac:dyDescent="0.25">
      <c r="A52" s="185" t="s">
        <v>14</v>
      </c>
      <c r="B52" s="279">
        <f>((B50*B49)*7)/1000</f>
        <v>670.82399999999996</v>
      </c>
      <c r="C52" s="280">
        <f>((C50*C49)*7)/1000</f>
        <v>663.06240000000003</v>
      </c>
      <c r="D52" s="280">
        <f>((D50*D49)*7)/1000</f>
        <v>167.42880000000002</v>
      </c>
      <c r="E52" s="280">
        <f>((E50*E49)*7)/1000</f>
        <v>673.04160000000002</v>
      </c>
      <c r="F52" s="282">
        <f>((F50*F49)*7)/1000</f>
        <v>667.49759999999992</v>
      </c>
      <c r="G52" s="112"/>
      <c r="H52" s="609"/>
      <c r="I52" s="364"/>
      <c r="J52" s="364"/>
      <c r="K52" s="364"/>
      <c r="L52" s="185" t="s">
        <v>14</v>
      </c>
      <c r="M52" s="279">
        <f>((M50*M49)*7)/1000</f>
        <v>51.323999999999998</v>
      </c>
      <c r="N52" s="280">
        <f>((N50*N49)*7)/1000</f>
        <v>50.830500000000001</v>
      </c>
      <c r="O52" s="280">
        <f>((O50*O49)*7)/1000</f>
        <v>12.81</v>
      </c>
      <c r="P52" s="280">
        <f t="shared" ref="P52:R52" si="26">((P50*P49)*7)/1000</f>
        <v>51.744</v>
      </c>
      <c r="Q52" s="280">
        <f t="shared" si="26"/>
        <v>50.172499999999999</v>
      </c>
      <c r="R52" s="282">
        <f t="shared" si="26"/>
        <v>0</v>
      </c>
      <c r="S52" s="36"/>
    </row>
    <row r="53" spans="1:50" ht="33.75" customHeight="1" thickBot="1" x14ac:dyDescent="0.3">
      <c r="A53" s="195" t="s">
        <v>15</v>
      </c>
      <c r="B53" s="37">
        <f t="shared" ref="B53:E53" si="27">+(B48/B50)/7*1000</f>
        <v>158.67768595041323</v>
      </c>
      <c r="C53" s="38">
        <f t="shared" si="27"/>
        <v>158.69565217391303</v>
      </c>
      <c r="D53" s="38">
        <f t="shared" si="27"/>
        <v>160.9271523178808</v>
      </c>
      <c r="E53" s="38">
        <f t="shared" si="27"/>
        <v>158.67262885384795</v>
      </c>
      <c r="F53" s="39">
        <f>+(F48/F50)/7*1000</f>
        <v>158.87517797816801</v>
      </c>
      <c r="G53" s="140"/>
      <c r="H53" s="609"/>
      <c r="I53" s="364"/>
      <c r="J53" s="364"/>
      <c r="K53" s="364"/>
      <c r="L53" s="195" t="s">
        <v>15</v>
      </c>
      <c r="M53" s="37">
        <f>+(M48/M50)/7*1000</f>
        <v>155.92705167173253</v>
      </c>
      <c r="N53" s="38">
        <f>+(N48/N50)/7*1000</f>
        <v>153.79939209726444</v>
      </c>
      <c r="O53" s="38">
        <f>+(O48/O50)/7*1000</f>
        <v>150</v>
      </c>
      <c r="P53" s="38">
        <f t="shared" ref="P53:R53" si="28">+(P48/P50)/7*1000</f>
        <v>154.16666666666666</v>
      </c>
      <c r="Q53" s="38">
        <f t="shared" si="28"/>
        <v>153.19148936170217</v>
      </c>
      <c r="R53" s="39" t="e">
        <f t="shared" si="28"/>
        <v>#DIV/0!</v>
      </c>
      <c r="S53" s="259"/>
      <c r="U53" s="42"/>
      <c r="V53" s="42"/>
    </row>
    <row r="54" spans="1:50" ht="33.75" customHeight="1" x14ac:dyDescent="0.25">
      <c r="A54" s="41"/>
      <c r="B54" s="43">
        <f>B52-B48</f>
        <v>-1.1760000000000446</v>
      </c>
      <c r="C54" s="43">
        <f t="shared" ref="C54:F55" si="29">C52-C48</f>
        <v>-1.2375999999999294</v>
      </c>
      <c r="D54" s="43">
        <f t="shared" si="29"/>
        <v>-2.6711999999999705</v>
      </c>
      <c r="E54" s="43">
        <f>E52-E48</f>
        <v>-1.1583999999999151</v>
      </c>
      <c r="F54" s="43">
        <f t="shared" si="29"/>
        <v>-2.0024000000000797</v>
      </c>
      <c r="G54" s="41"/>
      <c r="H54" s="41"/>
      <c r="I54" s="41"/>
      <c r="J54" s="41"/>
      <c r="K54" s="41"/>
      <c r="L54" s="42"/>
      <c r="M54" s="42">
        <f>M52-M48</f>
        <v>2.4000000000000909E-2</v>
      </c>
      <c r="N54" s="42">
        <f t="shared" ref="N54:R55" si="30">N52-N48</f>
        <v>0.23049999999999216</v>
      </c>
      <c r="O54" s="42">
        <f t="shared" si="30"/>
        <v>0.20999999999999908</v>
      </c>
      <c r="P54" s="42">
        <f t="shared" si="30"/>
        <v>-5.5999999999997385E-2</v>
      </c>
      <c r="Q54" s="42">
        <f t="shared" si="30"/>
        <v>-0.22750000000000625</v>
      </c>
      <c r="R54" s="42">
        <f t="shared" si="30"/>
        <v>-17.600000000000001</v>
      </c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0.27768595041322897</v>
      </c>
      <c r="C55" s="42">
        <f>C53-C49</f>
        <v>0.29565217391302667</v>
      </c>
      <c r="D55" s="42">
        <f t="shared" si="29"/>
        <v>2.5271523178807911</v>
      </c>
      <c r="E55" s="42">
        <f>E53-E49</f>
        <v>0.27262885384794799</v>
      </c>
      <c r="F55" s="42">
        <f>F53-F49</f>
        <v>0.47517797816800567</v>
      </c>
      <c r="G55" s="41"/>
      <c r="H55" s="41"/>
      <c r="I55" s="41"/>
      <c r="J55" s="41"/>
      <c r="K55" s="42"/>
      <c r="L55" s="42"/>
      <c r="M55" s="42">
        <f>M53-M49</f>
        <v>-7.2948328267472107E-2</v>
      </c>
      <c r="N55" s="42">
        <f t="shared" si="30"/>
        <v>-0.7006079027355554</v>
      </c>
      <c r="O55" s="42">
        <f>O53-O49</f>
        <v>-2.5</v>
      </c>
      <c r="P55" s="42">
        <f t="shared" si="30"/>
        <v>0.16666666666665719</v>
      </c>
      <c r="Q55" s="42">
        <f t="shared" si="30"/>
        <v>0.69148936170216757</v>
      </c>
      <c r="R55" s="42" t="e">
        <f t="shared" si="30"/>
        <v>#DIV/0!</v>
      </c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54"/>
      <c r="N57" s="54"/>
      <c r="O57" s="637"/>
      <c r="P57" s="637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86" t="s">
        <v>30</v>
      </c>
      <c r="H58" s="956"/>
      <c r="I58" s="956"/>
      <c r="J58" s="956"/>
      <c r="K58" s="956"/>
      <c r="L58" s="956"/>
      <c r="M58" s="986" t="s">
        <v>29</v>
      </c>
      <c r="N58" s="956"/>
      <c r="O58" s="956"/>
      <c r="P58" s="956"/>
      <c r="Q58" s="956"/>
      <c r="R58" s="987"/>
      <c r="S58" s="986" t="s">
        <v>31</v>
      </c>
      <c r="T58" s="956"/>
      <c r="U58" s="956"/>
      <c r="V58" s="956"/>
      <c r="W58" s="987"/>
      <c r="X58" s="586" t="s">
        <v>9</v>
      </c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188">
        <v>1</v>
      </c>
      <c r="H59" s="168">
        <v>2</v>
      </c>
      <c r="I59" s="168">
        <v>3</v>
      </c>
      <c r="J59" s="168">
        <v>4</v>
      </c>
      <c r="K59" s="168">
        <v>5</v>
      </c>
      <c r="L59" s="204" t="s">
        <v>117</v>
      </c>
      <c r="M59" s="188">
        <v>1</v>
      </c>
      <c r="N59" s="168">
        <v>2</v>
      </c>
      <c r="O59" s="168">
        <v>3</v>
      </c>
      <c r="P59" s="168">
        <v>4</v>
      </c>
      <c r="Q59" s="413">
        <v>5</v>
      </c>
      <c r="R59" s="414" t="s">
        <v>117</v>
      </c>
      <c r="S59" s="189">
        <v>1</v>
      </c>
      <c r="T59" s="168">
        <v>2</v>
      </c>
      <c r="U59" s="168">
        <v>3</v>
      </c>
      <c r="V59" s="168">
        <v>4</v>
      </c>
      <c r="W59" s="414">
        <v>5</v>
      </c>
      <c r="X59" s="126"/>
      <c r="Y59" s="45"/>
      <c r="Z59" s="45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25">
      <c r="A60" s="171" t="s">
        <v>53</v>
      </c>
      <c r="B60" s="447">
        <v>7.8</v>
      </c>
      <c r="C60" s="124">
        <v>7.8</v>
      </c>
      <c r="D60" s="124">
        <v>2.1</v>
      </c>
      <c r="E60" s="124">
        <v>8</v>
      </c>
      <c r="F60" s="123">
        <v>8</v>
      </c>
      <c r="G60" s="447">
        <v>7.7</v>
      </c>
      <c r="H60" s="124">
        <v>8</v>
      </c>
      <c r="I60" s="124">
        <v>2.1</v>
      </c>
      <c r="J60" s="124">
        <v>8</v>
      </c>
      <c r="K60" s="124">
        <v>7.9</v>
      </c>
      <c r="L60" s="125">
        <v>4.3</v>
      </c>
      <c r="M60" s="130">
        <v>6.3</v>
      </c>
      <c r="N60" s="124">
        <v>6.5</v>
      </c>
      <c r="O60" s="124">
        <v>2.2000000000000002</v>
      </c>
      <c r="P60" s="124">
        <v>6.5</v>
      </c>
      <c r="Q60" s="124">
        <v>6.7</v>
      </c>
      <c r="R60" s="132">
        <v>10.3</v>
      </c>
      <c r="S60" s="123">
        <v>6.9</v>
      </c>
      <c r="T60" s="124">
        <v>7</v>
      </c>
      <c r="U60" s="124">
        <v>2.6</v>
      </c>
      <c r="V60" s="124">
        <v>7</v>
      </c>
      <c r="W60" s="132">
        <v>6.7</v>
      </c>
      <c r="X60" s="412">
        <f t="shared" ref="X60:X66" si="31">SUM(B60:W60)</f>
        <v>140.39999999999998</v>
      </c>
      <c r="Y60" s="45" t="s">
        <v>118</v>
      </c>
      <c r="Z60" s="45" t="s">
        <v>59</v>
      </c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25">
      <c r="A61" s="171" t="s">
        <v>24</v>
      </c>
      <c r="B61" s="447">
        <v>7.8</v>
      </c>
      <c r="C61" s="124">
        <v>7.8</v>
      </c>
      <c r="D61" s="124">
        <v>2.1</v>
      </c>
      <c r="E61" s="124">
        <v>8</v>
      </c>
      <c r="F61" s="123">
        <v>8</v>
      </c>
      <c r="G61" s="447">
        <v>7.7</v>
      </c>
      <c r="H61" s="124">
        <v>8</v>
      </c>
      <c r="I61" s="124">
        <v>2.1</v>
      </c>
      <c r="J61" s="124">
        <v>8</v>
      </c>
      <c r="K61" s="124">
        <v>7.9</v>
      </c>
      <c r="L61" s="125">
        <v>4.3</v>
      </c>
      <c r="M61" s="130">
        <v>6.3</v>
      </c>
      <c r="N61" s="124">
        <v>6.5</v>
      </c>
      <c r="O61" s="124">
        <v>2.2000000000000002</v>
      </c>
      <c r="P61" s="124">
        <v>6.5</v>
      </c>
      <c r="Q61" s="124">
        <v>6.7</v>
      </c>
      <c r="R61" s="132">
        <v>10.3</v>
      </c>
      <c r="S61" s="123">
        <v>6.9</v>
      </c>
      <c r="T61" s="124">
        <v>7</v>
      </c>
      <c r="U61" s="124">
        <v>2.6</v>
      </c>
      <c r="V61" s="124">
        <v>7</v>
      </c>
      <c r="W61" s="132">
        <v>6.7</v>
      </c>
      <c r="X61" s="412">
        <f t="shared" si="31"/>
        <v>140.39999999999998</v>
      </c>
      <c r="Y61" s="639">
        <f t="shared" ref="Y61:Y67" si="32">X60-R60-L60</f>
        <v>125.79999999999997</v>
      </c>
      <c r="Z61" s="42">
        <f t="shared" ref="Z61:Z67" si="33">R60+L60</f>
        <v>14.600000000000001</v>
      </c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25">
      <c r="A62" s="171" t="s">
        <v>20</v>
      </c>
      <c r="B62" s="447">
        <v>7.8</v>
      </c>
      <c r="C62" s="124">
        <v>7.8</v>
      </c>
      <c r="D62" s="124">
        <v>2.1</v>
      </c>
      <c r="E62" s="124">
        <v>8</v>
      </c>
      <c r="F62" s="123">
        <v>8</v>
      </c>
      <c r="G62" s="447">
        <v>7.7</v>
      </c>
      <c r="H62" s="124">
        <v>8</v>
      </c>
      <c r="I62" s="124">
        <v>2.1</v>
      </c>
      <c r="J62" s="124">
        <v>8</v>
      </c>
      <c r="K62" s="124">
        <v>7.9</v>
      </c>
      <c r="L62" s="125">
        <v>4.3</v>
      </c>
      <c r="M62" s="130">
        <v>6.3</v>
      </c>
      <c r="N62" s="124">
        <v>6.5</v>
      </c>
      <c r="O62" s="124">
        <v>2.2000000000000002</v>
      </c>
      <c r="P62" s="124">
        <v>6.5</v>
      </c>
      <c r="Q62" s="124">
        <v>6.7</v>
      </c>
      <c r="R62" s="132">
        <v>9.8000000000000007</v>
      </c>
      <c r="S62" s="123">
        <v>6.9</v>
      </c>
      <c r="T62" s="124">
        <v>7</v>
      </c>
      <c r="U62" s="124">
        <v>2.6</v>
      </c>
      <c r="V62" s="124">
        <v>7</v>
      </c>
      <c r="W62" s="132">
        <v>6.7</v>
      </c>
      <c r="X62" s="412">
        <f t="shared" si="31"/>
        <v>139.89999999999998</v>
      </c>
      <c r="Y62" s="639">
        <f t="shared" si="32"/>
        <v>125.79999999999997</v>
      </c>
      <c r="Z62" s="42">
        <f t="shared" si="33"/>
        <v>14.600000000000001</v>
      </c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25">
      <c r="A63" s="171" t="s">
        <v>28</v>
      </c>
      <c r="B63" s="447">
        <v>7.8</v>
      </c>
      <c r="C63" s="124">
        <v>7.8</v>
      </c>
      <c r="D63" s="124">
        <v>2.1</v>
      </c>
      <c r="E63" s="124">
        <v>8</v>
      </c>
      <c r="F63" s="123">
        <v>8</v>
      </c>
      <c r="G63" s="447">
        <v>7.7</v>
      </c>
      <c r="H63" s="124">
        <v>8</v>
      </c>
      <c r="I63" s="124">
        <v>2.1</v>
      </c>
      <c r="J63" s="124">
        <v>8</v>
      </c>
      <c r="K63" s="124">
        <v>7.9</v>
      </c>
      <c r="L63" s="125">
        <v>4.3</v>
      </c>
      <c r="M63" s="130">
        <v>6.3</v>
      </c>
      <c r="N63" s="124">
        <v>6.5</v>
      </c>
      <c r="O63" s="124">
        <v>2.2000000000000002</v>
      </c>
      <c r="P63" s="124">
        <v>6.5</v>
      </c>
      <c r="Q63" s="124">
        <v>6.7</v>
      </c>
      <c r="R63" s="132">
        <v>9.8000000000000007</v>
      </c>
      <c r="S63" s="123">
        <v>6.9</v>
      </c>
      <c r="T63" s="124">
        <v>7</v>
      </c>
      <c r="U63" s="124">
        <v>2.6</v>
      </c>
      <c r="V63" s="124">
        <v>7</v>
      </c>
      <c r="W63" s="132">
        <v>6.7</v>
      </c>
      <c r="X63" s="412">
        <f t="shared" si="31"/>
        <v>139.89999999999998</v>
      </c>
      <c r="Y63" s="639">
        <f t="shared" si="32"/>
        <v>125.79999999999997</v>
      </c>
      <c r="Z63" s="42">
        <f t="shared" si="33"/>
        <v>14.100000000000001</v>
      </c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25">
      <c r="A64" s="171" t="s">
        <v>21</v>
      </c>
      <c r="B64" s="447">
        <v>7.8</v>
      </c>
      <c r="C64" s="124">
        <v>7.8</v>
      </c>
      <c r="D64" s="124">
        <v>2.1</v>
      </c>
      <c r="E64" s="124">
        <v>8</v>
      </c>
      <c r="F64" s="123">
        <v>8</v>
      </c>
      <c r="G64" s="447">
        <v>7.7</v>
      </c>
      <c r="H64" s="124">
        <v>8</v>
      </c>
      <c r="I64" s="124">
        <v>2.1</v>
      </c>
      <c r="J64" s="124">
        <v>8</v>
      </c>
      <c r="K64" s="124">
        <v>7.9</v>
      </c>
      <c r="L64" s="125">
        <v>4.3</v>
      </c>
      <c r="M64" s="130">
        <v>6.3</v>
      </c>
      <c r="N64" s="124">
        <v>6.5</v>
      </c>
      <c r="O64" s="124">
        <v>2.2000000000000002</v>
      </c>
      <c r="P64" s="124">
        <v>6.5</v>
      </c>
      <c r="Q64" s="124">
        <v>6.7</v>
      </c>
      <c r="R64" s="132">
        <v>9.8000000000000007</v>
      </c>
      <c r="S64" s="123">
        <v>6.9</v>
      </c>
      <c r="T64" s="124">
        <v>7</v>
      </c>
      <c r="U64" s="124">
        <v>2.6</v>
      </c>
      <c r="V64" s="124">
        <v>7</v>
      </c>
      <c r="W64" s="132">
        <v>6.7</v>
      </c>
      <c r="X64" s="412">
        <f t="shared" si="31"/>
        <v>139.89999999999998</v>
      </c>
      <c r="Y64" s="42">
        <f t="shared" si="32"/>
        <v>125.79999999999997</v>
      </c>
      <c r="Z64" s="42">
        <f t="shared" si="33"/>
        <v>14.100000000000001</v>
      </c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25">
      <c r="A65" s="171" t="s">
        <v>22</v>
      </c>
      <c r="B65" s="447">
        <v>7.8</v>
      </c>
      <c r="C65" s="124">
        <v>7.8</v>
      </c>
      <c r="D65" s="124">
        <v>2.1</v>
      </c>
      <c r="E65" s="124">
        <v>8</v>
      </c>
      <c r="F65" s="123">
        <v>8</v>
      </c>
      <c r="G65" s="447">
        <v>7.7</v>
      </c>
      <c r="H65" s="124">
        <v>8</v>
      </c>
      <c r="I65" s="124">
        <v>2.1</v>
      </c>
      <c r="J65" s="124">
        <v>8</v>
      </c>
      <c r="K65" s="124">
        <v>7.9</v>
      </c>
      <c r="L65" s="125"/>
      <c r="M65" s="130">
        <v>6.3</v>
      </c>
      <c r="N65" s="124">
        <v>6.5</v>
      </c>
      <c r="O65" s="124">
        <v>2.2000000000000002</v>
      </c>
      <c r="P65" s="124">
        <v>6.5</v>
      </c>
      <c r="Q65" s="124">
        <v>6.7</v>
      </c>
      <c r="R65" s="132"/>
      <c r="S65" s="123">
        <v>6.9</v>
      </c>
      <c r="T65" s="124">
        <v>7</v>
      </c>
      <c r="U65" s="124">
        <v>2.2999999999999998</v>
      </c>
      <c r="V65" s="124">
        <v>7</v>
      </c>
      <c r="W65" s="132">
        <v>6.7</v>
      </c>
      <c r="X65" s="412">
        <f t="shared" si="31"/>
        <v>125.50000000000001</v>
      </c>
      <c r="Y65" s="42">
        <f t="shared" si="32"/>
        <v>125.79999999999997</v>
      </c>
      <c r="Z65" s="42">
        <f t="shared" si="33"/>
        <v>14.100000000000001</v>
      </c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3">
      <c r="A66" s="171" t="s">
        <v>23</v>
      </c>
      <c r="B66" s="447">
        <v>7.8</v>
      </c>
      <c r="C66" s="124">
        <v>7.8</v>
      </c>
      <c r="D66" s="124">
        <v>2.1</v>
      </c>
      <c r="E66" s="124">
        <v>8</v>
      </c>
      <c r="F66" s="123">
        <v>8</v>
      </c>
      <c r="G66" s="447">
        <v>7.7</v>
      </c>
      <c r="H66" s="124">
        <v>8</v>
      </c>
      <c r="I66" s="124">
        <v>2.1</v>
      </c>
      <c r="J66" s="124">
        <v>8</v>
      </c>
      <c r="K66" s="124">
        <v>7.9</v>
      </c>
      <c r="L66" s="125"/>
      <c r="M66" s="130">
        <v>6.3</v>
      </c>
      <c r="N66" s="124">
        <v>6.5</v>
      </c>
      <c r="O66" s="124">
        <v>2.2000000000000002</v>
      </c>
      <c r="P66" s="124">
        <v>6.5</v>
      </c>
      <c r="Q66" s="124">
        <v>6.7</v>
      </c>
      <c r="R66" s="132"/>
      <c r="S66" s="123">
        <v>6.9</v>
      </c>
      <c r="T66" s="124">
        <v>7</v>
      </c>
      <c r="U66" s="124">
        <v>2.2999999999999998</v>
      </c>
      <c r="V66" s="124">
        <v>7</v>
      </c>
      <c r="W66" s="132">
        <v>6.7</v>
      </c>
      <c r="X66" s="412">
        <f t="shared" si="31"/>
        <v>125.50000000000001</v>
      </c>
      <c r="Y66" s="42">
        <f t="shared" si="32"/>
        <v>125.50000000000001</v>
      </c>
      <c r="Z66" s="42">
        <f t="shared" si="33"/>
        <v>0</v>
      </c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618">
        <f t="shared" ref="B67:W67" si="34">SUM(B60:B66)</f>
        <v>54.599999999999994</v>
      </c>
      <c r="C67" s="616">
        <f t="shared" si="34"/>
        <v>54.599999999999994</v>
      </c>
      <c r="D67" s="616">
        <f t="shared" si="34"/>
        <v>14.7</v>
      </c>
      <c r="E67" s="616">
        <f t="shared" si="34"/>
        <v>56</v>
      </c>
      <c r="F67" s="619">
        <f t="shared" si="34"/>
        <v>56</v>
      </c>
      <c r="G67" s="618">
        <f t="shared" si="34"/>
        <v>53.900000000000006</v>
      </c>
      <c r="H67" s="616">
        <f t="shared" si="34"/>
        <v>56</v>
      </c>
      <c r="I67" s="616">
        <f t="shared" si="34"/>
        <v>14.7</v>
      </c>
      <c r="J67" s="616">
        <f t="shared" si="34"/>
        <v>56</v>
      </c>
      <c r="K67" s="616">
        <f t="shared" si="34"/>
        <v>55.3</v>
      </c>
      <c r="L67" s="617"/>
      <c r="M67" s="618">
        <f t="shared" si="34"/>
        <v>44.099999999999994</v>
      </c>
      <c r="N67" s="616">
        <f t="shared" si="34"/>
        <v>45.5</v>
      </c>
      <c r="O67" s="616">
        <f t="shared" si="34"/>
        <v>15.399999999999999</v>
      </c>
      <c r="P67" s="616">
        <f t="shared" si="34"/>
        <v>45.5</v>
      </c>
      <c r="Q67" s="616">
        <f t="shared" si="34"/>
        <v>46.900000000000006</v>
      </c>
      <c r="R67" s="616">
        <f t="shared" si="34"/>
        <v>50</v>
      </c>
      <c r="S67" s="615">
        <f t="shared" si="34"/>
        <v>48.3</v>
      </c>
      <c r="T67" s="616">
        <f t="shared" si="34"/>
        <v>49</v>
      </c>
      <c r="U67" s="616">
        <f t="shared" si="34"/>
        <v>17.600000000000001</v>
      </c>
      <c r="V67" s="616">
        <f t="shared" si="34"/>
        <v>49</v>
      </c>
      <c r="W67" s="617">
        <f t="shared" si="34"/>
        <v>46.900000000000006</v>
      </c>
      <c r="X67" s="449">
        <f>SUM(B67:W67)</f>
        <v>929.99999999999989</v>
      </c>
      <c r="Y67" s="42">
        <f t="shared" si="32"/>
        <v>125.50000000000001</v>
      </c>
      <c r="Z67" s="42">
        <f t="shared" si="33"/>
        <v>0</v>
      </c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158</v>
      </c>
      <c r="C68" s="358">
        <v>159</v>
      </c>
      <c r="D68" s="358">
        <v>157.5</v>
      </c>
      <c r="E68" s="358">
        <v>158</v>
      </c>
      <c r="F68" s="624">
        <v>159</v>
      </c>
      <c r="G68" s="357">
        <v>156.5</v>
      </c>
      <c r="H68" s="358">
        <v>159</v>
      </c>
      <c r="I68" s="358">
        <v>158.5</v>
      </c>
      <c r="J68" s="358">
        <v>159</v>
      </c>
      <c r="K68" s="358">
        <v>157.5</v>
      </c>
      <c r="L68" s="624">
        <v>158</v>
      </c>
      <c r="M68" s="357">
        <v>155.5</v>
      </c>
      <c r="N68" s="358">
        <v>159</v>
      </c>
      <c r="O68" s="358">
        <v>155</v>
      </c>
      <c r="P68" s="358">
        <v>159</v>
      </c>
      <c r="Q68" s="358">
        <v>159</v>
      </c>
      <c r="R68" s="624">
        <v>159.5</v>
      </c>
      <c r="S68" s="357">
        <v>159</v>
      </c>
      <c r="T68" s="358">
        <v>159.5</v>
      </c>
      <c r="U68" s="358">
        <v>159.5</v>
      </c>
      <c r="V68" s="358">
        <v>159.5</v>
      </c>
      <c r="W68" s="624">
        <v>159</v>
      </c>
      <c r="X68" s="296">
        <f>+((X67/X69)/7)*1000</f>
        <v>168.17359855334539</v>
      </c>
      <c r="Y68" s="577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49</v>
      </c>
      <c r="C69" s="275">
        <v>49</v>
      </c>
      <c r="D69" s="275">
        <v>13</v>
      </c>
      <c r="E69" s="275">
        <v>50</v>
      </c>
      <c r="F69" s="276">
        <v>50</v>
      </c>
      <c r="G69" s="257">
        <v>49</v>
      </c>
      <c r="H69" s="275">
        <v>50</v>
      </c>
      <c r="I69" s="275">
        <v>13</v>
      </c>
      <c r="J69" s="275">
        <v>50</v>
      </c>
      <c r="K69" s="275">
        <v>50</v>
      </c>
      <c r="L69" s="276"/>
      <c r="M69" s="257">
        <v>41</v>
      </c>
      <c r="N69" s="275">
        <v>41</v>
      </c>
      <c r="O69" s="275">
        <v>14</v>
      </c>
      <c r="P69" s="275">
        <v>41</v>
      </c>
      <c r="Q69" s="275">
        <v>42</v>
      </c>
      <c r="R69" s="276"/>
      <c r="S69" s="257">
        <v>43</v>
      </c>
      <c r="T69" s="275">
        <v>44</v>
      </c>
      <c r="U69" s="275">
        <v>15</v>
      </c>
      <c r="V69" s="275">
        <v>43</v>
      </c>
      <c r="W69" s="276">
        <v>43</v>
      </c>
      <c r="X69" s="254">
        <f>SUM(B69:W69)</f>
        <v>790</v>
      </c>
      <c r="Y69" s="577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 t="shared" ref="B70:W70" si="35">((((B68*7)*B69)/1000)-B60-B61)/5</f>
        <v>7.7188000000000017</v>
      </c>
      <c r="C70" s="31">
        <f t="shared" si="35"/>
        <v>7.7874000000000008</v>
      </c>
      <c r="D70" s="31">
        <f t="shared" si="35"/>
        <v>2.0265</v>
      </c>
      <c r="E70" s="31">
        <f t="shared" si="35"/>
        <v>7.8599999999999994</v>
      </c>
      <c r="F70" s="32">
        <f t="shared" si="35"/>
        <v>7.93</v>
      </c>
      <c r="G70" s="30">
        <f t="shared" si="35"/>
        <v>7.6558999999999982</v>
      </c>
      <c r="H70" s="31">
        <f t="shared" si="35"/>
        <v>7.93</v>
      </c>
      <c r="I70" s="31">
        <f t="shared" si="35"/>
        <v>2.0447000000000002</v>
      </c>
      <c r="J70" s="31">
        <f t="shared" si="35"/>
        <v>7.93</v>
      </c>
      <c r="K70" s="31">
        <f t="shared" si="35"/>
        <v>7.8650000000000002</v>
      </c>
      <c r="L70" s="32">
        <f t="shared" si="35"/>
        <v>-1.72</v>
      </c>
      <c r="M70" s="30">
        <f t="shared" si="35"/>
        <v>6.4057000000000013</v>
      </c>
      <c r="N70" s="31">
        <f t="shared" si="35"/>
        <v>6.5266000000000002</v>
      </c>
      <c r="O70" s="31">
        <f t="shared" si="35"/>
        <v>2.1579999999999999</v>
      </c>
      <c r="P70" s="31">
        <f t="shared" si="35"/>
        <v>6.5266000000000002</v>
      </c>
      <c r="Q70" s="31">
        <f t="shared" si="35"/>
        <v>6.6691999999999991</v>
      </c>
      <c r="R70" s="32">
        <f t="shared" si="35"/>
        <v>-4.12</v>
      </c>
      <c r="S70" s="30">
        <f t="shared" si="35"/>
        <v>6.8118000000000007</v>
      </c>
      <c r="T70" s="31">
        <f t="shared" si="35"/>
        <v>7.0251999999999999</v>
      </c>
      <c r="U70" s="31">
        <f t="shared" si="35"/>
        <v>2.3094999999999999</v>
      </c>
      <c r="V70" s="31">
        <f t="shared" si="35"/>
        <v>6.8019000000000007</v>
      </c>
      <c r="W70" s="32">
        <f t="shared" si="35"/>
        <v>6.891799999999999</v>
      </c>
      <c r="X70" s="139">
        <f>((X67*1000)/X69)/7</f>
        <v>168.17359855334536</v>
      </c>
      <c r="Y70" s="577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W71" si="36">((B69*B68)*7)/1000</f>
        <v>54.194000000000003</v>
      </c>
      <c r="C71" s="280">
        <f t="shared" si="36"/>
        <v>54.536999999999999</v>
      </c>
      <c r="D71" s="280">
        <f t="shared" si="36"/>
        <v>14.3325</v>
      </c>
      <c r="E71" s="280">
        <f t="shared" si="36"/>
        <v>55.3</v>
      </c>
      <c r="F71" s="282">
        <f t="shared" si="36"/>
        <v>55.65</v>
      </c>
      <c r="G71" s="279">
        <f t="shared" si="36"/>
        <v>53.679499999999997</v>
      </c>
      <c r="H71" s="280">
        <f t="shared" si="36"/>
        <v>55.65</v>
      </c>
      <c r="I71" s="280">
        <f t="shared" si="36"/>
        <v>14.423500000000001</v>
      </c>
      <c r="J71" s="280">
        <f t="shared" si="36"/>
        <v>55.65</v>
      </c>
      <c r="K71" s="280">
        <f t="shared" si="36"/>
        <v>55.125</v>
      </c>
      <c r="L71" s="282">
        <f t="shared" si="36"/>
        <v>0</v>
      </c>
      <c r="M71" s="279">
        <f t="shared" si="36"/>
        <v>44.628500000000003</v>
      </c>
      <c r="N71" s="280">
        <f t="shared" si="36"/>
        <v>45.633000000000003</v>
      </c>
      <c r="O71" s="280">
        <f t="shared" si="36"/>
        <v>15.19</v>
      </c>
      <c r="P71" s="280">
        <f t="shared" si="36"/>
        <v>45.633000000000003</v>
      </c>
      <c r="Q71" s="280">
        <f t="shared" si="36"/>
        <v>46.746000000000002</v>
      </c>
      <c r="R71" s="282">
        <f t="shared" si="36"/>
        <v>0</v>
      </c>
      <c r="S71" s="279">
        <f t="shared" si="36"/>
        <v>47.859000000000002</v>
      </c>
      <c r="T71" s="280">
        <f t="shared" si="36"/>
        <v>49.125999999999998</v>
      </c>
      <c r="U71" s="280">
        <f t="shared" si="36"/>
        <v>16.747499999999999</v>
      </c>
      <c r="V71" s="280">
        <f t="shared" si="36"/>
        <v>48.009500000000003</v>
      </c>
      <c r="W71" s="282">
        <f t="shared" si="36"/>
        <v>47.859000000000002</v>
      </c>
      <c r="X71" s="112"/>
      <c r="Y71" s="41"/>
      <c r="Z71" s="41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W72" si="37">+(B67/B69)/7*1000</f>
        <v>159.18367346938771</v>
      </c>
      <c r="C72" s="38">
        <f t="shared" si="37"/>
        <v>159.18367346938771</v>
      </c>
      <c r="D72" s="38">
        <f t="shared" si="37"/>
        <v>161.53846153846155</v>
      </c>
      <c r="E72" s="38">
        <f t="shared" si="37"/>
        <v>160</v>
      </c>
      <c r="F72" s="39">
        <f t="shared" si="37"/>
        <v>160</v>
      </c>
      <c r="G72" s="37">
        <f t="shared" si="37"/>
        <v>157.14285714285717</v>
      </c>
      <c r="H72" s="38">
        <f t="shared" si="37"/>
        <v>160</v>
      </c>
      <c r="I72" s="38">
        <f t="shared" si="37"/>
        <v>161.53846153846155</v>
      </c>
      <c r="J72" s="38">
        <f t="shared" si="37"/>
        <v>160</v>
      </c>
      <c r="K72" s="38">
        <f t="shared" si="37"/>
        <v>157.99999999999997</v>
      </c>
      <c r="L72" s="39" t="e">
        <f t="shared" si="37"/>
        <v>#DIV/0!</v>
      </c>
      <c r="M72" s="37">
        <f t="shared" si="37"/>
        <v>153.65853658536582</v>
      </c>
      <c r="N72" s="38">
        <f t="shared" si="37"/>
        <v>158.53658536585365</v>
      </c>
      <c r="O72" s="38">
        <f t="shared" si="37"/>
        <v>157.14285714285711</v>
      </c>
      <c r="P72" s="38">
        <f t="shared" si="37"/>
        <v>158.53658536585365</v>
      </c>
      <c r="Q72" s="38">
        <f t="shared" si="37"/>
        <v>159.52380952380955</v>
      </c>
      <c r="R72" s="39" t="e">
        <f t="shared" si="37"/>
        <v>#DIV/0!</v>
      </c>
      <c r="S72" s="37">
        <f t="shared" si="37"/>
        <v>160.46511627906975</v>
      </c>
      <c r="T72" s="38">
        <f t="shared" si="37"/>
        <v>159.09090909090909</v>
      </c>
      <c r="U72" s="38">
        <f t="shared" si="37"/>
        <v>167.61904761904762</v>
      </c>
      <c r="V72" s="38">
        <f t="shared" si="37"/>
        <v>162.79069767441862</v>
      </c>
      <c r="W72" s="39">
        <f t="shared" si="37"/>
        <v>155.81395348837211</v>
      </c>
      <c r="X72" s="40"/>
      <c r="AM72" s="3"/>
    </row>
    <row r="73" spans="1:50" ht="33.75" customHeight="1" x14ac:dyDescent="0.25">
      <c r="B73" s="43">
        <f>B71-B67</f>
        <v>-0.4059999999999917</v>
      </c>
      <c r="C73" s="43">
        <f t="shared" ref="C73:F73" si="38">C71-C67</f>
        <v>-6.2999999999995282E-2</v>
      </c>
      <c r="D73" s="43">
        <f t="shared" si="38"/>
        <v>-0.36749999999999972</v>
      </c>
      <c r="E73" s="43">
        <f t="shared" si="38"/>
        <v>-0.70000000000000284</v>
      </c>
      <c r="F73" s="43">
        <f t="shared" si="38"/>
        <v>-0.35000000000000142</v>
      </c>
      <c r="G73" s="43">
        <f>G71-G67</f>
        <v>-0.22050000000000836</v>
      </c>
      <c r="H73" s="43">
        <f t="shared" ref="H73:W74" si="39">H71-H67</f>
        <v>-0.35000000000000142</v>
      </c>
      <c r="I73" s="43">
        <f t="shared" si="39"/>
        <v>-0.27649999999999864</v>
      </c>
      <c r="J73" s="43">
        <f t="shared" si="39"/>
        <v>-0.35000000000000142</v>
      </c>
      <c r="K73" s="43">
        <f t="shared" si="39"/>
        <v>-0.17499999999999716</v>
      </c>
      <c r="L73" s="43">
        <f t="shared" si="39"/>
        <v>0</v>
      </c>
      <c r="M73" s="43">
        <f>M71-M67</f>
        <v>0.52850000000000819</v>
      </c>
      <c r="N73" s="43">
        <f t="shared" ref="N73:R74" si="40">N71-N67</f>
        <v>0.13300000000000267</v>
      </c>
      <c r="O73" s="43">
        <f t="shared" si="40"/>
        <v>-0.20999999999999908</v>
      </c>
      <c r="P73" s="43">
        <f t="shared" si="40"/>
        <v>0.13300000000000267</v>
      </c>
      <c r="Q73" s="43">
        <f t="shared" si="40"/>
        <v>-0.15400000000000347</v>
      </c>
      <c r="R73" s="43">
        <f t="shared" si="40"/>
        <v>-50</v>
      </c>
      <c r="S73" s="43">
        <f>S71-S67</f>
        <v>-0.4409999999999954</v>
      </c>
      <c r="T73" s="43">
        <f t="shared" ref="T73:W73" si="41">T71-T67</f>
        <v>0.12599999999999767</v>
      </c>
      <c r="U73" s="43">
        <f t="shared" si="41"/>
        <v>-0.8525000000000027</v>
      </c>
      <c r="V73" s="43">
        <f t="shared" si="41"/>
        <v>-0.99049999999999727</v>
      </c>
      <c r="W73" s="43">
        <f t="shared" si="41"/>
        <v>0.95899999999999608</v>
      </c>
    </row>
    <row r="74" spans="1:50" ht="33.75" customHeight="1" x14ac:dyDescent="0.25">
      <c r="B74" s="42">
        <f t="shared" ref="B74:J74" si="42">B72-B68</f>
        <v>1.1836734693877133</v>
      </c>
      <c r="C74" s="42">
        <f t="shared" si="42"/>
        <v>0.18367346938771334</v>
      </c>
      <c r="D74" s="42">
        <f t="shared" si="42"/>
        <v>4.0384615384615472</v>
      </c>
      <c r="E74" s="42">
        <f t="shared" si="42"/>
        <v>2</v>
      </c>
      <c r="F74" s="42">
        <f t="shared" si="42"/>
        <v>1</v>
      </c>
      <c r="G74" s="42">
        <f t="shared" si="42"/>
        <v>0.64285714285716722</v>
      </c>
      <c r="H74" s="42">
        <f t="shared" si="42"/>
        <v>1</v>
      </c>
      <c r="I74" s="42">
        <f>I72-I68</f>
        <v>3.0384615384615472</v>
      </c>
      <c r="J74" s="42">
        <f t="shared" si="42"/>
        <v>1</v>
      </c>
      <c r="K74" s="42">
        <f t="shared" si="39"/>
        <v>0.49999999999997158</v>
      </c>
      <c r="L74" s="42" t="e">
        <f t="shared" si="39"/>
        <v>#DIV/0!</v>
      </c>
      <c r="M74" s="42">
        <f t="shared" si="39"/>
        <v>-1.8414634146341768</v>
      </c>
      <c r="N74" s="42">
        <f t="shared" si="39"/>
        <v>-0.46341463414634632</v>
      </c>
      <c r="O74" s="42">
        <f t="shared" si="39"/>
        <v>2.1428571428571104</v>
      </c>
      <c r="P74" s="42">
        <f t="shared" si="39"/>
        <v>-0.46341463414634632</v>
      </c>
      <c r="Q74" s="42">
        <f t="shared" si="39"/>
        <v>0.52380952380954682</v>
      </c>
      <c r="R74" s="42" t="e">
        <f t="shared" si="40"/>
        <v>#DIV/0!</v>
      </c>
      <c r="S74" s="42">
        <f t="shared" si="39"/>
        <v>1.465116279069747</v>
      </c>
      <c r="T74" s="42">
        <f t="shared" si="39"/>
        <v>-0.40909090909090651</v>
      </c>
      <c r="U74" s="42">
        <f t="shared" si="39"/>
        <v>8.1190476190476204</v>
      </c>
      <c r="V74" s="42">
        <f t="shared" si="39"/>
        <v>3.2906976744186238</v>
      </c>
      <c r="W74" s="42">
        <f t="shared" si="39"/>
        <v>-3.1860465116278931</v>
      </c>
      <c r="X74" s="45"/>
      <c r="Y74" s="45"/>
      <c r="Z74" s="45"/>
      <c r="AA74" s="45"/>
      <c r="AB74" s="45"/>
      <c r="AC74" s="45"/>
      <c r="AD74" s="52"/>
    </row>
    <row r="75" spans="1:50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  <c r="W75" s="636"/>
    </row>
    <row r="76" spans="1:50" ht="33.75" customHeight="1" x14ac:dyDescent="0.25">
      <c r="A76" s="45"/>
      <c r="B76" s="283"/>
      <c r="C76" s="283"/>
      <c r="D76" s="283"/>
      <c r="E76" s="283"/>
      <c r="F76" s="283"/>
      <c r="G76" s="58"/>
      <c r="H76" s="45"/>
      <c r="I76" s="45"/>
      <c r="J76" s="45"/>
      <c r="K76" s="45"/>
      <c r="L76" s="45"/>
      <c r="M76" s="45"/>
      <c r="N76" s="45"/>
      <c r="O76" s="45"/>
    </row>
    <row r="77" spans="1:50" ht="33.75" customHeight="1" x14ac:dyDescent="0.25">
      <c r="A77" s="45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4">
    <mergeCell ref="A3:C3"/>
    <mergeCell ref="E9:G9"/>
    <mergeCell ref="W9:X9"/>
    <mergeCell ref="O11:P11"/>
    <mergeCell ref="B16:H16"/>
    <mergeCell ref="I16:O16"/>
    <mergeCell ref="P16:T16"/>
    <mergeCell ref="U16:Y16"/>
    <mergeCell ref="S58:W58"/>
    <mergeCell ref="B39:F39"/>
    <mergeCell ref="G39:G40"/>
    <mergeCell ref="B58:F58"/>
    <mergeCell ref="G58:L58"/>
    <mergeCell ref="M58:R58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1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37</v>
      </c>
      <c r="P11" s="965"/>
      <c r="Q11" s="6"/>
      <c r="R11" s="6"/>
      <c r="S11" s="6"/>
      <c r="T11" s="1"/>
      <c r="U11" s="1"/>
      <c r="V11" s="1" t="s">
        <v>6</v>
      </c>
      <c r="W11" s="95">
        <v>45592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594"/>
      <c r="I17" s="386" t="s">
        <v>100</v>
      </c>
      <c r="J17" s="438">
        <v>1</v>
      </c>
      <c r="K17" s="438">
        <v>2</v>
      </c>
      <c r="L17" s="438">
        <v>3</v>
      </c>
      <c r="M17" s="438">
        <v>4</v>
      </c>
      <c r="N17" s="439">
        <v>5</v>
      </c>
      <c r="O17" s="594"/>
      <c r="P17" s="202">
        <v>1</v>
      </c>
      <c r="Q17" s="174">
        <v>2</v>
      </c>
      <c r="R17" s="174">
        <v>3</v>
      </c>
      <c r="S17" s="174">
        <v>4</v>
      </c>
      <c r="T17" s="203">
        <v>5</v>
      </c>
      <c r="U17" s="186">
        <v>1</v>
      </c>
      <c r="V17" s="174">
        <v>2</v>
      </c>
      <c r="W17" s="174">
        <v>3</v>
      </c>
      <c r="X17" s="174">
        <v>4</v>
      </c>
      <c r="Y17" s="175">
        <v>5</v>
      </c>
      <c r="Z17" s="126"/>
      <c r="AD17" s="2"/>
      <c r="AE17" s="15"/>
    </row>
    <row r="18" spans="1:40" ht="39.950000000000003" customHeight="1" x14ac:dyDescent="0.25">
      <c r="A18" s="171" t="s">
        <v>53</v>
      </c>
      <c r="B18" s="595">
        <v>321.2</v>
      </c>
      <c r="C18" s="596">
        <v>19.7</v>
      </c>
      <c r="D18" s="596">
        <v>19.8</v>
      </c>
      <c r="E18" s="596">
        <v>5.3</v>
      </c>
      <c r="F18" s="596">
        <v>20.2</v>
      </c>
      <c r="G18" s="597">
        <v>20.100000000000001</v>
      </c>
      <c r="H18" s="506">
        <f t="shared" ref="H18:H19" si="0">SUM(B18:G18)</f>
        <v>406.3</v>
      </c>
      <c r="I18" s="599">
        <v>323.60000000000002</v>
      </c>
      <c r="J18" s="596">
        <v>19.899999999999999</v>
      </c>
      <c r="K18" s="596">
        <v>20.2</v>
      </c>
      <c r="L18" s="596">
        <v>5.0999999999999996</v>
      </c>
      <c r="M18" s="596">
        <v>19.100000000000001</v>
      </c>
      <c r="N18" s="600">
        <v>19</v>
      </c>
      <c r="O18" s="506">
        <f t="shared" ref="O18:O19" si="1">SUM(I18:N18)</f>
        <v>406.90000000000003</v>
      </c>
      <c r="P18" s="601">
        <v>79.2</v>
      </c>
      <c r="Q18" s="504">
        <v>78.599999999999994</v>
      </c>
      <c r="R18" s="596">
        <v>27.9</v>
      </c>
      <c r="S18" s="596">
        <v>79.099999999999994</v>
      </c>
      <c r="T18" s="600">
        <v>79</v>
      </c>
      <c r="U18" s="602">
        <v>81.8</v>
      </c>
      <c r="V18" s="596">
        <v>83.3</v>
      </c>
      <c r="W18" s="504">
        <v>29.4</v>
      </c>
      <c r="X18" s="504">
        <v>83</v>
      </c>
      <c r="Y18" s="600">
        <v>82.8</v>
      </c>
      <c r="Z18" s="509">
        <f>SUM(H18,O18,P18:Y18)</f>
        <v>1517.3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595">
        <v>321.2</v>
      </c>
      <c r="C19" s="596">
        <v>19.7</v>
      </c>
      <c r="D19" s="596">
        <v>19.8</v>
      </c>
      <c r="E19" s="596">
        <v>5.3</v>
      </c>
      <c r="F19" s="596">
        <v>20.2</v>
      </c>
      <c r="G19" s="597">
        <v>20.100000000000001</v>
      </c>
      <c r="H19" s="635">
        <f t="shared" si="0"/>
        <v>406.3</v>
      </c>
      <c r="I19" s="599">
        <v>323.60000000000002</v>
      </c>
      <c r="J19" s="596">
        <v>19.899999999999999</v>
      </c>
      <c r="K19" s="596">
        <v>20.2</v>
      </c>
      <c r="L19" s="596">
        <v>5.0999999999999996</v>
      </c>
      <c r="M19" s="596">
        <v>19.100000000000001</v>
      </c>
      <c r="N19" s="600">
        <v>19</v>
      </c>
      <c r="O19" s="635">
        <f t="shared" si="1"/>
        <v>406.90000000000003</v>
      </c>
      <c r="P19" s="601">
        <v>79.2</v>
      </c>
      <c r="Q19" s="504">
        <v>78.599999999999994</v>
      </c>
      <c r="R19" s="596">
        <v>27.9</v>
      </c>
      <c r="S19" s="596">
        <v>79.099999999999994</v>
      </c>
      <c r="T19" s="600">
        <v>79</v>
      </c>
      <c r="U19" s="602">
        <v>81.8</v>
      </c>
      <c r="V19" s="596">
        <v>83.3</v>
      </c>
      <c r="W19" s="504">
        <v>29.2</v>
      </c>
      <c r="X19" s="504">
        <v>83</v>
      </c>
      <c r="Y19" s="600">
        <v>82.8</v>
      </c>
      <c r="Z19" s="509">
        <f>SUM(H19,O19,P19:Y19)</f>
        <v>1517.1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595">
        <v>321.2</v>
      </c>
      <c r="C20" s="629">
        <v>19.399999999999999</v>
      </c>
      <c r="D20" s="629">
        <v>19.5</v>
      </c>
      <c r="E20" s="629">
        <v>5.2</v>
      </c>
      <c r="F20" s="629">
        <v>19.899999999999999</v>
      </c>
      <c r="G20" s="630">
        <v>19.8</v>
      </c>
      <c r="H20" s="506">
        <f t="shared" ref="H20:H24" si="2">SUM(B20:G20)</f>
        <v>404.99999999999994</v>
      </c>
      <c r="I20" s="599">
        <v>323.39999999999998</v>
      </c>
      <c r="J20" s="629">
        <v>19.600000000000001</v>
      </c>
      <c r="K20" s="629">
        <v>19.899999999999999</v>
      </c>
      <c r="L20" s="629">
        <v>5</v>
      </c>
      <c r="M20" s="629">
        <v>18.8</v>
      </c>
      <c r="N20" s="632">
        <v>18.7</v>
      </c>
      <c r="O20" s="506">
        <f t="shared" ref="O20:O24" si="3">SUM(I20:N20)</f>
        <v>405.4</v>
      </c>
      <c r="P20" s="633">
        <v>78.900000000000006</v>
      </c>
      <c r="Q20" s="455">
        <v>78.5</v>
      </c>
      <c r="R20" s="629">
        <v>27.7</v>
      </c>
      <c r="S20" s="629">
        <v>78.900000000000006</v>
      </c>
      <c r="T20" s="632">
        <v>79</v>
      </c>
      <c r="U20" s="634">
        <v>81.5</v>
      </c>
      <c r="V20" s="629">
        <v>82.9</v>
      </c>
      <c r="W20" s="455">
        <v>28.9</v>
      </c>
      <c r="X20" s="455">
        <v>82.6</v>
      </c>
      <c r="Y20" s="632">
        <v>82.5</v>
      </c>
      <c r="Z20" s="509">
        <f t="shared" ref="Z20:Z24" si="4">SUM(H20,O20,P20:Y20)</f>
        <v>1511.8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595">
        <v>320.7</v>
      </c>
      <c r="C21" s="596">
        <v>19.399999999999999</v>
      </c>
      <c r="D21" s="596">
        <v>19.5</v>
      </c>
      <c r="E21" s="596">
        <v>5.2</v>
      </c>
      <c r="F21" s="596">
        <v>19.8</v>
      </c>
      <c r="G21" s="597">
        <v>19.8</v>
      </c>
      <c r="H21" s="506">
        <f t="shared" si="2"/>
        <v>404.4</v>
      </c>
      <c r="I21" s="599">
        <v>323.3</v>
      </c>
      <c r="J21" s="596">
        <v>19.600000000000001</v>
      </c>
      <c r="K21" s="596">
        <v>19.899999999999999</v>
      </c>
      <c r="L21" s="596">
        <v>5</v>
      </c>
      <c r="M21" s="596">
        <v>18.8</v>
      </c>
      <c r="N21" s="600">
        <v>18.7</v>
      </c>
      <c r="O21" s="506">
        <f t="shared" si="3"/>
        <v>405.3</v>
      </c>
      <c r="P21" s="601">
        <v>78.900000000000006</v>
      </c>
      <c r="Q21" s="504">
        <v>78.5</v>
      </c>
      <c r="R21" s="596">
        <v>27.7</v>
      </c>
      <c r="S21" s="596">
        <v>78.900000000000006</v>
      </c>
      <c r="T21" s="600">
        <v>79</v>
      </c>
      <c r="U21" s="602">
        <v>81.5</v>
      </c>
      <c r="V21" s="596">
        <v>82.9</v>
      </c>
      <c r="W21" s="504">
        <v>28.5</v>
      </c>
      <c r="X21" s="504">
        <v>82.6</v>
      </c>
      <c r="Y21" s="600">
        <v>82.5</v>
      </c>
      <c r="Z21" s="509">
        <f t="shared" si="4"/>
        <v>1510.7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595">
        <v>320.7</v>
      </c>
      <c r="C22" s="596">
        <v>19.399999999999999</v>
      </c>
      <c r="D22" s="596">
        <v>19.5</v>
      </c>
      <c r="E22" s="596">
        <v>5.2</v>
      </c>
      <c r="F22" s="596">
        <v>19.8</v>
      </c>
      <c r="G22" s="597">
        <v>19.8</v>
      </c>
      <c r="H22" s="506">
        <f t="shared" si="2"/>
        <v>404.4</v>
      </c>
      <c r="I22" s="599">
        <v>323.3</v>
      </c>
      <c r="J22" s="596">
        <v>19.600000000000001</v>
      </c>
      <c r="K22" s="596">
        <v>19.899999999999999</v>
      </c>
      <c r="L22" s="596">
        <v>5</v>
      </c>
      <c r="M22" s="596">
        <v>18.8</v>
      </c>
      <c r="N22" s="600">
        <v>18.7</v>
      </c>
      <c r="O22" s="506">
        <f t="shared" si="3"/>
        <v>405.3</v>
      </c>
      <c r="P22" s="601">
        <v>78.900000000000006</v>
      </c>
      <c r="Q22" s="504">
        <v>78.5</v>
      </c>
      <c r="R22" s="596">
        <v>27.2</v>
      </c>
      <c r="S22" s="596">
        <v>78.900000000000006</v>
      </c>
      <c r="T22" s="600">
        <v>79</v>
      </c>
      <c r="U22" s="602">
        <v>81.5</v>
      </c>
      <c r="V22" s="596">
        <v>82.9</v>
      </c>
      <c r="W22" s="504">
        <v>28.5</v>
      </c>
      <c r="X22" s="504">
        <v>82.6</v>
      </c>
      <c r="Y22" s="600">
        <v>82.5</v>
      </c>
      <c r="Z22" s="509">
        <f t="shared" si="4"/>
        <v>1510.2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595">
        <v>320.3</v>
      </c>
      <c r="C23" s="596">
        <v>19.399999999999999</v>
      </c>
      <c r="D23" s="596">
        <v>19.5</v>
      </c>
      <c r="E23" s="596">
        <v>5.0999999999999996</v>
      </c>
      <c r="F23" s="596">
        <v>19.8</v>
      </c>
      <c r="G23" s="597">
        <v>19.8</v>
      </c>
      <c r="H23" s="506">
        <f t="shared" si="2"/>
        <v>403.90000000000003</v>
      </c>
      <c r="I23" s="599">
        <v>323.2</v>
      </c>
      <c r="J23" s="596">
        <v>19.600000000000001</v>
      </c>
      <c r="K23" s="596">
        <v>19.899999999999999</v>
      </c>
      <c r="L23" s="596">
        <v>5</v>
      </c>
      <c r="M23" s="596">
        <v>18.8</v>
      </c>
      <c r="N23" s="600">
        <v>18.7</v>
      </c>
      <c r="O23" s="506">
        <f t="shared" si="3"/>
        <v>405.2</v>
      </c>
      <c r="P23" s="601">
        <v>78.900000000000006</v>
      </c>
      <c r="Q23" s="504">
        <v>78.5</v>
      </c>
      <c r="R23" s="596">
        <v>27</v>
      </c>
      <c r="S23" s="596">
        <v>78.900000000000006</v>
      </c>
      <c r="T23" s="600">
        <v>79</v>
      </c>
      <c r="U23" s="602">
        <v>81.5</v>
      </c>
      <c r="V23" s="596">
        <v>82.9</v>
      </c>
      <c r="W23" s="504">
        <v>28.5</v>
      </c>
      <c r="X23" s="504">
        <v>82.6</v>
      </c>
      <c r="Y23" s="600">
        <v>82.5</v>
      </c>
      <c r="Z23" s="509">
        <f t="shared" si="4"/>
        <v>1509.4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595">
        <v>320.10000000000002</v>
      </c>
      <c r="C24" s="596">
        <v>19.399999999999999</v>
      </c>
      <c r="D24" s="596">
        <v>19.5</v>
      </c>
      <c r="E24" s="596">
        <v>5.0999999999999996</v>
      </c>
      <c r="F24" s="596">
        <v>19.8</v>
      </c>
      <c r="G24" s="597">
        <v>19.8</v>
      </c>
      <c r="H24" s="598">
        <f t="shared" si="2"/>
        <v>403.70000000000005</v>
      </c>
      <c r="I24" s="599">
        <v>322.89999999999998</v>
      </c>
      <c r="J24" s="596">
        <v>19.600000000000001</v>
      </c>
      <c r="K24" s="596">
        <v>19.899999999999999</v>
      </c>
      <c r="L24" s="596">
        <v>5</v>
      </c>
      <c r="M24" s="596">
        <v>18.8</v>
      </c>
      <c r="N24" s="600">
        <v>18.7</v>
      </c>
      <c r="O24" s="598">
        <f t="shared" si="3"/>
        <v>404.9</v>
      </c>
      <c r="P24" s="601">
        <v>78.900000000000006</v>
      </c>
      <c r="Q24" s="504">
        <v>78.5</v>
      </c>
      <c r="R24" s="596">
        <v>27</v>
      </c>
      <c r="S24" s="596">
        <v>78.900000000000006</v>
      </c>
      <c r="T24" s="600">
        <v>78.8</v>
      </c>
      <c r="U24" s="602">
        <v>81.5</v>
      </c>
      <c r="V24" s="596">
        <v>82.9</v>
      </c>
      <c r="W24" s="504">
        <v>28.5</v>
      </c>
      <c r="X24" s="504">
        <v>82.6</v>
      </c>
      <c r="Y24" s="600">
        <v>82.5</v>
      </c>
      <c r="Z24" s="643">
        <f t="shared" si="4"/>
        <v>1508.7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298">
        <f>SUM(C18:C24)</f>
        <v>136.4</v>
      </c>
      <c r="D25" s="298">
        <f t="shared" ref="D25:Y25" si="5">SUM(D18:D24)</f>
        <v>137.1</v>
      </c>
      <c r="E25" s="298">
        <f t="shared" si="5"/>
        <v>36.4</v>
      </c>
      <c r="F25" s="298">
        <f t="shared" si="5"/>
        <v>139.5</v>
      </c>
      <c r="G25" s="448">
        <f t="shared" si="5"/>
        <v>139.19999999999999</v>
      </c>
      <c r="H25" s="436">
        <f>SUM(H18:H24)</f>
        <v>2834</v>
      </c>
      <c r="I25" s="297"/>
      <c r="J25" s="298">
        <f t="shared" si="5"/>
        <v>137.79999999999998</v>
      </c>
      <c r="K25" s="298">
        <f>SUM(K18:K24)</f>
        <v>139.9</v>
      </c>
      <c r="L25" s="298">
        <f t="shared" si="5"/>
        <v>35.200000000000003</v>
      </c>
      <c r="M25" s="298">
        <f t="shared" si="5"/>
        <v>132.19999999999999</v>
      </c>
      <c r="N25" s="299">
        <f t="shared" si="5"/>
        <v>131.5</v>
      </c>
      <c r="O25" s="436">
        <f>SUM(O18:O24)</f>
        <v>2839.9</v>
      </c>
      <c r="P25" s="297">
        <f t="shared" si="5"/>
        <v>552.9</v>
      </c>
      <c r="Q25" s="298">
        <f t="shared" si="5"/>
        <v>549.70000000000005</v>
      </c>
      <c r="R25" s="298">
        <f t="shared" si="5"/>
        <v>192.4</v>
      </c>
      <c r="S25" s="298">
        <f t="shared" si="5"/>
        <v>552.69999999999993</v>
      </c>
      <c r="T25" s="448">
        <f t="shared" si="5"/>
        <v>552.79999999999995</v>
      </c>
      <c r="U25" s="297">
        <f t="shared" si="5"/>
        <v>571.1</v>
      </c>
      <c r="V25" s="298">
        <f t="shared" si="5"/>
        <v>581.09999999999991</v>
      </c>
      <c r="W25" s="298">
        <f t="shared" si="5"/>
        <v>201.5</v>
      </c>
      <c r="X25" s="298">
        <f t="shared" si="5"/>
        <v>579</v>
      </c>
      <c r="Y25" s="299">
        <f t="shared" si="5"/>
        <v>578.1</v>
      </c>
      <c r="Z25" s="607">
        <f>SUM(Z18,Z19,Z20,Z21,Z22,Z23,Z24)</f>
        <v>10585.2</v>
      </c>
      <c r="AA25" s="301"/>
    </row>
    <row r="26" spans="1:40" s="2" customFormat="1" ht="36.75" customHeight="1" x14ac:dyDescent="0.25">
      <c r="A26" s="192" t="s">
        <v>11</v>
      </c>
      <c r="B26" s="293"/>
      <c r="C26" s="603">
        <v>163.9</v>
      </c>
      <c r="D26" s="603">
        <v>163.9</v>
      </c>
      <c r="E26" s="603">
        <v>163.9</v>
      </c>
      <c r="F26" s="603">
        <v>163.9</v>
      </c>
      <c r="G26" s="603">
        <v>163.9</v>
      </c>
      <c r="H26" s="478"/>
      <c r="I26" s="604"/>
      <c r="J26" s="603">
        <v>163.9</v>
      </c>
      <c r="K26" s="603">
        <v>163.9</v>
      </c>
      <c r="L26" s="603">
        <v>162.19999999999999</v>
      </c>
      <c r="M26" s="603">
        <v>162.19999999999999</v>
      </c>
      <c r="N26" s="603">
        <v>162.19999999999999</v>
      </c>
      <c r="O26" s="610"/>
      <c r="P26" s="603">
        <v>162.19999999999999</v>
      </c>
      <c r="Q26" s="603">
        <v>162.19999999999999</v>
      </c>
      <c r="R26" s="603">
        <v>162.19999999999999</v>
      </c>
      <c r="S26" s="603">
        <v>162.19999999999999</v>
      </c>
      <c r="T26" s="603">
        <v>162.19999999999999</v>
      </c>
      <c r="U26" s="603">
        <v>162.19999999999999</v>
      </c>
      <c r="V26" s="603">
        <v>162.19999999999999</v>
      </c>
      <c r="W26" s="603">
        <v>162.19999999999999</v>
      </c>
      <c r="X26" s="603">
        <v>162.19999999999999</v>
      </c>
      <c r="Y26" s="603">
        <v>162.19999999999999</v>
      </c>
      <c r="Z26" s="605">
        <f>(((Z25*1000)/7)/Z27)</f>
        <v>163.14288796757242</v>
      </c>
    </row>
    <row r="27" spans="1:40" s="2" customFormat="1" ht="33" customHeight="1" x14ac:dyDescent="0.25">
      <c r="A27" s="193" t="s">
        <v>12</v>
      </c>
      <c r="B27" s="257"/>
      <c r="C27" s="27">
        <v>571</v>
      </c>
      <c r="D27" s="27">
        <v>575</v>
      </c>
      <c r="E27" s="27">
        <v>149</v>
      </c>
      <c r="F27" s="27">
        <v>583</v>
      </c>
      <c r="G27" s="27">
        <v>584</v>
      </c>
      <c r="H27" s="441"/>
      <c r="I27" s="26"/>
      <c r="J27" s="27">
        <v>578</v>
      </c>
      <c r="K27" s="27">
        <v>586</v>
      </c>
      <c r="L27" s="483">
        <v>156</v>
      </c>
      <c r="M27" s="27">
        <v>584</v>
      </c>
      <c r="N27" s="27">
        <v>580</v>
      </c>
      <c r="O27" s="611"/>
      <c r="P27" s="26">
        <v>487</v>
      </c>
      <c r="Q27" s="27">
        <v>484</v>
      </c>
      <c r="R27" s="27">
        <v>168</v>
      </c>
      <c r="S27" s="27">
        <v>487</v>
      </c>
      <c r="T27" s="623">
        <v>486</v>
      </c>
      <c r="U27" s="26">
        <v>503</v>
      </c>
      <c r="V27" s="27">
        <v>512</v>
      </c>
      <c r="W27" s="27">
        <v>177</v>
      </c>
      <c r="X27" s="27">
        <v>510</v>
      </c>
      <c r="Y27" s="28">
        <v>509</v>
      </c>
      <c r="Z27" s="29">
        <f>SUM(C27:Y27)</f>
        <v>9269</v>
      </c>
      <c r="AA27" s="402"/>
    </row>
    <row r="28" spans="1:40" s="2" customFormat="1" ht="33" customHeight="1" x14ac:dyDescent="0.25">
      <c r="A28" s="444" t="s">
        <v>13</v>
      </c>
      <c r="B28" s="445"/>
      <c r="C28" s="31">
        <f>(C33*C27)/1000</f>
        <v>19.356900000000003</v>
      </c>
      <c r="D28" s="31">
        <f>(D33*D27)/1000</f>
        <v>19.492500000000003</v>
      </c>
      <c r="E28" s="31">
        <f t="shared" ref="E28:F28" si="6">(E33*E27)/1000</f>
        <v>5.0511000000000017</v>
      </c>
      <c r="F28" s="31">
        <f t="shared" si="6"/>
        <v>19.763700000000004</v>
      </c>
      <c r="G28" s="31">
        <f>(G33*G27)/1000</f>
        <v>19.797600000000003</v>
      </c>
      <c r="H28" s="442"/>
      <c r="I28" s="30"/>
      <c r="J28" s="31">
        <f>(J33*J27)/1000</f>
        <v>19.594200000000004</v>
      </c>
      <c r="K28" s="31">
        <f t="shared" ref="K28:N28" si="7">(K33*K27)/1000</f>
        <v>19.865400000000005</v>
      </c>
      <c r="L28" s="31">
        <f t="shared" si="7"/>
        <v>5.0231999999999983</v>
      </c>
      <c r="M28" s="31">
        <f t="shared" si="7"/>
        <v>18.804799999999993</v>
      </c>
      <c r="N28" s="31">
        <f t="shared" si="7"/>
        <v>18.675999999999991</v>
      </c>
      <c r="O28" s="612"/>
      <c r="P28" s="30">
        <f>((((P26*7)*P27)/1000)-P18-P19)/5</f>
        <v>78.907959999999974</v>
      </c>
      <c r="Q28" s="31">
        <f t="shared" ref="Q28:Y28" si="8">((((Q26*7)*Q27)/1000)-Q18-Q19)/5</f>
        <v>78.466719999999981</v>
      </c>
      <c r="R28" s="31">
        <f>((((R26*7)*R27)/1000)-R18-R19)/5</f>
        <v>26.989439999999995</v>
      </c>
      <c r="S28" s="31">
        <f t="shared" si="8"/>
        <v>78.947959999999966</v>
      </c>
      <c r="T28" s="32">
        <f t="shared" si="8"/>
        <v>78.760879999999972</v>
      </c>
      <c r="U28" s="30">
        <f t="shared" si="8"/>
        <v>81.501239999999981</v>
      </c>
      <c r="V28" s="31">
        <f t="shared" si="8"/>
        <v>82.944959999999995</v>
      </c>
      <c r="W28" s="31">
        <f t="shared" si="8"/>
        <v>28.47316</v>
      </c>
      <c r="X28" s="31">
        <f t="shared" si="8"/>
        <v>82.610799999999969</v>
      </c>
      <c r="Y28" s="32">
        <f t="shared" si="8"/>
        <v>82.463719999999995</v>
      </c>
      <c r="Z28" s="33"/>
    </row>
    <row r="29" spans="1:40" ht="33.75" customHeight="1" x14ac:dyDescent="0.25">
      <c r="A29" s="185" t="s">
        <v>14</v>
      </c>
      <c r="B29" s="34"/>
      <c r="C29" s="280">
        <f>((C27*C30)*7)/1000</f>
        <v>136.4</v>
      </c>
      <c r="D29" s="280">
        <f t="shared" ref="D29:G29" si="9">((D27*D30)*7)/1000</f>
        <v>137.09999999999997</v>
      </c>
      <c r="E29" s="280">
        <f>((E27*E30)*7)/1000</f>
        <v>36.399999999999991</v>
      </c>
      <c r="F29" s="280">
        <f t="shared" si="9"/>
        <v>139.5</v>
      </c>
      <c r="G29" s="280">
        <f t="shared" si="9"/>
        <v>139.19999999999999</v>
      </c>
      <c r="H29" s="443"/>
      <c r="I29" s="279"/>
      <c r="J29" s="280">
        <f>((J27*J30)*7)/1000</f>
        <v>137.79999999999998</v>
      </c>
      <c r="K29" s="280">
        <f t="shared" ref="K29:N29" si="10">((K27*K30)*7)/1000</f>
        <v>139.90000000000003</v>
      </c>
      <c r="L29" s="280">
        <f t="shared" si="10"/>
        <v>35.20000000000001</v>
      </c>
      <c r="M29" s="280">
        <f t="shared" si="10"/>
        <v>132.19999999999996</v>
      </c>
      <c r="N29" s="280">
        <f t="shared" si="10"/>
        <v>131.5</v>
      </c>
      <c r="O29" s="613"/>
      <c r="P29" s="279">
        <f t="shared" ref="P29:Y29" si="11">((P27*P26)*7)/1000</f>
        <v>552.93979999999988</v>
      </c>
      <c r="Q29" s="280">
        <f t="shared" si="11"/>
        <v>549.53359999999986</v>
      </c>
      <c r="R29" s="280">
        <f t="shared" si="11"/>
        <v>190.74719999999999</v>
      </c>
      <c r="S29" s="280">
        <f t="shared" si="11"/>
        <v>552.93979999999988</v>
      </c>
      <c r="T29" s="282">
        <f t="shared" si="11"/>
        <v>551.80439999999999</v>
      </c>
      <c r="U29" s="279">
        <f t="shared" si="11"/>
        <v>571.10619999999994</v>
      </c>
      <c r="V29" s="280">
        <f t="shared" si="11"/>
        <v>581.32479999999998</v>
      </c>
      <c r="W29" s="280">
        <f t="shared" si="11"/>
        <v>200.9658</v>
      </c>
      <c r="X29" s="280">
        <f t="shared" si="11"/>
        <v>579.05399999999997</v>
      </c>
      <c r="Y29" s="282">
        <f t="shared" si="11"/>
        <v>577.91859999999986</v>
      </c>
      <c r="Z29" s="36"/>
    </row>
    <row r="30" spans="1:40" ht="33.75" customHeight="1" thickBot="1" x14ac:dyDescent="0.3">
      <c r="A30" s="195" t="s">
        <v>15</v>
      </c>
      <c r="B30" s="423"/>
      <c r="C30" s="38">
        <f>+(C25/C27)/7*1000</f>
        <v>34.125594195646734</v>
      </c>
      <c r="D30" s="38">
        <f t="shared" ref="D30:Y30" si="12">+(D25/D27)/7*1000</f>
        <v>34.062111801242231</v>
      </c>
      <c r="E30" s="38">
        <f t="shared" si="12"/>
        <v>34.899328859060397</v>
      </c>
      <c r="F30" s="38">
        <f t="shared" si="12"/>
        <v>34.182798333741729</v>
      </c>
      <c r="G30" s="38">
        <f t="shared" si="12"/>
        <v>34.050880626223091</v>
      </c>
      <c r="H30" s="259"/>
      <c r="I30" s="37"/>
      <c r="J30" s="38">
        <f t="shared" si="12"/>
        <v>34.058329214038551</v>
      </c>
      <c r="K30" s="38">
        <f t="shared" si="12"/>
        <v>34.105314480741107</v>
      </c>
      <c r="L30" s="38">
        <f t="shared" si="12"/>
        <v>32.234432234432241</v>
      </c>
      <c r="M30" s="38">
        <f t="shared" si="12"/>
        <v>32.338551859099802</v>
      </c>
      <c r="N30" s="38">
        <f t="shared" si="12"/>
        <v>32.389162561576356</v>
      </c>
      <c r="O30" s="614"/>
      <c r="P30" s="37">
        <f t="shared" si="12"/>
        <v>162.18832502200058</v>
      </c>
      <c r="Q30" s="38">
        <f t="shared" si="12"/>
        <v>162.24911452184182</v>
      </c>
      <c r="R30" s="38">
        <f t="shared" si="12"/>
        <v>163.60544217687072</v>
      </c>
      <c r="S30" s="38">
        <f t="shared" si="12"/>
        <v>162.12965679084772</v>
      </c>
      <c r="T30" s="39">
        <f t="shared" si="12"/>
        <v>162.49265138154027</v>
      </c>
      <c r="U30" s="37">
        <f t="shared" si="12"/>
        <v>162.19823913660895</v>
      </c>
      <c r="V30" s="38">
        <f t="shared" si="12"/>
        <v>162.13727678571428</v>
      </c>
      <c r="W30" s="38">
        <f t="shared" si="12"/>
        <v>162.63115415657788</v>
      </c>
      <c r="X30" s="38">
        <f t="shared" si="12"/>
        <v>162.18487394957984</v>
      </c>
      <c r="Y30" s="39">
        <f t="shared" si="12"/>
        <v>162.25091215268034</v>
      </c>
      <c r="Z30" s="40"/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3">D29-D25</f>
        <v>0</v>
      </c>
      <c r="E31" s="42">
        <f t="shared" si="13"/>
        <v>0</v>
      </c>
      <c r="F31" s="42">
        <f t="shared" si="13"/>
        <v>0</v>
      </c>
      <c r="G31" s="42">
        <f t="shared" si="13"/>
        <v>0</v>
      </c>
      <c r="H31" s="42"/>
      <c r="I31" s="42"/>
      <c r="J31" s="42">
        <f t="shared" si="13"/>
        <v>0</v>
      </c>
      <c r="K31" s="42">
        <f>K29-K25</f>
        <v>0</v>
      </c>
      <c r="L31" s="42">
        <f t="shared" si="13"/>
        <v>0</v>
      </c>
      <c r="M31" s="42">
        <f t="shared" si="13"/>
        <v>0</v>
      </c>
      <c r="N31" s="42">
        <f t="shared" si="13"/>
        <v>0</v>
      </c>
      <c r="O31" s="42"/>
      <c r="P31" s="42">
        <f t="shared" si="13"/>
        <v>3.9799999999900137E-2</v>
      </c>
      <c r="Q31" s="42">
        <f t="shared" si="13"/>
        <v>-0.16640000000018063</v>
      </c>
      <c r="R31" s="42">
        <f t="shared" si="13"/>
        <v>-1.6528000000000134</v>
      </c>
      <c r="S31" s="42">
        <f t="shared" si="13"/>
        <v>0.23979999999994561</v>
      </c>
      <c r="T31" s="42">
        <f t="shared" si="13"/>
        <v>-0.99559999999996762</v>
      </c>
      <c r="U31" s="42">
        <f t="shared" si="13"/>
        <v>6.1999999999216016E-3</v>
      </c>
      <c r="V31" s="42">
        <f t="shared" si="13"/>
        <v>0.22480000000007294</v>
      </c>
      <c r="W31" s="42">
        <f t="shared" si="13"/>
        <v>-0.53419999999999845</v>
      </c>
      <c r="X31" s="42">
        <f t="shared" si="13"/>
        <v>5.3999999999973625E-2</v>
      </c>
      <c r="Y31" s="42">
        <f t="shared" si="13"/>
        <v>-0.18140000000016698</v>
      </c>
      <c r="Z31" s="48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0.22559419564672822</v>
      </c>
      <c r="D32" s="42">
        <f t="shared" ref="D32:G32" si="14">D30-D33</f>
        <v>0.16211180124222579</v>
      </c>
      <c r="E32" s="42">
        <f t="shared" si="14"/>
        <v>0.99932885906039104</v>
      </c>
      <c r="F32" s="42">
        <f t="shared" si="14"/>
        <v>0.2827983337417237</v>
      </c>
      <c r="G32" s="42">
        <f t="shared" si="14"/>
        <v>0.15088062622308485</v>
      </c>
      <c r="H32" s="42"/>
      <c r="I32" s="42"/>
      <c r="J32" s="42">
        <f t="shared" ref="J32:N32" si="15">J30-J33</f>
        <v>0.15832921403854527</v>
      </c>
      <c r="K32" s="42">
        <f t="shared" si="15"/>
        <v>0.20531448074110159</v>
      </c>
      <c r="L32" s="42">
        <f t="shared" si="15"/>
        <v>3.4432234432252073E-2</v>
      </c>
      <c r="M32" s="42">
        <f t="shared" si="15"/>
        <v>0.13855185909981316</v>
      </c>
      <c r="N32" s="42">
        <f t="shared" si="15"/>
        <v>0.18916256157636724</v>
      </c>
      <c r="O32" s="42"/>
      <c r="P32" s="42">
        <f t="shared" si="13"/>
        <v>-1.1674977999405201E-2</v>
      </c>
      <c r="Q32" s="42">
        <f t="shared" si="13"/>
        <v>4.9114521841829628E-2</v>
      </c>
      <c r="R32" s="42">
        <f t="shared" si="13"/>
        <v>1.4054421768707357</v>
      </c>
      <c r="S32" s="42">
        <f t="shared" si="13"/>
        <v>-7.0343209152269992E-2</v>
      </c>
      <c r="T32" s="42">
        <f t="shared" si="13"/>
        <v>0.29265138154028136</v>
      </c>
      <c r="U32" s="42">
        <f t="shared" si="13"/>
        <v>-1.7608633910413118E-3</v>
      </c>
      <c r="V32" s="42">
        <f t="shared" si="13"/>
        <v>-6.2723214285711038E-2</v>
      </c>
      <c r="W32" s="42">
        <f t="shared" si="13"/>
        <v>0.43115415657788958</v>
      </c>
      <c r="X32" s="42">
        <f t="shared" si="13"/>
        <v>-1.512605042015025E-2</v>
      </c>
      <c r="Y32" s="42">
        <f t="shared" si="13"/>
        <v>5.0912152680353984E-2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33.900000000000006</v>
      </c>
      <c r="D33" s="42">
        <f t="shared" ref="D33:G33" si="16">D26-$B$34</f>
        <v>33.900000000000006</v>
      </c>
      <c r="E33" s="42">
        <f t="shared" si="16"/>
        <v>33.900000000000006</v>
      </c>
      <c r="F33" s="42">
        <f t="shared" si="16"/>
        <v>33.900000000000006</v>
      </c>
      <c r="G33" s="42">
        <f t="shared" si="16"/>
        <v>33.900000000000006</v>
      </c>
      <c r="H33" s="42"/>
      <c r="I33" s="42"/>
      <c r="J33" s="42">
        <f>J26-$I$34</f>
        <v>33.900000000000006</v>
      </c>
      <c r="K33" s="42">
        <f t="shared" ref="K33:N33" si="17">K26-$I$34</f>
        <v>33.900000000000006</v>
      </c>
      <c r="L33" s="42">
        <f t="shared" si="17"/>
        <v>32.199999999999989</v>
      </c>
      <c r="M33" s="42">
        <f t="shared" si="17"/>
        <v>32.199999999999989</v>
      </c>
      <c r="N33" s="42">
        <f t="shared" si="17"/>
        <v>32.199999999999989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320.06</v>
      </c>
      <c r="D34" s="432">
        <f>SUM(C27:G27)</f>
        <v>2462</v>
      </c>
      <c r="E34" s="42"/>
      <c r="F34" s="42"/>
      <c r="G34" s="42"/>
      <c r="H34" s="42"/>
      <c r="I34" s="514">
        <v>130</v>
      </c>
      <c r="J34" s="431">
        <f>(I34*K34)/1000</f>
        <v>322.92</v>
      </c>
      <c r="K34" s="432">
        <f>SUM(J27:N27)</f>
        <v>2484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9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652" t="s">
        <v>18</v>
      </c>
      <c r="M39" s="653" t="s">
        <v>17</v>
      </c>
      <c r="N39" s="654"/>
      <c r="O39" s="654"/>
      <c r="P39" s="654"/>
      <c r="Q39" s="654"/>
      <c r="R39" s="655" t="s">
        <v>9</v>
      </c>
      <c r="S39" s="645"/>
      <c r="U39" s="45"/>
      <c r="V39" s="45"/>
      <c r="W39" s="46"/>
      <c r="X39" s="3"/>
      <c r="Y39" s="45"/>
      <c r="Z39" s="45"/>
      <c r="AA39" s="45"/>
      <c r="AB39" s="3"/>
    </row>
    <row r="40" spans="1:38" ht="33.75" customHeight="1" thickBot="1" x14ac:dyDescent="0.3">
      <c r="A40" s="170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1">
        <v>1</v>
      </c>
      <c r="N40" s="16">
        <v>2</v>
      </c>
      <c r="O40" s="16">
        <v>3</v>
      </c>
      <c r="P40" s="16">
        <v>4</v>
      </c>
      <c r="Q40" s="16">
        <v>5</v>
      </c>
      <c r="R40" s="76"/>
      <c r="S40" s="645"/>
      <c r="U40" s="47"/>
      <c r="X40" s="48"/>
      <c r="Y40" s="2"/>
      <c r="Z40" s="2"/>
      <c r="AA40" s="2"/>
      <c r="AB40" s="2"/>
    </row>
    <row r="41" spans="1:38" ht="33.75" customHeight="1" x14ac:dyDescent="0.25">
      <c r="A41" s="171" t="s">
        <v>32</v>
      </c>
      <c r="B41" s="142">
        <v>95.6</v>
      </c>
      <c r="C41" s="486">
        <v>94.2</v>
      </c>
      <c r="D41" s="486">
        <v>23.5</v>
      </c>
      <c r="E41" s="486">
        <v>96</v>
      </c>
      <c r="F41" s="537">
        <v>95</v>
      </c>
      <c r="G41" s="509">
        <f t="shared" ref="G41:G48" si="18">SUM(B41:F41)</f>
        <v>404.3</v>
      </c>
      <c r="H41" s="609"/>
      <c r="I41" s="364"/>
      <c r="J41" s="364"/>
      <c r="K41" s="364"/>
      <c r="L41" s="171" t="s">
        <v>53</v>
      </c>
      <c r="M41" s="18">
        <v>7.3</v>
      </c>
      <c r="N41" s="19">
        <v>7.2</v>
      </c>
      <c r="O41" s="19">
        <v>1.8</v>
      </c>
      <c r="P41" s="19">
        <v>7.4</v>
      </c>
      <c r="Q41" s="19">
        <v>7.2</v>
      </c>
      <c r="R41" s="656">
        <f>SUM(M41:Q41)</f>
        <v>30.900000000000002</v>
      </c>
      <c r="S41" s="646"/>
      <c r="T41" s="657"/>
      <c r="U41" s="657"/>
      <c r="X41" s="48"/>
      <c r="Y41" s="2"/>
      <c r="Z41" s="2"/>
      <c r="AA41" s="2"/>
      <c r="AB41" s="2"/>
    </row>
    <row r="42" spans="1:38" ht="33.75" customHeight="1" x14ac:dyDescent="0.25">
      <c r="A42" s="171" t="s">
        <v>24</v>
      </c>
      <c r="B42" s="532">
        <v>95.6</v>
      </c>
      <c r="C42" s="431">
        <v>94.2</v>
      </c>
      <c r="D42" s="431">
        <v>23.5</v>
      </c>
      <c r="E42" s="431">
        <v>95.7</v>
      </c>
      <c r="F42" s="533">
        <v>94.6</v>
      </c>
      <c r="G42" s="509">
        <f t="shared" si="18"/>
        <v>403.6</v>
      </c>
      <c r="H42" s="609"/>
      <c r="I42" s="364"/>
      <c r="J42" s="364"/>
      <c r="K42" s="364"/>
      <c r="L42" s="171" t="s">
        <v>24</v>
      </c>
      <c r="M42" s="18">
        <v>7.3</v>
      </c>
      <c r="N42" s="19">
        <v>7.2</v>
      </c>
      <c r="O42" s="19">
        <v>1.8</v>
      </c>
      <c r="P42" s="19">
        <v>7.4</v>
      </c>
      <c r="Q42" s="19">
        <v>7.2</v>
      </c>
      <c r="R42" s="656">
        <f t="shared" ref="R42:R47" si="19">SUM(M42:Q42)</f>
        <v>30.900000000000002</v>
      </c>
      <c r="S42" s="646"/>
      <c r="T42" s="647"/>
      <c r="U42" s="658"/>
      <c r="X42" s="48"/>
      <c r="Y42" s="2"/>
      <c r="Z42" s="2"/>
      <c r="AA42" s="2"/>
      <c r="AB42" s="2"/>
    </row>
    <row r="43" spans="1:38" ht="33.75" customHeight="1" x14ac:dyDescent="0.25">
      <c r="A43" s="171" t="s">
        <v>20</v>
      </c>
      <c r="B43" s="142">
        <v>95.4</v>
      </c>
      <c r="C43" s="486">
        <v>94.2</v>
      </c>
      <c r="D43" s="486">
        <v>23.5</v>
      </c>
      <c r="E43" s="486">
        <v>95.7</v>
      </c>
      <c r="F43" s="537">
        <v>94.6</v>
      </c>
      <c r="G43" s="509">
        <f t="shared" si="18"/>
        <v>403.4</v>
      </c>
      <c r="H43" s="609"/>
      <c r="I43" s="364"/>
      <c r="J43" s="364"/>
      <c r="K43" s="364"/>
      <c r="L43" s="171" t="s">
        <v>20</v>
      </c>
      <c r="M43" s="18">
        <v>7.4</v>
      </c>
      <c r="N43" s="19">
        <v>7.4</v>
      </c>
      <c r="O43" s="19">
        <v>1.9</v>
      </c>
      <c r="P43" s="19">
        <v>7.5</v>
      </c>
      <c r="Q43" s="19">
        <v>7</v>
      </c>
      <c r="R43" s="656">
        <f t="shared" si="19"/>
        <v>31.2</v>
      </c>
      <c r="S43" s="646"/>
      <c r="T43" s="647"/>
      <c r="U43" s="658"/>
      <c r="X43" s="48"/>
      <c r="Y43" s="2"/>
      <c r="Z43" s="2"/>
      <c r="AA43" s="2"/>
      <c r="AB43" s="2"/>
    </row>
    <row r="44" spans="1:38" ht="33.75" customHeight="1" x14ac:dyDescent="0.25">
      <c r="A44" s="171" t="s">
        <v>28</v>
      </c>
      <c r="B44" s="142">
        <v>95.2</v>
      </c>
      <c r="C44" s="486">
        <v>94.2</v>
      </c>
      <c r="D44" s="486">
        <v>23.5</v>
      </c>
      <c r="E44" s="486">
        <v>95.3</v>
      </c>
      <c r="F44" s="537">
        <v>94.4</v>
      </c>
      <c r="G44" s="509">
        <f t="shared" si="18"/>
        <v>402.6</v>
      </c>
      <c r="H44" s="609"/>
      <c r="I44" s="364"/>
      <c r="J44" s="364"/>
      <c r="K44" s="364"/>
      <c r="L44" s="171" t="s">
        <v>28</v>
      </c>
      <c r="M44" s="18">
        <v>7.4</v>
      </c>
      <c r="N44" s="19">
        <v>7.4</v>
      </c>
      <c r="O44" s="19">
        <v>1.9</v>
      </c>
      <c r="P44" s="19">
        <v>7.5</v>
      </c>
      <c r="Q44" s="19">
        <v>7</v>
      </c>
      <c r="R44" s="656">
        <f t="shared" si="19"/>
        <v>31.2</v>
      </c>
      <c r="S44" s="646"/>
      <c r="T44" s="647"/>
      <c r="U44" s="658"/>
      <c r="X44" s="48"/>
      <c r="Y44" s="2"/>
      <c r="Z44" s="2"/>
      <c r="AA44" s="2"/>
      <c r="AB44" s="2"/>
    </row>
    <row r="45" spans="1:38" ht="33.75" customHeight="1" x14ac:dyDescent="0.25">
      <c r="A45" s="171" t="s">
        <v>21</v>
      </c>
      <c r="B45" s="142">
        <v>95.2</v>
      </c>
      <c r="C45" s="486">
        <v>94.2</v>
      </c>
      <c r="D45" s="486">
        <v>23.5</v>
      </c>
      <c r="E45" s="486">
        <v>95.1</v>
      </c>
      <c r="F45" s="537">
        <v>94.2</v>
      </c>
      <c r="G45" s="509">
        <f t="shared" si="18"/>
        <v>402.2</v>
      </c>
      <c r="H45" s="609"/>
      <c r="I45" s="364"/>
      <c r="J45" s="364"/>
      <c r="K45" s="364"/>
      <c r="L45" s="171" t="s">
        <v>21</v>
      </c>
      <c r="M45" s="18">
        <v>7.4</v>
      </c>
      <c r="N45" s="19">
        <v>7.4</v>
      </c>
      <c r="O45" s="19">
        <v>1.9</v>
      </c>
      <c r="P45" s="19">
        <v>7.5</v>
      </c>
      <c r="Q45" s="19">
        <v>7</v>
      </c>
      <c r="R45" s="656">
        <f t="shared" si="19"/>
        <v>31.2</v>
      </c>
      <c r="S45" s="646"/>
      <c r="T45" s="647"/>
      <c r="U45" s="658"/>
      <c r="X45" s="48"/>
      <c r="Y45" s="2"/>
      <c r="Z45" s="2"/>
      <c r="AA45" s="2"/>
      <c r="AB45" s="2"/>
    </row>
    <row r="46" spans="1:38" ht="33.75" customHeight="1" x14ac:dyDescent="0.25">
      <c r="A46" s="171" t="s">
        <v>22</v>
      </c>
      <c r="B46" s="142">
        <v>95.2</v>
      </c>
      <c r="C46" s="486">
        <v>94.2</v>
      </c>
      <c r="D46" s="486">
        <v>23.5</v>
      </c>
      <c r="E46" s="486">
        <v>95.1</v>
      </c>
      <c r="F46" s="537">
        <v>94.2</v>
      </c>
      <c r="G46" s="509">
        <f t="shared" si="18"/>
        <v>402.2</v>
      </c>
      <c r="H46" s="609"/>
      <c r="I46" s="364"/>
      <c r="J46" s="364"/>
      <c r="K46" s="364"/>
      <c r="L46" s="171" t="s">
        <v>22</v>
      </c>
      <c r="M46" s="18">
        <v>7.4</v>
      </c>
      <c r="N46" s="19">
        <v>7.4</v>
      </c>
      <c r="O46" s="19">
        <v>1.9</v>
      </c>
      <c r="P46" s="19">
        <v>7.5</v>
      </c>
      <c r="Q46" s="19">
        <v>7</v>
      </c>
      <c r="R46" s="656">
        <f t="shared" si="19"/>
        <v>31.2</v>
      </c>
      <c r="S46" s="646"/>
      <c r="T46" s="647"/>
      <c r="U46" s="658"/>
      <c r="X46" s="48"/>
      <c r="Y46" s="2"/>
      <c r="Z46" s="2"/>
      <c r="AA46" s="2"/>
      <c r="AB46" s="2"/>
    </row>
    <row r="47" spans="1:38" ht="33.75" customHeight="1" thickBot="1" x14ac:dyDescent="0.3">
      <c r="A47" s="285" t="s">
        <v>23</v>
      </c>
      <c r="B47" s="142">
        <v>95.2</v>
      </c>
      <c r="C47" s="486">
        <v>94.2</v>
      </c>
      <c r="D47" s="486">
        <v>23.4</v>
      </c>
      <c r="E47" s="486">
        <v>95.1</v>
      </c>
      <c r="F47" s="537">
        <v>94.2</v>
      </c>
      <c r="G47" s="526">
        <f t="shared" si="18"/>
        <v>402.09999999999997</v>
      </c>
      <c r="H47" s="609"/>
      <c r="I47" s="364"/>
      <c r="J47" s="364"/>
      <c r="K47" s="364"/>
      <c r="L47" s="285" t="s">
        <v>23</v>
      </c>
      <c r="M47" s="18">
        <v>7.4</v>
      </c>
      <c r="N47" s="19">
        <v>7.1</v>
      </c>
      <c r="O47" s="19">
        <v>1.9</v>
      </c>
      <c r="P47" s="19">
        <v>7.5</v>
      </c>
      <c r="Q47" s="19">
        <v>7</v>
      </c>
      <c r="R47" s="656">
        <f t="shared" si="19"/>
        <v>30.9</v>
      </c>
      <c r="S47" s="646"/>
      <c r="T47" s="647"/>
      <c r="U47" s="658"/>
      <c r="X47" s="48"/>
      <c r="Y47" s="48"/>
      <c r="Z47" s="48"/>
      <c r="AA47" s="2"/>
      <c r="AB47" s="2"/>
      <c r="AC47" s="2"/>
      <c r="AD47" s="2"/>
    </row>
    <row r="48" spans="1:38" ht="33.75" customHeight="1" x14ac:dyDescent="0.25">
      <c r="A48" s="290" t="s">
        <v>9</v>
      </c>
      <c r="B48" s="131">
        <f>SUM(B41:B47)</f>
        <v>667.40000000000009</v>
      </c>
      <c r="C48" s="128">
        <f t="shared" ref="C48:F48" si="20">SUM(C41:C47)</f>
        <v>659.40000000000009</v>
      </c>
      <c r="D48" s="128">
        <f t="shared" si="20"/>
        <v>164.4</v>
      </c>
      <c r="E48" s="128">
        <f t="shared" si="20"/>
        <v>668</v>
      </c>
      <c r="F48" s="129">
        <f t="shared" si="20"/>
        <v>661.2</v>
      </c>
      <c r="G48" s="644">
        <f t="shared" si="18"/>
        <v>2820.4000000000005</v>
      </c>
      <c r="H48" s="609"/>
      <c r="I48" s="364"/>
      <c r="J48" s="364"/>
      <c r="K48" s="364"/>
      <c r="L48" s="290" t="s">
        <v>9</v>
      </c>
      <c r="M48" s="18">
        <f>SUM(M41:M47)</f>
        <v>51.599999999999994</v>
      </c>
      <c r="N48" s="19">
        <f>SUM(N41:N47)</f>
        <v>51.1</v>
      </c>
      <c r="O48" s="19">
        <f>SUM(O41:O47)</f>
        <v>13.100000000000001</v>
      </c>
      <c r="P48" s="19">
        <f t="shared" ref="P48:Q48" si="21">SUM(P41:P47)</f>
        <v>52.3</v>
      </c>
      <c r="Q48" s="19">
        <f t="shared" si="21"/>
        <v>49.4</v>
      </c>
      <c r="R48" s="77">
        <f>SUM(M48:Q48)</f>
        <v>217.49999999999997</v>
      </c>
      <c r="S48" s="647"/>
      <c r="T48" s="647"/>
      <c r="U48" s="658"/>
      <c r="X48" s="2"/>
      <c r="Y48" s="2"/>
      <c r="Z48" s="2"/>
      <c r="AA48" s="2"/>
      <c r="AB48" s="2"/>
      <c r="AC48" s="2"/>
      <c r="AD48" s="2"/>
    </row>
    <row r="49" spans="1:50" ht="33.75" customHeight="1" x14ac:dyDescent="0.25">
      <c r="A49" s="192" t="s">
        <v>11</v>
      </c>
      <c r="B49" s="23">
        <v>158.1</v>
      </c>
      <c r="C49" s="24">
        <v>158.1</v>
      </c>
      <c r="D49" s="24">
        <v>158.1</v>
      </c>
      <c r="E49" s="24">
        <v>158.1</v>
      </c>
      <c r="F49" s="25">
        <v>158.1</v>
      </c>
      <c r="G49" s="137">
        <f>+((G48/G50)/7)*1000</f>
        <v>158.12962547656429</v>
      </c>
      <c r="H49" s="609"/>
      <c r="I49" s="364"/>
      <c r="J49" s="364"/>
      <c r="K49" s="364"/>
      <c r="L49" s="273" t="s">
        <v>11</v>
      </c>
      <c r="M49" s="23">
        <v>157</v>
      </c>
      <c r="N49" s="24">
        <v>155.5</v>
      </c>
      <c r="O49" s="24">
        <v>154</v>
      </c>
      <c r="P49" s="24">
        <v>155</v>
      </c>
      <c r="Q49" s="24">
        <v>153.5</v>
      </c>
      <c r="R49" s="78">
        <f>+((R48/R50)/7)*1000</f>
        <v>156.13783201722899</v>
      </c>
      <c r="S49" s="648"/>
      <c r="T49" s="647"/>
      <c r="U49" s="658"/>
      <c r="V49" s="50"/>
    </row>
    <row r="50" spans="1:50" ht="33.75" customHeight="1" x14ac:dyDescent="0.25">
      <c r="A50" s="193" t="s">
        <v>12</v>
      </c>
      <c r="B50" s="26">
        <v>603</v>
      </c>
      <c r="C50" s="27">
        <v>597</v>
      </c>
      <c r="D50" s="27">
        <v>148</v>
      </c>
      <c r="E50" s="27">
        <v>603</v>
      </c>
      <c r="F50" s="28">
        <v>597</v>
      </c>
      <c r="G50" s="395">
        <f>SUM(B50:F50)</f>
        <v>2548</v>
      </c>
      <c r="H50" s="609"/>
      <c r="I50" s="364"/>
      <c r="J50" s="364"/>
      <c r="K50" s="364"/>
      <c r="L50" s="193" t="s">
        <v>12</v>
      </c>
      <c r="M50" s="257">
        <v>47</v>
      </c>
      <c r="N50" s="275">
        <v>46</v>
      </c>
      <c r="O50" s="275">
        <v>12</v>
      </c>
      <c r="P50" s="275">
        <v>48</v>
      </c>
      <c r="Q50" s="275">
        <v>46</v>
      </c>
      <c r="R50" s="82">
        <f>SUM(L50:Q50)</f>
        <v>199</v>
      </c>
      <c r="S50" s="649"/>
      <c r="T50" s="301"/>
      <c r="U50" s="52"/>
      <c r="V50" s="52"/>
    </row>
    <row r="51" spans="1:50" ht="33.75" customHeight="1" x14ac:dyDescent="0.25">
      <c r="A51" s="194" t="s">
        <v>13</v>
      </c>
      <c r="B51" s="30">
        <f>((((B49*7)*B50)/1000)-B41-B42)/5</f>
        <v>95.228019999999987</v>
      </c>
      <c r="C51" s="31">
        <f t="shared" ref="C51:F51" si="22">((((C49*7)*C50)/1000)-C41-C42)/5</f>
        <v>94.459980000000002</v>
      </c>
      <c r="D51" s="31">
        <f>((((D49*7)*D50)/1000)-D41-D42)/5</f>
        <v>23.358320000000003</v>
      </c>
      <c r="E51" s="31">
        <f t="shared" si="22"/>
        <v>95.128020000000006</v>
      </c>
      <c r="F51" s="32">
        <f t="shared" si="22"/>
        <v>94.219980000000007</v>
      </c>
      <c r="G51" s="139">
        <f>((G48*1000)/G50)/7</f>
        <v>158.12962547656429</v>
      </c>
      <c r="H51" s="609"/>
      <c r="I51" s="364"/>
      <c r="J51" s="364"/>
      <c r="K51" s="364"/>
      <c r="L51" s="194" t="s">
        <v>13</v>
      </c>
      <c r="M51" s="30">
        <f>((((M49*7)*M50)/1000)-M41-M42)/5</f>
        <v>7.4106000000000005</v>
      </c>
      <c r="N51" s="31">
        <f t="shared" ref="N51:Q51" si="23">((((N49*7)*N50)/1000)-N41-N42)/5</f>
        <v>7.1341999999999981</v>
      </c>
      <c r="O51" s="31">
        <f t="shared" si="23"/>
        <v>1.8671999999999997</v>
      </c>
      <c r="P51" s="31">
        <f t="shared" si="23"/>
        <v>7.4560000000000004</v>
      </c>
      <c r="Q51" s="31">
        <f t="shared" si="23"/>
        <v>7.005399999999999</v>
      </c>
      <c r="R51" s="83">
        <f>((R48*1000)/R50)/7</f>
        <v>156.13783201722896</v>
      </c>
      <c r="S51" s="650"/>
      <c r="T51" s="301"/>
      <c r="U51" s="52"/>
      <c r="V51" s="52"/>
    </row>
    <row r="52" spans="1:50" ht="33.75" customHeight="1" x14ac:dyDescent="0.25">
      <c r="A52" s="185" t="s">
        <v>14</v>
      </c>
      <c r="B52" s="279">
        <f>((B50*B49)*7)/1000</f>
        <v>667.34010000000001</v>
      </c>
      <c r="C52" s="280">
        <f>((C50*C49)*7)/1000</f>
        <v>660.69990000000007</v>
      </c>
      <c r="D52" s="280">
        <f>((D50*D49)*7)/1000</f>
        <v>163.79160000000002</v>
      </c>
      <c r="E52" s="280">
        <f>((E50*E49)*7)/1000</f>
        <v>667.34010000000001</v>
      </c>
      <c r="F52" s="282">
        <f>((F50*F49)*7)/1000</f>
        <v>660.69990000000007</v>
      </c>
      <c r="G52" s="112"/>
      <c r="H52" s="609"/>
      <c r="I52" s="364"/>
      <c r="J52" s="364"/>
      <c r="K52" s="364"/>
      <c r="L52" s="185" t="s">
        <v>14</v>
      </c>
      <c r="M52" s="279">
        <f>((M50*M49)*7)/1000</f>
        <v>51.652999999999999</v>
      </c>
      <c r="N52" s="280">
        <f>((N50*N49)*7)/1000</f>
        <v>50.070999999999998</v>
      </c>
      <c r="O52" s="280">
        <f>((O50*O49)*7)/1000</f>
        <v>12.936</v>
      </c>
      <c r="P52" s="280">
        <f t="shared" ref="P52:Q52" si="24">((P50*P49)*7)/1000</f>
        <v>52.08</v>
      </c>
      <c r="Q52" s="280">
        <f t="shared" si="24"/>
        <v>49.427</v>
      </c>
      <c r="R52" s="84"/>
      <c r="S52" s="522"/>
    </row>
    <row r="53" spans="1:50" ht="33.75" customHeight="1" thickBot="1" x14ac:dyDescent="0.3">
      <c r="A53" s="195" t="s">
        <v>15</v>
      </c>
      <c r="B53" s="37">
        <f t="shared" ref="B53:E53" si="25">+(B48/B50)/7*1000</f>
        <v>158.11419095001187</v>
      </c>
      <c r="C53" s="38">
        <f t="shared" si="25"/>
        <v>157.7889447236181</v>
      </c>
      <c r="D53" s="38">
        <f t="shared" si="25"/>
        <v>158.68725868725869</v>
      </c>
      <c r="E53" s="38">
        <f t="shared" si="25"/>
        <v>158.256337360815</v>
      </c>
      <c r="F53" s="39">
        <f>+(F48/F50)/7*1000</f>
        <v>158.21966977745873</v>
      </c>
      <c r="G53" s="140"/>
      <c r="H53" s="609"/>
      <c r="I53" s="364"/>
      <c r="J53" s="364"/>
      <c r="K53" s="364"/>
      <c r="L53" s="195" t="s">
        <v>15</v>
      </c>
      <c r="M53" s="37">
        <f>+(M48/M50)/7*1000</f>
        <v>156.83890577507594</v>
      </c>
      <c r="N53" s="38">
        <f>+(N48/N50)/7*1000</f>
        <v>158.69565217391306</v>
      </c>
      <c r="O53" s="38">
        <f>+(O48/O50)/7*1000</f>
        <v>155.95238095238099</v>
      </c>
      <c r="P53" s="38">
        <f t="shared" ref="P53:Q53" si="26">+(P48/P50)/7*1000</f>
        <v>155.6547619047619</v>
      </c>
      <c r="Q53" s="38">
        <f t="shared" si="26"/>
        <v>153.41614906832299</v>
      </c>
      <c r="R53" s="39"/>
      <c r="S53" s="651"/>
      <c r="U53" s="42"/>
      <c r="V53" s="42"/>
    </row>
    <row r="54" spans="1:50" ht="33.75" customHeight="1" x14ac:dyDescent="0.25">
      <c r="A54" s="41"/>
      <c r="B54" s="43">
        <f>B52-B48</f>
        <v>-5.9900000000084219E-2</v>
      </c>
      <c r="C54" s="43">
        <f t="shared" ref="C54:F55" si="27">C52-C48</f>
        <v>1.2998999999999796</v>
      </c>
      <c r="D54" s="43">
        <f t="shared" si="27"/>
        <v>-0.60839999999998895</v>
      </c>
      <c r="E54" s="43">
        <f>E52-E48</f>
        <v>-0.65989999999999327</v>
      </c>
      <c r="F54" s="43">
        <f t="shared" si="27"/>
        <v>-0.5000999999999749</v>
      </c>
      <c r="G54" s="41"/>
      <c r="H54" s="41"/>
      <c r="I54" s="41"/>
      <c r="J54" s="41"/>
      <c r="K54" s="41"/>
      <c r="L54" s="42"/>
      <c r="M54" s="42">
        <f>M52-M48</f>
        <v>5.3000000000004377E-2</v>
      </c>
      <c r="N54" s="42">
        <f t="shared" ref="N54:R55" si="28">N52-N48</f>
        <v>-1.0290000000000035</v>
      </c>
      <c r="O54" s="42">
        <f t="shared" si="28"/>
        <v>-0.16400000000000148</v>
      </c>
      <c r="P54" s="42">
        <f t="shared" si="28"/>
        <v>-0.21999999999999886</v>
      </c>
      <c r="Q54" s="42">
        <f t="shared" si="28"/>
        <v>2.7000000000001023E-2</v>
      </c>
      <c r="R54" s="42">
        <f t="shared" si="28"/>
        <v>-217.49999999999997</v>
      </c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1.4190950011879977E-2</v>
      </c>
      <c r="C55" s="42">
        <f>C53-C49</f>
        <v>-0.31105527638189301</v>
      </c>
      <c r="D55" s="42">
        <f t="shared" si="27"/>
        <v>0.58725868725869645</v>
      </c>
      <c r="E55" s="42">
        <f>E53-E49</f>
        <v>0.1563373608150016</v>
      </c>
      <c r="F55" s="42">
        <f>F53-F49</f>
        <v>0.11966977745873919</v>
      </c>
      <c r="G55" s="41"/>
      <c r="H55" s="41"/>
      <c r="I55" s="41"/>
      <c r="J55" s="41"/>
      <c r="K55" s="42"/>
      <c r="L55" s="42"/>
      <c r="M55" s="42">
        <f>M53-M49</f>
        <v>-0.16109422492405656</v>
      </c>
      <c r="N55" s="42">
        <f t="shared" si="28"/>
        <v>3.1956521739130608</v>
      </c>
      <c r="O55" s="42">
        <f>O53-O49</f>
        <v>1.9523809523809916</v>
      </c>
      <c r="P55" s="42">
        <f t="shared" si="28"/>
        <v>0.65476190476189799</v>
      </c>
      <c r="Q55" s="42">
        <f t="shared" si="28"/>
        <v>-8.3850931677005747E-2</v>
      </c>
      <c r="R55" s="42">
        <f t="shared" si="28"/>
        <v>-156.13783201722899</v>
      </c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54"/>
      <c r="N57" s="54"/>
      <c r="O57" s="637"/>
      <c r="P57" s="637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640" t="s">
        <v>30</v>
      </c>
      <c r="H58" s="974"/>
      <c r="I58" s="974"/>
      <c r="J58" s="974"/>
      <c r="K58" s="991"/>
      <c r="L58" s="973" t="s">
        <v>29</v>
      </c>
      <c r="M58" s="974"/>
      <c r="N58" s="974"/>
      <c r="O58" s="974"/>
      <c r="P58" s="974"/>
      <c r="Q58" s="973" t="s">
        <v>31</v>
      </c>
      <c r="R58" s="974"/>
      <c r="S58" s="974"/>
      <c r="T58" s="974"/>
      <c r="U58" s="991"/>
      <c r="V58" s="586" t="s">
        <v>9</v>
      </c>
      <c r="W58" s="661"/>
      <c r="X58" s="662"/>
      <c r="Y58" s="522"/>
      <c r="Z58" s="522"/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188">
        <v>1</v>
      </c>
      <c r="H59" s="168">
        <v>2</v>
      </c>
      <c r="I59" s="168">
        <v>3</v>
      </c>
      <c r="J59" s="168">
        <v>4</v>
      </c>
      <c r="K59" s="168">
        <v>5</v>
      </c>
      <c r="L59" s="188">
        <v>1</v>
      </c>
      <c r="M59" s="168">
        <v>2</v>
      </c>
      <c r="N59" s="168">
        <v>3</v>
      </c>
      <c r="O59" s="168">
        <v>4</v>
      </c>
      <c r="P59" s="413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126"/>
      <c r="W59" s="663"/>
      <c r="X59" s="645"/>
      <c r="Y59" s="657"/>
      <c r="Z59" s="657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25">
      <c r="A60" s="171" t="s">
        <v>53</v>
      </c>
      <c r="B60" s="447">
        <v>7.8</v>
      </c>
      <c r="C60" s="124">
        <v>7.8</v>
      </c>
      <c r="D60" s="124">
        <v>2.1</v>
      </c>
      <c r="E60" s="124">
        <v>8</v>
      </c>
      <c r="F60" s="123">
        <v>8</v>
      </c>
      <c r="G60" s="447">
        <v>7.7</v>
      </c>
      <c r="H60" s="124">
        <v>8</v>
      </c>
      <c r="I60" s="124">
        <v>2.1</v>
      </c>
      <c r="J60" s="124">
        <v>8</v>
      </c>
      <c r="K60" s="124">
        <v>7.9</v>
      </c>
      <c r="L60" s="130">
        <v>6.3</v>
      </c>
      <c r="M60" s="124">
        <v>6.5</v>
      </c>
      <c r="N60" s="124">
        <v>2.2000000000000002</v>
      </c>
      <c r="O60" s="124">
        <v>6.5</v>
      </c>
      <c r="P60" s="124">
        <v>6.7</v>
      </c>
      <c r="Q60" s="123">
        <v>6.9</v>
      </c>
      <c r="R60" s="124">
        <v>7</v>
      </c>
      <c r="S60" s="124">
        <v>2.2999999999999998</v>
      </c>
      <c r="T60" s="124">
        <v>7</v>
      </c>
      <c r="U60" s="132">
        <v>6.7</v>
      </c>
      <c r="V60" s="412">
        <f>SUM(B60:U60)</f>
        <v>125.50000000000001</v>
      </c>
      <c r="W60" s="651"/>
      <c r="X60" s="646"/>
      <c r="Y60" s="657"/>
      <c r="Z60" s="657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25">
      <c r="A61" s="171" t="s">
        <v>24</v>
      </c>
      <c r="B61" s="447">
        <v>7.8</v>
      </c>
      <c r="C61" s="124">
        <v>7.8</v>
      </c>
      <c r="D61" s="124">
        <v>2.1</v>
      </c>
      <c r="E61" s="124">
        <v>8</v>
      </c>
      <c r="F61" s="123">
        <v>8</v>
      </c>
      <c r="G61" s="447">
        <v>7.7</v>
      </c>
      <c r="H61" s="124">
        <v>8</v>
      </c>
      <c r="I61" s="124">
        <v>2.1</v>
      </c>
      <c r="J61" s="124">
        <v>8</v>
      </c>
      <c r="K61" s="124">
        <v>7.9</v>
      </c>
      <c r="L61" s="130">
        <v>6.3</v>
      </c>
      <c r="M61" s="124">
        <v>6.5</v>
      </c>
      <c r="N61" s="124">
        <v>2.2000000000000002</v>
      </c>
      <c r="O61" s="124">
        <v>6.5</v>
      </c>
      <c r="P61" s="124">
        <v>6.7</v>
      </c>
      <c r="Q61" s="123">
        <v>6.9</v>
      </c>
      <c r="R61" s="124">
        <v>7</v>
      </c>
      <c r="S61" s="124">
        <v>2.2999999999999998</v>
      </c>
      <c r="T61" s="124">
        <v>7</v>
      </c>
      <c r="U61" s="132">
        <v>6.7</v>
      </c>
      <c r="V61" s="412">
        <f t="shared" ref="V61:V66" si="29">SUM(B61:U61)</f>
        <v>125.50000000000001</v>
      </c>
      <c r="W61" s="651"/>
      <c r="X61" s="646"/>
      <c r="Y61" s="651"/>
      <c r="Z61" s="651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25">
      <c r="A62" s="171" t="s">
        <v>20</v>
      </c>
      <c r="B62" s="447">
        <v>7.8</v>
      </c>
      <c r="C62" s="124">
        <v>7.9</v>
      </c>
      <c r="D62" s="124">
        <v>2.1</v>
      </c>
      <c r="E62" s="124">
        <v>8</v>
      </c>
      <c r="F62" s="123">
        <v>8</v>
      </c>
      <c r="G62" s="447">
        <v>7.7</v>
      </c>
      <c r="H62" s="124">
        <v>8</v>
      </c>
      <c r="I62" s="124">
        <v>2.1</v>
      </c>
      <c r="J62" s="124">
        <v>8</v>
      </c>
      <c r="K62" s="124">
        <v>7.9</v>
      </c>
      <c r="L62" s="130">
        <v>6</v>
      </c>
      <c r="M62" s="124">
        <v>6.6</v>
      </c>
      <c r="N62" s="124">
        <v>2</v>
      </c>
      <c r="O62" s="124">
        <v>6.6</v>
      </c>
      <c r="P62" s="124">
        <v>6.7</v>
      </c>
      <c r="Q62" s="123">
        <v>6.9</v>
      </c>
      <c r="R62" s="124">
        <v>7.1</v>
      </c>
      <c r="S62" s="124">
        <v>2.5</v>
      </c>
      <c r="T62" s="124">
        <v>7</v>
      </c>
      <c r="U62" s="132">
        <v>6.5</v>
      </c>
      <c r="V62" s="412">
        <f t="shared" si="29"/>
        <v>125.39999999999999</v>
      </c>
      <c r="W62" s="651"/>
      <c r="X62" s="646"/>
      <c r="Y62" s="651"/>
      <c r="Z62" s="651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25">
      <c r="A63" s="171" t="s">
        <v>28</v>
      </c>
      <c r="B63" s="447">
        <v>7.8</v>
      </c>
      <c r="C63" s="124">
        <v>7.9</v>
      </c>
      <c r="D63" s="124">
        <v>2.1</v>
      </c>
      <c r="E63" s="124">
        <v>8</v>
      </c>
      <c r="F63" s="123">
        <v>8</v>
      </c>
      <c r="G63" s="447">
        <v>7.7</v>
      </c>
      <c r="H63" s="124">
        <v>8</v>
      </c>
      <c r="I63" s="124">
        <v>2.1</v>
      </c>
      <c r="J63" s="124">
        <v>8</v>
      </c>
      <c r="K63" s="124">
        <v>7.9</v>
      </c>
      <c r="L63" s="130">
        <v>6</v>
      </c>
      <c r="M63" s="124">
        <v>6.6</v>
      </c>
      <c r="N63" s="124">
        <v>2</v>
      </c>
      <c r="O63" s="124">
        <v>6.6</v>
      </c>
      <c r="P63" s="124">
        <v>6.7</v>
      </c>
      <c r="Q63" s="123">
        <v>6.9</v>
      </c>
      <c r="R63" s="124">
        <v>7.1</v>
      </c>
      <c r="S63" s="124">
        <v>2.5</v>
      </c>
      <c r="T63" s="124">
        <v>7</v>
      </c>
      <c r="U63" s="132">
        <v>6.5</v>
      </c>
      <c r="V63" s="412">
        <f t="shared" si="29"/>
        <v>125.39999999999999</v>
      </c>
      <c r="W63" s="651"/>
      <c r="X63" s="646"/>
      <c r="Y63" s="651"/>
      <c r="Z63" s="651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25">
      <c r="A64" s="171" t="s">
        <v>21</v>
      </c>
      <c r="B64" s="447">
        <v>7.8</v>
      </c>
      <c r="C64" s="124">
        <v>7.9</v>
      </c>
      <c r="D64" s="124">
        <v>2.1</v>
      </c>
      <c r="E64" s="124">
        <v>8</v>
      </c>
      <c r="F64" s="123">
        <v>8</v>
      </c>
      <c r="G64" s="447">
        <v>7.7</v>
      </c>
      <c r="H64" s="124">
        <v>8</v>
      </c>
      <c r="I64" s="124">
        <v>2.1</v>
      </c>
      <c r="J64" s="124">
        <v>8</v>
      </c>
      <c r="K64" s="124">
        <v>7.9</v>
      </c>
      <c r="L64" s="130">
        <v>6</v>
      </c>
      <c r="M64" s="124">
        <v>6.6</v>
      </c>
      <c r="N64" s="124">
        <v>2</v>
      </c>
      <c r="O64" s="124">
        <v>6.6</v>
      </c>
      <c r="P64" s="124">
        <v>6.7</v>
      </c>
      <c r="Q64" s="123">
        <v>6.9</v>
      </c>
      <c r="R64" s="124">
        <v>7.1</v>
      </c>
      <c r="S64" s="124">
        <v>2.5</v>
      </c>
      <c r="T64" s="124">
        <v>7</v>
      </c>
      <c r="U64" s="132">
        <v>6.5</v>
      </c>
      <c r="V64" s="412">
        <f t="shared" si="29"/>
        <v>125.39999999999999</v>
      </c>
      <c r="W64" s="651"/>
      <c r="X64" s="646"/>
      <c r="Y64" s="651"/>
      <c r="Z64" s="651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25">
      <c r="A65" s="171" t="s">
        <v>22</v>
      </c>
      <c r="B65" s="447">
        <v>7.8</v>
      </c>
      <c r="C65" s="124">
        <v>7.9</v>
      </c>
      <c r="D65" s="124">
        <v>2.1</v>
      </c>
      <c r="E65" s="124">
        <v>8</v>
      </c>
      <c r="F65" s="123">
        <v>8</v>
      </c>
      <c r="G65" s="447">
        <v>7.7</v>
      </c>
      <c r="H65" s="124">
        <v>8</v>
      </c>
      <c r="I65" s="124">
        <v>2.1</v>
      </c>
      <c r="J65" s="124">
        <v>8</v>
      </c>
      <c r="K65" s="124">
        <v>7.9</v>
      </c>
      <c r="L65" s="130">
        <v>6</v>
      </c>
      <c r="M65" s="124">
        <v>6.6</v>
      </c>
      <c r="N65" s="124">
        <v>2</v>
      </c>
      <c r="O65" s="124">
        <v>6.6</v>
      </c>
      <c r="P65" s="124">
        <v>6.7</v>
      </c>
      <c r="Q65" s="123">
        <v>6.9</v>
      </c>
      <c r="R65" s="124">
        <v>7.1</v>
      </c>
      <c r="S65" s="124">
        <v>2.5</v>
      </c>
      <c r="T65" s="124">
        <v>7</v>
      </c>
      <c r="U65" s="132">
        <v>6.5</v>
      </c>
      <c r="V65" s="412">
        <f t="shared" si="29"/>
        <v>125.39999999999999</v>
      </c>
      <c r="W65" s="651"/>
      <c r="X65" s="646"/>
      <c r="Y65" s="651"/>
      <c r="Z65" s="651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3">
      <c r="A66" s="171" t="s">
        <v>23</v>
      </c>
      <c r="B66" s="447">
        <v>7.8</v>
      </c>
      <c r="C66" s="124">
        <v>7.9</v>
      </c>
      <c r="D66" s="124">
        <v>2.1</v>
      </c>
      <c r="E66" s="124">
        <v>8</v>
      </c>
      <c r="F66" s="123">
        <v>8</v>
      </c>
      <c r="G66" s="447">
        <v>7.7</v>
      </c>
      <c r="H66" s="124">
        <v>8</v>
      </c>
      <c r="I66" s="124">
        <v>2.1</v>
      </c>
      <c r="J66" s="124">
        <v>8</v>
      </c>
      <c r="K66" s="124">
        <v>7.9</v>
      </c>
      <c r="L66" s="130">
        <v>6</v>
      </c>
      <c r="M66" s="124">
        <v>6.6</v>
      </c>
      <c r="N66" s="124">
        <v>2</v>
      </c>
      <c r="O66" s="124">
        <v>6.6</v>
      </c>
      <c r="P66" s="124">
        <v>6.7</v>
      </c>
      <c r="Q66" s="123">
        <v>6.9</v>
      </c>
      <c r="R66" s="124">
        <v>7.1</v>
      </c>
      <c r="S66" s="124">
        <v>2.5</v>
      </c>
      <c r="T66" s="124">
        <v>7</v>
      </c>
      <c r="U66" s="132">
        <v>6.5</v>
      </c>
      <c r="V66" s="412">
        <f t="shared" si="29"/>
        <v>125.39999999999999</v>
      </c>
      <c r="W66" s="651"/>
      <c r="X66" s="646"/>
      <c r="Y66" s="651"/>
      <c r="Z66" s="651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618">
        <f t="shared" ref="B67:K67" si="30">SUM(B60:B66)</f>
        <v>54.599999999999994</v>
      </c>
      <c r="C67" s="616">
        <f t="shared" si="30"/>
        <v>55.099999999999994</v>
      </c>
      <c r="D67" s="616">
        <f t="shared" si="30"/>
        <v>14.7</v>
      </c>
      <c r="E67" s="616">
        <f t="shared" si="30"/>
        <v>56</v>
      </c>
      <c r="F67" s="619">
        <f t="shared" si="30"/>
        <v>56</v>
      </c>
      <c r="G67" s="618">
        <f t="shared" si="30"/>
        <v>53.900000000000006</v>
      </c>
      <c r="H67" s="616">
        <f t="shared" si="30"/>
        <v>56</v>
      </c>
      <c r="I67" s="616">
        <f t="shared" si="30"/>
        <v>14.7</v>
      </c>
      <c r="J67" s="616">
        <f t="shared" si="30"/>
        <v>56</v>
      </c>
      <c r="K67" s="616">
        <f t="shared" si="30"/>
        <v>55.3</v>
      </c>
      <c r="L67" s="618">
        <f t="shared" ref="L67:U67" si="31">SUM(L60:L66)</f>
        <v>42.6</v>
      </c>
      <c r="M67" s="616">
        <f t="shared" si="31"/>
        <v>46.000000000000007</v>
      </c>
      <c r="N67" s="616">
        <f t="shared" si="31"/>
        <v>14.4</v>
      </c>
      <c r="O67" s="616">
        <f t="shared" si="31"/>
        <v>46.000000000000007</v>
      </c>
      <c r="P67" s="616">
        <f t="shared" si="31"/>
        <v>46.900000000000006</v>
      </c>
      <c r="Q67" s="615">
        <f t="shared" si="31"/>
        <v>48.3</v>
      </c>
      <c r="R67" s="616">
        <f t="shared" si="31"/>
        <v>49.500000000000007</v>
      </c>
      <c r="S67" s="616">
        <f t="shared" si="31"/>
        <v>17.100000000000001</v>
      </c>
      <c r="T67" s="616">
        <f t="shared" si="31"/>
        <v>49</v>
      </c>
      <c r="U67" s="617">
        <f t="shared" si="31"/>
        <v>45.9</v>
      </c>
      <c r="V67" s="449">
        <f>SUM(B67:U67)</f>
        <v>877.99999999999989</v>
      </c>
      <c r="W67" s="664"/>
      <c r="X67" s="646"/>
      <c r="Y67" s="651"/>
      <c r="Z67" s="651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159</v>
      </c>
      <c r="C68" s="358">
        <v>160</v>
      </c>
      <c r="D68" s="358">
        <v>158</v>
      </c>
      <c r="E68" s="358">
        <v>158.5</v>
      </c>
      <c r="F68" s="624">
        <v>159.5</v>
      </c>
      <c r="G68" s="357">
        <v>157.5</v>
      </c>
      <c r="H68" s="358">
        <v>159.5</v>
      </c>
      <c r="I68" s="358">
        <v>159.5</v>
      </c>
      <c r="J68" s="358">
        <v>160</v>
      </c>
      <c r="K68" s="358">
        <v>158</v>
      </c>
      <c r="L68" s="357">
        <v>156</v>
      </c>
      <c r="M68" s="358">
        <v>159.5</v>
      </c>
      <c r="N68" s="358">
        <v>155.5</v>
      </c>
      <c r="O68" s="358">
        <v>159.5</v>
      </c>
      <c r="P68" s="358">
        <v>159.5</v>
      </c>
      <c r="Q68" s="357">
        <v>160</v>
      </c>
      <c r="R68" s="358">
        <v>160</v>
      </c>
      <c r="S68" s="358">
        <v>160.5</v>
      </c>
      <c r="T68" s="358">
        <v>160.5</v>
      </c>
      <c r="U68" s="624">
        <v>160</v>
      </c>
      <c r="V68" s="296">
        <f>+((V67/V69)/7)*1000</f>
        <v>159.78161965423106</v>
      </c>
      <c r="W68" s="145"/>
      <c r="X68" s="648"/>
      <c r="Y68" s="665"/>
      <c r="Z68" s="522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49</v>
      </c>
      <c r="C69" s="275">
        <v>49</v>
      </c>
      <c r="D69" s="275">
        <v>13</v>
      </c>
      <c r="E69" s="275">
        <v>50</v>
      </c>
      <c r="F69" s="276">
        <v>50</v>
      </c>
      <c r="G69" s="257">
        <v>49</v>
      </c>
      <c r="H69" s="275">
        <v>50</v>
      </c>
      <c r="I69" s="275">
        <v>13</v>
      </c>
      <c r="J69" s="275">
        <v>50</v>
      </c>
      <c r="K69" s="275">
        <v>50</v>
      </c>
      <c r="L69" s="257">
        <v>39</v>
      </c>
      <c r="M69" s="275">
        <v>41</v>
      </c>
      <c r="N69" s="275">
        <v>13</v>
      </c>
      <c r="O69" s="275">
        <v>41</v>
      </c>
      <c r="P69" s="275">
        <v>42</v>
      </c>
      <c r="Q69" s="257">
        <v>43</v>
      </c>
      <c r="R69" s="275">
        <v>44</v>
      </c>
      <c r="S69" s="275">
        <v>15</v>
      </c>
      <c r="T69" s="275">
        <v>43</v>
      </c>
      <c r="U69" s="276">
        <v>41</v>
      </c>
      <c r="V69" s="254">
        <f>SUM(B69:U69)</f>
        <v>785</v>
      </c>
      <c r="W69" s="145"/>
      <c r="X69" s="649"/>
      <c r="Y69" s="665"/>
      <c r="Z69" s="522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 t="shared" ref="B70:K70" si="32">((((B68*7)*B69)/1000)-B60-B61)/5</f>
        <v>7.7874000000000008</v>
      </c>
      <c r="C70" s="31">
        <f t="shared" si="32"/>
        <v>7.8560000000000016</v>
      </c>
      <c r="D70" s="31">
        <f t="shared" si="32"/>
        <v>2.0356000000000001</v>
      </c>
      <c r="E70" s="31">
        <f t="shared" si="32"/>
        <v>7.8950000000000005</v>
      </c>
      <c r="F70" s="32">
        <f t="shared" si="32"/>
        <v>7.9650000000000007</v>
      </c>
      <c r="G70" s="30">
        <f t="shared" si="32"/>
        <v>7.724499999999999</v>
      </c>
      <c r="H70" s="31">
        <f t="shared" si="32"/>
        <v>7.9650000000000007</v>
      </c>
      <c r="I70" s="31">
        <f t="shared" si="32"/>
        <v>2.0629</v>
      </c>
      <c r="J70" s="31">
        <f t="shared" si="32"/>
        <v>8</v>
      </c>
      <c r="K70" s="31">
        <f t="shared" si="32"/>
        <v>7.9</v>
      </c>
      <c r="L70" s="30">
        <f t="shared" ref="L70:U70" si="33">((((L68*7)*L69)/1000)-L60-L61)/5</f>
        <v>5.9976000000000003</v>
      </c>
      <c r="M70" s="31">
        <f t="shared" si="33"/>
        <v>6.5552999999999999</v>
      </c>
      <c r="N70" s="31">
        <f t="shared" si="33"/>
        <v>1.9500999999999997</v>
      </c>
      <c r="O70" s="31">
        <f t="shared" si="33"/>
        <v>6.5552999999999999</v>
      </c>
      <c r="P70" s="31">
        <f t="shared" si="33"/>
        <v>6.698599999999999</v>
      </c>
      <c r="Q70" s="30">
        <f t="shared" si="33"/>
        <v>6.8719999999999999</v>
      </c>
      <c r="R70" s="31">
        <f t="shared" si="33"/>
        <v>7.056</v>
      </c>
      <c r="S70" s="31">
        <f t="shared" si="33"/>
        <v>2.4504999999999995</v>
      </c>
      <c r="T70" s="31">
        <f t="shared" si="33"/>
        <v>6.8620999999999999</v>
      </c>
      <c r="U70" s="32">
        <f t="shared" si="33"/>
        <v>6.5039999999999996</v>
      </c>
      <c r="V70" s="139">
        <f>((V67*1000)/V69)/7</f>
        <v>159.78161965423109</v>
      </c>
      <c r="W70" s="144"/>
      <c r="X70" s="650"/>
      <c r="Y70" s="665"/>
      <c r="Z70" s="522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K71" si="34">((B69*B68)*7)/1000</f>
        <v>54.536999999999999</v>
      </c>
      <c r="C71" s="280">
        <f t="shared" si="34"/>
        <v>54.88</v>
      </c>
      <c r="D71" s="280">
        <f t="shared" si="34"/>
        <v>14.378</v>
      </c>
      <c r="E71" s="280">
        <f t="shared" si="34"/>
        <v>55.475000000000001</v>
      </c>
      <c r="F71" s="282">
        <f t="shared" si="34"/>
        <v>55.825000000000003</v>
      </c>
      <c r="G71" s="279">
        <f t="shared" si="34"/>
        <v>54.022500000000001</v>
      </c>
      <c r="H71" s="280">
        <f t="shared" si="34"/>
        <v>55.825000000000003</v>
      </c>
      <c r="I71" s="280">
        <f t="shared" si="34"/>
        <v>14.5145</v>
      </c>
      <c r="J71" s="280">
        <f t="shared" si="34"/>
        <v>56</v>
      </c>
      <c r="K71" s="280">
        <f t="shared" si="34"/>
        <v>55.3</v>
      </c>
      <c r="L71" s="279">
        <f t="shared" ref="L71:U71" si="35">((L69*L68)*7)/1000</f>
        <v>42.588000000000001</v>
      </c>
      <c r="M71" s="280">
        <f t="shared" si="35"/>
        <v>45.776499999999999</v>
      </c>
      <c r="N71" s="280">
        <f t="shared" si="35"/>
        <v>14.150499999999999</v>
      </c>
      <c r="O71" s="280">
        <f t="shared" si="35"/>
        <v>45.776499999999999</v>
      </c>
      <c r="P71" s="280">
        <f t="shared" si="35"/>
        <v>46.893000000000001</v>
      </c>
      <c r="Q71" s="279">
        <f t="shared" si="35"/>
        <v>48.16</v>
      </c>
      <c r="R71" s="280">
        <f t="shared" si="35"/>
        <v>49.28</v>
      </c>
      <c r="S71" s="280">
        <f t="shared" si="35"/>
        <v>16.852499999999999</v>
      </c>
      <c r="T71" s="280">
        <f t="shared" si="35"/>
        <v>48.310499999999998</v>
      </c>
      <c r="U71" s="282">
        <f t="shared" si="35"/>
        <v>45.92</v>
      </c>
      <c r="V71" s="112"/>
      <c r="W71" s="651"/>
      <c r="X71" s="666"/>
      <c r="Y71" s="666"/>
      <c r="Z71" s="666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K72" si="36">+(B67/B69)/7*1000</f>
        <v>159.18367346938771</v>
      </c>
      <c r="C72" s="38">
        <f t="shared" si="36"/>
        <v>160.64139941690962</v>
      </c>
      <c r="D72" s="38">
        <f t="shared" si="36"/>
        <v>161.53846153846155</v>
      </c>
      <c r="E72" s="38">
        <f t="shared" si="36"/>
        <v>160</v>
      </c>
      <c r="F72" s="39">
        <f t="shared" si="36"/>
        <v>160</v>
      </c>
      <c r="G72" s="37">
        <f t="shared" si="36"/>
        <v>157.14285714285717</v>
      </c>
      <c r="H72" s="38">
        <f t="shared" si="36"/>
        <v>160</v>
      </c>
      <c r="I72" s="38">
        <f t="shared" si="36"/>
        <v>161.53846153846155</v>
      </c>
      <c r="J72" s="38">
        <f t="shared" si="36"/>
        <v>160</v>
      </c>
      <c r="K72" s="38">
        <f t="shared" si="36"/>
        <v>157.99999999999997</v>
      </c>
      <c r="L72" s="37">
        <f t="shared" ref="L72:U72" si="37">+(L67/L69)/7*1000</f>
        <v>156.04395604395609</v>
      </c>
      <c r="M72" s="38">
        <f t="shared" si="37"/>
        <v>160.27874564459933</v>
      </c>
      <c r="N72" s="38">
        <f t="shared" si="37"/>
        <v>158.24175824175828</v>
      </c>
      <c r="O72" s="38">
        <f t="shared" si="37"/>
        <v>160.27874564459933</v>
      </c>
      <c r="P72" s="38">
        <f t="shared" si="37"/>
        <v>159.52380952380955</v>
      </c>
      <c r="Q72" s="37">
        <f t="shared" si="37"/>
        <v>160.46511627906975</v>
      </c>
      <c r="R72" s="38">
        <f t="shared" si="37"/>
        <v>160.71428571428575</v>
      </c>
      <c r="S72" s="38">
        <f t="shared" si="37"/>
        <v>162.85714285714286</v>
      </c>
      <c r="T72" s="38">
        <f t="shared" si="37"/>
        <v>162.79069767441862</v>
      </c>
      <c r="U72" s="39">
        <f t="shared" si="37"/>
        <v>159.93031358885014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43">
        <f>B71-B67</f>
        <v>-6.2999999999995282E-2</v>
      </c>
      <c r="C73" s="43">
        <f t="shared" ref="C73:F73" si="38">C71-C67</f>
        <v>-0.21999999999999176</v>
      </c>
      <c r="D73" s="43">
        <f t="shared" si="38"/>
        <v>-0.32199999999999918</v>
      </c>
      <c r="E73" s="43">
        <f t="shared" si="38"/>
        <v>-0.52499999999999858</v>
      </c>
      <c r="F73" s="43">
        <f t="shared" si="38"/>
        <v>-0.17499999999999716</v>
      </c>
      <c r="G73" s="43">
        <f>G71-G67</f>
        <v>0.12249999999999517</v>
      </c>
      <c r="H73" s="43">
        <f t="shared" ref="H73:K74" si="39">H71-H67</f>
        <v>-0.17499999999999716</v>
      </c>
      <c r="I73" s="43">
        <f t="shared" si="39"/>
        <v>-0.18549999999999933</v>
      </c>
      <c r="J73" s="43">
        <f t="shared" si="39"/>
        <v>0</v>
      </c>
      <c r="K73" s="43">
        <f t="shared" si="39"/>
        <v>0</v>
      </c>
      <c r="L73" s="43">
        <f>L71-L67</f>
        <v>-1.2000000000000455E-2</v>
      </c>
      <c r="M73" s="43">
        <f t="shared" ref="M73:P73" si="40">M71-M67</f>
        <v>-0.22350000000000847</v>
      </c>
      <c r="N73" s="43">
        <f t="shared" si="40"/>
        <v>-0.24950000000000117</v>
      </c>
      <c r="O73" s="43">
        <f t="shared" si="40"/>
        <v>-0.22350000000000847</v>
      </c>
      <c r="P73" s="43">
        <f t="shared" si="40"/>
        <v>-7.0000000000050022E-3</v>
      </c>
      <c r="Q73" s="43">
        <f>Q71-Q67</f>
        <v>-0.14000000000000057</v>
      </c>
      <c r="R73" s="43">
        <f t="shared" ref="R73:U73" si="41">R71-R67</f>
        <v>-0.22000000000000597</v>
      </c>
      <c r="S73" s="43">
        <f t="shared" si="41"/>
        <v>-0.24750000000000227</v>
      </c>
      <c r="T73" s="43">
        <f t="shared" si="41"/>
        <v>-0.68950000000000244</v>
      </c>
      <c r="U73" s="43">
        <f t="shared" si="41"/>
        <v>2.0000000000003126E-2</v>
      </c>
      <c r="W73" s="144"/>
      <c r="X73" s="522"/>
      <c r="Y73" s="522"/>
      <c r="Z73" s="522"/>
    </row>
    <row r="74" spans="1:50" ht="33.75" customHeight="1" x14ac:dyDescent="0.25">
      <c r="B74" s="42">
        <f t="shared" ref="B74:J74" si="42">B72-B68</f>
        <v>0.18367346938771334</v>
      </c>
      <c r="C74" s="42">
        <f t="shared" si="42"/>
        <v>0.64139941690962132</v>
      </c>
      <c r="D74" s="42">
        <f t="shared" si="42"/>
        <v>3.5384615384615472</v>
      </c>
      <c r="E74" s="42">
        <f t="shared" si="42"/>
        <v>1.5</v>
      </c>
      <c r="F74" s="42">
        <f t="shared" si="42"/>
        <v>0.5</v>
      </c>
      <c r="G74" s="42">
        <f t="shared" si="42"/>
        <v>-0.35714285714283278</v>
      </c>
      <c r="H74" s="42">
        <f t="shared" si="42"/>
        <v>0.5</v>
      </c>
      <c r="I74" s="42">
        <f>I72-I68</f>
        <v>2.0384615384615472</v>
      </c>
      <c r="J74" s="42">
        <f t="shared" si="42"/>
        <v>0</v>
      </c>
      <c r="K74" s="42">
        <f t="shared" si="39"/>
        <v>0</v>
      </c>
      <c r="L74" s="42">
        <f t="shared" ref="L74:U74" si="43">L72-L68</f>
        <v>4.3956043956086432E-2</v>
      </c>
      <c r="M74" s="42">
        <f t="shared" si="43"/>
        <v>0.77874564459932571</v>
      </c>
      <c r="N74" s="42">
        <f t="shared" si="43"/>
        <v>2.7417582417582764</v>
      </c>
      <c r="O74" s="42">
        <f t="shared" si="43"/>
        <v>0.77874564459932571</v>
      </c>
      <c r="P74" s="42">
        <f t="shared" si="43"/>
        <v>2.3809523809546818E-2</v>
      </c>
      <c r="Q74" s="42">
        <f t="shared" si="43"/>
        <v>0.46511627906974695</v>
      </c>
      <c r="R74" s="42">
        <f t="shared" si="43"/>
        <v>0.71428571428575083</v>
      </c>
      <c r="S74" s="42">
        <f t="shared" si="43"/>
        <v>2.3571428571428612</v>
      </c>
      <c r="T74" s="42">
        <f t="shared" si="43"/>
        <v>2.2906976744186238</v>
      </c>
      <c r="U74" s="42">
        <f t="shared" si="43"/>
        <v>-6.968641114985985E-2</v>
      </c>
      <c r="V74" s="45"/>
      <c r="W74" s="651"/>
      <c r="X74" s="657"/>
      <c r="Y74" s="657"/>
      <c r="Z74" s="657"/>
      <c r="AA74" s="45"/>
      <c r="AB74" s="45"/>
      <c r="AC74" s="45"/>
      <c r="AD74" s="52"/>
    </row>
    <row r="75" spans="1:50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  <c r="W75" s="636"/>
    </row>
    <row r="76" spans="1:50" ht="33.75" customHeight="1" x14ac:dyDescent="0.25">
      <c r="A76" s="45"/>
      <c r="B76" s="283"/>
      <c r="C76" s="283"/>
      <c r="D76" s="283"/>
      <c r="E76" s="283"/>
      <c r="F76" s="283"/>
      <c r="G76" s="58"/>
      <c r="H76" s="45"/>
      <c r="I76" s="45"/>
      <c r="J76" s="45"/>
      <c r="K76" s="45"/>
      <c r="L76" s="45"/>
      <c r="M76" s="45"/>
      <c r="N76" s="45"/>
      <c r="O76" s="45"/>
    </row>
    <row r="77" spans="1:50" ht="33.75" customHeight="1" x14ac:dyDescent="0.25">
      <c r="A77" s="45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4">
    <mergeCell ref="Q58:U58"/>
    <mergeCell ref="A3:C3"/>
    <mergeCell ref="E9:G9"/>
    <mergeCell ref="W9:X9"/>
    <mergeCell ref="O11:P11"/>
    <mergeCell ref="B16:H16"/>
    <mergeCell ref="I16:O16"/>
    <mergeCell ref="P16:T16"/>
    <mergeCell ref="U16:Y16"/>
    <mergeCell ref="B39:F39"/>
    <mergeCell ref="G39:G40"/>
    <mergeCell ref="B58:F58"/>
    <mergeCell ref="L58:P58"/>
    <mergeCell ref="H58:K58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1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38</v>
      </c>
      <c r="P11" s="965"/>
      <c r="Q11" s="6"/>
      <c r="R11" s="6"/>
      <c r="S11" s="6"/>
      <c r="T11" s="1"/>
      <c r="U11" s="1"/>
      <c r="V11" s="1" t="s">
        <v>6</v>
      </c>
      <c r="W11" s="95">
        <v>45599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594"/>
      <c r="I17" s="386" t="s">
        <v>100</v>
      </c>
      <c r="J17" s="438">
        <v>1</v>
      </c>
      <c r="K17" s="438">
        <v>2</v>
      </c>
      <c r="L17" s="438">
        <v>3</v>
      </c>
      <c r="M17" s="438">
        <v>4</v>
      </c>
      <c r="N17" s="439">
        <v>5</v>
      </c>
      <c r="O17" s="594"/>
      <c r="P17" s="202">
        <v>1</v>
      </c>
      <c r="Q17" s="174">
        <v>2</v>
      </c>
      <c r="R17" s="174">
        <v>3</v>
      </c>
      <c r="S17" s="174">
        <v>4</v>
      </c>
      <c r="T17" s="203">
        <v>5</v>
      </c>
      <c r="U17" s="186">
        <v>1</v>
      </c>
      <c r="V17" s="174">
        <v>2</v>
      </c>
      <c r="W17" s="174">
        <v>3</v>
      </c>
      <c r="X17" s="174">
        <v>4</v>
      </c>
      <c r="Y17" s="175">
        <v>5</v>
      </c>
      <c r="Z17" s="126"/>
      <c r="AD17" s="2"/>
      <c r="AE17" s="15"/>
    </row>
    <row r="18" spans="1:40" ht="39.950000000000003" customHeight="1" x14ac:dyDescent="0.25">
      <c r="A18" s="171" t="s">
        <v>53</v>
      </c>
      <c r="B18" s="595">
        <v>320.10000000000002</v>
      </c>
      <c r="C18" s="596">
        <v>19.399999999999999</v>
      </c>
      <c r="D18" s="596">
        <v>19.5</v>
      </c>
      <c r="E18" s="596">
        <v>5.0999999999999996</v>
      </c>
      <c r="F18" s="596">
        <v>19.8</v>
      </c>
      <c r="G18" s="597">
        <v>19.8</v>
      </c>
      <c r="H18" s="506">
        <f t="shared" ref="H18:H19" si="0">SUM(B18:G18)</f>
        <v>403.70000000000005</v>
      </c>
      <c r="I18" s="599">
        <v>322.8</v>
      </c>
      <c r="J18" s="596">
        <v>19.600000000000001</v>
      </c>
      <c r="K18" s="596">
        <v>19.8</v>
      </c>
      <c r="L18" s="596">
        <v>5</v>
      </c>
      <c r="M18" s="596">
        <v>18.8</v>
      </c>
      <c r="N18" s="600">
        <v>18.7</v>
      </c>
      <c r="O18" s="506">
        <f t="shared" ref="O18:O24" si="1">SUM(I18:N18)</f>
        <v>404.70000000000005</v>
      </c>
      <c r="P18" s="601">
        <v>78.900000000000006</v>
      </c>
      <c r="Q18" s="504">
        <v>78.5</v>
      </c>
      <c r="R18" s="596">
        <v>27</v>
      </c>
      <c r="S18" s="596">
        <v>78.900000000000006</v>
      </c>
      <c r="T18" s="600">
        <v>78.8</v>
      </c>
      <c r="U18" s="602">
        <v>81.5</v>
      </c>
      <c r="V18" s="596">
        <v>82.9</v>
      </c>
      <c r="W18" s="504">
        <v>28.5</v>
      </c>
      <c r="X18" s="504">
        <v>82.6</v>
      </c>
      <c r="Y18" s="600">
        <v>82.5</v>
      </c>
      <c r="Z18" s="509">
        <f>SUM(H18,O18,P18:Y18)</f>
        <v>1508.5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595">
        <v>319.8</v>
      </c>
      <c r="C19" s="596">
        <v>19.3</v>
      </c>
      <c r="D19" s="596">
        <v>19.5</v>
      </c>
      <c r="E19" s="596">
        <v>5.0999999999999996</v>
      </c>
      <c r="F19" s="596">
        <v>19.8</v>
      </c>
      <c r="G19" s="597">
        <v>19.8</v>
      </c>
      <c r="H19" s="635">
        <f t="shared" si="0"/>
        <v>403.30000000000007</v>
      </c>
      <c r="I19" s="599">
        <v>322.7</v>
      </c>
      <c r="J19" s="596">
        <v>19.600000000000001</v>
      </c>
      <c r="K19" s="596">
        <v>19.8</v>
      </c>
      <c r="L19" s="596">
        <v>5</v>
      </c>
      <c r="M19" s="596">
        <v>18.8</v>
      </c>
      <c r="N19" s="600">
        <v>18.7</v>
      </c>
      <c r="O19" s="635">
        <f t="shared" si="1"/>
        <v>404.6</v>
      </c>
      <c r="P19" s="601">
        <v>78.900000000000006</v>
      </c>
      <c r="Q19" s="504">
        <v>78.3</v>
      </c>
      <c r="R19" s="596">
        <v>27</v>
      </c>
      <c r="S19" s="596">
        <v>78.900000000000006</v>
      </c>
      <c r="T19" s="600">
        <v>78.8</v>
      </c>
      <c r="U19" s="602">
        <v>81.5</v>
      </c>
      <c r="V19" s="596">
        <v>82.9</v>
      </c>
      <c r="W19" s="504">
        <v>28.5</v>
      </c>
      <c r="X19" s="504">
        <v>82.6</v>
      </c>
      <c r="Y19" s="600">
        <v>82.5</v>
      </c>
      <c r="Z19" s="509">
        <f>SUM(H19,O19,P19:Y19)</f>
        <v>1507.8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595">
        <v>319.39999999999998</v>
      </c>
      <c r="C20" s="629">
        <v>18.899999999999999</v>
      </c>
      <c r="D20" s="629">
        <v>19.100000000000001</v>
      </c>
      <c r="E20" s="629">
        <v>4.9000000000000004</v>
      </c>
      <c r="F20" s="629">
        <v>19.399999999999999</v>
      </c>
      <c r="G20" s="630">
        <v>19.399999999999999</v>
      </c>
      <c r="H20" s="506">
        <f t="shared" ref="H20:H24" si="2">SUM(B20:G20)</f>
        <v>401.09999999999991</v>
      </c>
      <c r="I20" s="599">
        <v>322.5</v>
      </c>
      <c r="J20" s="629">
        <v>19.2</v>
      </c>
      <c r="K20" s="629">
        <v>19.399999999999999</v>
      </c>
      <c r="L20" s="629">
        <v>4.9000000000000004</v>
      </c>
      <c r="M20" s="629">
        <v>18.5</v>
      </c>
      <c r="N20" s="632">
        <v>18.3</v>
      </c>
      <c r="O20" s="506">
        <f t="shared" si="1"/>
        <v>402.79999999999995</v>
      </c>
      <c r="P20" s="633">
        <v>78.599999999999994</v>
      </c>
      <c r="Q20" s="455">
        <v>77.900000000000006</v>
      </c>
      <c r="R20" s="629">
        <v>27</v>
      </c>
      <c r="S20" s="629">
        <v>78.599999999999994</v>
      </c>
      <c r="T20" s="632">
        <v>78.400000000000006</v>
      </c>
      <c r="U20" s="634">
        <v>81</v>
      </c>
      <c r="V20" s="629">
        <v>82.7</v>
      </c>
      <c r="W20" s="455">
        <v>28.4</v>
      </c>
      <c r="X20" s="455">
        <v>82.3</v>
      </c>
      <c r="Y20" s="632">
        <v>82.2</v>
      </c>
      <c r="Z20" s="509">
        <f t="shared" ref="Z20:Z24" si="3">SUM(H20,O20,P20:Y20)</f>
        <v>1501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595">
        <v>319.39999999999998</v>
      </c>
      <c r="C21" s="596">
        <v>18.899999999999999</v>
      </c>
      <c r="D21" s="596">
        <v>19.100000000000001</v>
      </c>
      <c r="E21" s="596">
        <v>4.9000000000000004</v>
      </c>
      <c r="F21" s="596">
        <v>19.399999999999999</v>
      </c>
      <c r="G21" s="597" t="s">
        <v>119</v>
      </c>
      <c r="H21" s="506">
        <f t="shared" si="2"/>
        <v>381.69999999999993</v>
      </c>
      <c r="I21" s="599">
        <v>322.5</v>
      </c>
      <c r="J21" s="596">
        <v>19.2</v>
      </c>
      <c r="K21" s="596">
        <v>19.399999999999999</v>
      </c>
      <c r="L21" s="596">
        <v>4.9000000000000004</v>
      </c>
      <c r="M21" s="596">
        <v>18.5</v>
      </c>
      <c r="N21" s="600">
        <v>18.3</v>
      </c>
      <c r="O21" s="506">
        <f t="shared" si="1"/>
        <v>402.79999999999995</v>
      </c>
      <c r="P21" s="601">
        <v>78.599999999999994</v>
      </c>
      <c r="Q21" s="504">
        <v>77.900000000000006</v>
      </c>
      <c r="R21" s="596">
        <v>27</v>
      </c>
      <c r="S21" s="596">
        <v>78.599999999999994</v>
      </c>
      <c r="T21" s="600">
        <v>78.400000000000006</v>
      </c>
      <c r="U21" s="602">
        <v>81</v>
      </c>
      <c r="V21" s="596">
        <v>82.7</v>
      </c>
      <c r="W21" s="504">
        <v>28.4</v>
      </c>
      <c r="X21" s="504">
        <v>82.3</v>
      </c>
      <c r="Y21" s="600">
        <v>82.2</v>
      </c>
      <c r="Z21" s="509">
        <f t="shared" si="3"/>
        <v>1481.6000000000001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595">
        <v>319.39999999999998</v>
      </c>
      <c r="C22" s="596">
        <v>18.899999999999999</v>
      </c>
      <c r="D22" s="596">
        <v>19.100000000000001</v>
      </c>
      <c r="E22" s="596">
        <v>4.9000000000000004</v>
      </c>
      <c r="F22" s="596">
        <v>19.399999999999999</v>
      </c>
      <c r="G22" s="597" t="s">
        <v>119</v>
      </c>
      <c r="H22" s="506">
        <f t="shared" si="2"/>
        <v>381.69999999999993</v>
      </c>
      <c r="I22" s="599">
        <v>322</v>
      </c>
      <c r="J22" s="596">
        <v>19.2</v>
      </c>
      <c r="K22" s="596">
        <v>19.399999999999999</v>
      </c>
      <c r="L22" s="596">
        <v>4.8</v>
      </c>
      <c r="M22" s="596">
        <v>18.5</v>
      </c>
      <c r="N22" s="600">
        <v>18.3</v>
      </c>
      <c r="O22" s="506">
        <f t="shared" si="1"/>
        <v>402.2</v>
      </c>
      <c r="P22" s="601">
        <v>78.599999999999994</v>
      </c>
      <c r="Q22" s="504">
        <v>77.900000000000006</v>
      </c>
      <c r="R22" s="596">
        <v>27</v>
      </c>
      <c r="S22" s="596">
        <v>78.599999999999994</v>
      </c>
      <c r="T22" s="600">
        <v>78.400000000000006</v>
      </c>
      <c r="U22" s="602">
        <v>81</v>
      </c>
      <c r="V22" s="596">
        <v>82.7</v>
      </c>
      <c r="W22" s="504">
        <v>28.4</v>
      </c>
      <c r="X22" s="504">
        <v>82.3</v>
      </c>
      <c r="Y22" s="600">
        <v>82.2</v>
      </c>
      <c r="Z22" s="509">
        <f t="shared" si="3"/>
        <v>1481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595">
        <v>319.2</v>
      </c>
      <c r="C23" s="596">
        <v>18.899999999999999</v>
      </c>
      <c r="D23" s="596">
        <v>19.100000000000001</v>
      </c>
      <c r="E23" s="596">
        <v>4.8</v>
      </c>
      <c r="F23" s="596">
        <v>19.399999999999999</v>
      </c>
      <c r="G23" s="597" t="s">
        <v>119</v>
      </c>
      <c r="H23" s="506">
        <f t="shared" si="2"/>
        <v>381.4</v>
      </c>
      <c r="I23" s="599">
        <v>321.89999999999998</v>
      </c>
      <c r="J23" s="596">
        <v>19.2</v>
      </c>
      <c r="K23" s="596">
        <v>19.399999999999999</v>
      </c>
      <c r="L23" s="596">
        <v>4.8</v>
      </c>
      <c r="M23" s="596">
        <v>18.5</v>
      </c>
      <c r="N23" s="600">
        <v>18.3</v>
      </c>
      <c r="O23" s="506">
        <f t="shared" si="1"/>
        <v>402.09999999999997</v>
      </c>
      <c r="P23" s="601">
        <v>78.599999999999994</v>
      </c>
      <c r="Q23" s="504">
        <v>77.900000000000006</v>
      </c>
      <c r="R23" s="596">
        <v>27</v>
      </c>
      <c r="S23" s="596">
        <v>78.599999999999994</v>
      </c>
      <c r="T23" s="600">
        <v>78.400000000000006</v>
      </c>
      <c r="U23" s="602">
        <v>81</v>
      </c>
      <c r="V23" s="596">
        <v>82.7</v>
      </c>
      <c r="W23" s="504">
        <v>28.4</v>
      </c>
      <c r="X23" s="504">
        <v>82.3</v>
      </c>
      <c r="Y23" s="600">
        <v>82.2</v>
      </c>
      <c r="Z23" s="509">
        <f t="shared" si="3"/>
        <v>1480.6000000000001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595">
        <v>319</v>
      </c>
      <c r="C24" s="596">
        <v>18.899999999999999</v>
      </c>
      <c r="D24" s="596">
        <v>19.100000000000001</v>
      </c>
      <c r="E24" s="596">
        <v>4.8</v>
      </c>
      <c r="F24" s="596">
        <v>19.399999999999999</v>
      </c>
      <c r="G24" s="597" t="s">
        <v>119</v>
      </c>
      <c r="H24" s="598">
        <f t="shared" si="2"/>
        <v>381.2</v>
      </c>
      <c r="I24" s="599">
        <v>321.8</v>
      </c>
      <c r="J24" s="596">
        <v>19.2</v>
      </c>
      <c r="K24" s="596">
        <v>19.399999999999999</v>
      </c>
      <c r="L24" s="596">
        <v>4.7</v>
      </c>
      <c r="M24" s="596">
        <v>18.5</v>
      </c>
      <c r="N24" s="600">
        <v>18.3</v>
      </c>
      <c r="O24" s="598">
        <f t="shared" si="1"/>
        <v>401.9</v>
      </c>
      <c r="P24" s="601">
        <v>78.599999999999994</v>
      </c>
      <c r="Q24" s="504">
        <v>77.900000000000006</v>
      </c>
      <c r="R24" s="596">
        <v>27</v>
      </c>
      <c r="S24" s="596">
        <v>78.599999999999994</v>
      </c>
      <c r="T24" s="600">
        <v>78.400000000000006</v>
      </c>
      <c r="U24" s="602">
        <v>81</v>
      </c>
      <c r="V24" s="596">
        <v>82.7</v>
      </c>
      <c r="W24" s="504">
        <v>28.2</v>
      </c>
      <c r="X24" s="504">
        <v>82.3</v>
      </c>
      <c r="Y24" s="600">
        <v>82.2</v>
      </c>
      <c r="Z24" s="643">
        <f t="shared" si="3"/>
        <v>1480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298">
        <f>SUM(C18:C24)</f>
        <v>133.20000000000002</v>
      </c>
      <c r="D25" s="298">
        <f t="shared" ref="D25:Y25" si="4">SUM(D18:D24)</f>
        <v>134.5</v>
      </c>
      <c r="E25" s="298">
        <f t="shared" si="4"/>
        <v>34.5</v>
      </c>
      <c r="F25" s="298">
        <f t="shared" si="4"/>
        <v>136.60000000000002</v>
      </c>
      <c r="G25" s="448">
        <f t="shared" si="4"/>
        <v>59</v>
      </c>
      <c r="H25" s="436">
        <f>SUM(H18:H24)</f>
        <v>2734.0999999999995</v>
      </c>
      <c r="I25" s="297"/>
      <c r="J25" s="298">
        <f t="shared" si="4"/>
        <v>135.20000000000002</v>
      </c>
      <c r="K25" s="298">
        <f>SUM(K18:K24)</f>
        <v>136.60000000000002</v>
      </c>
      <c r="L25" s="298">
        <f t="shared" si="4"/>
        <v>34.1</v>
      </c>
      <c r="M25" s="298">
        <f t="shared" si="4"/>
        <v>130.1</v>
      </c>
      <c r="N25" s="299">
        <f t="shared" si="4"/>
        <v>128.9</v>
      </c>
      <c r="O25" s="436">
        <f>SUM(O18:O24)</f>
        <v>2821.1</v>
      </c>
      <c r="P25" s="297">
        <f t="shared" si="4"/>
        <v>550.80000000000007</v>
      </c>
      <c r="Q25" s="298">
        <f t="shared" si="4"/>
        <v>546.29999999999995</v>
      </c>
      <c r="R25" s="298">
        <f t="shared" si="4"/>
        <v>189</v>
      </c>
      <c r="S25" s="298">
        <f t="shared" si="4"/>
        <v>550.80000000000007</v>
      </c>
      <c r="T25" s="448">
        <f t="shared" si="4"/>
        <v>549.59999999999991</v>
      </c>
      <c r="U25" s="297">
        <f t="shared" si="4"/>
        <v>568</v>
      </c>
      <c r="V25" s="298">
        <f t="shared" si="4"/>
        <v>579.29999999999995</v>
      </c>
      <c r="W25" s="298">
        <f t="shared" si="4"/>
        <v>198.8</v>
      </c>
      <c r="X25" s="298">
        <f t="shared" si="4"/>
        <v>576.70000000000005</v>
      </c>
      <c r="Y25" s="299">
        <f t="shared" si="4"/>
        <v>576</v>
      </c>
      <c r="Z25" s="607">
        <f>SUM(Z18,Z19,Z20,Z21,Z22,Z23,Z24)</f>
        <v>10440.5</v>
      </c>
      <c r="AA25" s="301"/>
    </row>
    <row r="26" spans="1:40" s="2" customFormat="1" ht="36.75" customHeight="1" x14ac:dyDescent="0.25">
      <c r="A26" s="192" t="s">
        <v>11</v>
      </c>
      <c r="B26" s="293"/>
      <c r="C26" s="603">
        <v>163.30000000000001</v>
      </c>
      <c r="D26" s="603">
        <v>163.30000000000001</v>
      </c>
      <c r="E26" s="603">
        <v>163.30000000000001</v>
      </c>
      <c r="F26" s="603">
        <v>163.30000000000001</v>
      </c>
      <c r="G26" s="603">
        <v>163.30000000000001</v>
      </c>
      <c r="H26" s="478"/>
      <c r="I26" s="604"/>
      <c r="J26" s="603">
        <v>163.30000000000001</v>
      </c>
      <c r="K26" s="603">
        <v>163.30000000000001</v>
      </c>
      <c r="L26" s="603">
        <v>161.6</v>
      </c>
      <c r="M26" s="603">
        <v>161.6</v>
      </c>
      <c r="N26" s="603">
        <v>161.6</v>
      </c>
      <c r="O26" s="610"/>
      <c r="P26" s="603">
        <v>161.6</v>
      </c>
      <c r="Q26" s="603">
        <v>161.6</v>
      </c>
      <c r="R26" s="603">
        <v>161.6</v>
      </c>
      <c r="S26" s="603">
        <v>161.6</v>
      </c>
      <c r="T26" s="603">
        <v>161.6</v>
      </c>
      <c r="U26" s="603">
        <v>161.6</v>
      </c>
      <c r="V26" s="603">
        <v>161.6</v>
      </c>
      <c r="W26" s="603">
        <v>161.6</v>
      </c>
      <c r="X26" s="603">
        <v>161.6</v>
      </c>
      <c r="Y26" s="603">
        <v>161.6</v>
      </c>
      <c r="Z26" s="605">
        <f>(((Z25*1000)/7)/Z27)</f>
        <v>161.29555531523738</v>
      </c>
    </row>
    <row r="27" spans="1:40" s="2" customFormat="1" ht="33" customHeight="1" x14ac:dyDescent="0.25">
      <c r="A27" s="193" t="s">
        <v>12</v>
      </c>
      <c r="B27" s="257"/>
      <c r="C27" s="27">
        <v>568</v>
      </c>
      <c r="D27" s="27">
        <v>575</v>
      </c>
      <c r="E27" s="27">
        <v>145</v>
      </c>
      <c r="F27" s="27">
        <v>582</v>
      </c>
      <c r="G27" s="27">
        <v>584</v>
      </c>
      <c r="H27" s="441"/>
      <c r="I27" s="26"/>
      <c r="J27" s="27">
        <v>578</v>
      </c>
      <c r="K27" s="27">
        <v>583</v>
      </c>
      <c r="L27" s="483">
        <v>150</v>
      </c>
      <c r="M27" s="27">
        <v>584</v>
      </c>
      <c r="N27" s="27">
        <v>580</v>
      </c>
      <c r="O27" s="611"/>
      <c r="P27" s="26">
        <v>487</v>
      </c>
      <c r="Q27" s="27">
        <v>483</v>
      </c>
      <c r="R27" s="27">
        <v>167</v>
      </c>
      <c r="S27" s="27">
        <v>487</v>
      </c>
      <c r="T27" s="623">
        <v>486</v>
      </c>
      <c r="U27" s="26">
        <v>502</v>
      </c>
      <c r="V27" s="27">
        <v>512</v>
      </c>
      <c r="W27" s="27">
        <v>175</v>
      </c>
      <c r="X27" s="27">
        <v>510</v>
      </c>
      <c r="Y27" s="28">
        <v>509</v>
      </c>
      <c r="Z27" s="29">
        <f>SUM(C27:Y27)</f>
        <v>9247</v>
      </c>
      <c r="AA27" s="402"/>
    </row>
    <row r="28" spans="1:40" s="2" customFormat="1" ht="33" customHeight="1" x14ac:dyDescent="0.25">
      <c r="A28" s="444" t="s">
        <v>13</v>
      </c>
      <c r="B28" s="445"/>
      <c r="C28" s="31">
        <f>(C33*C27)/1000</f>
        <v>18.914400000000004</v>
      </c>
      <c r="D28" s="31">
        <f>(D33*D27)/1000</f>
        <v>19.147500000000008</v>
      </c>
      <c r="E28" s="31">
        <f t="shared" ref="E28:F28" si="5">(E33*E27)/1000</f>
        <v>4.8285000000000018</v>
      </c>
      <c r="F28" s="31">
        <f t="shared" si="5"/>
        <v>19.380600000000005</v>
      </c>
      <c r="G28" s="31">
        <f>(G33*G27)/1000</f>
        <v>19.447200000000009</v>
      </c>
      <c r="H28" s="442"/>
      <c r="I28" s="30"/>
      <c r="J28" s="31">
        <f>(J33*J27)/1000</f>
        <v>19.247400000000006</v>
      </c>
      <c r="K28" s="31">
        <f t="shared" ref="K28:N28" si="6">(K33*K27)/1000</f>
        <v>19.413900000000005</v>
      </c>
      <c r="L28" s="31">
        <f t="shared" si="6"/>
        <v>4.7399999999999993</v>
      </c>
      <c r="M28" s="31">
        <f t="shared" si="6"/>
        <v>18.454399999999996</v>
      </c>
      <c r="N28" s="31">
        <f t="shared" si="6"/>
        <v>18.327999999999996</v>
      </c>
      <c r="O28" s="612"/>
      <c r="P28" s="30">
        <f>((((P26*7)*P27)/1000)-P18-P19)/5</f>
        <v>78.618880000000019</v>
      </c>
      <c r="Q28" s="31">
        <f t="shared" ref="Q28:Y28" si="7">((((Q26*7)*Q27)/1000)-Q18-Q19)/5</f>
        <v>77.91391999999999</v>
      </c>
      <c r="R28" s="31">
        <f>((((R26*7)*R27)/1000)-R18-R19)/5</f>
        <v>26.982079999999996</v>
      </c>
      <c r="S28" s="31">
        <f t="shared" si="7"/>
        <v>78.618880000000019</v>
      </c>
      <c r="T28" s="32">
        <f t="shared" si="7"/>
        <v>78.432640000000021</v>
      </c>
      <c r="U28" s="30">
        <f t="shared" si="7"/>
        <v>80.97247999999999</v>
      </c>
      <c r="V28" s="31">
        <f t="shared" si="7"/>
        <v>82.674880000000002</v>
      </c>
      <c r="W28" s="31">
        <f t="shared" si="7"/>
        <v>28.192</v>
      </c>
      <c r="X28" s="31">
        <f t="shared" si="7"/>
        <v>82.342399999999998</v>
      </c>
      <c r="Y28" s="32">
        <f t="shared" si="7"/>
        <v>82.15616</v>
      </c>
      <c r="Z28" s="33"/>
    </row>
    <row r="29" spans="1:40" ht="33.75" customHeight="1" x14ac:dyDescent="0.25">
      <c r="A29" s="185" t="s">
        <v>14</v>
      </c>
      <c r="B29" s="34"/>
      <c r="C29" s="280">
        <f>((C27*C30)*7)/1000</f>
        <v>133.19999999999999</v>
      </c>
      <c r="D29" s="280">
        <f t="shared" ref="D29:G29" si="8">((D27*D30)*7)/1000</f>
        <v>134.5</v>
      </c>
      <c r="E29" s="280">
        <f>((E27*E30)*7)/1000</f>
        <v>34.5</v>
      </c>
      <c r="F29" s="280">
        <f t="shared" si="8"/>
        <v>136.60000000000005</v>
      </c>
      <c r="G29" s="280">
        <f t="shared" si="8"/>
        <v>59.000000000000007</v>
      </c>
      <c r="H29" s="443"/>
      <c r="I29" s="279"/>
      <c r="J29" s="280">
        <f>((J27*J30)*7)/1000</f>
        <v>135.20000000000005</v>
      </c>
      <c r="K29" s="280">
        <f t="shared" ref="K29:N29" si="9">((K27*K30)*7)/1000</f>
        <v>136.6</v>
      </c>
      <c r="L29" s="280">
        <f t="shared" si="9"/>
        <v>34.1</v>
      </c>
      <c r="M29" s="280">
        <f t="shared" si="9"/>
        <v>130.1</v>
      </c>
      <c r="N29" s="280">
        <f t="shared" si="9"/>
        <v>128.9</v>
      </c>
      <c r="O29" s="613"/>
      <c r="P29" s="279">
        <f t="shared" ref="P29:Y29" si="10">((P27*P26)*7)/1000</f>
        <v>550.89440000000002</v>
      </c>
      <c r="Q29" s="280">
        <f t="shared" si="10"/>
        <v>546.36959999999999</v>
      </c>
      <c r="R29" s="280">
        <f t="shared" si="10"/>
        <v>188.91039999999998</v>
      </c>
      <c r="S29" s="280">
        <f t="shared" si="10"/>
        <v>550.89440000000002</v>
      </c>
      <c r="T29" s="282">
        <f t="shared" si="10"/>
        <v>549.76319999999998</v>
      </c>
      <c r="U29" s="279">
        <f t="shared" si="10"/>
        <v>567.86239999999998</v>
      </c>
      <c r="V29" s="280">
        <f t="shared" si="10"/>
        <v>579.17439999999999</v>
      </c>
      <c r="W29" s="280">
        <f t="shared" si="10"/>
        <v>197.96</v>
      </c>
      <c r="X29" s="280">
        <f t="shared" si="10"/>
        <v>576.91200000000003</v>
      </c>
      <c r="Y29" s="282">
        <f t="shared" si="10"/>
        <v>575.78079999999989</v>
      </c>
      <c r="Z29" s="36"/>
    </row>
    <row r="30" spans="1:40" ht="33.75" customHeight="1" thickBot="1" x14ac:dyDescent="0.3">
      <c r="A30" s="195" t="s">
        <v>15</v>
      </c>
      <c r="B30" s="423"/>
      <c r="C30" s="38">
        <f>+(C25/C27)/7*1000</f>
        <v>33.501006036217305</v>
      </c>
      <c r="D30" s="38">
        <f t="shared" ref="D30:Y30" si="11">+(D25/D27)/7*1000</f>
        <v>33.41614906832298</v>
      </c>
      <c r="E30" s="38">
        <f t="shared" si="11"/>
        <v>33.990147783251231</v>
      </c>
      <c r="F30" s="38">
        <f t="shared" si="11"/>
        <v>33.529700540009827</v>
      </c>
      <c r="G30" s="38">
        <f t="shared" si="11"/>
        <v>14.432485322896282</v>
      </c>
      <c r="H30" s="259"/>
      <c r="I30" s="37"/>
      <c r="J30" s="38">
        <f t="shared" si="11"/>
        <v>33.415719228868028</v>
      </c>
      <c r="K30" s="38">
        <f t="shared" si="11"/>
        <v>33.472188189169323</v>
      </c>
      <c r="L30" s="38">
        <f t="shared" si="11"/>
        <v>32.476190476190474</v>
      </c>
      <c r="M30" s="38">
        <f t="shared" si="11"/>
        <v>31.824853228962816</v>
      </c>
      <c r="N30" s="38">
        <f t="shared" si="11"/>
        <v>31.748768472906406</v>
      </c>
      <c r="O30" s="614"/>
      <c r="P30" s="37">
        <f t="shared" si="11"/>
        <v>161.57230859489587</v>
      </c>
      <c r="Q30" s="38">
        <f t="shared" si="11"/>
        <v>161.57941437444541</v>
      </c>
      <c r="R30" s="38">
        <f t="shared" si="11"/>
        <v>161.67664670658684</v>
      </c>
      <c r="S30" s="38">
        <f t="shared" si="11"/>
        <v>161.57230859489587</v>
      </c>
      <c r="T30" s="39">
        <f t="shared" si="11"/>
        <v>161.55202821869486</v>
      </c>
      <c r="U30" s="37">
        <f t="shared" si="11"/>
        <v>161.63915765509392</v>
      </c>
      <c r="V30" s="38">
        <f t="shared" si="11"/>
        <v>161.63504464285714</v>
      </c>
      <c r="W30" s="38">
        <f t="shared" si="11"/>
        <v>162.28571428571431</v>
      </c>
      <c r="X30" s="38">
        <f t="shared" si="11"/>
        <v>161.54061624649859</v>
      </c>
      <c r="Y30" s="39">
        <f t="shared" si="11"/>
        <v>161.66152119000839</v>
      </c>
      <c r="Z30" s="40"/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2">D29-D25</f>
        <v>0</v>
      </c>
      <c r="E31" s="42">
        <f t="shared" si="12"/>
        <v>0</v>
      </c>
      <c r="F31" s="42">
        <f t="shared" si="12"/>
        <v>0</v>
      </c>
      <c r="G31" s="42">
        <f t="shared" si="12"/>
        <v>0</v>
      </c>
      <c r="H31" s="42"/>
      <c r="I31" s="42"/>
      <c r="J31" s="42">
        <f t="shared" si="12"/>
        <v>0</v>
      </c>
      <c r="K31" s="42">
        <f>K29-K25</f>
        <v>0</v>
      </c>
      <c r="L31" s="42">
        <f t="shared" si="12"/>
        <v>0</v>
      </c>
      <c r="M31" s="42">
        <f t="shared" si="12"/>
        <v>0</v>
      </c>
      <c r="N31" s="42">
        <f t="shared" si="12"/>
        <v>0</v>
      </c>
      <c r="O31" s="42"/>
      <c r="P31" s="42">
        <f t="shared" si="12"/>
        <v>9.4399999999950523E-2</v>
      </c>
      <c r="Q31" s="42">
        <f t="shared" si="12"/>
        <v>6.9600000000036744E-2</v>
      </c>
      <c r="R31" s="42">
        <f t="shared" si="12"/>
        <v>-8.9600000000018554E-2</v>
      </c>
      <c r="S31" s="42">
        <f t="shared" si="12"/>
        <v>9.4399999999950523E-2</v>
      </c>
      <c r="T31" s="42">
        <f t="shared" si="12"/>
        <v>0.1632000000000744</v>
      </c>
      <c r="U31" s="42">
        <f t="shared" si="12"/>
        <v>-0.13760000000002037</v>
      </c>
      <c r="V31" s="42">
        <f t="shared" si="12"/>
        <v>-0.12559999999996307</v>
      </c>
      <c r="W31" s="42">
        <f t="shared" si="12"/>
        <v>-0.84000000000000341</v>
      </c>
      <c r="X31" s="42">
        <f t="shared" si="12"/>
        <v>0.21199999999998909</v>
      </c>
      <c r="Y31" s="42">
        <f t="shared" si="12"/>
        <v>-0.21920000000011441</v>
      </c>
      <c r="Z31" s="48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0.20100603621729363</v>
      </c>
      <c r="D32" s="42">
        <f t="shared" ref="D32:G32" si="13">D30-D33</f>
        <v>0.11614906832296867</v>
      </c>
      <c r="E32" s="42">
        <f t="shared" si="13"/>
        <v>0.69014778325121995</v>
      </c>
      <c r="F32" s="42">
        <f t="shared" si="13"/>
        <v>0.22970054000981577</v>
      </c>
      <c r="G32" s="42">
        <f t="shared" si="13"/>
        <v>-18.867514677103728</v>
      </c>
      <c r="H32" s="42"/>
      <c r="I32" s="42"/>
      <c r="J32" s="42">
        <f t="shared" ref="J32:N32" si="14">J30-J33</f>
        <v>0.11571922886801644</v>
      </c>
      <c r="K32" s="42">
        <f t="shared" si="14"/>
        <v>0.17218818916931156</v>
      </c>
      <c r="L32" s="42">
        <f t="shared" si="14"/>
        <v>0.87619047619048018</v>
      </c>
      <c r="M32" s="42">
        <f t="shared" si="14"/>
        <v>0.22485322896282156</v>
      </c>
      <c r="N32" s="42">
        <f t="shared" si="14"/>
        <v>0.14876847290641138</v>
      </c>
      <c r="O32" s="42"/>
      <c r="P32" s="42">
        <f t="shared" si="12"/>
        <v>-2.7691405104121714E-2</v>
      </c>
      <c r="Q32" s="42">
        <f t="shared" si="12"/>
        <v>-2.0585625554588205E-2</v>
      </c>
      <c r="R32" s="42">
        <f t="shared" si="12"/>
        <v>7.6646706586842583E-2</v>
      </c>
      <c r="S32" s="42">
        <f t="shared" si="12"/>
        <v>-2.7691405104121714E-2</v>
      </c>
      <c r="T32" s="42">
        <f t="shared" si="12"/>
        <v>-4.7971781305136574E-2</v>
      </c>
      <c r="U32" s="42">
        <f t="shared" si="12"/>
        <v>3.9157655093930543E-2</v>
      </c>
      <c r="V32" s="42">
        <f t="shared" si="12"/>
        <v>3.5044642857144481E-2</v>
      </c>
      <c r="W32" s="42">
        <f t="shared" si="12"/>
        <v>0.6857142857143117</v>
      </c>
      <c r="X32" s="42">
        <f t="shared" si="12"/>
        <v>-5.9383753501407455E-2</v>
      </c>
      <c r="Y32" s="42">
        <f t="shared" si="12"/>
        <v>6.1521190008392068E-2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33.300000000000011</v>
      </c>
      <c r="D33" s="42">
        <f t="shared" ref="D33:G33" si="15">D26-$B$34</f>
        <v>33.300000000000011</v>
      </c>
      <c r="E33" s="42">
        <f t="shared" si="15"/>
        <v>33.300000000000011</v>
      </c>
      <c r="F33" s="42">
        <f t="shared" si="15"/>
        <v>33.300000000000011</v>
      </c>
      <c r="G33" s="42">
        <f t="shared" si="15"/>
        <v>33.300000000000011</v>
      </c>
      <c r="H33" s="42"/>
      <c r="I33" s="42"/>
      <c r="J33" s="42">
        <f>J26-$I$34</f>
        <v>33.300000000000011</v>
      </c>
      <c r="K33" s="42">
        <f t="shared" ref="K33:N33" si="16">K26-$I$34</f>
        <v>33.300000000000011</v>
      </c>
      <c r="L33" s="42">
        <f t="shared" si="16"/>
        <v>31.599999999999994</v>
      </c>
      <c r="M33" s="42">
        <f t="shared" si="16"/>
        <v>31.599999999999994</v>
      </c>
      <c r="N33" s="42">
        <f t="shared" si="16"/>
        <v>31.599999999999994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319.02</v>
      </c>
      <c r="D34" s="432">
        <f>SUM(C27:G27)</f>
        <v>2454</v>
      </c>
      <c r="E34" s="42"/>
      <c r="F34" s="42"/>
      <c r="G34" s="42"/>
      <c r="H34" s="42"/>
      <c r="I34" s="514">
        <v>130</v>
      </c>
      <c r="J34" s="431">
        <f>(I34*K34)/1000</f>
        <v>321.75</v>
      </c>
      <c r="K34" s="432">
        <f>SUM(J27:N27)</f>
        <v>2475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9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652" t="s">
        <v>18</v>
      </c>
      <c r="M39" s="653" t="s">
        <v>17</v>
      </c>
      <c r="N39" s="654"/>
      <c r="O39" s="654"/>
      <c r="P39" s="654"/>
      <c r="Q39" s="654"/>
      <c r="R39" s="655" t="s">
        <v>9</v>
      </c>
      <c r="S39" s="645"/>
      <c r="U39" s="45"/>
      <c r="V39" s="45"/>
      <c r="W39" s="46"/>
      <c r="X39" s="3"/>
      <c r="Y39" s="45"/>
      <c r="Z39" s="45"/>
      <c r="AA39" s="45"/>
      <c r="AB39" s="3"/>
    </row>
    <row r="40" spans="1:38" ht="33.75" customHeight="1" thickBot="1" x14ac:dyDescent="0.3">
      <c r="A40" s="170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1">
        <v>1</v>
      </c>
      <c r="N40" s="16">
        <v>2</v>
      </c>
      <c r="O40" s="16">
        <v>3</v>
      </c>
      <c r="P40" s="16">
        <v>4</v>
      </c>
      <c r="Q40" s="16">
        <v>5</v>
      </c>
      <c r="R40" s="76"/>
      <c r="S40" s="645"/>
      <c r="U40" s="47"/>
      <c r="X40" s="48"/>
      <c r="Y40" s="2"/>
      <c r="Z40" s="2"/>
      <c r="AA40" s="2"/>
      <c r="AB40" s="2"/>
    </row>
    <row r="41" spans="1:38" ht="33.75" customHeight="1" x14ac:dyDescent="0.25">
      <c r="A41" s="171" t="s">
        <v>32</v>
      </c>
      <c r="B41" s="142">
        <v>95.2</v>
      </c>
      <c r="C41" s="486">
        <v>94.2</v>
      </c>
      <c r="D41" s="486">
        <v>23</v>
      </c>
      <c r="E41" s="486">
        <v>95.1</v>
      </c>
      <c r="F41" s="537">
        <v>94.2</v>
      </c>
      <c r="G41" s="509">
        <f t="shared" ref="G41:G48" si="17">SUM(B41:F41)</f>
        <v>401.7</v>
      </c>
      <c r="H41" s="609"/>
      <c r="I41" s="364"/>
      <c r="J41" s="364"/>
      <c r="K41" s="364"/>
      <c r="L41" s="171" t="s">
        <v>53</v>
      </c>
      <c r="M41" s="18">
        <v>7.4</v>
      </c>
      <c r="N41" s="19">
        <v>7.1</v>
      </c>
      <c r="O41" s="19">
        <v>1.9</v>
      </c>
      <c r="P41" s="19">
        <v>7.5</v>
      </c>
      <c r="Q41" s="19">
        <v>7</v>
      </c>
      <c r="R41" s="656">
        <f>SUM(M41:Q41)</f>
        <v>30.9</v>
      </c>
      <c r="S41" s="646"/>
      <c r="T41" s="657"/>
      <c r="U41" s="657"/>
      <c r="X41" s="48"/>
      <c r="Y41" s="2"/>
      <c r="Z41" s="2"/>
      <c r="AA41" s="2"/>
      <c r="AB41" s="2"/>
    </row>
    <row r="42" spans="1:38" ht="33.75" customHeight="1" x14ac:dyDescent="0.25">
      <c r="A42" s="171" t="s">
        <v>24</v>
      </c>
      <c r="B42" s="532">
        <v>95.1</v>
      </c>
      <c r="C42" s="431">
        <v>93.7</v>
      </c>
      <c r="D42" s="431">
        <v>23</v>
      </c>
      <c r="E42" s="431">
        <v>95.1</v>
      </c>
      <c r="F42" s="533">
        <v>93.5</v>
      </c>
      <c r="G42" s="509">
        <f t="shared" si="17"/>
        <v>400.4</v>
      </c>
      <c r="H42" s="609"/>
      <c r="I42" s="364"/>
      <c r="J42" s="364"/>
      <c r="K42" s="364"/>
      <c r="L42" s="171" t="s">
        <v>24</v>
      </c>
      <c r="M42" s="18">
        <v>7.4</v>
      </c>
      <c r="N42" s="19">
        <v>7.1</v>
      </c>
      <c r="O42" s="19">
        <v>1.6</v>
      </c>
      <c r="P42" s="19">
        <v>7.5</v>
      </c>
      <c r="Q42" s="19">
        <v>7</v>
      </c>
      <c r="R42" s="656">
        <f t="shared" ref="R42:R47" si="18">SUM(M42:Q42)</f>
        <v>30.6</v>
      </c>
      <c r="S42" s="646"/>
      <c r="T42" s="647"/>
      <c r="U42" s="658"/>
      <c r="X42" s="48"/>
      <c r="Y42" s="2"/>
      <c r="Z42" s="2"/>
      <c r="AA42" s="2"/>
      <c r="AB42" s="2"/>
    </row>
    <row r="43" spans="1:38" ht="33.75" customHeight="1" x14ac:dyDescent="0.25">
      <c r="A43" s="171" t="s">
        <v>20</v>
      </c>
      <c r="B43" s="142">
        <v>95.1</v>
      </c>
      <c r="C43" s="486">
        <v>93.6</v>
      </c>
      <c r="D43" s="486">
        <v>22.6</v>
      </c>
      <c r="E43" s="486">
        <v>95.1</v>
      </c>
      <c r="F43" s="537">
        <v>93.4</v>
      </c>
      <c r="G43" s="509">
        <f t="shared" si="17"/>
        <v>399.79999999999995</v>
      </c>
      <c r="H43" s="609"/>
      <c r="I43" s="364"/>
      <c r="J43" s="364"/>
      <c r="K43" s="364"/>
      <c r="L43" s="171" t="s">
        <v>20</v>
      </c>
      <c r="M43" s="18">
        <v>7.4</v>
      </c>
      <c r="N43" s="19">
        <v>7.1</v>
      </c>
      <c r="O43" s="19">
        <v>1.6</v>
      </c>
      <c r="P43" s="19">
        <v>7.5</v>
      </c>
      <c r="Q43" s="19">
        <v>7</v>
      </c>
      <c r="R43" s="656">
        <f t="shared" si="18"/>
        <v>30.6</v>
      </c>
      <c r="S43" s="646"/>
      <c r="T43" s="647"/>
      <c r="U43" s="658"/>
      <c r="X43" s="48"/>
      <c r="Y43" s="2"/>
      <c r="Z43" s="2"/>
      <c r="AA43" s="2"/>
      <c r="AB43" s="2"/>
    </row>
    <row r="44" spans="1:38" ht="33.75" customHeight="1" x14ac:dyDescent="0.25">
      <c r="A44" s="171" t="s">
        <v>28</v>
      </c>
      <c r="B44" s="142">
        <v>95.1</v>
      </c>
      <c r="C44" s="486">
        <v>93.6</v>
      </c>
      <c r="D44" s="486">
        <v>22.4</v>
      </c>
      <c r="E44" s="486">
        <v>95.1</v>
      </c>
      <c r="F44" s="537">
        <v>93.4</v>
      </c>
      <c r="G44" s="509">
        <f t="shared" si="17"/>
        <v>399.6</v>
      </c>
      <c r="H44" s="609"/>
      <c r="I44" s="364"/>
      <c r="J44" s="364"/>
      <c r="K44" s="364"/>
      <c r="L44" s="171" t="s">
        <v>28</v>
      </c>
      <c r="M44" s="18">
        <v>7.2</v>
      </c>
      <c r="N44" s="19">
        <v>7.1</v>
      </c>
      <c r="O44" s="19">
        <v>1.6</v>
      </c>
      <c r="P44" s="19">
        <v>7.5</v>
      </c>
      <c r="Q44" s="19">
        <v>7</v>
      </c>
      <c r="R44" s="656">
        <f t="shared" si="18"/>
        <v>30.4</v>
      </c>
      <c r="S44" s="646"/>
      <c r="T44" s="647"/>
      <c r="U44" s="658"/>
      <c r="X44" s="48"/>
      <c r="Y44" s="2"/>
      <c r="Z44" s="2"/>
      <c r="AA44" s="2"/>
      <c r="AB44" s="2"/>
    </row>
    <row r="45" spans="1:38" ht="33.75" customHeight="1" x14ac:dyDescent="0.25">
      <c r="A45" s="171" t="s">
        <v>21</v>
      </c>
      <c r="B45" s="142">
        <v>95.1</v>
      </c>
      <c r="C45" s="486">
        <v>93.6</v>
      </c>
      <c r="D45" s="486">
        <v>22.4</v>
      </c>
      <c r="E45" s="486">
        <v>95.1</v>
      </c>
      <c r="F45" s="537">
        <v>92.9</v>
      </c>
      <c r="G45" s="509">
        <f t="shared" si="17"/>
        <v>399.1</v>
      </c>
      <c r="H45" s="609"/>
      <c r="I45" s="364"/>
      <c r="J45" s="364"/>
      <c r="K45" s="364"/>
      <c r="L45" s="171" t="s">
        <v>21</v>
      </c>
      <c r="M45" s="18">
        <v>7.2</v>
      </c>
      <c r="N45" s="19">
        <v>7.1</v>
      </c>
      <c r="O45" s="19">
        <v>1.6</v>
      </c>
      <c r="P45" s="19">
        <v>7.5</v>
      </c>
      <c r="Q45" s="19">
        <v>7</v>
      </c>
      <c r="R45" s="656">
        <f t="shared" si="18"/>
        <v>30.4</v>
      </c>
      <c r="S45" s="646"/>
      <c r="T45" s="647"/>
      <c r="U45" s="658"/>
      <c r="X45" s="48"/>
      <c r="Y45" s="2"/>
      <c r="Z45" s="2"/>
      <c r="AA45" s="2"/>
      <c r="AB45" s="2"/>
    </row>
    <row r="46" spans="1:38" ht="33.75" customHeight="1" x14ac:dyDescent="0.25">
      <c r="A46" s="171" t="s">
        <v>22</v>
      </c>
      <c r="B46" s="142">
        <v>95.1</v>
      </c>
      <c r="C46" s="486">
        <v>93.6</v>
      </c>
      <c r="D46" s="486">
        <v>22.2</v>
      </c>
      <c r="E46" s="486">
        <v>95.1</v>
      </c>
      <c r="F46" s="537">
        <v>92.9</v>
      </c>
      <c r="G46" s="509">
        <f t="shared" si="17"/>
        <v>398.9</v>
      </c>
      <c r="H46" s="609"/>
      <c r="I46" s="364"/>
      <c r="J46" s="364"/>
      <c r="K46" s="364"/>
      <c r="L46" s="171" t="s">
        <v>22</v>
      </c>
      <c r="M46" s="18">
        <v>7.2</v>
      </c>
      <c r="N46" s="19">
        <v>7.1</v>
      </c>
      <c r="O46" s="19">
        <v>1.6</v>
      </c>
      <c r="P46" s="19">
        <v>7.2</v>
      </c>
      <c r="Q46" s="19">
        <v>7</v>
      </c>
      <c r="R46" s="656">
        <f t="shared" si="18"/>
        <v>30.1</v>
      </c>
      <c r="S46" s="646"/>
      <c r="T46" s="647"/>
      <c r="U46" s="658"/>
      <c r="X46" s="48"/>
      <c r="Y46" s="2"/>
      <c r="Z46" s="2"/>
      <c r="AA46" s="2"/>
      <c r="AB46" s="2"/>
    </row>
    <row r="47" spans="1:38" ht="33.75" customHeight="1" thickBot="1" x14ac:dyDescent="0.3">
      <c r="A47" s="285" t="s">
        <v>23</v>
      </c>
      <c r="B47" s="142">
        <v>95.1</v>
      </c>
      <c r="C47" s="486">
        <v>93.6</v>
      </c>
      <c r="D47" s="486">
        <v>21.9</v>
      </c>
      <c r="E47" s="486">
        <v>95.1</v>
      </c>
      <c r="F47" s="537">
        <v>92.7</v>
      </c>
      <c r="G47" s="526">
        <f t="shared" si="17"/>
        <v>398.4</v>
      </c>
      <c r="H47" s="609"/>
      <c r="I47" s="364"/>
      <c r="J47" s="364"/>
      <c r="K47" s="364"/>
      <c r="L47" s="285" t="s">
        <v>23</v>
      </c>
      <c r="M47" s="18">
        <v>7.2</v>
      </c>
      <c r="N47" s="19">
        <v>7.1</v>
      </c>
      <c r="O47" s="19">
        <v>1.6</v>
      </c>
      <c r="P47" s="19">
        <v>7.2</v>
      </c>
      <c r="Q47" s="19">
        <v>7</v>
      </c>
      <c r="R47" s="656">
        <f t="shared" si="18"/>
        <v>30.1</v>
      </c>
      <c r="S47" s="646"/>
      <c r="T47" s="647"/>
      <c r="U47" s="658"/>
      <c r="X47" s="48"/>
      <c r="Y47" s="48"/>
      <c r="Z47" s="48"/>
      <c r="AA47" s="2"/>
      <c r="AB47" s="2"/>
      <c r="AC47" s="2"/>
      <c r="AD47" s="2"/>
    </row>
    <row r="48" spans="1:38" ht="33.75" customHeight="1" x14ac:dyDescent="0.25">
      <c r="A48" s="290" t="s">
        <v>9</v>
      </c>
      <c r="B48" s="131">
        <f>SUM(B41:B47)</f>
        <v>665.80000000000007</v>
      </c>
      <c r="C48" s="128">
        <f t="shared" ref="C48:F48" si="19">SUM(C41:C47)</f>
        <v>655.90000000000009</v>
      </c>
      <c r="D48" s="128">
        <f t="shared" si="19"/>
        <v>157.5</v>
      </c>
      <c r="E48" s="128">
        <f t="shared" si="19"/>
        <v>665.7</v>
      </c>
      <c r="F48" s="129">
        <f t="shared" si="19"/>
        <v>653</v>
      </c>
      <c r="G48" s="644">
        <f t="shared" si="17"/>
        <v>2797.9000000000005</v>
      </c>
      <c r="H48" s="609"/>
      <c r="I48" s="364"/>
      <c r="J48" s="364"/>
      <c r="K48" s="364"/>
      <c r="L48" s="290" t="s">
        <v>9</v>
      </c>
      <c r="M48" s="18">
        <f>SUM(M41:M47)</f>
        <v>51.000000000000007</v>
      </c>
      <c r="N48" s="19">
        <f>SUM(N41:N47)</f>
        <v>49.7</v>
      </c>
      <c r="O48" s="19">
        <f>SUM(O41:O47)</f>
        <v>11.499999999999998</v>
      </c>
      <c r="P48" s="19">
        <f t="shared" ref="P48:Q48" si="20">SUM(P41:P47)</f>
        <v>51.900000000000006</v>
      </c>
      <c r="Q48" s="19">
        <f t="shared" si="20"/>
        <v>49</v>
      </c>
      <c r="R48" s="77">
        <f>SUM(M48:Q48)</f>
        <v>213.10000000000002</v>
      </c>
      <c r="S48" s="647"/>
      <c r="T48" s="647"/>
      <c r="U48" s="658"/>
      <c r="X48" s="2"/>
      <c r="Y48" s="2"/>
      <c r="Z48" s="2"/>
      <c r="AA48" s="2"/>
      <c r="AB48" s="2"/>
      <c r="AC48" s="2"/>
      <c r="AD48" s="2"/>
    </row>
    <row r="49" spans="1:50" ht="33.75" customHeight="1" x14ac:dyDescent="0.25">
      <c r="A49" s="192" t="s">
        <v>11</v>
      </c>
      <c r="B49" s="23">
        <v>157.69999999999999</v>
      </c>
      <c r="C49" s="23">
        <v>157.69999999999999</v>
      </c>
      <c r="D49" s="23">
        <v>157.69999999999999</v>
      </c>
      <c r="E49" s="23">
        <v>157.69999999999999</v>
      </c>
      <c r="F49" s="23">
        <v>157.69999999999999</v>
      </c>
      <c r="G49" s="137">
        <f>+((G48/G50)/7)*1000</f>
        <v>157.92177005136313</v>
      </c>
      <c r="H49" s="609"/>
      <c r="I49" s="364"/>
      <c r="J49" s="364"/>
      <c r="K49" s="364"/>
      <c r="L49" s="273" t="s">
        <v>11</v>
      </c>
      <c r="M49" s="23">
        <v>157</v>
      </c>
      <c r="N49" s="24">
        <v>155.5</v>
      </c>
      <c r="O49" s="24">
        <v>154</v>
      </c>
      <c r="P49" s="24">
        <v>155</v>
      </c>
      <c r="Q49" s="24">
        <v>153.5</v>
      </c>
      <c r="R49" s="78">
        <f>+((R48/R50)/7)*1000</f>
        <v>155.32069970845484</v>
      </c>
      <c r="S49" s="648"/>
      <c r="T49" s="647"/>
      <c r="U49" s="658"/>
      <c r="V49" s="50"/>
    </row>
    <row r="50" spans="1:50" ht="33.75" customHeight="1" x14ac:dyDescent="0.25">
      <c r="A50" s="193" t="s">
        <v>12</v>
      </c>
      <c r="B50" s="26">
        <v>603</v>
      </c>
      <c r="C50" s="27">
        <v>594</v>
      </c>
      <c r="D50" s="27">
        <v>141</v>
      </c>
      <c r="E50" s="27">
        <v>603</v>
      </c>
      <c r="F50" s="28">
        <v>590</v>
      </c>
      <c r="G50" s="395">
        <f>SUM(B50:F50)</f>
        <v>2531</v>
      </c>
      <c r="H50" s="609"/>
      <c r="I50" s="364"/>
      <c r="J50" s="364"/>
      <c r="K50" s="364"/>
      <c r="L50" s="193" t="s">
        <v>12</v>
      </c>
      <c r="M50" s="257">
        <v>46</v>
      </c>
      <c r="N50" s="275">
        <v>46</v>
      </c>
      <c r="O50" s="275">
        <v>11</v>
      </c>
      <c r="P50" s="275">
        <v>47</v>
      </c>
      <c r="Q50" s="275">
        <v>46</v>
      </c>
      <c r="R50" s="82">
        <f>SUM(L50:Q50)</f>
        <v>196</v>
      </c>
      <c r="S50" s="649"/>
      <c r="T50" s="301"/>
      <c r="U50" s="52"/>
      <c r="V50" s="52"/>
    </row>
    <row r="51" spans="1:50" ht="33.75" customHeight="1" x14ac:dyDescent="0.25">
      <c r="A51" s="194" t="s">
        <v>13</v>
      </c>
      <c r="B51" s="30">
        <f>((((B49*7)*B50)/1000)-B41-B42)/5</f>
        <v>95.070339999999987</v>
      </c>
      <c r="C51" s="31">
        <f t="shared" ref="C51:F51" si="21">((((C49*7)*C50)/1000)-C41-C42)/5</f>
        <v>93.56331999999999</v>
      </c>
      <c r="D51" s="31">
        <f>((((D49*7)*D50)/1000)-D41-D42)/5</f>
        <v>21.92998</v>
      </c>
      <c r="E51" s="31">
        <f t="shared" si="21"/>
        <v>95.090339999999998</v>
      </c>
      <c r="F51" s="32">
        <f t="shared" si="21"/>
        <v>92.720199999999977</v>
      </c>
      <c r="G51" s="139">
        <f>((G48*1000)/G50)/7</f>
        <v>157.92177005136313</v>
      </c>
      <c r="H51" s="609"/>
      <c r="I51" s="364"/>
      <c r="J51" s="364"/>
      <c r="K51" s="364"/>
      <c r="L51" s="194" t="s">
        <v>13</v>
      </c>
      <c r="M51" s="30">
        <f>((((M49*7)*M50)/1000)-M41-M42)/5</f>
        <v>7.1508000000000012</v>
      </c>
      <c r="N51" s="31">
        <f t="shared" ref="N51:Q51" si="22">((((N49*7)*N50)/1000)-N41-N42)/5</f>
        <v>7.174199999999999</v>
      </c>
      <c r="O51" s="31">
        <f t="shared" si="22"/>
        <v>1.6716000000000002</v>
      </c>
      <c r="P51" s="31">
        <f t="shared" si="22"/>
        <v>7.1989999999999998</v>
      </c>
      <c r="Q51" s="31">
        <f t="shared" si="22"/>
        <v>7.0853999999999999</v>
      </c>
      <c r="R51" s="83">
        <f>((R48*1000)/R50)/7</f>
        <v>155.32069970845484</v>
      </c>
      <c r="S51" s="650"/>
      <c r="T51" s="301"/>
      <c r="U51" s="52"/>
      <c r="V51" s="52"/>
    </row>
    <row r="52" spans="1:50" ht="33.75" customHeight="1" x14ac:dyDescent="0.25">
      <c r="A52" s="185" t="s">
        <v>14</v>
      </c>
      <c r="B52" s="279">
        <f>((B50*B49)*7)/1000</f>
        <v>665.65170000000001</v>
      </c>
      <c r="C52" s="280">
        <f>((C50*C49)*7)/1000</f>
        <v>655.71659999999986</v>
      </c>
      <c r="D52" s="280">
        <f>((D50*D49)*7)/1000</f>
        <v>155.64989999999997</v>
      </c>
      <c r="E52" s="280">
        <f>((E50*E49)*7)/1000</f>
        <v>665.65170000000001</v>
      </c>
      <c r="F52" s="282">
        <f>((F50*F49)*7)/1000</f>
        <v>651.30100000000004</v>
      </c>
      <c r="G52" s="112"/>
      <c r="H52" s="609"/>
      <c r="I52" s="364"/>
      <c r="J52" s="364"/>
      <c r="K52" s="364"/>
      <c r="L52" s="185" t="s">
        <v>14</v>
      </c>
      <c r="M52" s="279">
        <f>((M50*M49)*7)/1000</f>
        <v>50.554000000000002</v>
      </c>
      <c r="N52" s="280">
        <f>((N50*N49)*7)/1000</f>
        <v>50.070999999999998</v>
      </c>
      <c r="O52" s="280">
        <f>((O50*O49)*7)/1000</f>
        <v>11.858000000000001</v>
      </c>
      <c r="P52" s="280">
        <f t="shared" ref="P52:Q52" si="23">((P50*P49)*7)/1000</f>
        <v>50.994999999999997</v>
      </c>
      <c r="Q52" s="280">
        <f t="shared" si="23"/>
        <v>49.427</v>
      </c>
      <c r="R52" s="84"/>
      <c r="S52" s="522"/>
    </row>
    <row r="53" spans="1:50" ht="33.75" customHeight="1" thickBot="1" x14ac:dyDescent="0.3">
      <c r="A53" s="195" t="s">
        <v>15</v>
      </c>
      <c r="B53" s="37">
        <f t="shared" ref="B53:E53" si="24">+(B48/B50)/7*1000</f>
        <v>157.73513385453683</v>
      </c>
      <c r="C53" s="38">
        <f t="shared" si="24"/>
        <v>157.74410774410777</v>
      </c>
      <c r="D53" s="38">
        <f t="shared" si="24"/>
        <v>159.57446808510636</v>
      </c>
      <c r="E53" s="38">
        <f t="shared" si="24"/>
        <v>157.71144278606965</v>
      </c>
      <c r="F53" s="39">
        <f>+(F48/F50)/7*1000</f>
        <v>158.11138014527845</v>
      </c>
      <c r="G53" s="140"/>
      <c r="H53" s="609"/>
      <c r="I53" s="364"/>
      <c r="J53" s="364"/>
      <c r="K53" s="364"/>
      <c r="L53" s="195" t="s">
        <v>15</v>
      </c>
      <c r="M53" s="37">
        <f>+(M48/M50)/7*1000</f>
        <v>158.38509316770191</v>
      </c>
      <c r="N53" s="38">
        <f>+(N48/N50)/7*1000</f>
        <v>154.34782608695656</v>
      </c>
      <c r="O53" s="38">
        <f>+(O48/O50)/7*1000</f>
        <v>149.35064935064932</v>
      </c>
      <c r="P53" s="38">
        <f t="shared" ref="P53:Q53" si="25">+(P48/P50)/7*1000</f>
        <v>157.7507598784195</v>
      </c>
      <c r="Q53" s="38">
        <f t="shared" si="25"/>
        <v>152.17391304347828</v>
      </c>
      <c r="R53" s="39"/>
      <c r="S53" s="651"/>
      <c r="U53" s="42"/>
      <c r="V53" s="42"/>
    </row>
    <row r="54" spans="1:50" ht="33.75" customHeight="1" x14ac:dyDescent="0.25">
      <c r="A54" s="41"/>
      <c r="B54" s="43">
        <f>B52-B48</f>
        <v>-0.14830000000006294</v>
      </c>
      <c r="C54" s="43">
        <f t="shared" ref="C54:F55" si="26">C52-C48</f>
        <v>-0.18340000000023338</v>
      </c>
      <c r="D54" s="43">
        <f t="shared" si="26"/>
        <v>-1.8501000000000261</v>
      </c>
      <c r="E54" s="43">
        <f>E52-E48</f>
        <v>-4.83000000000402E-2</v>
      </c>
      <c r="F54" s="43">
        <f t="shared" si="26"/>
        <v>-1.6989999999999554</v>
      </c>
      <c r="G54" s="41"/>
      <c r="H54" s="41"/>
      <c r="I54" s="41"/>
      <c r="J54" s="41"/>
      <c r="K54" s="41"/>
      <c r="L54" s="42"/>
      <c r="M54" s="42">
        <f>M52-M48</f>
        <v>-0.44600000000000506</v>
      </c>
      <c r="N54" s="42">
        <f t="shared" ref="N54:R55" si="27">N52-N48</f>
        <v>0.37099999999999511</v>
      </c>
      <c r="O54" s="42">
        <f t="shared" si="27"/>
        <v>0.35800000000000232</v>
      </c>
      <c r="P54" s="42">
        <f t="shared" si="27"/>
        <v>-0.90500000000000824</v>
      </c>
      <c r="Q54" s="42">
        <f t="shared" si="27"/>
        <v>0.4269999999999996</v>
      </c>
      <c r="R54" s="42">
        <f t="shared" si="27"/>
        <v>-213.10000000000002</v>
      </c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3.5133854536837816E-2</v>
      </c>
      <c r="C55" s="42">
        <f>C53-C49</f>
        <v>4.4107744107776625E-2</v>
      </c>
      <c r="D55" s="42">
        <f t="shared" si="26"/>
        <v>1.874468085106372</v>
      </c>
      <c r="E55" s="42">
        <f>E53-E49</f>
        <v>1.144278606966509E-2</v>
      </c>
      <c r="F55" s="42">
        <f>F53-F49</f>
        <v>0.41138014527845712</v>
      </c>
      <c r="G55" s="41"/>
      <c r="H55" s="41"/>
      <c r="I55" s="41"/>
      <c r="J55" s="41"/>
      <c r="K55" s="42"/>
      <c r="L55" s="42"/>
      <c r="M55" s="42">
        <f>M53-M49</f>
        <v>1.3850931677019105</v>
      </c>
      <c r="N55" s="42">
        <f t="shared" si="27"/>
        <v>-1.1521739130434412</v>
      </c>
      <c r="O55" s="42">
        <f>O53-O49</f>
        <v>-4.64935064935068</v>
      </c>
      <c r="P55" s="42">
        <f t="shared" si="27"/>
        <v>2.7507598784195011</v>
      </c>
      <c r="Q55" s="42">
        <f t="shared" si="27"/>
        <v>-1.3260869565217206</v>
      </c>
      <c r="R55" s="42">
        <f t="shared" si="27"/>
        <v>-155.32069970845484</v>
      </c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54"/>
      <c r="N57" s="54"/>
      <c r="O57" s="637"/>
      <c r="P57" s="637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640" t="s">
        <v>30</v>
      </c>
      <c r="H58" s="974"/>
      <c r="I58" s="974"/>
      <c r="J58" s="974"/>
      <c r="K58" s="991"/>
      <c r="L58" s="973" t="s">
        <v>29</v>
      </c>
      <c r="M58" s="974"/>
      <c r="N58" s="974"/>
      <c r="O58" s="974"/>
      <c r="P58" s="974"/>
      <c r="Q58" s="973" t="s">
        <v>31</v>
      </c>
      <c r="R58" s="974"/>
      <c r="S58" s="974"/>
      <c r="T58" s="974"/>
      <c r="U58" s="991"/>
      <c r="V58" s="586" t="s">
        <v>9</v>
      </c>
      <c r="W58" s="661"/>
      <c r="X58" s="662"/>
      <c r="Y58" s="522"/>
      <c r="Z58" s="522"/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188">
        <v>1</v>
      </c>
      <c r="H59" s="168">
        <v>2</v>
      </c>
      <c r="I59" s="168">
        <v>3</v>
      </c>
      <c r="J59" s="168">
        <v>4</v>
      </c>
      <c r="K59" s="168">
        <v>5</v>
      </c>
      <c r="L59" s="188">
        <v>1</v>
      </c>
      <c r="M59" s="168">
        <v>2</v>
      </c>
      <c r="N59" s="168">
        <v>3</v>
      </c>
      <c r="O59" s="168">
        <v>4</v>
      </c>
      <c r="P59" s="413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126"/>
      <c r="W59" s="663"/>
      <c r="X59" s="645"/>
      <c r="Y59" s="657"/>
      <c r="Z59" s="657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25">
      <c r="A60" s="171" t="s">
        <v>53</v>
      </c>
      <c r="B60" s="447">
        <v>7.8</v>
      </c>
      <c r="C60" s="124">
        <v>7.9</v>
      </c>
      <c r="D60" s="124">
        <v>2.1</v>
      </c>
      <c r="E60" s="124">
        <v>8</v>
      </c>
      <c r="F60" s="123">
        <v>8</v>
      </c>
      <c r="G60" s="447">
        <v>7.7</v>
      </c>
      <c r="H60" s="124">
        <v>8</v>
      </c>
      <c r="I60" s="124">
        <v>2.1</v>
      </c>
      <c r="J60" s="124">
        <v>8</v>
      </c>
      <c r="K60" s="124">
        <v>7.9</v>
      </c>
      <c r="L60" s="130">
        <v>6</v>
      </c>
      <c r="M60" s="124">
        <v>6.6</v>
      </c>
      <c r="N60" s="124">
        <v>2</v>
      </c>
      <c r="O60" s="124">
        <v>6.6</v>
      </c>
      <c r="P60" s="124">
        <v>6.7</v>
      </c>
      <c r="Q60" s="123">
        <v>6.9</v>
      </c>
      <c r="R60" s="124">
        <v>7.1</v>
      </c>
      <c r="S60" s="124">
        <v>2.5</v>
      </c>
      <c r="T60" s="124">
        <v>7</v>
      </c>
      <c r="U60" s="132">
        <v>6.5</v>
      </c>
      <c r="V60" s="412">
        <f>SUM(B60:U60)</f>
        <v>125.39999999999999</v>
      </c>
      <c r="W60" s="651"/>
      <c r="X60" s="646"/>
      <c r="Y60" s="657"/>
      <c r="Z60" s="657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25">
      <c r="A61" s="171" t="s">
        <v>24</v>
      </c>
      <c r="B61" s="447">
        <v>7.8</v>
      </c>
      <c r="C61" s="124">
        <v>7.9</v>
      </c>
      <c r="D61" s="124">
        <v>2.1</v>
      </c>
      <c r="E61" s="124">
        <v>8</v>
      </c>
      <c r="F61" s="123">
        <v>8</v>
      </c>
      <c r="G61" s="447">
        <v>7.7</v>
      </c>
      <c r="H61" s="124">
        <v>8</v>
      </c>
      <c r="I61" s="124">
        <v>2.1</v>
      </c>
      <c r="J61" s="124">
        <v>8</v>
      </c>
      <c r="K61" s="124">
        <v>7.9</v>
      </c>
      <c r="L61" s="130">
        <v>6</v>
      </c>
      <c r="M61" s="124">
        <v>6.6</v>
      </c>
      <c r="N61" s="124">
        <v>2</v>
      </c>
      <c r="O61" s="124">
        <v>6.6</v>
      </c>
      <c r="P61" s="124">
        <v>6.7</v>
      </c>
      <c r="Q61" s="123">
        <v>6.9</v>
      </c>
      <c r="R61" s="124">
        <v>7.1</v>
      </c>
      <c r="S61" s="124">
        <v>2.5</v>
      </c>
      <c r="T61" s="124">
        <v>7</v>
      </c>
      <c r="U61" s="132">
        <v>6.5</v>
      </c>
      <c r="V61" s="412">
        <f t="shared" ref="V61:V66" si="28">SUM(B61:U61)</f>
        <v>125.39999999999999</v>
      </c>
      <c r="W61" s="651"/>
      <c r="X61" s="646"/>
      <c r="Y61" s="651"/>
      <c r="Z61" s="651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25">
      <c r="A62" s="171" t="s">
        <v>20</v>
      </c>
      <c r="B62" s="447">
        <v>7.8</v>
      </c>
      <c r="C62" s="124">
        <v>7.9</v>
      </c>
      <c r="D62" s="124">
        <v>2.1</v>
      </c>
      <c r="E62" s="124">
        <v>8</v>
      </c>
      <c r="F62" s="123">
        <v>8</v>
      </c>
      <c r="G62" s="447">
        <v>7.7</v>
      </c>
      <c r="H62" s="124">
        <v>8</v>
      </c>
      <c r="I62" s="124">
        <v>2.1</v>
      </c>
      <c r="J62" s="124">
        <v>8</v>
      </c>
      <c r="K62" s="124">
        <v>7.9</v>
      </c>
      <c r="L62" s="130">
        <v>6</v>
      </c>
      <c r="M62" s="124">
        <v>6.6</v>
      </c>
      <c r="N62" s="124">
        <v>2</v>
      </c>
      <c r="O62" s="124">
        <v>6.6</v>
      </c>
      <c r="P62" s="124">
        <v>6.7</v>
      </c>
      <c r="Q62" s="123">
        <v>6.9</v>
      </c>
      <c r="R62" s="124">
        <v>7.1</v>
      </c>
      <c r="S62" s="124">
        <v>2.5</v>
      </c>
      <c r="T62" s="124">
        <v>7</v>
      </c>
      <c r="U62" s="132">
        <v>6.5</v>
      </c>
      <c r="V62" s="412">
        <f t="shared" si="28"/>
        <v>125.39999999999999</v>
      </c>
      <c r="W62" s="651"/>
      <c r="X62" s="646"/>
      <c r="Y62" s="651"/>
      <c r="Z62" s="651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25">
      <c r="A63" s="171" t="s">
        <v>28</v>
      </c>
      <c r="B63" s="447">
        <v>7.8</v>
      </c>
      <c r="C63" s="124">
        <v>7.9</v>
      </c>
      <c r="D63" s="124">
        <v>2.1</v>
      </c>
      <c r="E63" s="124">
        <v>8</v>
      </c>
      <c r="F63" s="123">
        <v>8</v>
      </c>
      <c r="G63" s="447">
        <v>7.7</v>
      </c>
      <c r="H63" s="124">
        <v>8</v>
      </c>
      <c r="I63" s="124">
        <v>2.1</v>
      </c>
      <c r="J63" s="124">
        <v>8</v>
      </c>
      <c r="K63" s="124">
        <v>7.9</v>
      </c>
      <c r="L63" s="130">
        <v>6</v>
      </c>
      <c r="M63" s="124">
        <v>6.6</v>
      </c>
      <c r="N63" s="124">
        <v>2</v>
      </c>
      <c r="O63" s="124">
        <v>6.6</v>
      </c>
      <c r="P63" s="124">
        <v>6.7</v>
      </c>
      <c r="Q63" s="123">
        <v>6.9</v>
      </c>
      <c r="R63" s="124">
        <v>7.1</v>
      </c>
      <c r="S63" s="124">
        <v>2.5</v>
      </c>
      <c r="T63" s="124">
        <v>7</v>
      </c>
      <c r="U63" s="132">
        <v>6.5</v>
      </c>
      <c r="V63" s="412">
        <f t="shared" si="28"/>
        <v>125.39999999999999</v>
      </c>
      <c r="W63" s="651"/>
      <c r="X63" s="646"/>
      <c r="Y63" s="651"/>
      <c r="Z63" s="651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25">
      <c r="A64" s="171" t="s">
        <v>21</v>
      </c>
      <c r="B64" s="447">
        <v>7.8</v>
      </c>
      <c r="C64" s="124">
        <v>7.9</v>
      </c>
      <c r="D64" s="124">
        <v>2.1</v>
      </c>
      <c r="E64" s="124">
        <v>8</v>
      </c>
      <c r="F64" s="123">
        <v>8</v>
      </c>
      <c r="G64" s="447">
        <v>7.7</v>
      </c>
      <c r="H64" s="124">
        <v>8</v>
      </c>
      <c r="I64" s="124">
        <v>2.1</v>
      </c>
      <c r="J64" s="124">
        <v>8</v>
      </c>
      <c r="K64" s="124">
        <v>7.9</v>
      </c>
      <c r="L64" s="130">
        <v>6</v>
      </c>
      <c r="M64" s="124">
        <v>6.6</v>
      </c>
      <c r="N64" s="124">
        <v>2</v>
      </c>
      <c r="O64" s="124">
        <v>6.6</v>
      </c>
      <c r="P64" s="124">
        <v>6.7</v>
      </c>
      <c r="Q64" s="123">
        <v>6.9</v>
      </c>
      <c r="R64" s="124">
        <v>7.1</v>
      </c>
      <c r="S64" s="124">
        <v>2.5</v>
      </c>
      <c r="T64" s="124">
        <v>7</v>
      </c>
      <c r="U64" s="132">
        <v>6.5</v>
      </c>
      <c r="V64" s="412">
        <f t="shared" si="28"/>
        <v>125.39999999999999</v>
      </c>
      <c r="W64" s="651"/>
      <c r="X64" s="646"/>
      <c r="Y64" s="651"/>
      <c r="Z64" s="651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25">
      <c r="A65" s="171" t="s">
        <v>22</v>
      </c>
      <c r="B65" s="447">
        <v>7.8</v>
      </c>
      <c r="C65" s="124">
        <v>7.9</v>
      </c>
      <c r="D65" s="124">
        <v>2.1</v>
      </c>
      <c r="E65" s="124">
        <v>8</v>
      </c>
      <c r="F65" s="123">
        <v>8</v>
      </c>
      <c r="G65" s="447">
        <v>7.7</v>
      </c>
      <c r="H65" s="124">
        <v>8</v>
      </c>
      <c r="I65" s="124">
        <v>2.1</v>
      </c>
      <c r="J65" s="124">
        <v>8</v>
      </c>
      <c r="K65" s="124">
        <v>7.9</v>
      </c>
      <c r="L65" s="130">
        <v>6</v>
      </c>
      <c r="M65" s="124">
        <v>6.6</v>
      </c>
      <c r="N65" s="124">
        <v>2</v>
      </c>
      <c r="O65" s="124">
        <v>6.6</v>
      </c>
      <c r="P65" s="124">
        <v>6.7</v>
      </c>
      <c r="Q65" s="123">
        <v>6.9</v>
      </c>
      <c r="R65" s="124">
        <v>7.1</v>
      </c>
      <c r="S65" s="124">
        <v>2.5</v>
      </c>
      <c r="T65" s="124">
        <v>7</v>
      </c>
      <c r="U65" s="132">
        <v>6.5</v>
      </c>
      <c r="V65" s="412">
        <f t="shared" si="28"/>
        <v>125.39999999999999</v>
      </c>
      <c r="W65" s="651"/>
      <c r="X65" s="646"/>
      <c r="Y65" s="651"/>
      <c r="Z65" s="651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3">
      <c r="A66" s="171" t="s">
        <v>23</v>
      </c>
      <c r="B66" s="447">
        <v>7.8</v>
      </c>
      <c r="C66" s="124">
        <v>7.9</v>
      </c>
      <c r="D66" s="124">
        <v>2.1</v>
      </c>
      <c r="E66" s="124">
        <v>8</v>
      </c>
      <c r="F66" s="123">
        <v>8</v>
      </c>
      <c r="G66" s="447">
        <v>7.7</v>
      </c>
      <c r="H66" s="124">
        <v>8</v>
      </c>
      <c r="I66" s="124">
        <v>2.1</v>
      </c>
      <c r="J66" s="124">
        <v>8</v>
      </c>
      <c r="K66" s="124">
        <v>7.9</v>
      </c>
      <c r="L66" s="130">
        <v>6</v>
      </c>
      <c r="M66" s="124">
        <v>6.6</v>
      </c>
      <c r="N66" s="124">
        <v>2</v>
      </c>
      <c r="O66" s="124">
        <v>6.6</v>
      </c>
      <c r="P66" s="124">
        <v>6.7</v>
      </c>
      <c r="Q66" s="123">
        <v>6.9</v>
      </c>
      <c r="R66" s="124">
        <v>7.1</v>
      </c>
      <c r="S66" s="124">
        <v>2.5</v>
      </c>
      <c r="T66" s="124">
        <v>7</v>
      </c>
      <c r="U66" s="132">
        <v>6.5</v>
      </c>
      <c r="V66" s="412">
        <f t="shared" si="28"/>
        <v>125.39999999999999</v>
      </c>
      <c r="W66" s="651"/>
      <c r="X66" s="646"/>
      <c r="Y66" s="651"/>
      <c r="Z66" s="651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618">
        <f t="shared" ref="B67:U67" si="29">SUM(B60:B66)</f>
        <v>54.599999999999994</v>
      </c>
      <c r="C67" s="616">
        <f t="shared" si="29"/>
        <v>55.3</v>
      </c>
      <c r="D67" s="616">
        <f t="shared" si="29"/>
        <v>14.7</v>
      </c>
      <c r="E67" s="616">
        <f t="shared" si="29"/>
        <v>56</v>
      </c>
      <c r="F67" s="619">
        <f t="shared" si="29"/>
        <v>56</v>
      </c>
      <c r="G67" s="618">
        <f t="shared" si="29"/>
        <v>53.900000000000006</v>
      </c>
      <c r="H67" s="616">
        <f t="shared" si="29"/>
        <v>56</v>
      </c>
      <c r="I67" s="616">
        <f t="shared" si="29"/>
        <v>14.7</v>
      </c>
      <c r="J67" s="616">
        <f t="shared" si="29"/>
        <v>56</v>
      </c>
      <c r="K67" s="616">
        <f t="shared" si="29"/>
        <v>55.3</v>
      </c>
      <c r="L67" s="618">
        <f t="shared" si="29"/>
        <v>42</v>
      </c>
      <c r="M67" s="616">
        <f t="shared" si="29"/>
        <v>46.2</v>
      </c>
      <c r="N67" s="616">
        <f t="shared" si="29"/>
        <v>14</v>
      </c>
      <c r="O67" s="616">
        <f t="shared" si="29"/>
        <v>46.2</v>
      </c>
      <c r="P67" s="616">
        <f t="shared" si="29"/>
        <v>46.900000000000006</v>
      </c>
      <c r="Q67" s="615">
        <f t="shared" si="29"/>
        <v>48.3</v>
      </c>
      <c r="R67" s="616">
        <f t="shared" si="29"/>
        <v>49.7</v>
      </c>
      <c r="S67" s="616">
        <f t="shared" si="29"/>
        <v>17.5</v>
      </c>
      <c r="T67" s="616">
        <f t="shared" si="29"/>
        <v>49</v>
      </c>
      <c r="U67" s="617">
        <f t="shared" si="29"/>
        <v>45.5</v>
      </c>
      <c r="V67" s="449">
        <f>SUM(B67:U67)</f>
        <v>877.80000000000007</v>
      </c>
      <c r="W67" s="664"/>
      <c r="X67" s="646"/>
      <c r="Y67" s="651"/>
      <c r="Z67" s="651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159</v>
      </c>
      <c r="C68" s="358">
        <v>160</v>
      </c>
      <c r="D68" s="358">
        <v>158</v>
      </c>
      <c r="E68" s="358">
        <v>158.5</v>
      </c>
      <c r="F68" s="624">
        <v>159.5</v>
      </c>
      <c r="G68" s="357">
        <v>157.5</v>
      </c>
      <c r="H68" s="358">
        <v>159.5</v>
      </c>
      <c r="I68" s="358">
        <v>159.5</v>
      </c>
      <c r="J68" s="358">
        <v>160</v>
      </c>
      <c r="K68" s="358">
        <v>158</v>
      </c>
      <c r="L68" s="357">
        <v>156</v>
      </c>
      <c r="M68" s="358">
        <v>159.5</v>
      </c>
      <c r="N68" s="358">
        <v>155.5</v>
      </c>
      <c r="O68" s="358">
        <v>159.5</v>
      </c>
      <c r="P68" s="358">
        <v>159.5</v>
      </c>
      <c r="Q68" s="357">
        <v>160</v>
      </c>
      <c r="R68" s="358">
        <v>160</v>
      </c>
      <c r="S68" s="358">
        <v>160.5</v>
      </c>
      <c r="T68" s="358">
        <v>160.5</v>
      </c>
      <c r="U68" s="624">
        <v>160</v>
      </c>
      <c r="V68" s="296">
        <f>+((V67/V69)/7)*1000</f>
        <v>159.74522292993632</v>
      </c>
      <c r="W68" s="145"/>
      <c r="X68" s="648"/>
      <c r="Y68" s="665"/>
      <c r="Z68" s="522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49</v>
      </c>
      <c r="C69" s="275">
        <v>49</v>
      </c>
      <c r="D69" s="275">
        <v>13</v>
      </c>
      <c r="E69" s="275">
        <v>50</v>
      </c>
      <c r="F69" s="276">
        <v>50</v>
      </c>
      <c r="G69" s="257">
        <v>49</v>
      </c>
      <c r="H69" s="275">
        <v>50</v>
      </c>
      <c r="I69" s="275">
        <v>13</v>
      </c>
      <c r="J69" s="275">
        <v>50</v>
      </c>
      <c r="K69" s="275">
        <v>50</v>
      </c>
      <c r="L69" s="257">
        <v>39</v>
      </c>
      <c r="M69" s="275">
        <v>41</v>
      </c>
      <c r="N69" s="275">
        <v>13</v>
      </c>
      <c r="O69" s="275">
        <v>41</v>
      </c>
      <c r="P69" s="275">
        <v>42</v>
      </c>
      <c r="Q69" s="257">
        <v>43</v>
      </c>
      <c r="R69" s="275">
        <v>44</v>
      </c>
      <c r="S69" s="275">
        <v>15</v>
      </c>
      <c r="T69" s="275">
        <v>43</v>
      </c>
      <c r="U69" s="276">
        <v>41</v>
      </c>
      <c r="V69" s="254">
        <f>SUM(B69:U69)</f>
        <v>785</v>
      </c>
      <c r="W69" s="145"/>
      <c r="X69" s="649"/>
      <c r="Y69" s="665"/>
      <c r="Z69" s="522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 t="shared" ref="B70:U70" si="30">((((B68*7)*B69)/1000)-B60-B61)/5</f>
        <v>7.7874000000000008</v>
      </c>
      <c r="C70" s="31">
        <f t="shared" si="30"/>
        <v>7.8160000000000007</v>
      </c>
      <c r="D70" s="31">
        <f t="shared" si="30"/>
        <v>2.0356000000000001</v>
      </c>
      <c r="E70" s="31">
        <f t="shared" si="30"/>
        <v>7.8950000000000005</v>
      </c>
      <c r="F70" s="32">
        <f t="shared" si="30"/>
        <v>7.9650000000000007</v>
      </c>
      <c r="G70" s="30">
        <f t="shared" si="30"/>
        <v>7.724499999999999</v>
      </c>
      <c r="H70" s="31">
        <f t="shared" si="30"/>
        <v>7.9650000000000007</v>
      </c>
      <c r="I70" s="31">
        <f t="shared" si="30"/>
        <v>2.0629</v>
      </c>
      <c r="J70" s="31">
        <f t="shared" si="30"/>
        <v>8</v>
      </c>
      <c r="K70" s="31">
        <f t="shared" si="30"/>
        <v>7.9</v>
      </c>
      <c r="L70" s="30">
        <f t="shared" si="30"/>
        <v>6.1176000000000004</v>
      </c>
      <c r="M70" s="31">
        <f t="shared" si="30"/>
        <v>6.515299999999999</v>
      </c>
      <c r="N70" s="31">
        <f t="shared" si="30"/>
        <v>2.0301</v>
      </c>
      <c r="O70" s="31">
        <f t="shared" si="30"/>
        <v>6.515299999999999</v>
      </c>
      <c r="P70" s="31">
        <f t="shared" si="30"/>
        <v>6.698599999999999</v>
      </c>
      <c r="Q70" s="30">
        <f t="shared" si="30"/>
        <v>6.8719999999999999</v>
      </c>
      <c r="R70" s="31">
        <f t="shared" si="30"/>
        <v>7.016</v>
      </c>
      <c r="S70" s="31">
        <f t="shared" si="30"/>
        <v>2.3704999999999998</v>
      </c>
      <c r="T70" s="31">
        <f t="shared" si="30"/>
        <v>6.8620999999999999</v>
      </c>
      <c r="U70" s="32">
        <f t="shared" si="30"/>
        <v>6.5840000000000005</v>
      </c>
      <c r="V70" s="139">
        <f>((V67*1000)/V69)/7</f>
        <v>159.74522292993632</v>
      </c>
      <c r="W70" s="144"/>
      <c r="X70" s="650"/>
      <c r="Y70" s="665"/>
      <c r="Z70" s="522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31">((B69*B68)*7)/1000</f>
        <v>54.536999999999999</v>
      </c>
      <c r="C71" s="280">
        <f t="shared" si="31"/>
        <v>54.88</v>
      </c>
      <c r="D71" s="280">
        <f t="shared" si="31"/>
        <v>14.378</v>
      </c>
      <c r="E71" s="280">
        <f t="shared" si="31"/>
        <v>55.475000000000001</v>
      </c>
      <c r="F71" s="282">
        <f t="shared" si="31"/>
        <v>55.825000000000003</v>
      </c>
      <c r="G71" s="279">
        <f t="shared" si="31"/>
        <v>54.022500000000001</v>
      </c>
      <c r="H71" s="280">
        <f t="shared" si="31"/>
        <v>55.825000000000003</v>
      </c>
      <c r="I71" s="280">
        <f t="shared" si="31"/>
        <v>14.5145</v>
      </c>
      <c r="J71" s="280">
        <f t="shared" si="31"/>
        <v>56</v>
      </c>
      <c r="K71" s="280">
        <f t="shared" si="31"/>
        <v>55.3</v>
      </c>
      <c r="L71" s="279">
        <f t="shared" si="31"/>
        <v>42.588000000000001</v>
      </c>
      <c r="M71" s="280">
        <f t="shared" si="31"/>
        <v>45.776499999999999</v>
      </c>
      <c r="N71" s="280">
        <f t="shared" si="31"/>
        <v>14.150499999999999</v>
      </c>
      <c r="O71" s="280">
        <f t="shared" si="31"/>
        <v>45.776499999999999</v>
      </c>
      <c r="P71" s="280">
        <f t="shared" si="31"/>
        <v>46.893000000000001</v>
      </c>
      <c r="Q71" s="279">
        <f t="shared" si="31"/>
        <v>48.16</v>
      </c>
      <c r="R71" s="280">
        <f t="shared" si="31"/>
        <v>49.28</v>
      </c>
      <c r="S71" s="280">
        <f t="shared" si="31"/>
        <v>16.852499999999999</v>
      </c>
      <c r="T71" s="280">
        <f t="shared" si="31"/>
        <v>48.310499999999998</v>
      </c>
      <c r="U71" s="282">
        <f t="shared" si="31"/>
        <v>45.92</v>
      </c>
      <c r="V71" s="112"/>
      <c r="W71" s="651"/>
      <c r="X71" s="666"/>
      <c r="Y71" s="666"/>
      <c r="Z71" s="666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U72" si="32">+(B67/B69)/7*1000</f>
        <v>159.18367346938771</v>
      </c>
      <c r="C72" s="38">
        <f t="shared" si="32"/>
        <v>161.22448979591834</v>
      </c>
      <c r="D72" s="38">
        <f t="shared" si="32"/>
        <v>161.53846153846155</v>
      </c>
      <c r="E72" s="38">
        <f t="shared" si="32"/>
        <v>160</v>
      </c>
      <c r="F72" s="39">
        <f t="shared" si="32"/>
        <v>160</v>
      </c>
      <c r="G72" s="37">
        <f t="shared" si="32"/>
        <v>157.14285714285717</v>
      </c>
      <c r="H72" s="38">
        <f t="shared" si="32"/>
        <v>160</v>
      </c>
      <c r="I72" s="38">
        <f t="shared" si="32"/>
        <v>161.53846153846155</v>
      </c>
      <c r="J72" s="38">
        <f t="shared" si="32"/>
        <v>160</v>
      </c>
      <c r="K72" s="38">
        <f t="shared" si="32"/>
        <v>157.99999999999997</v>
      </c>
      <c r="L72" s="37">
        <f t="shared" si="32"/>
        <v>153.84615384615384</v>
      </c>
      <c r="M72" s="38">
        <f t="shared" si="32"/>
        <v>160.97560975609755</v>
      </c>
      <c r="N72" s="38">
        <f t="shared" si="32"/>
        <v>153.84615384615384</v>
      </c>
      <c r="O72" s="38">
        <f t="shared" si="32"/>
        <v>160.97560975609755</v>
      </c>
      <c r="P72" s="38">
        <f t="shared" si="32"/>
        <v>159.52380952380955</v>
      </c>
      <c r="Q72" s="37">
        <f t="shared" si="32"/>
        <v>160.46511627906975</v>
      </c>
      <c r="R72" s="38">
        <f t="shared" si="32"/>
        <v>161.36363636363637</v>
      </c>
      <c r="S72" s="38">
        <f t="shared" si="32"/>
        <v>166.66666666666669</v>
      </c>
      <c r="T72" s="38">
        <f t="shared" si="32"/>
        <v>162.79069767441862</v>
      </c>
      <c r="U72" s="39">
        <f t="shared" si="32"/>
        <v>158.53658536585365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43">
        <f>B71-B67</f>
        <v>-6.2999999999995282E-2</v>
      </c>
      <c r="C73" s="43">
        <f t="shared" ref="C73:F73" si="33">C71-C67</f>
        <v>-0.4199999999999946</v>
      </c>
      <c r="D73" s="43">
        <f t="shared" si="33"/>
        <v>-0.32199999999999918</v>
      </c>
      <c r="E73" s="43">
        <f t="shared" si="33"/>
        <v>-0.52499999999999858</v>
      </c>
      <c r="F73" s="43">
        <f t="shared" si="33"/>
        <v>-0.17499999999999716</v>
      </c>
      <c r="G73" s="43">
        <f>G71-G67</f>
        <v>0.12249999999999517</v>
      </c>
      <c r="H73" s="43">
        <f t="shared" ref="H73:U74" si="34">H71-H67</f>
        <v>-0.17499999999999716</v>
      </c>
      <c r="I73" s="43">
        <f t="shared" si="34"/>
        <v>-0.18549999999999933</v>
      </c>
      <c r="J73" s="43">
        <f t="shared" si="34"/>
        <v>0</v>
      </c>
      <c r="K73" s="43">
        <f t="shared" si="34"/>
        <v>0</v>
      </c>
      <c r="L73" s="43">
        <f>L71-L67</f>
        <v>0.58800000000000097</v>
      </c>
      <c r="M73" s="43">
        <f t="shared" ref="M73:P73" si="35">M71-M67</f>
        <v>-0.42350000000000421</v>
      </c>
      <c r="N73" s="43">
        <f t="shared" si="35"/>
        <v>0.15049999999999919</v>
      </c>
      <c r="O73" s="43">
        <f t="shared" si="35"/>
        <v>-0.42350000000000421</v>
      </c>
      <c r="P73" s="43">
        <f t="shared" si="35"/>
        <v>-7.0000000000050022E-3</v>
      </c>
      <c r="Q73" s="43">
        <f>Q71-Q67</f>
        <v>-0.14000000000000057</v>
      </c>
      <c r="R73" s="43">
        <f t="shared" ref="R73:U73" si="36">R71-R67</f>
        <v>-0.42000000000000171</v>
      </c>
      <c r="S73" s="43">
        <f t="shared" si="36"/>
        <v>-0.64750000000000085</v>
      </c>
      <c r="T73" s="43">
        <f t="shared" si="36"/>
        <v>-0.68950000000000244</v>
      </c>
      <c r="U73" s="43">
        <f t="shared" si="36"/>
        <v>0.42000000000000171</v>
      </c>
      <c r="W73" s="144"/>
      <c r="X73" s="522"/>
      <c r="Y73" s="522"/>
      <c r="Z73" s="522"/>
    </row>
    <row r="74" spans="1:50" ht="33.75" customHeight="1" x14ac:dyDescent="0.25">
      <c r="B74" s="42">
        <f t="shared" ref="B74:J74" si="37">B72-B68</f>
        <v>0.18367346938771334</v>
      </c>
      <c r="C74" s="42">
        <f t="shared" si="37"/>
        <v>1.2244897959183447</v>
      </c>
      <c r="D74" s="42">
        <f t="shared" si="37"/>
        <v>3.5384615384615472</v>
      </c>
      <c r="E74" s="42">
        <f t="shared" si="37"/>
        <v>1.5</v>
      </c>
      <c r="F74" s="42">
        <f t="shared" si="37"/>
        <v>0.5</v>
      </c>
      <c r="G74" s="42">
        <f t="shared" si="37"/>
        <v>-0.35714285714283278</v>
      </c>
      <c r="H74" s="42">
        <f t="shared" si="37"/>
        <v>0.5</v>
      </c>
      <c r="I74" s="42">
        <f>I72-I68</f>
        <v>2.0384615384615472</v>
      </c>
      <c r="J74" s="42">
        <f t="shared" si="37"/>
        <v>0</v>
      </c>
      <c r="K74" s="42">
        <f t="shared" si="34"/>
        <v>0</v>
      </c>
      <c r="L74" s="42">
        <f t="shared" si="34"/>
        <v>-2.1538461538461604</v>
      </c>
      <c r="M74" s="42">
        <f t="shared" si="34"/>
        <v>1.4756097560975547</v>
      </c>
      <c r="N74" s="42">
        <f t="shared" si="34"/>
        <v>-1.6538461538461604</v>
      </c>
      <c r="O74" s="42">
        <f t="shared" si="34"/>
        <v>1.4756097560975547</v>
      </c>
      <c r="P74" s="42">
        <f t="shared" si="34"/>
        <v>2.3809523809546818E-2</v>
      </c>
      <c r="Q74" s="42">
        <f t="shared" si="34"/>
        <v>0.46511627906974695</v>
      </c>
      <c r="R74" s="42">
        <f t="shared" si="34"/>
        <v>1.363636363636374</v>
      </c>
      <c r="S74" s="42">
        <f t="shared" si="34"/>
        <v>6.1666666666666856</v>
      </c>
      <c r="T74" s="42">
        <f t="shared" si="34"/>
        <v>2.2906976744186238</v>
      </c>
      <c r="U74" s="42">
        <f t="shared" si="34"/>
        <v>-1.4634146341463463</v>
      </c>
      <c r="V74" s="45"/>
      <c r="W74" s="651"/>
      <c r="X74" s="657"/>
      <c r="Y74" s="657"/>
      <c r="Z74" s="657"/>
      <c r="AA74" s="45"/>
      <c r="AB74" s="45"/>
      <c r="AC74" s="45"/>
      <c r="AD74" s="52"/>
    </row>
    <row r="75" spans="1:50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  <c r="W75" s="636"/>
    </row>
    <row r="76" spans="1:50" ht="33.75" customHeight="1" x14ac:dyDescent="0.25">
      <c r="A76" s="45"/>
      <c r="B76" s="283"/>
      <c r="C76" s="283"/>
      <c r="D76" s="283"/>
      <c r="E76" s="283"/>
      <c r="F76" s="283"/>
      <c r="G76" s="58"/>
      <c r="H76" s="45"/>
      <c r="I76" s="45"/>
      <c r="J76" s="45"/>
      <c r="K76" s="45"/>
      <c r="L76" s="45"/>
      <c r="M76" s="45"/>
      <c r="N76" s="45"/>
      <c r="O76" s="45"/>
    </row>
    <row r="77" spans="1:50" ht="33.75" customHeight="1" x14ac:dyDescent="0.25">
      <c r="A77" s="45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4">
    <mergeCell ref="Q58:U58"/>
    <mergeCell ref="A3:C3"/>
    <mergeCell ref="E9:G9"/>
    <mergeCell ref="W9:X9"/>
    <mergeCell ref="O11:P11"/>
    <mergeCell ref="B16:H16"/>
    <mergeCell ref="I16:O16"/>
    <mergeCell ref="P16:T16"/>
    <mergeCell ref="U16:Y16"/>
    <mergeCell ref="B39:F39"/>
    <mergeCell ref="G39:G40"/>
    <mergeCell ref="B58:F58"/>
    <mergeCell ref="H58:K58"/>
    <mergeCell ref="L58:P58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1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39</v>
      </c>
      <c r="P11" s="965"/>
      <c r="Q11" s="6"/>
      <c r="R11" s="6"/>
      <c r="S11" s="6"/>
      <c r="T11" s="1"/>
      <c r="U11" s="1"/>
      <c r="V11" s="1" t="s">
        <v>6</v>
      </c>
      <c r="W11" s="95">
        <v>45607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594"/>
      <c r="I17" s="386" t="s">
        <v>100</v>
      </c>
      <c r="J17" s="438">
        <v>1</v>
      </c>
      <c r="K17" s="438">
        <v>2</v>
      </c>
      <c r="L17" s="438">
        <v>3</v>
      </c>
      <c r="M17" s="438">
        <v>4</v>
      </c>
      <c r="N17" s="439">
        <v>5</v>
      </c>
      <c r="O17" s="594"/>
      <c r="P17" s="202">
        <v>1</v>
      </c>
      <c r="Q17" s="174">
        <v>2</v>
      </c>
      <c r="R17" s="174">
        <v>3</v>
      </c>
      <c r="S17" s="174">
        <v>4</v>
      </c>
      <c r="T17" s="203">
        <v>5</v>
      </c>
      <c r="U17" s="186">
        <v>1</v>
      </c>
      <c r="V17" s="174">
        <v>2</v>
      </c>
      <c r="W17" s="174">
        <v>3</v>
      </c>
      <c r="X17" s="174">
        <v>4</v>
      </c>
      <c r="Y17" s="175">
        <v>5</v>
      </c>
      <c r="Z17" s="126"/>
      <c r="AD17" s="2"/>
      <c r="AE17" s="15"/>
    </row>
    <row r="18" spans="1:40" ht="39.950000000000003" customHeight="1" x14ac:dyDescent="0.25">
      <c r="A18" s="171" t="s">
        <v>53</v>
      </c>
      <c r="B18" s="595">
        <v>319</v>
      </c>
      <c r="C18" s="596">
        <v>18.899999999999999</v>
      </c>
      <c r="D18" s="596">
        <v>19.100000000000001</v>
      </c>
      <c r="E18" s="596">
        <v>4.8</v>
      </c>
      <c r="F18" s="596">
        <v>19.399999999999999</v>
      </c>
      <c r="G18" s="597" t="s">
        <v>119</v>
      </c>
      <c r="H18" s="506">
        <f>SUM(B18:G18)</f>
        <v>381.2</v>
      </c>
      <c r="I18" s="599">
        <v>321.8</v>
      </c>
      <c r="J18" s="596">
        <v>19.2</v>
      </c>
      <c r="K18" s="596">
        <v>19.399999999999999</v>
      </c>
      <c r="L18" s="596">
        <v>4.7</v>
      </c>
      <c r="M18" s="596">
        <v>18.5</v>
      </c>
      <c r="N18" s="600">
        <v>18.3</v>
      </c>
      <c r="O18" s="506">
        <f t="shared" ref="O18:O24" si="0">SUM(I18:N18)</f>
        <v>401.9</v>
      </c>
      <c r="P18" s="601">
        <v>78.599999999999994</v>
      </c>
      <c r="Q18" s="504">
        <v>77.900000000000006</v>
      </c>
      <c r="R18" s="596">
        <v>26.7</v>
      </c>
      <c r="S18" s="596">
        <v>78.599999999999994</v>
      </c>
      <c r="T18" s="600">
        <v>78.400000000000006</v>
      </c>
      <c r="U18" s="602">
        <v>81</v>
      </c>
      <c r="V18" s="596">
        <v>82.7</v>
      </c>
      <c r="W18" s="504">
        <v>27.8</v>
      </c>
      <c r="X18" s="504">
        <v>82.3</v>
      </c>
      <c r="Y18" s="600">
        <v>82.2</v>
      </c>
      <c r="Z18" s="509">
        <f>SUM(H18,O18,P18:Y18)</f>
        <v>1479.3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595">
        <v>318.89999999999998</v>
      </c>
      <c r="C19" s="596">
        <v>18.899999999999999</v>
      </c>
      <c r="D19" s="596">
        <v>19.100000000000001</v>
      </c>
      <c r="E19" s="596">
        <v>4.8</v>
      </c>
      <c r="F19" s="596">
        <v>19.399999999999999</v>
      </c>
      <c r="G19" s="597" t="s">
        <v>119</v>
      </c>
      <c r="H19" s="635">
        <f>SUM(B19:G19)</f>
        <v>381.09999999999997</v>
      </c>
      <c r="I19" s="599">
        <v>321.8</v>
      </c>
      <c r="J19" s="596">
        <v>19.2</v>
      </c>
      <c r="K19" s="596">
        <v>19.399999999999999</v>
      </c>
      <c r="L19" s="596">
        <v>4.7</v>
      </c>
      <c r="M19" s="596">
        <v>18.5</v>
      </c>
      <c r="N19" s="600">
        <v>18.3</v>
      </c>
      <c r="O19" s="635">
        <f t="shared" si="0"/>
        <v>401.9</v>
      </c>
      <c r="P19" s="601">
        <v>78.599999999999994</v>
      </c>
      <c r="Q19" s="504">
        <v>77.900000000000006</v>
      </c>
      <c r="R19" s="596">
        <v>26.7</v>
      </c>
      <c r="S19" s="596">
        <v>78.599999999999994</v>
      </c>
      <c r="T19" s="600">
        <v>78.099999999999994</v>
      </c>
      <c r="U19" s="602">
        <v>81</v>
      </c>
      <c r="V19" s="596">
        <v>82.5</v>
      </c>
      <c r="W19" s="504">
        <v>27.8</v>
      </c>
      <c r="X19" s="504">
        <v>82.3</v>
      </c>
      <c r="Y19" s="600">
        <v>82.2</v>
      </c>
      <c r="Z19" s="509">
        <f>SUM(H19,O19,P19:Y19)</f>
        <v>1478.6999999999998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595">
        <v>318.8</v>
      </c>
      <c r="C20" s="629">
        <v>18.600000000000001</v>
      </c>
      <c r="D20" s="629">
        <v>18.899999999999999</v>
      </c>
      <c r="E20" s="629">
        <v>4.8</v>
      </c>
      <c r="F20" s="629">
        <v>19.100000000000001</v>
      </c>
      <c r="G20" s="630">
        <v>19.100000000000001</v>
      </c>
      <c r="H20" s="506">
        <f t="shared" ref="H20:H22" si="1">SUM(B20:G20)</f>
        <v>399.30000000000007</v>
      </c>
      <c r="I20" s="599">
        <v>321.60000000000002</v>
      </c>
      <c r="J20" s="629">
        <v>18.899999999999999</v>
      </c>
      <c r="K20" s="629">
        <v>19.100000000000001</v>
      </c>
      <c r="L20" s="629">
        <v>4.7</v>
      </c>
      <c r="M20" s="629">
        <v>18.2</v>
      </c>
      <c r="N20" s="632">
        <v>18</v>
      </c>
      <c r="O20" s="506">
        <f t="shared" si="0"/>
        <v>400.5</v>
      </c>
      <c r="P20" s="633">
        <v>78.400000000000006</v>
      </c>
      <c r="Q20" s="455">
        <v>77.8</v>
      </c>
      <c r="R20" s="629">
        <v>26.5</v>
      </c>
      <c r="S20" s="629">
        <v>78.400000000000006</v>
      </c>
      <c r="T20" s="632">
        <v>77.900000000000006</v>
      </c>
      <c r="U20" s="634">
        <v>80.8</v>
      </c>
      <c r="V20" s="629">
        <v>82.2</v>
      </c>
      <c r="W20" s="455">
        <v>27.7</v>
      </c>
      <c r="X20" s="455">
        <v>82.1</v>
      </c>
      <c r="Y20" s="632">
        <v>81.7</v>
      </c>
      <c r="Z20" s="509">
        <f t="shared" ref="Z20:Z24" si="2">SUM(H20,O20,P20:Y20)</f>
        <v>1493.3000000000002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595">
        <v>318.5</v>
      </c>
      <c r="C21" s="596">
        <v>18.600000000000001</v>
      </c>
      <c r="D21" s="596">
        <v>18.899999999999999</v>
      </c>
      <c r="E21" s="596">
        <v>4.7</v>
      </c>
      <c r="F21" s="596">
        <v>19.100000000000001</v>
      </c>
      <c r="G21" s="597">
        <v>19.100000000000001</v>
      </c>
      <c r="H21" s="506">
        <f t="shared" si="1"/>
        <v>398.90000000000003</v>
      </c>
      <c r="I21" s="599">
        <v>321.60000000000002</v>
      </c>
      <c r="J21" s="596">
        <v>18.899999999999999</v>
      </c>
      <c r="K21" s="596">
        <v>19.100000000000001</v>
      </c>
      <c r="L21" s="596">
        <v>4.7</v>
      </c>
      <c r="M21" s="596">
        <v>18.2</v>
      </c>
      <c r="N21" s="600">
        <v>18</v>
      </c>
      <c r="O21" s="506">
        <f t="shared" si="0"/>
        <v>400.5</v>
      </c>
      <c r="P21" s="601">
        <v>78.400000000000006</v>
      </c>
      <c r="Q21" s="504">
        <v>77.8</v>
      </c>
      <c r="R21" s="596">
        <v>26.3</v>
      </c>
      <c r="S21" s="596">
        <v>78.400000000000006</v>
      </c>
      <c r="T21" s="600">
        <v>77.900000000000006</v>
      </c>
      <c r="U21" s="602">
        <v>80.8</v>
      </c>
      <c r="V21" s="596">
        <v>82.2</v>
      </c>
      <c r="W21" s="504">
        <v>27.4</v>
      </c>
      <c r="X21" s="504">
        <v>82.1</v>
      </c>
      <c r="Y21" s="600">
        <v>81.7</v>
      </c>
      <c r="Z21" s="509">
        <f t="shared" si="2"/>
        <v>1492.4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595">
        <v>318.2</v>
      </c>
      <c r="C22" s="596">
        <v>18.600000000000001</v>
      </c>
      <c r="D22" s="596">
        <v>18.899999999999999</v>
      </c>
      <c r="E22" s="596">
        <v>4.7</v>
      </c>
      <c r="F22" s="596">
        <v>19.100000000000001</v>
      </c>
      <c r="G22" s="597">
        <v>19.100000000000001</v>
      </c>
      <c r="H22" s="506">
        <f t="shared" si="1"/>
        <v>398.6</v>
      </c>
      <c r="I22" s="599">
        <v>321.39999999999998</v>
      </c>
      <c r="J22" s="596">
        <v>18.899999999999999</v>
      </c>
      <c r="K22" s="596">
        <v>19.100000000000001</v>
      </c>
      <c r="L22" s="596">
        <v>4.5999999999999996</v>
      </c>
      <c r="M22" s="596">
        <v>18.2</v>
      </c>
      <c r="N22" s="600">
        <v>18</v>
      </c>
      <c r="O22" s="506">
        <f t="shared" si="0"/>
        <v>400.2</v>
      </c>
      <c r="P22" s="601">
        <v>78.400000000000006</v>
      </c>
      <c r="Q22" s="504">
        <v>77.8</v>
      </c>
      <c r="R22" s="596">
        <v>26.3</v>
      </c>
      <c r="S22" s="596">
        <v>78.400000000000006</v>
      </c>
      <c r="T22" s="600">
        <v>77.900000000000006</v>
      </c>
      <c r="U22" s="602">
        <v>80.8</v>
      </c>
      <c r="V22" s="596">
        <v>82.2</v>
      </c>
      <c r="W22" s="504">
        <v>27.4</v>
      </c>
      <c r="X22" s="504">
        <v>82.1</v>
      </c>
      <c r="Y22" s="600">
        <v>81.7</v>
      </c>
      <c r="Z22" s="509">
        <f t="shared" si="2"/>
        <v>1491.8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595">
        <v>318.10000000000002</v>
      </c>
      <c r="C23" s="596">
        <v>18.600000000000001</v>
      </c>
      <c r="D23" s="596">
        <v>18.8</v>
      </c>
      <c r="E23" s="596">
        <v>4.7</v>
      </c>
      <c r="F23" s="596">
        <v>19.100000000000001</v>
      </c>
      <c r="G23" s="597">
        <v>19.100000000000001</v>
      </c>
      <c r="H23" s="506">
        <f>SUM(B23:G23)</f>
        <v>398.40000000000009</v>
      </c>
      <c r="I23" s="599">
        <v>321.2</v>
      </c>
      <c r="J23" s="596">
        <v>18.899999999999999</v>
      </c>
      <c r="K23" s="596">
        <v>19.100000000000001</v>
      </c>
      <c r="L23" s="596">
        <v>4.5999999999999996</v>
      </c>
      <c r="M23" s="596">
        <v>18.2</v>
      </c>
      <c r="N23" s="600">
        <v>18</v>
      </c>
      <c r="O23" s="506">
        <f t="shared" si="0"/>
        <v>400</v>
      </c>
      <c r="P23" s="601">
        <v>78.2</v>
      </c>
      <c r="Q23" s="504">
        <v>77.8</v>
      </c>
      <c r="R23" s="596">
        <v>26.3</v>
      </c>
      <c r="S23" s="596">
        <v>78.400000000000006</v>
      </c>
      <c r="T23" s="600">
        <v>77.900000000000006</v>
      </c>
      <c r="U23" s="602">
        <v>80.8</v>
      </c>
      <c r="V23" s="596">
        <v>82.2</v>
      </c>
      <c r="W23" s="504">
        <v>27.4</v>
      </c>
      <c r="X23" s="504">
        <v>82.1</v>
      </c>
      <c r="Y23" s="600">
        <v>81.7</v>
      </c>
      <c r="Z23" s="509">
        <f t="shared" si="2"/>
        <v>1491.2000000000003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595">
        <v>318.10000000000002</v>
      </c>
      <c r="C24" s="596">
        <v>18.600000000000001</v>
      </c>
      <c r="D24" s="596">
        <v>18.8</v>
      </c>
      <c r="E24" s="596">
        <v>4.7</v>
      </c>
      <c r="F24" s="596">
        <v>19.100000000000001</v>
      </c>
      <c r="G24" s="597">
        <v>19.100000000000001</v>
      </c>
      <c r="H24" s="598">
        <f>SUM(B24:G24)</f>
        <v>398.40000000000009</v>
      </c>
      <c r="I24" s="599">
        <v>321.2</v>
      </c>
      <c r="J24" s="596">
        <v>18.899999999999999</v>
      </c>
      <c r="K24" s="596">
        <v>19.100000000000001</v>
      </c>
      <c r="L24" s="596">
        <v>4.5999999999999996</v>
      </c>
      <c r="M24" s="596">
        <v>18.2</v>
      </c>
      <c r="N24" s="600">
        <v>18</v>
      </c>
      <c r="O24" s="598">
        <f t="shared" si="0"/>
        <v>400</v>
      </c>
      <c r="P24" s="601">
        <v>77.900000000000006</v>
      </c>
      <c r="Q24" s="504">
        <v>77.8</v>
      </c>
      <c r="R24" s="596">
        <v>26.1</v>
      </c>
      <c r="S24" s="596">
        <v>78.400000000000006</v>
      </c>
      <c r="T24" s="600">
        <v>77.900000000000006</v>
      </c>
      <c r="U24" s="602">
        <v>80.8</v>
      </c>
      <c r="V24" s="596">
        <v>82</v>
      </c>
      <c r="W24" s="504">
        <v>27.2</v>
      </c>
      <c r="X24" s="504">
        <v>82.1</v>
      </c>
      <c r="Y24" s="600">
        <v>81.7</v>
      </c>
      <c r="Z24" s="643">
        <f t="shared" si="2"/>
        <v>1490.3000000000002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298">
        <f t="shared" ref="C25:H25" si="3">SUM(C18:C24)</f>
        <v>130.79999999999998</v>
      </c>
      <c r="D25" s="298">
        <f t="shared" si="3"/>
        <v>132.5</v>
      </c>
      <c r="E25" s="298">
        <f t="shared" si="3"/>
        <v>33.199999999999996</v>
      </c>
      <c r="F25" s="298">
        <f t="shared" si="3"/>
        <v>134.29999999999998</v>
      </c>
      <c r="G25" s="448">
        <f t="shared" si="3"/>
        <v>95.5</v>
      </c>
      <c r="H25" s="436">
        <f t="shared" si="3"/>
        <v>2755.9</v>
      </c>
      <c r="I25" s="297"/>
      <c r="J25" s="298">
        <f t="shared" ref="J25:Y25" si="4">SUM(J18:J24)</f>
        <v>132.9</v>
      </c>
      <c r="K25" s="298">
        <f>SUM(K18:K24)</f>
        <v>134.29999999999998</v>
      </c>
      <c r="L25" s="298">
        <f t="shared" si="4"/>
        <v>32.6</v>
      </c>
      <c r="M25" s="298">
        <f t="shared" si="4"/>
        <v>128</v>
      </c>
      <c r="N25" s="299">
        <f t="shared" si="4"/>
        <v>126.6</v>
      </c>
      <c r="O25" s="436">
        <f>SUM(O18:O24)</f>
        <v>2805</v>
      </c>
      <c r="P25" s="297">
        <f t="shared" si="4"/>
        <v>548.5</v>
      </c>
      <c r="Q25" s="298">
        <f t="shared" si="4"/>
        <v>544.80000000000007</v>
      </c>
      <c r="R25" s="298">
        <f t="shared" si="4"/>
        <v>184.9</v>
      </c>
      <c r="S25" s="298">
        <f t="shared" si="4"/>
        <v>549.19999999999993</v>
      </c>
      <c r="T25" s="448">
        <f t="shared" si="4"/>
        <v>546</v>
      </c>
      <c r="U25" s="297">
        <f t="shared" si="4"/>
        <v>566</v>
      </c>
      <c r="V25" s="298">
        <f t="shared" si="4"/>
        <v>576</v>
      </c>
      <c r="W25" s="298">
        <f t="shared" si="4"/>
        <v>192.7</v>
      </c>
      <c r="X25" s="298">
        <f t="shared" si="4"/>
        <v>575.1</v>
      </c>
      <c r="Y25" s="299">
        <f t="shared" si="4"/>
        <v>572.9</v>
      </c>
      <c r="Z25" s="607">
        <f>SUM(Z18,Z19,Z20,Z21,Z22,Z23,Z24)</f>
        <v>10417</v>
      </c>
      <c r="AA25" s="301"/>
    </row>
    <row r="26" spans="1:40" s="2" customFormat="1" ht="36.75" customHeight="1" x14ac:dyDescent="0.25">
      <c r="A26" s="192" t="s">
        <v>11</v>
      </c>
      <c r="B26" s="293"/>
      <c r="C26" s="603">
        <v>162.80000000000001</v>
      </c>
      <c r="D26" s="603">
        <v>162.80000000000001</v>
      </c>
      <c r="E26" s="603">
        <v>162.80000000000001</v>
      </c>
      <c r="F26" s="603">
        <v>162.80000000000001</v>
      </c>
      <c r="G26" s="603">
        <v>162.80000000000001</v>
      </c>
      <c r="H26" s="478"/>
      <c r="I26" s="604"/>
      <c r="J26" s="603">
        <v>162.80000000000001</v>
      </c>
      <c r="K26" s="603">
        <v>162.80000000000001</v>
      </c>
      <c r="L26" s="603">
        <v>161.1</v>
      </c>
      <c r="M26" s="603">
        <v>161.1</v>
      </c>
      <c r="N26" s="603">
        <v>161.1</v>
      </c>
      <c r="O26" s="610"/>
      <c r="P26" s="603">
        <v>161.1</v>
      </c>
      <c r="Q26" s="603">
        <v>161.1</v>
      </c>
      <c r="R26" s="603">
        <v>161.1</v>
      </c>
      <c r="S26" s="603">
        <v>161.1</v>
      </c>
      <c r="T26" s="603">
        <v>161.1</v>
      </c>
      <c r="U26" s="603">
        <v>161.1</v>
      </c>
      <c r="V26" s="603">
        <v>161.1</v>
      </c>
      <c r="W26" s="603">
        <v>161.1</v>
      </c>
      <c r="X26" s="603">
        <v>161.1</v>
      </c>
      <c r="Y26" s="603">
        <v>161.1</v>
      </c>
      <c r="Z26" s="605">
        <f>(((Z25*1000)/7)/Z27)</f>
        <v>161.40378060117754</v>
      </c>
    </row>
    <row r="27" spans="1:40" s="2" customFormat="1" ht="33" customHeight="1" x14ac:dyDescent="0.25">
      <c r="A27" s="193" t="s">
        <v>12</v>
      </c>
      <c r="B27" s="257"/>
      <c r="C27" s="27">
        <v>566</v>
      </c>
      <c r="D27" s="27">
        <v>574</v>
      </c>
      <c r="E27" s="27">
        <v>142</v>
      </c>
      <c r="F27" s="27">
        <v>582</v>
      </c>
      <c r="G27" s="27">
        <v>583</v>
      </c>
      <c r="H27" s="441"/>
      <c r="I27" s="26"/>
      <c r="J27" s="27">
        <v>576</v>
      </c>
      <c r="K27" s="27">
        <v>583</v>
      </c>
      <c r="L27" s="483">
        <v>148</v>
      </c>
      <c r="M27" s="27">
        <v>584</v>
      </c>
      <c r="N27" s="27">
        <v>580</v>
      </c>
      <c r="O27" s="611"/>
      <c r="P27" s="26">
        <v>485</v>
      </c>
      <c r="Q27" s="27">
        <v>483</v>
      </c>
      <c r="R27" s="27">
        <v>163</v>
      </c>
      <c r="S27" s="27">
        <v>487</v>
      </c>
      <c r="T27" s="623">
        <v>484</v>
      </c>
      <c r="U27" s="26">
        <v>502</v>
      </c>
      <c r="V27" s="27">
        <v>510</v>
      </c>
      <c r="W27" s="27">
        <v>170</v>
      </c>
      <c r="X27" s="27">
        <v>510</v>
      </c>
      <c r="Y27" s="28">
        <v>508</v>
      </c>
      <c r="Z27" s="29">
        <f>SUM(C27:Y27)</f>
        <v>9220</v>
      </c>
      <c r="AA27" s="402"/>
    </row>
    <row r="28" spans="1:40" s="2" customFormat="1" ht="33" customHeight="1" x14ac:dyDescent="0.25">
      <c r="A28" s="444" t="s">
        <v>13</v>
      </c>
      <c r="B28" s="445"/>
      <c r="C28" s="31">
        <f>(C33*C27)/1000</f>
        <v>18.564800000000005</v>
      </c>
      <c r="D28" s="31">
        <f>(D33*D27)/1000</f>
        <v>18.827200000000008</v>
      </c>
      <c r="E28" s="31">
        <f t="shared" ref="E28:F28" si="5">(E33*E27)/1000</f>
        <v>4.6576000000000013</v>
      </c>
      <c r="F28" s="31">
        <f t="shared" si="5"/>
        <v>19.089600000000004</v>
      </c>
      <c r="G28" s="31">
        <f>(G33*G27)/1000</f>
        <v>19.122400000000006</v>
      </c>
      <c r="H28" s="442"/>
      <c r="I28" s="30"/>
      <c r="J28" s="31">
        <f>(J33*J27)/1000</f>
        <v>18.892800000000008</v>
      </c>
      <c r="K28" s="31">
        <f t="shared" ref="K28:N28" si="6">(K33*K27)/1000</f>
        <v>19.122400000000006</v>
      </c>
      <c r="L28" s="31">
        <f t="shared" si="6"/>
        <v>4.6027999999999993</v>
      </c>
      <c r="M28" s="31">
        <f t="shared" si="6"/>
        <v>18.162399999999998</v>
      </c>
      <c r="N28" s="31">
        <f t="shared" si="6"/>
        <v>18.037999999999997</v>
      </c>
      <c r="O28" s="612"/>
      <c r="P28" s="30">
        <f>((((P26*7)*P27)/1000)-P18-P19)/5</f>
        <v>77.946899999999985</v>
      </c>
      <c r="Q28" s="31">
        <f t="shared" ref="Q28:Y28" si="7">((((Q26*7)*Q27)/1000)-Q18-Q19)/5</f>
        <v>77.775819999999996</v>
      </c>
      <c r="R28" s="31">
        <f>((((R26*7)*R27)/1000)-R18-R19)/5</f>
        <v>26.083020000000005</v>
      </c>
      <c r="S28" s="31">
        <f t="shared" si="7"/>
        <v>78.397980000000004</v>
      </c>
      <c r="T28" s="32">
        <f t="shared" si="7"/>
        <v>77.861360000000019</v>
      </c>
      <c r="U28" s="30">
        <f t="shared" si="7"/>
        <v>80.821080000000009</v>
      </c>
      <c r="V28" s="31">
        <f t="shared" si="7"/>
        <v>81.985399999999998</v>
      </c>
      <c r="W28" s="31">
        <f t="shared" si="7"/>
        <v>27.221799999999995</v>
      </c>
      <c r="X28" s="31">
        <f t="shared" si="7"/>
        <v>82.105399999999989</v>
      </c>
      <c r="Y28" s="32">
        <f t="shared" si="7"/>
        <v>81.694319999999991</v>
      </c>
      <c r="Z28" s="33"/>
    </row>
    <row r="29" spans="1:40" ht="33.75" customHeight="1" x14ac:dyDescent="0.25">
      <c r="A29" s="185" t="s">
        <v>14</v>
      </c>
      <c r="B29" s="34"/>
      <c r="C29" s="280">
        <f>((C27*C30)*7)/1000</f>
        <v>130.79999999999998</v>
      </c>
      <c r="D29" s="280">
        <f t="shared" ref="D29:G29" si="8">((D27*D30)*7)/1000</f>
        <v>132.5</v>
      </c>
      <c r="E29" s="280">
        <f>((E27*E30)*7)/1000</f>
        <v>33.199999999999996</v>
      </c>
      <c r="F29" s="280">
        <f t="shared" si="8"/>
        <v>134.29999999999998</v>
      </c>
      <c r="G29" s="280">
        <f t="shared" si="8"/>
        <v>95.5</v>
      </c>
      <c r="H29" s="443"/>
      <c r="I29" s="279"/>
      <c r="J29" s="280">
        <f>((J27*J30)*7)/1000</f>
        <v>132.9</v>
      </c>
      <c r="K29" s="280">
        <f t="shared" ref="K29:N29" si="9">((K27*K30)*7)/1000</f>
        <v>134.29999999999998</v>
      </c>
      <c r="L29" s="280">
        <f t="shared" si="9"/>
        <v>32.6</v>
      </c>
      <c r="M29" s="280">
        <f t="shared" si="9"/>
        <v>128</v>
      </c>
      <c r="N29" s="280">
        <f t="shared" si="9"/>
        <v>126.6</v>
      </c>
      <c r="O29" s="613"/>
      <c r="P29" s="279">
        <f t="shared" ref="P29:Y29" si="10">((P27*P26)*7)/1000</f>
        <v>546.93449999999996</v>
      </c>
      <c r="Q29" s="280">
        <f t="shared" si="10"/>
        <v>544.67909999999995</v>
      </c>
      <c r="R29" s="280">
        <f t="shared" si="10"/>
        <v>183.8151</v>
      </c>
      <c r="S29" s="280">
        <f t="shared" si="10"/>
        <v>549.18990000000008</v>
      </c>
      <c r="T29" s="282">
        <f t="shared" si="10"/>
        <v>545.80679999999995</v>
      </c>
      <c r="U29" s="279">
        <f t="shared" si="10"/>
        <v>566.10540000000003</v>
      </c>
      <c r="V29" s="280">
        <f t="shared" si="10"/>
        <v>575.12699999999995</v>
      </c>
      <c r="W29" s="280">
        <f t="shared" si="10"/>
        <v>191.709</v>
      </c>
      <c r="X29" s="280">
        <f t="shared" si="10"/>
        <v>575.12699999999995</v>
      </c>
      <c r="Y29" s="282">
        <f t="shared" si="10"/>
        <v>572.87159999999994</v>
      </c>
      <c r="Z29" s="36"/>
    </row>
    <row r="30" spans="1:40" ht="33.75" customHeight="1" thickBot="1" x14ac:dyDescent="0.3">
      <c r="A30" s="195" t="s">
        <v>15</v>
      </c>
      <c r="B30" s="423"/>
      <c r="C30" s="38">
        <f>+(C25/C27)/7*1000</f>
        <v>33.013629480060573</v>
      </c>
      <c r="D30" s="38">
        <f t="shared" ref="D30:Y30" si="11">+(D25/D27)/7*1000</f>
        <v>32.976605276256841</v>
      </c>
      <c r="E30" s="38">
        <f t="shared" si="11"/>
        <v>33.400402414486919</v>
      </c>
      <c r="F30" s="38">
        <f t="shared" si="11"/>
        <v>32.96514482081492</v>
      </c>
      <c r="G30" s="38">
        <f t="shared" si="11"/>
        <v>23.40112717471208</v>
      </c>
      <c r="H30" s="259"/>
      <c r="I30" s="37"/>
      <c r="J30" s="38">
        <f t="shared" si="11"/>
        <v>32.961309523809526</v>
      </c>
      <c r="K30" s="38">
        <f t="shared" si="11"/>
        <v>32.908600833129128</v>
      </c>
      <c r="L30" s="38">
        <f t="shared" si="11"/>
        <v>31.467181467181465</v>
      </c>
      <c r="M30" s="38">
        <f t="shared" si="11"/>
        <v>31.31115459882583</v>
      </c>
      <c r="N30" s="38">
        <f t="shared" si="11"/>
        <v>31.182266009852217</v>
      </c>
      <c r="O30" s="614"/>
      <c r="P30" s="37">
        <f t="shared" si="11"/>
        <v>161.56111929307806</v>
      </c>
      <c r="Q30" s="38">
        <f t="shared" si="11"/>
        <v>161.13575865128664</v>
      </c>
      <c r="R30" s="38">
        <f t="shared" si="11"/>
        <v>162.05083260297985</v>
      </c>
      <c r="S30" s="38">
        <f t="shared" si="11"/>
        <v>161.10296274567321</v>
      </c>
      <c r="T30" s="39">
        <f t="shared" si="11"/>
        <v>161.15702479338842</v>
      </c>
      <c r="U30" s="37">
        <f t="shared" si="11"/>
        <v>161.07000569151967</v>
      </c>
      <c r="V30" s="38">
        <f t="shared" si="11"/>
        <v>161.34453781512607</v>
      </c>
      <c r="W30" s="38">
        <f t="shared" si="11"/>
        <v>161.9327731092437</v>
      </c>
      <c r="X30" s="38">
        <f t="shared" si="11"/>
        <v>161.09243697478993</v>
      </c>
      <c r="Y30" s="39">
        <f t="shared" si="11"/>
        <v>161.10798650168729</v>
      </c>
      <c r="Z30" s="40"/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2">D29-D25</f>
        <v>0</v>
      </c>
      <c r="E31" s="42">
        <f t="shared" si="12"/>
        <v>0</v>
      </c>
      <c r="F31" s="42">
        <f t="shared" si="12"/>
        <v>0</v>
      </c>
      <c r="G31" s="42">
        <f t="shared" si="12"/>
        <v>0</v>
      </c>
      <c r="H31" s="42"/>
      <c r="I31" s="42"/>
      <c r="J31" s="42">
        <f t="shared" si="12"/>
        <v>0</v>
      </c>
      <c r="K31" s="42">
        <f>K29-K25</f>
        <v>0</v>
      </c>
      <c r="L31" s="42">
        <f t="shared" si="12"/>
        <v>0</v>
      </c>
      <c r="M31" s="42">
        <f t="shared" si="12"/>
        <v>0</v>
      </c>
      <c r="N31" s="42">
        <f t="shared" si="12"/>
        <v>0</v>
      </c>
      <c r="O31" s="42"/>
      <c r="P31" s="42">
        <f t="shared" si="12"/>
        <v>-1.5655000000000427</v>
      </c>
      <c r="Q31" s="42">
        <f t="shared" si="12"/>
        <v>-0.12090000000011969</v>
      </c>
      <c r="R31" s="42">
        <f t="shared" si="12"/>
        <v>-1.0849000000000046</v>
      </c>
      <c r="S31" s="42">
        <f t="shared" si="12"/>
        <v>-1.0099999999852116E-2</v>
      </c>
      <c r="T31" s="42">
        <f t="shared" si="12"/>
        <v>-0.19320000000004711</v>
      </c>
      <c r="U31" s="42">
        <f t="shared" si="12"/>
        <v>0.10540000000003147</v>
      </c>
      <c r="V31" s="42">
        <f t="shared" si="12"/>
        <v>-0.87300000000004729</v>
      </c>
      <c r="W31" s="42">
        <f t="shared" si="12"/>
        <v>-0.99099999999998545</v>
      </c>
      <c r="X31" s="42">
        <f t="shared" si="12"/>
        <v>2.6999999999929969E-2</v>
      </c>
      <c r="Y31" s="42">
        <f t="shared" si="12"/>
        <v>-2.8400000000033288E-2</v>
      </c>
      <c r="Z31" s="48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0.21362948006056115</v>
      </c>
      <c r="D32" s="42">
        <f t="shared" ref="D32:G32" si="13">D30-D33</f>
        <v>0.17660527625682931</v>
      </c>
      <c r="E32" s="42">
        <f t="shared" si="13"/>
        <v>0.60040241448690779</v>
      </c>
      <c r="F32" s="42">
        <f t="shared" si="13"/>
        <v>0.16514482081490911</v>
      </c>
      <c r="G32" s="42">
        <f t="shared" si="13"/>
        <v>-9.3988728252879312</v>
      </c>
      <c r="H32" s="42"/>
      <c r="I32" s="42"/>
      <c r="J32" s="42">
        <f t="shared" ref="J32:N32" si="14">J30-J33</f>
        <v>0.16130952380951413</v>
      </c>
      <c r="K32" s="42">
        <f t="shared" si="14"/>
        <v>0.10860083312911684</v>
      </c>
      <c r="L32" s="42">
        <f t="shared" si="14"/>
        <v>0.36718146718147082</v>
      </c>
      <c r="M32" s="42">
        <f t="shared" si="14"/>
        <v>0.21115459882583565</v>
      </c>
      <c r="N32" s="42">
        <f t="shared" si="14"/>
        <v>8.2266009852222766E-2</v>
      </c>
      <c r="O32" s="42"/>
      <c r="P32" s="42">
        <f t="shared" si="12"/>
        <v>0.46111929307807031</v>
      </c>
      <c r="Q32" s="42">
        <f t="shared" si="12"/>
        <v>3.5758651286641907E-2</v>
      </c>
      <c r="R32" s="42">
        <f t="shared" si="12"/>
        <v>0.95083260297985817</v>
      </c>
      <c r="S32" s="42">
        <f t="shared" si="12"/>
        <v>2.9627456732157498E-3</v>
      </c>
      <c r="T32" s="42">
        <f t="shared" si="12"/>
        <v>5.7024793388421813E-2</v>
      </c>
      <c r="U32" s="42">
        <f t="shared" si="12"/>
        <v>-2.9994308480326026E-2</v>
      </c>
      <c r="V32" s="42">
        <f t="shared" si="12"/>
        <v>0.24453781512607975</v>
      </c>
      <c r="W32" s="42">
        <f t="shared" si="12"/>
        <v>0.8327731092437034</v>
      </c>
      <c r="X32" s="42">
        <f t="shared" si="12"/>
        <v>-7.5630252100609141E-3</v>
      </c>
      <c r="Y32" s="42">
        <f t="shared" si="12"/>
        <v>7.9865016872986416E-3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32.800000000000011</v>
      </c>
      <c r="D33" s="42">
        <f t="shared" ref="D33:G33" si="15">D26-$B$34</f>
        <v>32.800000000000011</v>
      </c>
      <c r="E33" s="42">
        <f t="shared" si="15"/>
        <v>32.800000000000011</v>
      </c>
      <c r="F33" s="42">
        <f t="shared" si="15"/>
        <v>32.800000000000011</v>
      </c>
      <c r="G33" s="42">
        <f t="shared" si="15"/>
        <v>32.800000000000011</v>
      </c>
      <c r="H33" s="42"/>
      <c r="I33" s="42"/>
      <c r="J33" s="42">
        <f>J26-$I$34</f>
        <v>32.800000000000011</v>
      </c>
      <c r="K33" s="42">
        <f t="shared" ref="K33:N33" si="16">K26-$I$34</f>
        <v>32.800000000000011</v>
      </c>
      <c r="L33" s="42">
        <f t="shared" si="16"/>
        <v>31.099999999999994</v>
      </c>
      <c r="M33" s="42">
        <f t="shared" si="16"/>
        <v>31.099999999999994</v>
      </c>
      <c r="N33" s="42">
        <f t="shared" si="16"/>
        <v>31.099999999999994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318.11</v>
      </c>
      <c r="D34" s="432">
        <f>SUM(C27:G27)</f>
        <v>2447</v>
      </c>
      <c r="E34" s="42"/>
      <c r="F34" s="42"/>
      <c r="G34" s="42"/>
      <c r="H34" s="42"/>
      <c r="I34" s="514">
        <v>130</v>
      </c>
      <c r="J34" s="431">
        <f>(I34*K34)/1000</f>
        <v>321.23</v>
      </c>
      <c r="K34" s="432">
        <f>SUM(J27:N27)</f>
        <v>2471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9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652" t="s">
        <v>18</v>
      </c>
      <c r="M39" s="653" t="s">
        <v>17</v>
      </c>
      <c r="N39" s="654"/>
      <c r="O39" s="654"/>
      <c r="P39" s="654"/>
      <c r="Q39" s="654"/>
      <c r="R39" s="655" t="s">
        <v>9</v>
      </c>
      <c r="S39" s="645"/>
      <c r="U39" s="45"/>
      <c r="V39" s="45"/>
      <c r="W39" s="46"/>
      <c r="X39" s="3"/>
      <c r="Y39" s="45"/>
      <c r="Z39" s="45"/>
      <c r="AA39" s="45"/>
      <c r="AB39" s="3"/>
    </row>
    <row r="40" spans="1:38" ht="33.75" customHeight="1" thickBot="1" x14ac:dyDescent="0.3">
      <c r="A40" s="170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1">
        <v>1</v>
      </c>
      <c r="N40" s="16">
        <v>2</v>
      </c>
      <c r="O40" s="16">
        <v>3</v>
      </c>
      <c r="P40" s="16">
        <v>4</v>
      </c>
      <c r="Q40" s="16">
        <v>5</v>
      </c>
      <c r="R40" s="76"/>
      <c r="S40" s="645"/>
      <c r="U40" s="47"/>
      <c r="X40" s="48"/>
      <c r="Y40" s="2"/>
      <c r="Z40" s="2"/>
      <c r="AA40" s="2"/>
      <c r="AB40" s="2"/>
    </row>
    <row r="41" spans="1:38" ht="33.75" customHeight="1" x14ac:dyDescent="0.25">
      <c r="A41" s="171" t="s">
        <v>32</v>
      </c>
      <c r="B41" s="142">
        <v>95.1</v>
      </c>
      <c r="C41" s="486">
        <v>93.6</v>
      </c>
      <c r="D41" s="486">
        <v>21.9</v>
      </c>
      <c r="E41" s="486">
        <v>95.1</v>
      </c>
      <c r="F41" s="537">
        <v>92.7</v>
      </c>
      <c r="G41" s="509">
        <f t="shared" ref="G41:G48" si="17">SUM(B41:F41)</f>
        <v>398.4</v>
      </c>
      <c r="H41" s="609"/>
      <c r="I41" s="364"/>
      <c r="J41" s="364"/>
      <c r="K41" s="364"/>
      <c r="L41" s="171" t="s">
        <v>53</v>
      </c>
      <c r="M41" s="18">
        <v>7.2</v>
      </c>
      <c r="N41" s="19">
        <v>7.1</v>
      </c>
      <c r="O41" s="19">
        <v>1.6</v>
      </c>
      <c r="P41" s="19">
        <v>7.2</v>
      </c>
      <c r="Q41" s="19">
        <v>7</v>
      </c>
      <c r="R41" s="656">
        <f>SUM(M41:Q41)</f>
        <v>30.1</v>
      </c>
      <c r="S41" s="646"/>
      <c r="T41" s="657"/>
      <c r="U41" s="657"/>
      <c r="X41" s="48"/>
      <c r="Y41" s="2"/>
      <c r="Z41" s="2"/>
      <c r="AA41" s="2"/>
      <c r="AB41" s="2"/>
    </row>
    <row r="42" spans="1:38" ht="33.75" customHeight="1" x14ac:dyDescent="0.25">
      <c r="A42" s="171" t="s">
        <v>24</v>
      </c>
      <c r="B42" s="532">
        <v>94.8</v>
      </c>
      <c r="C42" s="431">
        <v>93.5</v>
      </c>
      <c r="D42" s="431">
        <v>21.9</v>
      </c>
      <c r="E42" s="431">
        <v>94.8</v>
      </c>
      <c r="F42" s="533">
        <v>92.7</v>
      </c>
      <c r="G42" s="509">
        <f t="shared" si="17"/>
        <v>397.7</v>
      </c>
      <c r="H42" s="609"/>
      <c r="I42" s="364"/>
      <c r="J42" s="364"/>
      <c r="K42" s="364"/>
      <c r="L42" s="171" t="s">
        <v>24</v>
      </c>
      <c r="M42" s="18">
        <v>7.2</v>
      </c>
      <c r="N42" s="19">
        <v>7.1</v>
      </c>
      <c r="O42" s="19">
        <v>1.6</v>
      </c>
      <c r="P42" s="19">
        <v>7.2</v>
      </c>
      <c r="Q42" s="19">
        <v>7</v>
      </c>
      <c r="R42" s="656">
        <f t="shared" ref="R42:R47" si="18">SUM(M42:Q42)</f>
        <v>30.1</v>
      </c>
      <c r="S42" s="646"/>
      <c r="T42" s="647"/>
      <c r="U42" s="658"/>
      <c r="X42" s="48"/>
      <c r="Y42" s="2"/>
      <c r="Z42" s="2"/>
      <c r="AA42" s="2"/>
      <c r="AB42" s="2"/>
    </row>
    <row r="43" spans="1:38" ht="33.75" customHeight="1" x14ac:dyDescent="0.25">
      <c r="A43" s="171" t="s">
        <v>20</v>
      </c>
      <c r="B43" s="142">
        <v>94.8</v>
      </c>
      <c r="C43" s="486">
        <v>93.5</v>
      </c>
      <c r="D43" s="486">
        <v>21.9</v>
      </c>
      <c r="E43" s="486">
        <v>94.8</v>
      </c>
      <c r="F43" s="537">
        <v>92.7</v>
      </c>
      <c r="G43" s="509">
        <f t="shared" si="17"/>
        <v>397.7</v>
      </c>
      <c r="H43" s="609"/>
      <c r="I43" s="364"/>
      <c r="J43" s="364"/>
      <c r="K43" s="364"/>
      <c r="L43" s="171" t="s">
        <v>20</v>
      </c>
      <c r="M43" s="18">
        <v>7.2</v>
      </c>
      <c r="N43" s="19">
        <v>7.1</v>
      </c>
      <c r="O43" s="19">
        <v>1.6</v>
      </c>
      <c r="P43" s="19">
        <v>7.2</v>
      </c>
      <c r="Q43" s="19">
        <v>7</v>
      </c>
      <c r="R43" s="656">
        <f t="shared" si="18"/>
        <v>30.1</v>
      </c>
      <c r="S43" s="646"/>
      <c r="T43" s="647"/>
      <c r="U43" s="658"/>
      <c r="X43" s="48"/>
      <c r="Y43" s="2"/>
      <c r="Z43" s="2"/>
      <c r="AA43" s="2"/>
      <c r="AB43" s="2"/>
    </row>
    <row r="44" spans="1:38" ht="33.75" customHeight="1" x14ac:dyDescent="0.25">
      <c r="A44" s="171" t="s">
        <v>28</v>
      </c>
      <c r="B44" s="142">
        <v>94.7</v>
      </c>
      <c r="C44" s="486">
        <v>93.5</v>
      </c>
      <c r="D44" s="486">
        <v>21.6</v>
      </c>
      <c r="E44" s="486">
        <v>94.8</v>
      </c>
      <c r="F44" s="537">
        <v>92.7</v>
      </c>
      <c r="G44" s="509">
        <f t="shared" si="17"/>
        <v>397.29999999999995</v>
      </c>
      <c r="H44" s="609"/>
      <c r="I44" s="364"/>
      <c r="J44" s="364"/>
      <c r="K44" s="364"/>
      <c r="L44" s="171" t="s">
        <v>28</v>
      </c>
      <c r="M44" s="18">
        <v>7.2</v>
      </c>
      <c r="N44" s="19">
        <v>7.1</v>
      </c>
      <c r="O44" s="19">
        <v>1.6</v>
      </c>
      <c r="P44" s="19">
        <v>7.2</v>
      </c>
      <c r="Q44" s="19">
        <v>7</v>
      </c>
      <c r="R44" s="656">
        <f t="shared" si="18"/>
        <v>30.1</v>
      </c>
      <c r="S44" s="646"/>
      <c r="T44" s="647"/>
      <c r="U44" s="658"/>
      <c r="X44" s="48"/>
      <c r="Y44" s="2"/>
      <c r="Z44" s="2"/>
      <c r="AA44" s="2"/>
      <c r="AB44" s="2"/>
    </row>
    <row r="45" spans="1:38" ht="33.75" customHeight="1" x14ac:dyDescent="0.25">
      <c r="A45" s="171" t="s">
        <v>21</v>
      </c>
      <c r="B45" s="142">
        <v>94.7</v>
      </c>
      <c r="C45" s="486">
        <v>93.5</v>
      </c>
      <c r="D45" s="486">
        <v>21.4</v>
      </c>
      <c r="E45" s="486">
        <v>94.8</v>
      </c>
      <c r="F45" s="537">
        <v>92.7</v>
      </c>
      <c r="G45" s="509">
        <f t="shared" si="17"/>
        <v>397.09999999999997</v>
      </c>
      <c r="H45" s="609"/>
      <c r="I45" s="364"/>
      <c r="J45" s="364"/>
      <c r="K45" s="364"/>
      <c r="L45" s="171" t="s">
        <v>21</v>
      </c>
      <c r="M45" s="18">
        <v>7.2</v>
      </c>
      <c r="N45" s="19">
        <v>7.1</v>
      </c>
      <c r="O45" s="19">
        <v>1.6</v>
      </c>
      <c r="P45" s="19">
        <v>7.2</v>
      </c>
      <c r="Q45" s="19">
        <v>7</v>
      </c>
      <c r="R45" s="656">
        <f t="shared" si="18"/>
        <v>30.1</v>
      </c>
      <c r="S45" s="646"/>
      <c r="T45" s="647"/>
      <c r="U45" s="658"/>
      <c r="X45" s="48"/>
      <c r="Y45" s="2"/>
      <c r="Z45" s="2"/>
      <c r="AA45" s="2"/>
      <c r="AB45" s="2"/>
    </row>
    <row r="46" spans="1:38" ht="33.75" customHeight="1" x14ac:dyDescent="0.25">
      <c r="A46" s="171" t="s">
        <v>22</v>
      </c>
      <c r="B46" s="142">
        <v>94.7</v>
      </c>
      <c r="C46" s="486">
        <v>93.5</v>
      </c>
      <c r="D46" s="486">
        <v>21.4</v>
      </c>
      <c r="E46" s="486">
        <v>94</v>
      </c>
      <c r="F46" s="537">
        <v>92.7</v>
      </c>
      <c r="G46" s="509">
        <f t="shared" si="17"/>
        <v>396.3</v>
      </c>
      <c r="H46" s="609"/>
      <c r="I46" s="364"/>
      <c r="J46" s="364"/>
      <c r="K46" s="364"/>
      <c r="L46" s="171" t="s">
        <v>22</v>
      </c>
      <c r="M46" s="18">
        <v>7.2</v>
      </c>
      <c r="N46" s="19">
        <v>7.1</v>
      </c>
      <c r="O46" s="19">
        <v>1.6</v>
      </c>
      <c r="P46" s="19">
        <v>7.2</v>
      </c>
      <c r="Q46" s="19">
        <v>7</v>
      </c>
      <c r="R46" s="656">
        <f t="shared" si="18"/>
        <v>30.1</v>
      </c>
      <c r="S46" s="646"/>
      <c r="T46" s="647"/>
      <c r="U46" s="658"/>
      <c r="X46" s="48"/>
      <c r="Y46" s="2"/>
      <c r="Z46" s="2"/>
      <c r="AA46" s="2"/>
      <c r="AB46" s="2"/>
    </row>
    <row r="47" spans="1:38" ht="33.75" customHeight="1" thickBot="1" x14ac:dyDescent="0.3">
      <c r="A47" s="285" t="s">
        <v>23</v>
      </c>
      <c r="B47" s="142">
        <v>94</v>
      </c>
      <c r="C47" s="486">
        <v>93.3</v>
      </c>
      <c r="D47" s="486">
        <v>21.4</v>
      </c>
      <c r="E47" s="486">
        <v>93.8</v>
      </c>
      <c r="F47" s="537">
        <v>92.7</v>
      </c>
      <c r="G47" s="526">
        <f t="shared" si="17"/>
        <v>395.2</v>
      </c>
      <c r="H47" s="609"/>
      <c r="I47" s="364"/>
      <c r="J47" s="364"/>
      <c r="K47" s="364"/>
      <c r="L47" s="285" t="s">
        <v>23</v>
      </c>
      <c r="M47" s="18">
        <v>7.2</v>
      </c>
      <c r="N47" s="19">
        <v>7.1</v>
      </c>
      <c r="O47" s="19">
        <v>1.6</v>
      </c>
      <c r="P47" s="19">
        <v>7.2</v>
      </c>
      <c r="Q47" s="19">
        <v>7</v>
      </c>
      <c r="R47" s="656">
        <f t="shared" si="18"/>
        <v>30.1</v>
      </c>
      <c r="S47" s="646"/>
      <c r="T47" s="647"/>
      <c r="U47" s="658"/>
      <c r="X47" s="48"/>
      <c r="Y47" s="48"/>
      <c r="Z47" s="48"/>
      <c r="AA47" s="2"/>
      <c r="AB47" s="2"/>
      <c r="AC47" s="2"/>
      <c r="AD47" s="2"/>
    </row>
    <row r="48" spans="1:38" ht="33.75" customHeight="1" x14ac:dyDescent="0.25">
      <c r="A48" s="290" t="s">
        <v>9</v>
      </c>
      <c r="B48" s="131">
        <f>SUM(B41:B47)</f>
        <v>662.8</v>
      </c>
      <c r="C48" s="128">
        <f t="shared" ref="C48:F48" si="19">SUM(C41:C47)</f>
        <v>654.4</v>
      </c>
      <c r="D48" s="128">
        <f t="shared" si="19"/>
        <v>151.5</v>
      </c>
      <c r="E48" s="128">
        <f t="shared" si="19"/>
        <v>662.09999999999991</v>
      </c>
      <c r="F48" s="129">
        <f t="shared" si="19"/>
        <v>648.90000000000009</v>
      </c>
      <c r="G48" s="644">
        <f t="shared" si="17"/>
        <v>2779.7</v>
      </c>
      <c r="H48" s="609"/>
      <c r="I48" s="364"/>
      <c r="J48" s="364"/>
      <c r="K48" s="364"/>
      <c r="L48" s="290" t="s">
        <v>9</v>
      </c>
      <c r="M48" s="18">
        <f>SUM(M41:M47)</f>
        <v>50.400000000000006</v>
      </c>
      <c r="N48" s="19">
        <f>SUM(N41:N47)</f>
        <v>49.7</v>
      </c>
      <c r="O48" s="19">
        <f>SUM(O41:O47)</f>
        <v>11.2</v>
      </c>
      <c r="P48" s="19">
        <f t="shared" ref="P48:Q48" si="20">SUM(P41:P47)</f>
        <v>50.400000000000006</v>
      </c>
      <c r="Q48" s="19">
        <f t="shared" si="20"/>
        <v>49</v>
      </c>
      <c r="R48" s="77">
        <f>SUM(M48:Q48)</f>
        <v>210.70000000000002</v>
      </c>
      <c r="S48" s="647"/>
      <c r="T48" s="647"/>
      <c r="U48" s="658"/>
      <c r="X48" s="2"/>
      <c r="Y48" s="2"/>
      <c r="Z48" s="2"/>
      <c r="AA48" s="2"/>
      <c r="AB48" s="2"/>
      <c r="AC48" s="2"/>
      <c r="AD48" s="2"/>
    </row>
    <row r="49" spans="1:50" ht="33.75" customHeight="1" x14ac:dyDescent="0.25">
      <c r="A49" s="192" t="s">
        <v>11</v>
      </c>
      <c r="B49" s="23">
        <v>157.4</v>
      </c>
      <c r="C49" s="23">
        <v>157.4</v>
      </c>
      <c r="D49" s="23">
        <v>157.4</v>
      </c>
      <c r="E49" s="23">
        <v>157.4</v>
      </c>
      <c r="F49" s="23">
        <v>157.4</v>
      </c>
      <c r="G49" s="137">
        <f>+((G48/G50)/7)*1000</f>
        <v>157.82988871224163</v>
      </c>
      <c r="H49" s="609"/>
      <c r="I49" s="364"/>
      <c r="J49" s="364"/>
      <c r="K49" s="364"/>
      <c r="L49" s="273" t="s">
        <v>11</v>
      </c>
      <c r="M49" s="23">
        <v>157</v>
      </c>
      <c r="N49" s="24">
        <v>155.5</v>
      </c>
      <c r="O49" s="24">
        <v>154</v>
      </c>
      <c r="P49" s="24">
        <v>155</v>
      </c>
      <c r="Q49" s="24">
        <v>153.5</v>
      </c>
      <c r="R49" s="78">
        <f>+((R48/R50)/7)*1000</f>
        <v>153.57142857142861</v>
      </c>
      <c r="S49" s="648"/>
      <c r="T49" s="647"/>
      <c r="U49" s="658"/>
      <c r="V49" s="50"/>
    </row>
    <row r="50" spans="1:50" ht="33.75" customHeight="1" x14ac:dyDescent="0.25">
      <c r="A50" s="193" t="s">
        <v>12</v>
      </c>
      <c r="B50" s="26">
        <v>599</v>
      </c>
      <c r="C50" s="27">
        <v>593</v>
      </c>
      <c r="D50" s="27">
        <v>137</v>
      </c>
      <c r="E50" s="27">
        <v>598</v>
      </c>
      <c r="F50" s="28">
        <v>589</v>
      </c>
      <c r="G50" s="395">
        <f>SUM(B50:F50)</f>
        <v>2516</v>
      </c>
      <c r="H50" s="609"/>
      <c r="I50" s="364"/>
      <c r="J50" s="364"/>
      <c r="K50" s="364"/>
      <c r="L50" s="193" t="s">
        <v>12</v>
      </c>
      <c r="M50" s="257">
        <v>46</v>
      </c>
      <c r="N50" s="275">
        <v>46</v>
      </c>
      <c r="O50" s="275">
        <v>11</v>
      </c>
      <c r="P50" s="275">
        <v>47</v>
      </c>
      <c r="Q50" s="275">
        <v>46</v>
      </c>
      <c r="R50" s="82">
        <f>SUM(L50:Q50)</f>
        <v>196</v>
      </c>
      <c r="S50" s="649"/>
      <c r="T50" s="301"/>
      <c r="U50" s="52"/>
      <c r="V50" s="52"/>
    </row>
    <row r="51" spans="1:50" ht="33.75" customHeight="1" x14ac:dyDescent="0.25">
      <c r="A51" s="194" t="s">
        <v>13</v>
      </c>
      <c r="B51" s="30">
        <f>((((B49*7)*B50)/1000)-B41-B42)/5</f>
        <v>94.015639999999976</v>
      </c>
      <c r="C51" s="31">
        <f t="shared" ref="C51:F51" si="21">((((C49*7)*C50)/1000)-C41-C42)/5</f>
        <v>93.253479999999996</v>
      </c>
      <c r="D51" s="31">
        <f>((((D49*7)*D50)/1000)-D41-D42)/5</f>
        <v>21.429320000000001</v>
      </c>
      <c r="E51" s="31">
        <f t="shared" si="21"/>
        <v>93.795279999999991</v>
      </c>
      <c r="F51" s="32">
        <f t="shared" si="21"/>
        <v>92.712039999999988</v>
      </c>
      <c r="G51" s="139">
        <f>((G48*1000)/G50)/7</f>
        <v>157.82988871224165</v>
      </c>
      <c r="H51" s="609"/>
      <c r="I51" s="364"/>
      <c r="J51" s="364"/>
      <c r="K51" s="364"/>
      <c r="L51" s="194" t="s">
        <v>13</v>
      </c>
      <c r="M51" s="30">
        <f>((((M49*7)*M50)/1000)-M41-M42)/5</f>
        <v>7.2307999999999995</v>
      </c>
      <c r="N51" s="31">
        <f t="shared" ref="N51:Q51" si="22">((((N49*7)*N50)/1000)-N41-N42)/5</f>
        <v>7.174199999999999</v>
      </c>
      <c r="O51" s="31">
        <f t="shared" si="22"/>
        <v>1.7316000000000003</v>
      </c>
      <c r="P51" s="31">
        <f t="shared" si="22"/>
        <v>7.3189999999999982</v>
      </c>
      <c r="Q51" s="31">
        <f t="shared" si="22"/>
        <v>7.0853999999999999</v>
      </c>
      <c r="R51" s="83">
        <f>((R48*1000)/R50)/7</f>
        <v>153.57142857142861</v>
      </c>
      <c r="S51" s="650"/>
      <c r="T51" s="301"/>
      <c r="U51" s="52"/>
      <c r="V51" s="52"/>
    </row>
    <row r="52" spans="1:50" ht="33.75" customHeight="1" x14ac:dyDescent="0.25">
      <c r="A52" s="185" t="s">
        <v>14</v>
      </c>
      <c r="B52" s="279">
        <f>((B50*B49)*7)/1000</f>
        <v>659.97820000000002</v>
      </c>
      <c r="C52" s="280">
        <f>((C50*C49)*7)/1000</f>
        <v>653.36739999999998</v>
      </c>
      <c r="D52" s="280">
        <f>((D50*D49)*7)/1000</f>
        <v>150.94660000000002</v>
      </c>
      <c r="E52" s="280">
        <f>((E50*E49)*7)/1000</f>
        <v>658.87639999999999</v>
      </c>
      <c r="F52" s="282">
        <f>((F50*F49)*7)/1000</f>
        <v>648.9602000000001</v>
      </c>
      <c r="G52" s="112"/>
      <c r="H52" s="609"/>
      <c r="I52" s="364"/>
      <c r="J52" s="364"/>
      <c r="K52" s="364"/>
      <c r="L52" s="185" t="s">
        <v>14</v>
      </c>
      <c r="M52" s="279">
        <f>((M50*M49)*7)/1000</f>
        <v>50.554000000000002</v>
      </c>
      <c r="N52" s="280">
        <f>((N50*N49)*7)/1000</f>
        <v>50.070999999999998</v>
      </c>
      <c r="O52" s="280">
        <f>((O50*O49)*7)/1000</f>
        <v>11.858000000000001</v>
      </c>
      <c r="P52" s="280">
        <f t="shared" ref="P52:Q52" si="23">((P50*P49)*7)/1000</f>
        <v>50.994999999999997</v>
      </c>
      <c r="Q52" s="280">
        <f t="shared" si="23"/>
        <v>49.427</v>
      </c>
      <c r="R52" s="84"/>
      <c r="S52" s="522"/>
    </row>
    <row r="53" spans="1:50" ht="33.75" customHeight="1" thickBot="1" x14ac:dyDescent="0.3">
      <c r="A53" s="195" t="s">
        <v>15</v>
      </c>
      <c r="B53" s="37">
        <f t="shared" ref="B53:E53" si="24">+(B48/B50)/7*1000</f>
        <v>158.07297877414737</v>
      </c>
      <c r="C53" s="38">
        <f t="shared" si="24"/>
        <v>157.64875933509998</v>
      </c>
      <c r="D53" s="38">
        <f t="shared" si="24"/>
        <v>157.97705943691346</v>
      </c>
      <c r="E53" s="38">
        <f t="shared" si="24"/>
        <v>158.1700907787864</v>
      </c>
      <c r="F53" s="39">
        <f>+(F48/F50)/7*1000</f>
        <v>157.3853989813243</v>
      </c>
      <c r="G53" s="140"/>
      <c r="H53" s="609"/>
      <c r="I53" s="364"/>
      <c r="J53" s="364"/>
      <c r="K53" s="364"/>
      <c r="L53" s="195" t="s">
        <v>15</v>
      </c>
      <c r="M53" s="37">
        <f>+(M48/M50)/7*1000</f>
        <v>156.52173913043478</v>
      </c>
      <c r="N53" s="38">
        <f>+(N48/N50)/7*1000</f>
        <v>154.34782608695656</v>
      </c>
      <c r="O53" s="38">
        <f>+(O48/O50)/7*1000</f>
        <v>145.45454545454544</v>
      </c>
      <c r="P53" s="38">
        <f t="shared" ref="P53:Q53" si="25">+(P48/P50)/7*1000</f>
        <v>153.19148936170217</v>
      </c>
      <c r="Q53" s="38">
        <f t="shared" si="25"/>
        <v>152.17391304347828</v>
      </c>
      <c r="R53" s="39"/>
      <c r="S53" s="651"/>
      <c r="U53" s="42"/>
      <c r="V53" s="42"/>
    </row>
    <row r="54" spans="1:50" ht="33.75" customHeight="1" x14ac:dyDescent="0.25">
      <c r="A54" s="41"/>
      <c r="B54" s="43">
        <f>B52-B48</f>
        <v>-2.8217999999999392</v>
      </c>
      <c r="C54" s="43">
        <f t="shared" ref="C54:F55" si="26">C52-C48</f>
        <v>-1.0326000000000022</v>
      </c>
      <c r="D54" s="43">
        <f t="shared" si="26"/>
        <v>-0.55339999999998213</v>
      </c>
      <c r="E54" s="43">
        <f>E52-E48</f>
        <v>-3.2235999999999194</v>
      </c>
      <c r="F54" s="43">
        <f t="shared" si="26"/>
        <v>6.0200000000008913E-2</v>
      </c>
      <c r="G54" s="41"/>
      <c r="H54" s="41"/>
      <c r="I54" s="41"/>
      <c r="J54" s="41"/>
      <c r="K54" s="41"/>
      <c r="L54" s="42"/>
      <c r="M54" s="42">
        <f>M52-M48</f>
        <v>0.15399999999999636</v>
      </c>
      <c r="N54" s="42">
        <f t="shared" ref="N54:R55" si="27">N52-N48</f>
        <v>0.37099999999999511</v>
      </c>
      <c r="O54" s="42">
        <f t="shared" si="27"/>
        <v>0.65800000000000125</v>
      </c>
      <c r="P54" s="42">
        <f t="shared" si="27"/>
        <v>0.59499999999999176</v>
      </c>
      <c r="Q54" s="42">
        <f t="shared" si="27"/>
        <v>0.4269999999999996</v>
      </c>
      <c r="R54" s="42">
        <f t="shared" si="27"/>
        <v>-210.70000000000002</v>
      </c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0.67297877414736718</v>
      </c>
      <c r="C55" s="42">
        <f>C53-C49</f>
        <v>0.24875933509997594</v>
      </c>
      <c r="D55" s="42">
        <f t="shared" si="26"/>
        <v>0.57705943691345851</v>
      </c>
      <c r="E55" s="42">
        <f>E53-E49</f>
        <v>0.77009077878639687</v>
      </c>
      <c r="F55" s="42">
        <f>F53-F49</f>
        <v>-1.4601018675705291E-2</v>
      </c>
      <c r="G55" s="41"/>
      <c r="H55" s="41"/>
      <c r="I55" s="41"/>
      <c r="J55" s="41"/>
      <c r="K55" s="42"/>
      <c r="L55" s="42"/>
      <c r="M55" s="42">
        <f>M53-M49</f>
        <v>-0.47826086956521863</v>
      </c>
      <c r="N55" s="42">
        <f t="shared" si="27"/>
        <v>-1.1521739130434412</v>
      </c>
      <c r="O55" s="42">
        <f>O53-O49</f>
        <v>-8.545454545454561</v>
      </c>
      <c r="P55" s="42">
        <f t="shared" si="27"/>
        <v>-1.8085106382978324</v>
      </c>
      <c r="Q55" s="42">
        <f t="shared" si="27"/>
        <v>-1.3260869565217206</v>
      </c>
      <c r="R55" s="42">
        <f t="shared" si="27"/>
        <v>-153.57142857142861</v>
      </c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54"/>
      <c r="N57" s="54"/>
      <c r="O57" s="637"/>
      <c r="P57" s="637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640" t="s">
        <v>30</v>
      </c>
      <c r="H58" s="974"/>
      <c r="I58" s="974"/>
      <c r="J58" s="974"/>
      <c r="K58" s="991"/>
      <c r="L58" s="973" t="s">
        <v>29</v>
      </c>
      <c r="M58" s="974"/>
      <c r="N58" s="974"/>
      <c r="O58" s="974"/>
      <c r="P58" s="974"/>
      <c r="Q58" s="973" t="s">
        <v>31</v>
      </c>
      <c r="R58" s="974"/>
      <c r="S58" s="974"/>
      <c r="T58" s="974"/>
      <c r="U58" s="991"/>
      <c r="V58" s="586" t="s">
        <v>9</v>
      </c>
      <c r="W58" s="661"/>
      <c r="X58" s="662"/>
      <c r="Y58" s="522"/>
      <c r="Z58" s="522"/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188">
        <v>1</v>
      </c>
      <c r="H59" s="168">
        <v>2</v>
      </c>
      <c r="I59" s="168">
        <v>3</v>
      </c>
      <c r="J59" s="168">
        <v>4</v>
      </c>
      <c r="K59" s="168">
        <v>5</v>
      </c>
      <c r="L59" s="188">
        <v>1</v>
      </c>
      <c r="M59" s="168">
        <v>2</v>
      </c>
      <c r="N59" s="168">
        <v>3</v>
      </c>
      <c r="O59" s="168">
        <v>4</v>
      </c>
      <c r="P59" s="413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126"/>
      <c r="W59" s="663"/>
      <c r="X59" s="645"/>
      <c r="Y59" s="657"/>
      <c r="Z59" s="657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25">
      <c r="A60" s="171" t="s">
        <v>53</v>
      </c>
      <c r="B60" s="447">
        <v>7.8</v>
      </c>
      <c r="C60" s="124">
        <v>7.9</v>
      </c>
      <c r="D60" s="124">
        <v>2.1</v>
      </c>
      <c r="E60" s="124">
        <v>8</v>
      </c>
      <c r="F60" s="123">
        <v>8</v>
      </c>
      <c r="G60" s="447">
        <v>7.7</v>
      </c>
      <c r="H60" s="124">
        <v>8</v>
      </c>
      <c r="I60" s="124">
        <v>2.1</v>
      </c>
      <c r="J60" s="124">
        <v>8</v>
      </c>
      <c r="K60" s="124">
        <v>7.9</v>
      </c>
      <c r="L60" s="130">
        <v>6</v>
      </c>
      <c r="M60" s="124">
        <v>6.6</v>
      </c>
      <c r="N60" s="124">
        <v>2</v>
      </c>
      <c r="O60" s="124">
        <v>6.6</v>
      </c>
      <c r="P60" s="124">
        <v>6.7</v>
      </c>
      <c r="Q60" s="123">
        <v>6.9</v>
      </c>
      <c r="R60" s="124">
        <v>7.1</v>
      </c>
      <c r="S60" s="124">
        <v>2.5</v>
      </c>
      <c r="T60" s="124">
        <v>7</v>
      </c>
      <c r="U60" s="132">
        <v>6.5</v>
      </c>
      <c r="V60" s="412">
        <f>SUM(B60:U60)</f>
        <v>125.39999999999999</v>
      </c>
      <c r="W60" s="651"/>
      <c r="X60" s="646"/>
      <c r="Y60" s="657"/>
      <c r="Z60" s="657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25">
      <c r="A61" s="171" t="s">
        <v>24</v>
      </c>
      <c r="B61" s="447">
        <v>7.8</v>
      </c>
      <c r="C61" s="124">
        <v>7.9</v>
      </c>
      <c r="D61" s="124">
        <v>2.1</v>
      </c>
      <c r="E61" s="124">
        <v>8</v>
      </c>
      <c r="F61" s="123">
        <v>8</v>
      </c>
      <c r="G61" s="447">
        <v>7.7</v>
      </c>
      <c r="H61" s="124">
        <v>8</v>
      </c>
      <c r="I61" s="124">
        <v>2.1</v>
      </c>
      <c r="J61" s="124">
        <v>8</v>
      </c>
      <c r="K61" s="124">
        <v>7.9</v>
      </c>
      <c r="L61" s="130">
        <v>6</v>
      </c>
      <c r="M61" s="124">
        <v>6.6</v>
      </c>
      <c r="N61" s="124">
        <v>2</v>
      </c>
      <c r="O61" s="124">
        <v>6.6</v>
      </c>
      <c r="P61" s="124">
        <v>6.7</v>
      </c>
      <c r="Q61" s="123">
        <v>6.9</v>
      </c>
      <c r="R61" s="124">
        <v>7.1</v>
      </c>
      <c r="S61" s="124">
        <v>2.5</v>
      </c>
      <c r="T61" s="124">
        <v>7</v>
      </c>
      <c r="U61" s="132">
        <v>6.5</v>
      </c>
      <c r="V61" s="412">
        <f t="shared" ref="V61:V66" si="28">SUM(B61:U61)</f>
        <v>125.39999999999999</v>
      </c>
      <c r="W61" s="651"/>
      <c r="X61" s="646"/>
      <c r="Y61" s="651"/>
      <c r="Z61" s="651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25">
      <c r="A62" s="171" t="s">
        <v>20</v>
      </c>
      <c r="B62" s="447">
        <v>7.8</v>
      </c>
      <c r="C62" s="124">
        <v>7.9</v>
      </c>
      <c r="D62" s="124">
        <v>2.1</v>
      </c>
      <c r="E62" s="124">
        <v>8</v>
      </c>
      <c r="F62" s="123">
        <v>8</v>
      </c>
      <c r="G62" s="447">
        <v>7.7</v>
      </c>
      <c r="H62" s="124">
        <v>8</v>
      </c>
      <c r="I62" s="124">
        <v>2.1</v>
      </c>
      <c r="J62" s="124">
        <v>8</v>
      </c>
      <c r="K62" s="124">
        <v>7.9</v>
      </c>
      <c r="L62" s="130">
        <v>6</v>
      </c>
      <c r="M62" s="124">
        <v>6.6</v>
      </c>
      <c r="N62" s="124">
        <v>2</v>
      </c>
      <c r="O62" s="124">
        <v>6.6</v>
      </c>
      <c r="P62" s="124">
        <v>6.7</v>
      </c>
      <c r="Q62" s="123">
        <v>6.9</v>
      </c>
      <c r="R62" s="124">
        <v>7.1</v>
      </c>
      <c r="S62" s="124">
        <v>2.5</v>
      </c>
      <c r="T62" s="124">
        <v>7</v>
      </c>
      <c r="U62" s="132">
        <v>6.5</v>
      </c>
      <c r="V62" s="412">
        <f t="shared" si="28"/>
        <v>125.39999999999999</v>
      </c>
      <c r="W62" s="651"/>
      <c r="X62" s="646"/>
      <c r="Y62" s="651"/>
      <c r="Z62" s="651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25">
      <c r="A63" s="171" t="s">
        <v>28</v>
      </c>
      <c r="B63" s="447">
        <v>7.8</v>
      </c>
      <c r="C63" s="124">
        <v>7.9</v>
      </c>
      <c r="D63" s="124">
        <v>2.1</v>
      </c>
      <c r="E63" s="124">
        <v>8</v>
      </c>
      <c r="F63" s="123">
        <v>8</v>
      </c>
      <c r="G63" s="447">
        <v>7.7</v>
      </c>
      <c r="H63" s="124">
        <v>8</v>
      </c>
      <c r="I63" s="124">
        <v>2.1</v>
      </c>
      <c r="J63" s="124">
        <v>8</v>
      </c>
      <c r="K63" s="124">
        <v>7.9</v>
      </c>
      <c r="L63" s="130">
        <v>6</v>
      </c>
      <c r="M63" s="124">
        <v>6.6</v>
      </c>
      <c r="N63" s="124">
        <v>2</v>
      </c>
      <c r="O63" s="124">
        <v>6.6</v>
      </c>
      <c r="P63" s="124">
        <v>6.7</v>
      </c>
      <c r="Q63" s="123">
        <v>6.9</v>
      </c>
      <c r="R63" s="124">
        <v>7.1</v>
      </c>
      <c r="S63" s="124">
        <v>2.5</v>
      </c>
      <c r="T63" s="124">
        <v>7</v>
      </c>
      <c r="U63" s="132">
        <v>6.5</v>
      </c>
      <c r="V63" s="412">
        <f t="shared" si="28"/>
        <v>125.39999999999999</v>
      </c>
      <c r="W63" s="651"/>
      <c r="X63" s="646"/>
      <c r="Y63" s="651"/>
      <c r="Z63" s="651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25">
      <c r="A64" s="171" t="s">
        <v>21</v>
      </c>
      <c r="B64" s="447">
        <v>7.8</v>
      </c>
      <c r="C64" s="124">
        <v>7.9</v>
      </c>
      <c r="D64" s="124">
        <v>2.1</v>
      </c>
      <c r="E64" s="124">
        <v>8</v>
      </c>
      <c r="F64" s="123">
        <v>8</v>
      </c>
      <c r="G64" s="447">
        <v>7.7</v>
      </c>
      <c r="H64" s="124">
        <v>8</v>
      </c>
      <c r="I64" s="124">
        <v>2.1</v>
      </c>
      <c r="J64" s="124">
        <v>8</v>
      </c>
      <c r="K64" s="124">
        <v>7.9</v>
      </c>
      <c r="L64" s="130">
        <v>6</v>
      </c>
      <c r="M64" s="124">
        <v>6.6</v>
      </c>
      <c r="N64" s="124">
        <v>2</v>
      </c>
      <c r="O64" s="124">
        <v>6.6</v>
      </c>
      <c r="P64" s="124">
        <v>6.7</v>
      </c>
      <c r="Q64" s="123">
        <v>6.9</v>
      </c>
      <c r="R64" s="124">
        <v>7.1</v>
      </c>
      <c r="S64" s="124">
        <v>2.5</v>
      </c>
      <c r="T64" s="124">
        <v>7</v>
      </c>
      <c r="U64" s="132">
        <v>6.5</v>
      </c>
      <c r="V64" s="412">
        <f t="shared" si="28"/>
        <v>125.39999999999999</v>
      </c>
      <c r="W64" s="651"/>
      <c r="X64" s="646"/>
      <c r="Y64" s="651"/>
      <c r="Z64" s="651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25">
      <c r="A65" s="171" t="s">
        <v>22</v>
      </c>
      <c r="B65" s="447">
        <v>7.8</v>
      </c>
      <c r="C65" s="124">
        <v>7.9</v>
      </c>
      <c r="D65" s="124">
        <v>2.1</v>
      </c>
      <c r="E65" s="124">
        <v>8</v>
      </c>
      <c r="F65" s="123">
        <v>8</v>
      </c>
      <c r="G65" s="447">
        <v>7.7</v>
      </c>
      <c r="H65" s="124">
        <v>8</v>
      </c>
      <c r="I65" s="124">
        <v>2.1</v>
      </c>
      <c r="J65" s="124">
        <v>8</v>
      </c>
      <c r="K65" s="124">
        <v>7.9</v>
      </c>
      <c r="L65" s="130">
        <v>6</v>
      </c>
      <c r="M65" s="124">
        <v>6.6</v>
      </c>
      <c r="N65" s="124">
        <v>2</v>
      </c>
      <c r="O65" s="124">
        <v>6.6</v>
      </c>
      <c r="P65" s="124">
        <v>6.7</v>
      </c>
      <c r="Q65" s="123">
        <v>6.9</v>
      </c>
      <c r="R65" s="124">
        <v>7.1</v>
      </c>
      <c r="S65" s="124">
        <v>2.5</v>
      </c>
      <c r="T65" s="124">
        <v>7</v>
      </c>
      <c r="U65" s="132">
        <v>6.5</v>
      </c>
      <c r="V65" s="412">
        <f t="shared" si="28"/>
        <v>125.39999999999999</v>
      </c>
      <c r="W65" s="651"/>
      <c r="X65" s="646"/>
      <c r="Y65" s="651"/>
      <c r="Z65" s="651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3">
      <c r="A66" s="171" t="s">
        <v>23</v>
      </c>
      <c r="B66" s="447">
        <v>7.8</v>
      </c>
      <c r="C66" s="124">
        <v>7.9</v>
      </c>
      <c r="D66" s="124">
        <v>2.1</v>
      </c>
      <c r="E66" s="124">
        <v>8</v>
      </c>
      <c r="F66" s="123">
        <v>8</v>
      </c>
      <c r="G66" s="447">
        <v>7.7</v>
      </c>
      <c r="H66" s="124">
        <v>8</v>
      </c>
      <c r="I66" s="124">
        <v>2.1</v>
      </c>
      <c r="J66" s="124">
        <v>8</v>
      </c>
      <c r="K66" s="124">
        <v>7.9</v>
      </c>
      <c r="L66" s="130">
        <v>6</v>
      </c>
      <c r="M66" s="124">
        <v>6.6</v>
      </c>
      <c r="N66" s="124">
        <v>2</v>
      </c>
      <c r="O66" s="124">
        <v>6.6</v>
      </c>
      <c r="P66" s="124">
        <v>6.7</v>
      </c>
      <c r="Q66" s="123">
        <v>6.9</v>
      </c>
      <c r="R66" s="124">
        <v>7.1</v>
      </c>
      <c r="S66" s="124">
        <v>2.5</v>
      </c>
      <c r="T66" s="124">
        <v>7</v>
      </c>
      <c r="U66" s="132">
        <v>6.5</v>
      </c>
      <c r="V66" s="412">
        <f t="shared" si="28"/>
        <v>125.39999999999999</v>
      </c>
      <c r="W66" s="651"/>
      <c r="X66" s="646"/>
      <c r="Y66" s="651"/>
      <c r="Z66" s="651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618">
        <f t="shared" ref="B67:U67" si="29">SUM(B60:B66)</f>
        <v>54.599999999999994</v>
      </c>
      <c r="C67" s="616">
        <f t="shared" si="29"/>
        <v>55.3</v>
      </c>
      <c r="D67" s="616">
        <f t="shared" si="29"/>
        <v>14.7</v>
      </c>
      <c r="E67" s="616">
        <f t="shared" si="29"/>
        <v>56</v>
      </c>
      <c r="F67" s="619">
        <f t="shared" si="29"/>
        <v>56</v>
      </c>
      <c r="G67" s="618">
        <f t="shared" si="29"/>
        <v>53.900000000000006</v>
      </c>
      <c r="H67" s="616">
        <f t="shared" si="29"/>
        <v>56</v>
      </c>
      <c r="I67" s="616">
        <f t="shared" si="29"/>
        <v>14.7</v>
      </c>
      <c r="J67" s="616">
        <f t="shared" si="29"/>
        <v>56</v>
      </c>
      <c r="K67" s="616">
        <f t="shared" si="29"/>
        <v>55.3</v>
      </c>
      <c r="L67" s="618">
        <f t="shared" si="29"/>
        <v>42</v>
      </c>
      <c r="M67" s="616">
        <f t="shared" si="29"/>
        <v>46.2</v>
      </c>
      <c r="N67" s="616">
        <f t="shared" si="29"/>
        <v>14</v>
      </c>
      <c r="O67" s="616">
        <f t="shared" si="29"/>
        <v>46.2</v>
      </c>
      <c r="P67" s="616">
        <f t="shared" si="29"/>
        <v>46.900000000000006</v>
      </c>
      <c r="Q67" s="615">
        <f t="shared" si="29"/>
        <v>48.3</v>
      </c>
      <c r="R67" s="616">
        <f t="shared" si="29"/>
        <v>49.7</v>
      </c>
      <c r="S67" s="616">
        <f t="shared" si="29"/>
        <v>17.5</v>
      </c>
      <c r="T67" s="616">
        <f t="shared" si="29"/>
        <v>49</v>
      </c>
      <c r="U67" s="617">
        <f t="shared" si="29"/>
        <v>45.5</v>
      </c>
      <c r="V67" s="449">
        <f>SUM(B67:U67)</f>
        <v>877.80000000000007</v>
      </c>
      <c r="W67" s="664"/>
      <c r="X67" s="646"/>
      <c r="Y67" s="651"/>
      <c r="Z67" s="651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159</v>
      </c>
      <c r="C68" s="358">
        <v>160</v>
      </c>
      <c r="D68" s="358">
        <v>158</v>
      </c>
      <c r="E68" s="358">
        <v>158.5</v>
      </c>
      <c r="F68" s="624">
        <v>159.5</v>
      </c>
      <c r="G68" s="357">
        <v>157.5</v>
      </c>
      <c r="H68" s="358">
        <v>159.5</v>
      </c>
      <c r="I68" s="358">
        <v>159.5</v>
      </c>
      <c r="J68" s="358">
        <v>160</v>
      </c>
      <c r="K68" s="358">
        <v>158</v>
      </c>
      <c r="L68" s="357">
        <v>156</v>
      </c>
      <c r="M68" s="358">
        <v>159.5</v>
      </c>
      <c r="N68" s="358">
        <v>155.5</v>
      </c>
      <c r="O68" s="358">
        <v>159.5</v>
      </c>
      <c r="P68" s="358">
        <v>159.5</v>
      </c>
      <c r="Q68" s="357">
        <v>160</v>
      </c>
      <c r="R68" s="358">
        <v>160</v>
      </c>
      <c r="S68" s="358">
        <v>160.5</v>
      </c>
      <c r="T68" s="358">
        <v>160.5</v>
      </c>
      <c r="U68" s="624">
        <v>160</v>
      </c>
      <c r="V68" s="296">
        <f>+((V67/V69)/7)*1000</f>
        <v>159.74522292993632</v>
      </c>
      <c r="W68" s="145"/>
      <c r="X68" s="648"/>
      <c r="Y68" s="665"/>
      <c r="Z68" s="522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49</v>
      </c>
      <c r="C69" s="275">
        <v>49</v>
      </c>
      <c r="D69" s="275">
        <v>13</v>
      </c>
      <c r="E69" s="275">
        <v>50</v>
      </c>
      <c r="F69" s="276">
        <v>50</v>
      </c>
      <c r="G69" s="257">
        <v>49</v>
      </c>
      <c r="H69" s="275">
        <v>50</v>
      </c>
      <c r="I69" s="275">
        <v>13</v>
      </c>
      <c r="J69" s="275">
        <v>50</v>
      </c>
      <c r="K69" s="275">
        <v>50</v>
      </c>
      <c r="L69" s="257">
        <v>39</v>
      </c>
      <c r="M69" s="275">
        <v>41</v>
      </c>
      <c r="N69" s="275">
        <v>13</v>
      </c>
      <c r="O69" s="275">
        <v>41</v>
      </c>
      <c r="P69" s="275">
        <v>42</v>
      </c>
      <c r="Q69" s="257">
        <v>43</v>
      </c>
      <c r="R69" s="275">
        <v>44</v>
      </c>
      <c r="S69" s="275">
        <v>15</v>
      </c>
      <c r="T69" s="275">
        <v>43</v>
      </c>
      <c r="U69" s="276">
        <v>41</v>
      </c>
      <c r="V69" s="254">
        <f>SUM(B69:U69)</f>
        <v>785</v>
      </c>
      <c r="W69" s="145"/>
      <c r="X69" s="649"/>
      <c r="Y69" s="665"/>
      <c r="Z69" s="522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 t="shared" ref="B70:U70" si="30">((((B68*7)*B69)/1000)-B60-B61)/5</f>
        <v>7.7874000000000008</v>
      </c>
      <c r="C70" s="31">
        <f t="shared" si="30"/>
        <v>7.8160000000000007</v>
      </c>
      <c r="D70" s="31">
        <f t="shared" si="30"/>
        <v>2.0356000000000001</v>
      </c>
      <c r="E70" s="31">
        <f t="shared" si="30"/>
        <v>7.8950000000000005</v>
      </c>
      <c r="F70" s="32">
        <f t="shared" si="30"/>
        <v>7.9650000000000007</v>
      </c>
      <c r="G70" s="30">
        <f t="shared" si="30"/>
        <v>7.724499999999999</v>
      </c>
      <c r="H70" s="31">
        <f t="shared" si="30"/>
        <v>7.9650000000000007</v>
      </c>
      <c r="I70" s="31">
        <f t="shared" si="30"/>
        <v>2.0629</v>
      </c>
      <c r="J70" s="31">
        <f t="shared" si="30"/>
        <v>8</v>
      </c>
      <c r="K70" s="31">
        <f t="shared" si="30"/>
        <v>7.9</v>
      </c>
      <c r="L70" s="30">
        <f t="shared" si="30"/>
        <v>6.1176000000000004</v>
      </c>
      <c r="M70" s="31">
        <f t="shared" si="30"/>
        <v>6.515299999999999</v>
      </c>
      <c r="N70" s="31">
        <f t="shared" si="30"/>
        <v>2.0301</v>
      </c>
      <c r="O70" s="31">
        <f t="shared" si="30"/>
        <v>6.515299999999999</v>
      </c>
      <c r="P70" s="31">
        <f t="shared" si="30"/>
        <v>6.698599999999999</v>
      </c>
      <c r="Q70" s="30">
        <f t="shared" si="30"/>
        <v>6.8719999999999999</v>
      </c>
      <c r="R70" s="31">
        <f t="shared" si="30"/>
        <v>7.016</v>
      </c>
      <c r="S70" s="31">
        <f t="shared" si="30"/>
        <v>2.3704999999999998</v>
      </c>
      <c r="T70" s="31">
        <f t="shared" si="30"/>
        <v>6.8620999999999999</v>
      </c>
      <c r="U70" s="32">
        <f t="shared" si="30"/>
        <v>6.5840000000000005</v>
      </c>
      <c r="V70" s="139">
        <f>((V67*1000)/V69)/7</f>
        <v>159.74522292993632</v>
      </c>
      <c r="W70" s="144"/>
      <c r="X70" s="650"/>
      <c r="Y70" s="665"/>
      <c r="Z70" s="522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31">((B69*B68)*7)/1000</f>
        <v>54.536999999999999</v>
      </c>
      <c r="C71" s="280">
        <f t="shared" si="31"/>
        <v>54.88</v>
      </c>
      <c r="D71" s="280">
        <f t="shared" si="31"/>
        <v>14.378</v>
      </c>
      <c r="E71" s="280">
        <f t="shared" si="31"/>
        <v>55.475000000000001</v>
      </c>
      <c r="F71" s="282">
        <f t="shared" si="31"/>
        <v>55.825000000000003</v>
      </c>
      <c r="G71" s="279">
        <f t="shared" si="31"/>
        <v>54.022500000000001</v>
      </c>
      <c r="H71" s="280">
        <f t="shared" si="31"/>
        <v>55.825000000000003</v>
      </c>
      <c r="I71" s="280">
        <f t="shared" si="31"/>
        <v>14.5145</v>
      </c>
      <c r="J71" s="280">
        <f t="shared" si="31"/>
        <v>56</v>
      </c>
      <c r="K71" s="280">
        <f t="shared" si="31"/>
        <v>55.3</v>
      </c>
      <c r="L71" s="279">
        <f t="shared" si="31"/>
        <v>42.588000000000001</v>
      </c>
      <c r="M71" s="280">
        <f t="shared" si="31"/>
        <v>45.776499999999999</v>
      </c>
      <c r="N71" s="280">
        <f t="shared" si="31"/>
        <v>14.150499999999999</v>
      </c>
      <c r="O71" s="280">
        <f t="shared" si="31"/>
        <v>45.776499999999999</v>
      </c>
      <c r="P71" s="280">
        <f t="shared" si="31"/>
        <v>46.893000000000001</v>
      </c>
      <c r="Q71" s="279">
        <f t="shared" si="31"/>
        <v>48.16</v>
      </c>
      <c r="R71" s="280">
        <f t="shared" si="31"/>
        <v>49.28</v>
      </c>
      <c r="S71" s="280">
        <f t="shared" si="31"/>
        <v>16.852499999999999</v>
      </c>
      <c r="T71" s="280">
        <f t="shared" si="31"/>
        <v>48.310499999999998</v>
      </c>
      <c r="U71" s="282">
        <f t="shared" si="31"/>
        <v>45.92</v>
      </c>
      <c r="V71" s="112"/>
      <c r="W71" s="651"/>
      <c r="X71" s="666"/>
      <c r="Y71" s="666"/>
      <c r="Z71" s="666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U72" si="32">+(B67/B69)/7*1000</f>
        <v>159.18367346938771</v>
      </c>
      <c r="C72" s="38">
        <f t="shared" si="32"/>
        <v>161.22448979591834</v>
      </c>
      <c r="D72" s="38">
        <f t="shared" si="32"/>
        <v>161.53846153846155</v>
      </c>
      <c r="E72" s="38">
        <f t="shared" si="32"/>
        <v>160</v>
      </c>
      <c r="F72" s="39">
        <f t="shared" si="32"/>
        <v>160</v>
      </c>
      <c r="G72" s="37">
        <f t="shared" si="32"/>
        <v>157.14285714285717</v>
      </c>
      <c r="H72" s="38">
        <f t="shared" si="32"/>
        <v>160</v>
      </c>
      <c r="I72" s="38">
        <f t="shared" si="32"/>
        <v>161.53846153846155</v>
      </c>
      <c r="J72" s="38">
        <f t="shared" si="32"/>
        <v>160</v>
      </c>
      <c r="K72" s="38">
        <f t="shared" si="32"/>
        <v>157.99999999999997</v>
      </c>
      <c r="L72" s="37">
        <f t="shared" si="32"/>
        <v>153.84615384615384</v>
      </c>
      <c r="M72" s="38">
        <f t="shared" si="32"/>
        <v>160.97560975609755</v>
      </c>
      <c r="N72" s="38">
        <f t="shared" si="32"/>
        <v>153.84615384615384</v>
      </c>
      <c r="O72" s="38">
        <f t="shared" si="32"/>
        <v>160.97560975609755</v>
      </c>
      <c r="P72" s="38">
        <f t="shared" si="32"/>
        <v>159.52380952380955</v>
      </c>
      <c r="Q72" s="37">
        <f t="shared" si="32"/>
        <v>160.46511627906975</v>
      </c>
      <c r="R72" s="38">
        <f t="shared" si="32"/>
        <v>161.36363636363637</v>
      </c>
      <c r="S72" s="38">
        <f t="shared" si="32"/>
        <v>166.66666666666669</v>
      </c>
      <c r="T72" s="38">
        <f t="shared" si="32"/>
        <v>162.79069767441862</v>
      </c>
      <c r="U72" s="39">
        <f t="shared" si="32"/>
        <v>158.53658536585365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43">
        <f>B71-B67</f>
        <v>-6.2999999999995282E-2</v>
      </c>
      <c r="C73" s="43">
        <f t="shared" ref="C73:F73" si="33">C71-C67</f>
        <v>-0.4199999999999946</v>
      </c>
      <c r="D73" s="43">
        <f t="shared" si="33"/>
        <v>-0.32199999999999918</v>
      </c>
      <c r="E73" s="43">
        <f t="shared" si="33"/>
        <v>-0.52499999999999858</v>
      </c>
      <c r="F73" s="43">
        <f t="shared" si="33"/>
        <v>-0.17499999999999716</v>
      </c>
      <c r="G73" s="43">
        <f>G71-G67</f>
        <v>0.12249999999999517</v>
      </c>
      <c r="H73" s="43">
        <f t="shared" ref="H73:U74" si="34">H71-H67</f>
        <v>-0.17499999999999716</v>
      </c>
      <c r="I73" s="43">
        <f t="shared" si="34"/>
        <v>-0.18549999999999933</v>
      </c>
      <c r="J73" s="43">
        <f t="shared" si="34"/>
        <v>0</v>
      </c>
      <c r="K73" s="43">
        <f t="shared" si="34"/>
        <v>0</v>
      </c>
      <c r="L73" s="43">
        <f>L71-L67</f>
        <v>0.58800000000000097</v>
      </c>
      <c r="M73" s="43">
        <f t="shared" ref="M73:P73" si="35">M71-M67</f>
        <v>-0.42350000000000421</v>
      </c>
      <c r="N73" s="43">
        <f t="shared" si="35"/>
        <v>0.15049999999999919</v>
      </c>
      <c r="O73" s="43">
        <f t="shared" si="35"/>
        <v>-0.42350000000000421</v>
      </c>
      <c r="P73" s="43">
        <f t="shared" si="35"/>
        <v>-7.0000000000050022E-3</v>
      </c>
      <c r="Q73" s="43">
        <f>Q71-Q67</f>
        <v>-0.14000000000000057</v>
      </c>
      <c r="R73" s="43">
        <f t="shared" ref="R73:U73" si="36">R71-R67</f>
        <v>-0.42000000000000171</v>
      </c>
      <c r="S73" s="43">
        <f t="shared" si="36"/>
        <v>-0.64750000000000085</v>
      </c>
      <c r="T73" s="43">
        <f t="shared" si="36"/>
        <v>-0.68950000000000244</v>
      </c>
      <c r="U73" s="43">
        <f t="shared" si="36"/>
        <v>0.42000000000000171</v>
      </c>
      <c r="W73" s="144"/>
      <c r="X73" s="522"/>
      <c r="Y73" s="522"/>
      <c r="Z73" s="522"/>
    </row>
    <row r="74" spans="1:50" ht="33.75" customHeight="1" x14ac:dyDescent="0.25">
      <c r="B74" s="42">
        <f t="shared" ref="B74:J74" si="37">B72-B68</f>
        <v>0.18367346938771334</v>
      </c>
      <c r="C74" s="42">
        <f t="shared" si="37"/>
        <v>1.2244897959183447</v>
      </c>
      <c r="D74" s="42">
        <f t="shared" si="37"/>
        <v>3.5384615384615472</v>
      </c>
      <c r="E74" s="42">
        <f t="shared" si="37"/>
        <v>1.5</v>
      </c>
      <c r="F74" s="42">
        <f t="shared" si="37"/>
        <v>0.5</v>
      </c>
      <c r="G74" s="42">
        <f t="shared" si="37"/>
        <v>-0.35714285714283278</v>
      </c>
      <c r="H74" s="42">
        <f t="shared" si="37"/>
        <v>0.5</v>
      </c>
      <c r="I74" s="42">
        <f>I72-I68</f>
        <v>2.0384615384615472</v>
      </c>
      <c r="J74" s="42">
        <f t="shared" si="37"/>
        <v>0</v>
      </c>
      <c r="K74" s="42">
        <f t="shared" si="34"/>
        <v>0</v>
      </c>
      <c r="L74" s="42">
        <f t="shared" si="34"/>
        <v>-2.1538461538461604</v>
      </c>
      <c r="M74" s="42">
        <f t="shared" si="34"/>
        <v>1.4756097560975547</v>
      </c>
      <c r="N74" s="42">
        <f t="shared" si="34"/>
        <v>-1.6538461538461604</v>
      </c>
      <c r="O74" s="42">
        <f t="shared" si="34"/>
        <v>1.4756097560975547</v>
      </c>
      <c r="P74" s="42">
        <f t="shared" si="34"/>
        <v>2.3809523809546818E-2</v>
      </c>
      <c r="Q74" s="42">
        <f t="shared" si="34"/>
        <v>0.46511627906974695</v>
      </c>
      <c r="R74" s="42">
        <f t="shared" si="34"/>
        <v>1.363636363636374</v>
      </c>
      <c r="S74" s="42">
        <f t="shared" si="34"/>
        <v>6.1666666666666856</v>
      </c>
      <c r="T74" s="42">
        <f t="shared" si="34"/>
        <v>2.2906976744186238</v>
      </c>
      <c r="U74" s="42">
        <f t="shared" si="34"/>
        <v>-1.4634146341463463</v>
      </c>
      <c r="V74" s="45"/>
      <c r="W74" s="651"/>
      <c r="X74" s="657"/>
      <c r="Y74" s="657"/>
      <c r="Z74" s="657"/>
      <c r="AA74" s="45"/>
      <c r="AB74" s="45"/>
      <c r="AC74" s="45"/>
      <c r="AD74" s="52"/>
    </row>
    <row r="75" spans="1:50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  <c r="W75" s="636"/>
    </row>
    <row r="76" spans="1:50" ht="33.75" customHeight="1" x14ac:dyDescent="0.25">
      <c r="A76" s="45"/>
      <c r="B76" s="283"/>
      <c r="C76" s="283"/>
      <c r="D76" s="283"/>
      <c r="E76" s="283"/>
      <c r="F76" s="283"/>
      <c r="G76" s="58"/>
      <c r="H76" s="45"/>
      <c r="I76" s="45"/>
      <c r="J76" s="45"/>
      <c r="K76" s="45"/>
      <c r="L76" s="45"/>
      <c r="M76" s="45"/>
      <c r="N76" s="45"/>
      <c r="O76" s="45"/>
    </row>
    <row r="77" spans="1:50" ht="33.75" customHeight="1" x14ac:dyDescent="0.25">
      <c r="A77" s="45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4">
    <mergeCell ref="Q58:U58"/>
    <mergeCell ref="A3:C3"/>
    <mergeCell ref="E9:G9"/>
    <mergeCell ref="W9:X9"/>
    <mergeCell ref="O11:P11"/>
    <mergeCell ref="B16:H16"/>
    <mergeCell ref="I16:O16"/>
    <mergeCell ref="P16:T16"/>
    <mergeCell ref="U16:Y16"/>
    <mergeCell ref="B39:F39"/>
    <mergeCell ref="G39:G40"/>
    <mergeCell ref="B58:F58"/>
    <mergeCell ref="H58:K58"/>
    <mergeCell ref="L58:P58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1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40</v>
      </c>
      <c r="P11" s="965"/>
      <c r="Q11" s="6"/>
      <c r="R11" s="6"/>
      <c r="S11" s="6"/>
      <c r="T11" s="1"/>
      <c r="U11" s="1"/>
      <c r="V11" s="1" t="s">
        <v>6</v>
      </c>
      <c r="W11" s="95">
        <v>45608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594"/>
      <c r="I17" s="386" t="s">
        <v>100</v>
      </c>
      <c r="J17" s="438">
        <v>1</v>
      </c>
      <c r="K17" s="438">
        <v>2</v>
      </c>
      <c r="L17" s="438">
        <v>3</v>
      </c>
      <c r="M17" s="438">
        <v>4</v>
      </c>
      <c r="N17" s="439">
        <v>5</v>
      </c>
      <c r="O17" s="594"/>
      <c r="P17" s="202">
        <v>1</v>
      </c>
      <c r="Q17" s="174">
        <v>2</v>
      </c>
      <c r="R17" s="174">
        <v>3</v>
      </c>
      <c r="S17" s="174">
        <v>4</v>
      </c>
      <c r="T17" s="203">
        <v>5</v>
      </c>
      <c r="U17" s="186">
        <v>1</v>
      </c>
      <c r="V17" s="174">
        <v>2</v>
      </c>
      <c r="W17" s="174">
        <v>3</v>
      </c>
      <c r="X17" s="174">
        <v>4</v>
      </c>
      <c r="Y17" s="175">
        <v>5</v>
      </c>
      <c r="Z17" s="126"/>
      <c r="AD17" s="2"/>
      <c r="AE17" s="15"/>
    </row>
    <row r="18" spans="1:40" ht="39.950000000000003" customHeight="1" x14ac:dyDescent="0.25">
      <c r="A18" s="171" t="s">
        <v>53</v>
      </c>
      <c r="B18" s="595">
        <v>318.10000000000002</v>
      </c>
      <c r="C18" s="596">
        <v>18.600000000000001</v>
      </c>
      <c r="D18" s="596">
        <v>18.8</v>
      </c>
      <c r="E18" s="596">
        <v>4.7</v>
      </c>
      <c r="F18" s="596">
        <v>19.100000000000001</v>
      </c>
      <c r="G18" s="597">
        <v>19.100000000000001</v>
      </c>
      <c r="H18" s="506">
        <f>SUM(B18:G18)</f>
        <v>398.40000000000009</v>
      </c>
      <c r="I18" s="599">
        <v>321.10000000000002</v>
      </c>
      <c r="J18" s="596">
        <v>18.899999999999999</v>
      </c>
      <c r="K18" s="596">
        <v>19.100000000000001</v>
      </c>
      <c r="L18" s="596">
        <v>4.5999999999999996</v>
      </c>
      <c r="M18" s="596">
        <v>18.2</v>
      </c>
      <c r="N18" s="600">
        <v>18</v>
      </c>
      <c r="O18" s="506">
        <f t="shared" ref="O18:O24" si="0">SUM(I18:N18)</f>
        <v>399.90000000000003</v>
      </c>
      <c r="P18" s="601">
        <v>77.900000000000006</v>
      </c>
      <c r="Q18" s="504">
        <v>77.8</v>
      </c>
      <c r="R18" s="596">
        <v>26.1</v>
      </c>
      <c r="S18" s="596">
        <v>78.400000000000006</v>
      </c>
      <c r="T18" s="600">
        <v>77.900000000000006</v>
      </c>
      <c r="U18" s="602">
        <v>80.8</v>
      </c>
      <c r="V18" s="596">
        <v>82</v>
      </c>
      <c r="W18" s="504">
        <v>27.2</v>
      </c>
      <c r="X18" s="504">
        <v>82.1</v>
      </c>
      <c r="Y18" s="600">
        <v>81.7</v>
      </c>
      <c r="Z18" s="509">
        <f>SUM(H18,O18,P18:Y18)</f>
        <v>1490.2000000000003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595">
        <v>318</v>
      </c>
      <c r="C19" s="596">
        <v>18.600000000000001</v>
      </c>
      <c r="D19" s="596">
        <v>18.8</v>
      </c>
      <c r="E19" s="596">
        <v>4.5999999999999996</v>
      </c>
      <c r="F19" s="596">
        <v>19.100000000000001</v>
      </c>
      <c r="G19" s="597">
        <v>19.100000000000001</v>
      </c>
      <c r="H19" s="635">
        <f>SUM(B19:G19)</f>
        <v>398.2000000000001</v>
      </c>
      <c r="I19" s="599">
        <v>321.10000000000002</v>
      </c>
      <c r="J19" s="596">
        <v>18.899999999999999</v>
      </c>
      <c r="K19" s="596">
        <v>19.100000000000001</v>
      </c>
      <c r="L19" s="596">
        <v>4.5999999999999996</v>
      </c>
      <c r="M19" s="596">
        <v>18.2</v>
      </c>
      <c r="N19" s="600">
        <v>18</v>
      </c>
      <c r="O19" s="635">
        <f t="shared" si="0"/>
        <v>399.90000000000003</v>
      </c>
      <c r="P19" s="601">
        <v>77.900000000000006</v>
      </c>
      <c r="Q19" s="504">
        <v>77.8</v>
      </c>
      <c r="R19" s="596">
        <v>25.6</v>
      </c>
      <c r="S19" s="596">
        <v>78.400000000000006</v>
      </c>
      <c r="T19" s="600">
        <v>77.900000000000006</v>
      </c>
      <c r="U19" s="602">
        <v>80.8</v>
      </c>
      <c r="V19" s="596">
        <v>82</v>
      </c>
      <c r="W19" s="504">
        <v>27</v>
      </c>
      <c r="X19" s="504">
        <v>82.1</v>
      </c>
      <c r="Y19" s="600">
        <v>81.7</v>
      </c>
      <c r="Z19" s="509">
        <f>SUM(H19,O19,P19:Y19)</f>
        <v>1489.3000000000002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595">
        <v>318</v>
      </c>
      <c r="C20" s="596">
        <v>18.600000000000001</v>
      </c>
      <c r="D20" s="596">
        <v>18.8</v>
      </c>
      <c r="E20" s="596">
        <v>4.5999999999999996</v>
      </c>
      <c r="F20" s="596">
        <v>19.100000000000001</v>
      </c>
      <c r="G20" s="597">
        <v>19.100000000000001</v>
      </c>
      <c r="H20" s="506">
        <f t="shared" ref="H20:H22" si="1">SUM(B20:G20)</f>
        <v>398.2000000000001</v>
      </c>
      <c r="I20" s="599">
        <v>321.10000000000002</v>
      </c>
      <c r="J20" s="596">
        <v>18.899999999999999</v>
      </c>
      <c r="K20" s="596">
        <v>19.100000000000001</v>
      </c>
      <c r="L20" s="596">
        <v>4.5999999999999996</v>
      </c>
      <c r="M20" s="596">
        <v>18.2</v>
      </c>
      <c r="N20" s="600">
        <v>18</v>
      </c>
      <c r="O20" s="506">
        <f t="shared" si="0"/>
        <v>399.90000000000003</v>
      </c>
      <c r="P20" s="601">
        <v>77.900000000000006</v>
      </c>
      <c r="Q20" s="504">
        <v>77.8</v>
      </c>
      <c r="R20" s="596">
        <v>25.6</v>
      </c>
      <c r="S20" s="596">
        <v>78.400000000000006</v>
      </c>
      <c r="T20" s="600">
        <v>77.900000000000006</v>
      </c>
      <c r="U20" s="602">
        <v>80.8</v>
      </c>
      <c r="V20" s="596">
        <v>82</v>
      </c>
      <c r="W20" s="504">
        <v>27</v>
      </c>
      <c r="X20" s="504">
        <v>82.1</v>
      </c>
      <c r="Y20" s="600">
        <v>81.7</v>
      </c>
      <c r="Z20" s="509">
        <f t="shared" ref="Z20:Z24" si="2">SUM(H20,O20,P20:Y20)</f>
        <v>1489.3000000000002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595">
        <v>318</v>
      </c>
      <c r="C21" s="596">
        <v>18.600000000000001</v>
      </c>
      <c r="D21" s="596">
        <v>18.8</v>
      </c>
      <c r="E21" s="596">
        <v>4.5999999999999996</v>
      </c>
      <c r="F21" s="596">
        <v>19.100000000000001</v>
      </c>
      <c r="G21" s="597">
        <v>19.100000000000001</v>
      </c>
      <c r="H21" s="506">
        <f t="shared" si="1"/>
        <v>398.2000000000001</v>
      </c>
      <c r="I21" s="599">
        <v>321.10000000000002</v>
      </c>
      <c r="J21" s="596">
        <v>18.899999999999999</v>
      </c>
      <c r="K21" s="596">
        <v>19.100000000000001</v>
      </c>
      <c r="L21" s="596">
        <v>4.5999999999999996</v>
      </c>
      <c r="M21" s="596">
        <v>18.2</v>
      </c>
      <c r="N21" s="600">
        <v>18</v>
      </c>
      <c r="O21" s="506">
        <f t="shared" si="0"/>
        <v>399.90000000000003</v>
      </c>
      <c r="P21" s="601">
        <v>77.900000000000006</v>
      </c>
      <c r="Q21" s="504">
        <v>77.8</v>
      </c>
      <c r="R21" s="596">
        <v>25.6</v>
      </c>
      <c r="S21" s="596">
        <v>78.400000000000006</v>
      </c>
      <c r="T21" s="600">
        <v>77.900000000000006</v>
      </c>
      <c r="U21" s="602">
        <v>80.8</v>
      </c>
      <c r="V21" s="596">
        <v>82</v>
      </c>
      <c r="W21" s="504">
        <v>27</v>
      </c>
      <c r="X21" s="504">
        <v>82.1</v>
      </c>
      <c r="Y21" s="600">
        <v>81.7</v>
      </c>
      <c r="Z21" s="509">
        <f t="shared" si="2"/>
        <v>1489.3000000000002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595">
        <v>318</v>
      </c>
      <c r="C22" s="596">
        <v>18.600000000000001</v>
      </c>
      <c r="D22" s="596">
        <v>18.8</v>
      </c>
      <c r="E22" s="596">
        <v>4.5999999999999996</v>
      </c>
      <c r="F22" s="596">
        <v>19.100000000000001</v>
      </c>
      <c r="G22" s="597">
        <v>19.100000000000001</v>
      </c>
      <c r="H22" s="506">
        <f t="shared" si="1"/>
        <v>398.2000000000001</v>
      </c>
      <c r="I22" s="599">
        <v>321.10000000000002</v>
      </c>
      <c r="J22" s="596">
        <v>18.899999999999999</v>
      </c>
      <c r="K22" s="596">
        <v>19.100000000000001</v>
      </c>
      <c r="L22" s="596">
        <v>4.5999999999999996</v>
      </c>
      <c r="M22" s="596">
        <v>18.2</v>
      </c>
      <c r="N22" s="600">
        <v>18</v>
      </c>
      <c r="O22" s="506">
        <f t="shared" si="0"/>
        <v>399.90000000000003</v>
      </c>
      <c r="P22" s="601">
        <v>77.900000000000006</v>
      </c>
      <c r="Q22" s="504">
        <v>77.8</v>
      </c>
      <c r="R22" s="596">
        <v>25.6</v>
      </c>
      <c r="S22" s="596">
        <v>78.400000000000006</v>
      </c>
      <c r="T22" s="600">
        <v>77.900000000000006</v>
      </c>
      <c r="U22" s="602">
        <v>80.8</v>
      </c>
      <c r="V22" s="596">
        <v>82</v>
      </c>
      <c r="W22" s="504">
        <v>27</v>
      </c>
      <c r="X22" s="504">
        <v>82.1</v>
      </c>
      <c r="Y22" s="600">
        <v>81.7</v>
      </c>
      <c r="Z22" s="509">
        <f t="shared" si="2"/>
        <v>1489.3000000000002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595">
        <v>318</v>
      </c>
      <c r="C23" s="596">
        <v>18.600000000000001</v>
      </c>
      <c r="D23" s="596">
        <v>18.8</v>
      </c>
      <c r="E23" s="596">
        <v>4.5999999999999996</v>
      </c>
      <c r="F23" s="596">
        <v>19.100000000000001</v>
      </c>
      <c r="G23" s="597">
        <v>19.100000000000001</v>
      </c>
      <c r="H23" s="506">
        <f>SUM(B23:G23)</f>
        <v>398.2000000000001</v>
      </c>
      <c r="I23" s="599">
        <v>321.10000000000002</v>
      </c>
      <c r="J23" s="596">
        <v>18.899999999999999</v>
      </c>
      <c r="K23" s="596">
        <v>19.100000000000001</v>
      </c>
      <c r="L23" s="596">
        <v>4.5999999999999996</v>
      </c>
      <c r="M23" s="596">
        <v>18.2</v>
      </c>
      <c r="N23" s="600">
        <v>18</v>
      </c>
      <c r="O23" s="506">
        <f t="shared" si="0"/>
        <v>399.90000000000003</v>
      </c>
      <c r="P23" s="601">
        <v>77.900000000000006</v>
      </c>
      <c r="Q23" s="504">
        <v>77.8</v>
      </c>
      <c r="R23" s="596">
        <v>25.6</v>
      </c>
      <c r="S23" s="596">
        <v>78.400000000000006</v>
      </c>
      <c r="T23" s="600">
        <v>77.900000000000006</v>
      </c>
      <c r="U23" s="602">
        <v>80.8</v>
      </c>
      <c r="V23" s="596">
        <v>82</v>
      </c>
      <c r="W23" s="504">
        <v>27</v>
      </c>
      <c r="X23" s="504">
        <v>82.1</v>
      </c>
      <c r="Y23" s="600">
        <v>81.7</v>
      </c>
      <c r="Z23" s="509">
        <f t="shared" si="2"/>
        <v>1489.3000000000002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595">
        <v>318</v>
      </c>
      <c r="C24" s="596">
        <v>18.600000000000001</v>
      </c>
      <c r="D24" s="596">
        <v>18.8</v>
      </c>
      <c r="E24" s="596">
        <v>4.5999999999999996</v>
      </c>
      <c r="F24" s="596">
        <v>19.100000000000001</v>
      </c>
      <c r="G24" s="597">
        <v>19.100000000000001</v>
      </c>
      <c r="H24" s="598">
        <f>SUM(B24:G24)</f>
        <v>398.2000000000001</v>
      </c>
      <c r="I24" s="599">
        <v>321.10000000000002</v>
      </c>
      <c r="J24" s="596">
        <v>18.899999999999999</v>
      </c>
      <c r="K24" s="596">
        <v>19.100000000000001</v>
      </c>
      <c r="L24" s="596">
        <v>4.5999999999999996</v>
      </c>
      <c r="M24" s="596">
        <v>18.2</v>
      </c>
      <c r="N24" s="600">
        <v>18</v>
      </c>
      <c r="O24" s="598">
        <f t="shared" si="0"/>
        <v>399.90000000000003</v>
      </c>
      <c r="P24" s="601">
        <v>77.900000000000006</v>
      </c>
      <c r="Q24" s="596">
        <v>77.8</v>
      </c>
      <c r="R24" s="596">
        <v>25.6</v>
      </c>
      <c r="S24" s="596">
        <v>78.400000000000006</v>
      </c>
      <c r="T24" s="600">
        <v>77.900000000000006</v>
      </c>
      <c r="U24" s="602">
        <v>80.8</v>
      </c>
      <c r="V24" s="596">
        <v>82</v>
      </c>
      <c r="W24" s="596">
        <v>27</v>
      </c>
      <c r="X24" s="596">
        <v>82.1</v>
      </c>
      <c r="Y24" s="600">
        <v>81.7</v>
      </c>
      <c r="Z24" s="643">
        <f t="shared" si="2"/>
        <v>1489.3000000000002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298">
        <f t="shared" ref="C25:H25" si="3">SUM(C18:C24)</f>
        <v>130.19999999999999</v>
      </c>
      <c r="D25" s="298">
        <f t="shared" si="3"/>
        <v>131.6</v>
      </c>
      <c r="E25" s="298">
        <f t="shared" si="3"/>
        <v>32.300000000000004</v>
      </c>
      <c r="F25" s="298">
        <f t="shared" si="3"/>
        <v>133.69999999999999</v>
      </c>
      <c r="G25" s="448">
        <f t="shared" si="3"/>
        <v>133.69999999999999</v>
      </c>
      <c r="H25" s="436">
        <f t="shared" si="3"/>
        <v>2787.6000000000008</v>
      </c>
      <c r="I25" s="297"/>
      <c r="J25" s="298">
        <f t="shared" ref="J25:N25" si="4">SUM(J18:J24)</f>
        <v>132.30000000000001</v>
      </c>
      <c r="K25" s="298">
        <f>SUM(K18:K24)</f>
        <v>133.69999999999999</v>
      </c>
      <c r="L25" s="298">
        <f t="shared" si="4"/>
        <v>32.200000000000003</v>
      </c>
      <c r="M25" s="298">
        <f t="shared" si="4"/>
        <v>127.4</v>
      </c>
      <c r="N25" s="299">
        <f t="shared" si="4"/>
        <v>126</v>
      </c>
      <c r="O25" s="436">
        <f>SUM(O18:O24)</f>
        <v>2799.3</v>
      </c>
      <c r="P25" s="668">
        <v>77.900000000000006</v>
      </c>
      <c r="Q25" s="669">
        <v>77.8</v>
      </c>
      <c r="R25" s="669">
        <v>26.1</v>
      </c>
      <c r="S25" s="669">
        <v>78.400000000000006</v>
      </c>
      <c r="T25" s="670">
        <v>77.900000000000006</v>
      </c>
      <c r="U25" s="668">
        <v>80.8</v>
      </c>
      <c r="V25" s="669">
        <v>82</v>
      </c>
      <c r="W25" s="669">
        <v>27</v>
      </c>
      <c r="X25" s="669">
        <v>82.1</v>
      </c>
      <c r="Y25" s="670">
        <v>81.7</v>
      </c>
      <c r="Z25" s="607">
        <f>SUM(Z18,Z19,Z20,Z21,Z22,Z23,Z24)</f>
        <v>10426</v>
      </c>
      <c r="AA25" s="301"/>
    </row>
    <row r="26" spans="1:40" s="2" customFormat="1" ht="36.75" customHeight="1" x14ac:dyDescent="0.25">
      <c r="A26" s="192" t="s">
        <v>11</v>
      </c>
      <c r="B26" s="293"/>
      <c r="C26" s="603">
        <v>162.80000000000001</v>
      </c>
      <c r="D26" s="603">
        <v>162.80000000000001</v>
      </c>
      <c r="E26" s="603">
        <v>162.80000000000001</v>
      </c>
      <c r="F26" s="603">
        <v>162.80000000000001</v>
      </c>
      <c r="G26" s="603">
        <v>162.80000000000001</v>
      </c>
      <c r="H26" s="478"/>
      <c r="I26" s="604"/>
      <c r="J26" s="603">
        <v>162.80000000000001</v>
      </c>
      <c r="K26" s="603">
        <v>162.80000000000001</v>
      </c>
      <c r="L26" s="603">
        <v>161.1</v>
      </c>
      <c r="M26" s="603">
        <v>161.1</v>
      </c>
      <c r="N26" s="603">
        <v>161.1</v>
      </c>
      <c r="O26" s="610"/>
      <c r="P26" s="603">
        <v>161.1</v>
      </c>
      <c r="Q26" s="603">
        <v>161.1</v>
      </c>
      <c r="R26" s="603">
        <v>161.1</v>
      </c>
      <c r="S26" s="603">
        <v>161.1</v>
      </c>
      <c r="T26" s="603">
        <v>161.1</v>
      </c>
      <c r="U26" s="603">
        <v>161.1</v>
      </c>
      <c r="V26" s="603">
        <v>161.1</v>
      </c>
      <c r="W26" s="603">
        <v>161.1</v>
      </c>
      <c r="X26" s="603">
        <v>161.1</v>
      </c>
      <c r="Y26" s="603">
        <v>161.1</v>
      </c>
      <c r="Z26" s="605">
        <f>(((Z25*1000)/7)/Z27)</f>
        <v>161.6835183921593</v>
      </c>
    </row>
    <row r="27" spans="1:40" s="2" customFormat="1" ht="33" customHeight="1" x14ac:dyDescent="0.25">
      <c r="A27" s="193" t="s">
        <v>12</v>
      </c>
      <c r="B27" s="257"/>
      <c r="C27" s="27">
        <v>566</v>
      </c>
      <c r="D27" s="27">
        <v>574</v>
      </c>
      <c r="E27" s="27">
        <v>141</v>
      </c>
      <c r="F27" s="27">
        <v>582</v>
      </c>
      <c r="G27" s="27">
        <v>583</v>
      </c>
      <c r="H27" s="441"/>
      <c r="I27" s="26"/>
      <c r="J27" s="27">
        <v>576</v>
      </c>
      <c r="K27" s="27">
        <v>582</v>
      </c>
      <c r="L27" s="483">
        <v>148</v>
      </c>
      <c r="M27" s="27">
        <v>584</v>
      </c>
      <c r="N27" s="27">
        <v>580</v>
      </c>
      <c r="O27" s="611"/>
      <c r="P27" s="26">
        <v>485</v>
      </c>
      <c r="Q27" s="27">
        <v>483</v>
      </c>
      <c r="R27" s="27">
        <v>160</v>
      </c>
      <c r="S27" s="27">
        <v>487</v>
      </c>
      <c r="T27" s="623">
        <v>484</v>
      </c>
      <c r="U27" s="26">
        <v>502</v>
      </c>
      <c r="V27" s="27">
        <v>510</v>
      </c>
      <c r="W27" s="27">
        <v>168</v>
      </c>
      <c r="X27" s="27">
        <v>510</v>
      </c>
      <c r="Y27" s="28">
        <v>507</v>
      </c>
      <c r="Z27" s="29">
        <f>SUM(C27:Y27)</f>
        <v>9212</v>
      </c>
      <c r="AA27" s="402"/>
    </row>
    <row r="28" spans="1:40" s="2" customFormat="1" ht="33" customHeight="1" x14ac:dyDescent="0.25">
      <c r="A28" s="444" t="s">
        <v>13</v>
      </c>
      <c r="B28" s="445"/>
      <c r="C28" s="31">
        <f>(C33*C27)/1000</f>
        <v>18.564800000000005</v>
      </c>
      <c r="D28" s="31">
        <f>(D33*D27)/1000</f>
        <v>18.827200000000008</v>
      </c>
      <c r="E28" s="31">
        <f t="shared" ref="E28:F28" si="5">(E33*E27)/1000</f>
        <v>4.6248000000000022</v>
      </c>
      <c r="F28" s="31">
        <f t="shared" si="5"/>
        <v>19.089600000000004</v>
      </c>
      <c r="G28" s="31">
        <f>(G33*G27)/1000</f>
        <v>19.122400000000006</v>
      </c>
      <c r="H28" s="442"/>
      <c r="I28" s="30"/>
      <c r="J28" s="31">
        <f>(J33*J27)/1000</f>
        <v>18.892800000000008</v>
      </c>
      <c r="K28" s="31">
        <f t="shared" ref="K28:N28" si="6">(K33*K27)/1000</f>
        <v>19.089600000000004</v>
      </c>
      <c r="L28" s="31">
        <f t="shared" si="6"/>
        <v>4.6027999999999993</v>
      </c>
      <c r="M28" s="31">
        <f t="shared" si="6"/>
        <v>18.162399999999998</v>
      </c>
      <c r="N28" s="31">
        <f t="shared" si="6"/>
        <v>18.037999999999997</v>
      </c>
      <c r="O28" s="612"/>
      <c r="P28" s="30">
        <f>((((P26*7)*P27)/1000)-P18-P19)/5</f>
        <v>78.226900000000001</v>
      </c>
      <c r="Q28" s="31">
        <f t="shared" ref="Q28:Y28" si="7">((((Q26*7)*Q27)/1000)-Q18-Q19)/5</f>
        <v>77.815819999999988</v>
      </c>
      <c r="R28" s="31">
        <f>((((R26*7)*R27)/1000)-R18-R19)/5</f>
        <v>25.746400000000001</v>
      </c>
      <c r="S28" s="31">
        <f t="shared" si="7"/>
        <v>78.477980000000031</v>
      </c>
      <c r="T28" s="32">
        <f t="shared" si="7"/>
        <v>78.00136000000002</v>
      </c>
      <c r="U28" s="30">
        <f t="shared" si="7"/>
        <v>80.901080000000007</v>
      </c>
      <c r="V28" s="31">
        <f t="shared" si="7"/>
        <v>82.225399999999993</v>
      </c>
      <c r="W28" s="31">
        <f t="shared" si="7"/>
        <v>27.050720000000002</v>
      </c>
      <c r="X28" s="31">
        <f t="shared" si="7"/>
        <v>82.185399999999987</v>
      </c>
      <c r="Y28" s="32">
        <f t="shared" si="7"/>
        <v>81.668780000000012</v>
      </c>
      <c r="Z28" s="33"/>
    </row>
    <row r="29" spans="1:40" ht="33.75" customHeight="1" x14ac:dyDescent="0.25">
      <c r="A29" s="185" t="s">
        <v>14</v>
      </c>
      <c r="B29" s="34"/>
      <c r="C29" s="280">
        <f>((C27*C30)*7)/1000</f>
        <v>130.19999999999996</v>
      </c>
      <c r="D29" s="280">
        <f t="shared" ref="D29:G29" si="8">((D27*D30)*7)/1000</f>
        <v>131.59999999999997</v>
      </c>
      <c r="E29" s="280">
        <f>((E27*E30)*7)/1000</f>
        <v>32.300000000000004</v>
      </c>
      <c r="F29" s="280">
        <f t="shared" si="8"/>
        <v>133.70000000000002</v>
      </c>
      <c r="G29" s="280">
        <f t="shared" si="8"/>
        <v>133.69999999999996</v>
      </c>
      <c r="H29" s="443"/>
      <c r="I29" s="279"/>
      <c r="J29" s="280">
        <f>((J27*J30)*7)/1000</f>
        <v>132.30000000000001</v>
      </c>
      <c r="K29" s="280">
        <f t="shared" ref="K29:N29" si="9">((K27*K30)*7)/1000</f>
        <v>133.70000000000002</v>
      </c>
      <c r="L29" s="280">
        <f t="shared" si="9"/>
        <v>32.20000000000001</v>
      </c>
      <c r="M29" s="280">
        <f t="shared" si="9"/>
        <v>127.4</v>
      </c>
      <c r="N29" s="280">
        <f t="shared" si="9"/>
        <v>126</v>
      </c>
      <c r="O29" s="613"/>
      <c r="P29" s="279">
        <f t="shared" ref="P29:Y29" si="10">((P27*P26)*7)/1000</f>
        <v>546.93449999999996</v>
      </c>
      <c r="Q29" s="280">
        <f t="shared" si="10"/>
        <v>544.67909999999995</v>
      </c>
      <c r="R29" s="280">
        <f t="shared" si="10"/>
        <v>180.43199999999999</v>
      </c>
      <c r="S29" s="280">
        <f t="shared" si="10"/>
        <v>549.18990000000008</v>
      </c>
      <c r="T29" s="282">
        <f t="shared" si="10"/>
        <v>545.80679999999995</v>
      </c>
      <c r="U29" s="279">
        <f t="shared" si="10"/>
        <v>566.10540000000003</v>
      </c>
      <c r="V29" s="280">
        <f t="shared" si="10"/>
        <v>575.12699999999995</v>
      </c>
      <c r="W29" s="280">
        <f t="shared" si="10"/>
        <v>189.45359999999999</v>
      </c>
      <c r="X29" s="280">
        <f t="shared" si="10"/>
        <v>575.12699999999995</v>
      </c>
      <c r="Y29" s="282">
        <f t="shared" si="10"/>
        <v>571.74390000000005</v>
      </c>
      <c r="Z29" s="36"/>
    </row>
    <row r="30" spans="1:40" ht="33.75" customHeight="1" thickBot="1" x14ac:dyDescent="0.3">
      <c r="A30" s="195" t="s">
        <v>15</v>
      </c>
      <c r="B30" s="423"/>
      <c r="C30" s="38">
        <f>+(C25/C27)/7*1000</f>
        <v>32.86219081272084</v>
      </c>
      <c r="D30" s="38">
        <f t="shared" ref="D30:Y30" si="11">+(D25/D27)/7*1000</f>
        <v>32.752613240418114</v>
      </c>
      <c r="E30" s="38">
        <f t="shared" si="11"/>
        <v>32.72543059777103</v>
      </c>
      <c r="F30" s="38">
        <f t="shared" si="11"/>
        <v>32.817869415807564</v>
      </c>
      <c r="G30" s="38">
        <f t="shared" si="11"/>
        <v>32.761578044596909</v>
      </c>
      <c r="H30" s="259"/>
      <c r="I30" s="37"/>
      <c r="J30" s="38">
        <f t="shared" si="11"/>
        <v>32.8125</v>
      </c>
      <c r="K30" s="38">
        <f t="shared" si="11"/>
        <v>32.817869415807564</v>
      </c>
      <c r="L30" s="38">
        <f t="shared" si="11"/>
        <v>31.081081081081088</v>
      </c>
      <c r="M30" s="38">
        <f t="shared" si="11"/>
        <v>31.164383561643834</v>
      </c>
      <c r="N30" s="38">
        <f t="shared" si="11"/>
        <v>31.03448275862069</v>
      </c>
      <c r="O30" s="614"/>
      <c r="P30" s="37">
        <f t="shared" si="11"/>
        <v>22.945508100147279</v>
      </c>
      <c r="Q30" s="38">
        <f t="shared" si="11"/>
        <v>23.010943507837915</v>
      </c>
      <c r="R30" s="38">
        <f t="shared" si="11"/>
        <v>23.303571428571431</v>
      </c>
      <c r="S30" s="38">
        <f t="shared" si="11"/>
        <v>22.997946611909654</v>
      </c>
      <c r="T30" s="39">
        <f t="shared" si="11"/>
        <v>22.992916174734361</v>
      </c>
      <c r="U30" s="37">
        <f t="shared" si="11"/>
        <v>22.993739328400682</v>
      </c>
      <c r="V30" s="38">
        <f t="shared" si="11"/>
        <v>22.969187675070028</v>
      </c>
      <c r="W30" s="38">
        <f t="shared" si="11"/>
        <v>22.95918367346939</v>
      </c>
      <c r="X30" s="38">
        <f t="shared" si="11"/>
        <v>22.997198879551821</v>
      </c>
      <c r="Y30" s="39">
        <f t="shared" si="11"/>
        <v>23.020569174415332</v>
      </c>
      <c r="Z30" s="40"/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2">D29-D25</f>
        <v>0</v>
      </c>
      <c r="E31" s="42">
        <f t="shared" si="12"/>
        <v>0</v>
      </c>
      <c r="F31" s="42">
        <f t="shared" si="12"/>
        <v>0</v>
      </c>
      <c r="G31" s="42">
        <f t="shared" si="12"/>
        <v>0</v>
      </c>
      <c r="H31" s="42"/>
      <c r="I31" s="42"/>
      <c r="J31" s="42">
        <f t="shared" si="12"/>
        <v>0</v>
      </c>
      <c r="K31" s="42">
        <f>K29-K25</f>
        <v>0</v>
      </c>
      <c r="L31" s="42">
        <f t="shared" si="12"/>
        <v>0</v>
      </c>
      <c r="M31" s="42">
        <f t="shared" si="12"/>
        <v>0</v>
      </c>
      <c r="N31" s="42">
        <f t="shared" si="12"/>
        <v>0</v>
      </c>
      <c r="O31" s="42"/>
      <c r="P31" s="42">
        <f t="shared" si="12"/>
        <v>469.03449999999998</v>
      </c>
      <c r="Q31" s="42">
        <f t="shared" si="12"/>
        <v>466.87909999999994</v>
      </c>
      <c r="R31" s="42">
        <f t="shared" si="12"/>
        <v>154.33199999999999</v>
      </c>
      <c r="S31" s="42">
        <f t="shared" si="12"/>
        <v>470.7899000000001</v>
      </c>
      <c r="T31" s="42">
        <f t="shared" si="12"/>
        <v>467.90679999999998</v>
      </c>
      <c r="U31" s="42">
        <f t="shared" si="12"/>
        <v>485.30540000000002</v>
      </c>
      <c r="V31" s="42">
        <f t="shared" si="12"/>
        <v>493.12699999999995</v>
      </c>
      <c r="W31" s="42">
        <f t="shared" si="12"/>
        <v>162.45359999999999</v>
      </c>
      <c r="X31" s="42">
        <f t="shared" si="12"/>
        <v>493.02699999999993</v>
      </c>
      <c r="Y31" s="42">
        <f t="shared" si="12"/>
        <v>490.04390000000006</v>
      </c>
      <c r="Z31" s="48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6.2190812720828603E-2</v>
      </c>
      <c r="D32" s="42">
        <f t="shared" ref="D32:G32" si="13">D30-D33</f>
        <v>-4.7386759581897309E-2</v>
      </c>
      <c r="E32" s="42">
        <f t="shared" si="13"/>
        <v>-7.4569402228981119E-2</v>
      </c>
      <c r="F32" s="42">
        <f t="shared" si="13"/>
        <v>1.7869415807552969E-2</v>
      </c>
      <c r="G32" s="42">
        <f t="shared" si="13"/>
        <v>-3.8421955403102004E-2</v>
      </c>
      <c r="H32" s="42"/>
      <c r="I32" s="42"/>
      <c r="J32" s="42">
        <f t="shared" ref="J32:N32" si="14">J30-J33</f>
        <v>1.2499999999988631E-2</v>
      </c>
      <c r="K32" s="42">
        <f t="shared" si="14"/>
        <v>1.7869415807552969E-2</v>
      </c>
      <c r="L32" s="42">
        <f t="shared" si="14"/>
        <v>-1.8918918918906513E-2</v>
      </c>
      <c r="M32" s="42">
        <f t="shared" si="14"/>
        <v>6.4383561643840181E-2</v>
      </c>
      <c r="N32" s="42">
        <f t="shared" si="14"/>
        <v>-6.5517241379303925E-2</v>
      </c>
      <c r="O32" s="42"/>
      <c r="P32" s="42">
        <f t="shared" si="12"/>
        <v>-138.1544918998527</v>
      </c>
      <c r="Q32" s="42">
        <f t="shared" si="12"/>
        <v>-138.08905649216209</v>
      </c>
      <c r="R32" s="42">
        <f t="shared" si="12"/>
        <v>-137.79642857142858</v>
      </c>
      <c r="S32" s="42">
        <f t="shared" si="12"/>
        <v>-138.10205338809033</v>
      </c>
      <c r="T32" s="42">
        <f t="shared" si="12"/>
        <v>-138.10708382526565</v>
      </c>
      <c r="U32" s="42">
        <f t="shared" si="12"/>
        <v>-138.1062606715993</v>
      </c>
      <c r="V32" s="42">
        <f t="shared" si="12"/>
        <v>-138.13081232492996</v>
      </c>
      <c r="W32" s="42">
        <f t="shared" si="12"/>
        <v>-138.1408163265306</v>
      </c>
      <c r="X32" s="42">
        <f t="shared" si="12"/>
        <v>-138.10280112044816</v>
      </c>
      <c r="Y32" s="42">
        <f t="shared" si="12"/>
        <v>-138.07943082558467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32.800000000000011</v>
      </c>
      <c r="D33" s="42">
        <f t="shared" ref="D33:G33" si="15">D26-$B$34</f>
        <v>32.800000000000011</v>
      </c>
      <c r="E33" s="42">
        <f t="shared" si="15"/>
        <v>32.800000000000011</v>
      </c>
      <c r="F33" s="42">
        <f t="shared" si="15"/>
        <v>32.800000000000011</v>
      </c>
      <c r="G33" s="42">
        <f t="shared" si="15"/>
        <v>32.800000000000011</v>
      </c>
      <c r="H33" s="42"/>
      <c r="I33" s="42"/>
      <c r="J33" s="42">
        <f>J26-$I$34</f>
        <v>32.800000000000011</v>
      </c>
      <c r="K33" s="42">
        <f t="shared" ref="K33:N33" si="16">K26-$I$34</f>
        <v>32.800000000000011</v>
      </c>
      <c r="L33" s="42">
        <f t="shared" si="16"/>
        <v>31.099999999999994</v>
      </c>
      <c r="M33" s="42">
        <f t="shared" si="16"/>
        <v>31.099999999999994</v>
      </c>
      <c r="N33" s="42">
        <f t="shared" si="16"/>
        <v>31.099999999999994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317.98</v>
      </c>
      <c r="D34" s="432">
        <f>SUM(C27:G27)</f>
        <v>2446</v>
      </c>
      <c r="E34" s="42"/>
      <c r="F34" s="42"/>
      <c r="G34" s="42"/>
      <c r="H34" s="42"/>
      <c r="I34" s="514">
        <v>130</v>
      </c>
      <c r="J34" s="431">
        <f>(I34*K34)/1000</f>
        <v>321.10000000000002</v>
      </c>
      <c r="K34" s="432">
        <f>SUM(J27:N27)</f>
        <v>2470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9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652" t="s">
        <v>18</v>
      </c>
      <c r="M39" s="653" t="s">
        <v>17</v>
      </c>
      <c r="N39" s="654"/>
      <c r="O39" s="654"/>
      <c r="P39" s="654"/>
      <c r="Q39" s="654"/>
      <c r="R39" s="655" t="s">
        <v>9</v>
      </c>
      <c r="S39" s="645"/>
      <c r="U39" s="45"/>
      <c r="V39" s="45"/>
      <c r="W39" s="46"/>
      <c r="X39" s="3"/>
      <c r="Y39" s="45"/>
      <c r="Z39" s="45"/>
      <c r="AA39" s="45"/>
      <c r="AB39" s="3"/>
    </row>
    <row r="40" spans="1:38" ht="33.75" customHeight="1" thickBot="1" x14ac:dyDescent="0.3">
      <c r="A40" s="170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1">
        <v>1</v>
      </c>
      <c r="N40" s="16">
        <v>2</v>
      </c>
      <c r="O40" s="16">
        <v>3</v>
      </c>
      <c r="P40" s="16">
        <v>4</v>
      </c>
      <c r="Q40" s="16">
        <v>5</v>
      </c>
      <c r="R40" s="76"/>
      <c r="S40" s="645"/>
      <c r="U40" s="47"/>
      <c r="X40" s="48"/>
      <c r="Y40" s="2"/>
      <c r="Z40" s="2"/>
      <c r="AA40" s="2"/>
      <c r="AB40" s="2"/>
    </row>
    <row r="41" spans="1:38" ht="33.75" customHeight="1" x14ac:dyDescent="0.25">
      <c r="A41" s="171" t="s">
        <v>32</v>
      </c>
      <c r="B41" s="142">
        <v>94</v>
      </c>
      <c r="C41" s="486">
        <v>93.1</v>
      </c>
      <c r="D41" s="486">
        <v>21</v>
      </c>
      <c r="E41" s="486">
        <v>93.8</v>
      </c>
      <c r="F41" s="537">
        <v>92.5</v>
      </c>
      <c r="G41" s="509">
        <f t="shared" ref="G41:G48" si="17">SUM(B41:F41)</f>
        <v>394.4</v>
      </c>
      <c r="H41" s="609"/>
      <c r="I41" s="364"/>
      <c r="J41" s="364"/>
      <c r="K41" s="364"/>
      <c r="L41" s="171" t="s">
        <v>53</v>
      </c>
      <c r="M41" s="18">
        <v>7.2</v>
      </c>
      <c r="N41" s="19">
        <v>7.1</v>
      </c>
      <c r="O41" s="19">
        <v>1.6</v>
      </c>
      <c r="P41" s="19">
        <v>7.2</v>
      </c>
      <c r="Q41" s="19">
        <v>7</v>
      </c>
      <c r="R41" s="656">
        <f>SUM(M41:Q41)</f>
        <v>30.1</v>
      </c>
      <c r="S41" s="646"/>
      <c r="T41" s="657"/>
      <c r="U41" s="657"/>
      <c r="X41" s="48"/>
      <c r="Y41" s="2"/>
      <c r="Z41" s="2"/>
      <c r="AA41" s="2"/>
      <c r="AB41" s="2"/>
    </row>
    <row r="42" spans="1:38" ht="33.75" customHeight="1" x14ac:dyDescent="0.25">
      <c r="A42" s="171" t="s">
        <v>24</v>
      </c>
      <c r="B42" s="142">
        <v>94</v>
      </c>
      <c r="C42" s="486">
        <v>93.1</v>
      </c>
      <c r="D42" s="486">
        <v>21</v>
      </c>
      <c r="E42" s="486">
        <v>93.8</v>
      </c>
      <c r="F42" s="537">
        <v>92.4</v>
      </c>
      <c r="G42" s="509">
        <f t="shared" si="17"/>
        <v>394.29999999999995</v>
      </c>
      <c r="H42" s="609"/>
      <c r="I42" s="364"/>
      <c r="J42" s="364"/>
      <c r="K42" s="364"/>
      <c r="L42" s="171" t="s">
        <v>24</v>
      </c>
      <c r="M42" s="18">
        <v>7.2</v>
      </c>
      <c r="N42" s="19">
        <v>7.1</v>
      </c>
      <c r="O42" s="19">
        <v>1.6</v>
      </c>
      <c r="P42" s="19">
        <v>7.2</v>
      </c>
      <c r="Q42" s="19">
        <v>7</v>
      </c>
      <c r="R42" s="656">
        <f t="shared" ref="R42:R47" si="18">SUM(M42:Q42)</f>
        <v>30.1</v>
      </c>
      <c r="S42" s="646"/>
      <c r="T42" s="647"/>
      <c r="U42" s="658"/>
      <c r="X42" s="48"/>
      <c r="Y42" s="2"/>
      <c r="Z42" s="2"/>
      <c r="AA42" s="2"/>
      <c r="AB42" s="2"/>
    </row>
    <row r="43" spans="1:38" ht="33.75" customHeight="1" x14ac:dyDescent="0.25">
      <c r="A43" s="171" t="s">
        <v>20</v>
      </c>
      <c r="B43" s="142">
        <v>94</v>
      </c>
      <c r="C43" s="486">
        <v>93.1</v>
      </c>
      <c r="D43" s="486">
        <v>21</v>
      </c>
      <c r="E43" s="486">
        <v>93.8</v>
      </c>
      <c r="F43" s="537">
        <v>92.4</v>
      </c>
      <c r="G43" s="509">
        <f t="shared" si="17"/>
        <v>394.29999999999995</v>
      </c>
      <c r="H43" s="609"/>
      <c r="I43" s="364"/>
      <c r="J43" s="364"/>
      <c r="K43" s="364"/>
      <c r="L43" s="171" t="s">
        <v>20</v>
      </c>
      <c r="M43" s="18">
        <v>7.2</v>
      </c>
      <c r="N43" s="19">
        <v>7.1</v>
      </c>
      <c r="O43" s="19">
        <v>1.6</v>
      </c>
      <c r="P43" s="19">
        <v>7.2</v>
      </c>
      <c r="Q43" s="19">
        <v>7</v>
      </c>
      <c r="R43" s="656">
        <f t="shared" si="18"/>
        <v>30.1</v>
      </c>
      <c r="S43" s="646"/>
      <c r="T43" s="647"/>
      <c r="U43" s="658"/>
      <c r="X43" s="48"/>
      <c r="Y43" s="2"/>
      <c r="Z43" s="2"/>
      <c r="AA43" s="2"/>
      <c r="AB43" s="2"/>
    </row>
    <row r="44" spans="1:38" ht="33.75" customHeight="1" x14ac:dyDescent="0.25">
      <c r="A44" s="171" t="s">
        <v>28</v>
      </c>
      <c r="B44" s="142">
        <v>94</v>
      </c>
      <c r="C44" s="486">
        <v>93.1</v>
      </c>
      <c r="D44" s="486">
        <v>21</v>
      </c>
      <c r="E44" s="486">
        <v>93.8</v>
      </c>
      <c r="F44" s="537">
        <v>92.4</v>
      </c>
      <c r="G44" s="509">
        <f t="shared" si="17"/>
        <v>394.29999999999995</v>
      </c>
      <c r="H44" s="609"/>
      <c r="I44" s="364"/>
      <c r="J44" s="364"/>
      <c r="K44" s="364"/>
      <c r="L44" s="171" t="s">
        <v>28</v>
      </c>
      <c r="M44" s="18">
        <v>7.2</v>
      </c>
      <c r="N44" s="19">
        <v>7.1</v>
      </c>
      <c r="O44" s="19">
        <v>1.6</v>
      </c>
      <c r="P44" s="19">
        <v>7.2</v>
      </c>
      <c r="Q44" s="19">
        <v>7</v>
      </c>
      <c r="R44" s="656">
        <f t="shared" si="18"/>
        <v>30.1</v>
      </c>
      <c r="S44" s="646"/>
      <c r="T44" s="647"/>
      <c r="U44" s="658"/>
      <c r="X44" s="48"/>
      <c r="Y44" s="2"/>
      <c r="Z44" s="2"/>
      <c r="AA44" s="2"/>
      <c r="AB44" s="2"/>
    </row>
    <row r="45" spans="1:38" ht="33.75" customHeight="1" x14ac:dyDescent="0.25">
      <c r="A45" s="171" t="s">
        <v>21</v>
      </c>
      <c r="B45" s="142">
        <v>94</v>
      </c>
      <c r="C45" s="486">
        <v>93.1</v>
      </c>
      <c r="D45" s="486">
        <v>21</v>
      </c>
      <c r="E45" s="486">
        <v>93.8</v>
      </c>
      <c r="F45" s="537">
        <v>92.4</v>
      </c>
      <c r="G45" s="509">
        <f t="shared" si="17"/>
        <v>394.29999999999995</v>
      </c>
      <c r="H45" s="609"/>
      <c r="I45" s="364"/>
      <c r="J45" s="364"/>
      <c r="K45" s="364"/>
      <c r="L45" s="171" t="s">
        <v>21</v>
      </c>
      <c r="M45" s="18">
        <v>7.2</v>
      </c>
      <c r="N45" s="19">
        <v>7.1</v>
      </c>
      <c r="O45" s="19">
        <v>1.6</v>
      </c>
      <c r="P45" s="19">
        <v>7.2</v>
      </c>
      <c r="Q45" s="19">
        <v>7</v>
      </c>
      <c r="R45" s="656">
        <f t="shared" si="18"/>
        <v>30.1</v>
      </c>
      <c r="S45" s="646"/>
      <c r="T45" s="647"/>
      <c r="U45" s="658"/>
      <c r="X45" s="48"/>
      <c r="Y45" s="2"/>
      <c r="Z45" s="2"/>
      <c r="AA45" s="2"/>
      <c r="AB45" s="2"/>
    </row>
    <row r="46" spans="1:38" ht="33.75" customHeight="1" x14ac:dyDescent="0.25">
      <c r="A46" s="171" t="s">
        <v>22</v>
      </c>
      <c r="B46" s="142">
        <v>94</v>
      </c>
      <c r="C46" s="486">
        <v>93.1</v>
      </c>
      <c r="D46" s="486">
        <v>21</v>
      </c>
      <c r="E46" s="486">
        <v>93.8</v>
      </c>
      <c r="F46" s="537">
        <v>92.4</v>
      </c>
      <c r="G46" s="509">
        <f t="shared" si="17"/>
        <v>394.29999999999995</v>
      </c>
      <c r="H46" s="609"/>
      <c r="I46" s="364"/>
      <c r="J46" s="364"/>
      <c r="K46" s="364"/>
      <c r="L46" s="171" t="s">
        <v>22</v>
      </c>
      <c r="M46" s="18">
        <v>7.2</v>
      </c>
      <c r="N46" s="19">
        <v>7.1</v>
      </c>
      <c r="O46" s="19">
        <v>1.6</v>
      </c>
      <c r="P46" s="19">
        <v>7.2</v>
      </c>
      <c r="Q46" s="19">
        <v>7</v>
      </c>
      <c r="R46" s="656">
        <f t="shared" si="18"/>
        <v>30.1</v>
      </c>
      <c r="S46" s="646"/>
      <c r="T46" s="647"/>
      <c r="U46" s="658"/>
      <c r="X46" s="48"/>
      <c r="Y46" s="2"/>
      <c r="Z46" s="2"/>
      <c r="AA46" s="2"/>
      <c r="AB46" s="2"/>
    </row>
    <row r="47" spans="1:38" ht="33.75" customHeight="1" thickBot="1" x14ac:dyDescent="0.3">
      <c r="A47" s="285" t="s">
        <v>23</v>
      </c>
      <c r="B47" s="142">
        <v>94</v>
      </c>
      <c r="C47" s="486">
        <v>93.1</v>
      </c>
      <c r="D47" s="486">
        <v>21</v>
      </c>
      <c r="E47" s="486">
        <v>93.8</v>
      </c>
      <c r="F47" s="537">
        <v>92.4</v>
      </c>
      <c r="G47" s="526">
        <f t="shared" si="17"/>
        <v>394.29999999999995</v>
      </c>
      <c r="H47" s="609"/>
      <c r="I47" s="364"/>
      <c r="J47" s="364"/>
      <c r="K47" s="364"/>
      <c r="L47" s="285" t="s">
        <v>23</v>
      </c>
      <c r="M47" s="18">
        <v>7.2</v>
      </c>
      <c r="N47" s="19">
        <v>7.1</v>
      </c>
      <c r="O47" s="19">
        <v>1.6</v>
      </c>
      <c r="P47" s="19">
        <v>7.2</v>
      </c>
      <c r="Q47" s="19">
        <v>7</v>
      </c>
      <c r="R47" s="656">
        <f t="shared" si="18"/>
        <v>30.1</v>
      </c>
      <c r="S47" s="646"/>
      <c r="T47" s="647"/>
      <c r="U47" s="658"/>
      <c r="X47" s="48"/>
      <c r="Y47" s="48"/>
      <c r="Z47" s="48"/>
      <c r="AA47" s="2"/>
      <c r="AB47" s="2"/>
      <c r="AC47" s="2"/>
      <c r="AD47" s="2"/>
    </row>
    <row r="48" spans="1:38" ht="33.75" customHeight="1" x14ac:dyDescent="0.25">
      <c r="A48" s="290" t="s">
        <v>9</v>
      </c>
      <c r="B48" s="131">
        <f>SUM(B41:B47)</f>
        <v>658</v>
      </c>
      <c r="C48" s="128">
        <f t="shared" ref="C48:F48" si="19">SUM(C41:C47)</f>
        <v>651.70000000000005</v>
      </c>
      <c r="D48" s="128">
        <f t="shared" si="19"/>
        <v>147</v>
      </c>
      <c r="E48" s="128">
        <f t="shared" si="19"/>
        <v>656.59999999999991</v>
      </c>
      <c r="F48" s="129">
        <f t="shared" si="19"/>
        <v>646.9</v>
      </c>
      <c r="G48" s="644">
        <f t="shared" si="17"/>
        <v>2760.2000000000003</v>
      </c>
      <c r="H48" s="609"/>
      <c r="I48" s="364"/>
      <c r="J48" s="364"/>
      <c r="K48" s="364"/>
      <c r="L48" s="290" t="s">
        <v>9</v>
      </c>
      <c r="M48" s="18">
        <f>SUM(M41:M47)</f>
        <v>50.400000000000006</v>
      </c>
      <c r="N48" s="19">
        <f>SUM(N41:N47)</f>
        <v>49.7</v>
      </c>
      <c r="O48" s="19">
        <f>SUM(O41:O47)</f>
        <v>11.2</v>
      </c>
      <c r="P48" s="19">
        <f t="shared" ref="P48:Q48" si="20">SUM(P41:P47)</f>
        <v>50.400000000000006</v>
      </c>
      <c r="Q48" s="19">
        <f t="shared" si="20"/>
        <v>49</v>
      </c>
      <c r="R48" s="77">
        <f>SUM(M48:Q48)</f>
        <v>210.70000000000002</v>
      </c>
      <c r="S48" s="647"/>
      <c r="T48" s="647"/>
      <c r="U48" s="658"/>
      <c r="X48" s="2"/>
      <c r="Y48" s="2"/>
      <c r="Z48" s="2"/>
      <c r="AA48" s="2"/>
      <c r="AB48" s="2"/>
      <c r="AC48" s="2"/>
      <c r="AD48" s="2"/>
    </row>
    <row r="49" spans="1:50" ht="33.75" customHeight="1" x14ac:dyDescent="0.25">
      <c r="A49" s="192" t="s">
        <v>11</v>
      </c>
      <c r="B49" s="23">
        <v>157.4</v>
      </c>
      <c r="C49" s="23">
        <v>157.4</v>
      </c>
      <c r="D49" s="23">
        <v>157.4</v>
      </c>
      <c r="E49" s="23">
        <v>157.4</v>
      </c>
      <c r="F49" s="23">
        <v>157.4</v>
      </c>
      <c r="G49" s="137">
        <f>+((G48/G50)/7)*1000</f>
        <v>157.15993850708878</v>
      </c>
      <c r="H49" s="609"/>
      <c r="I49" s="364"/>
      <c r="J49" s="364"/>
      <c r="K49" s="364"/>
      <c r="L49" s="273" t="s">
        <v>11</v>
      </c>
      <c r="M49" s="23">
        <v>157</v>
      </c>
      <c r="N49" s="24">
        <v>155.5</v>
      </c>
      <c r="O49" s="24">
        <v>154</v>
      </c>
      <c r="P49" s="24">
        <v>155</v>
      </c>
      <c r="Q49" s="24">
        <v>153.5</v>
      </c>
      <c r="R49" s="78">
        <f>+((R48/R50)/7)*1000</f>
        <v>153.57142857142861</v>
      </c>
      <c r="S49" s="648"/>
      <c r="T49" s="647"/>
      <c r="U49" s="658"/>
      <c r="V49" s="50"/>
    </row>
    <row r="50" spans="1:50" ht="33.75" customHeight="1" x14ac:dyDescent="0.25">
      <c r="A50" s="193" t="s">
        <v>12</v>
      </c>
      <c r="B50" s="26">
        <v>599</v>
      </c>
      <c r="C50" s="27">
        <v>592</v>
      </c>
      <c r="D50" s="27">
        <v>134</v>
      </c>
      <c r="E50" s="27">
        <v>597</v>
      </c>
      <c r="F50" s="28">
        <v>587</v>
      </c>
      <c r="G50" s="395">
        <f>SUM(B50:F50)</f>
        <v>2509</v>
      </c>
      <c r="H50" s="609"/>
      <c r="I50" s="364"/>
      <c r="J50" s="364"/>
      <c r="K50" s="364"/>
      <c r="L50" s="193" t="s">
        <v>12</v>
      </c>
      <c r="M50" s="257">
        <v>46</v>
      </c>
      <c r="N50" s="275">
        <v>46</v>
      </c>
      <c r="O50" s="275">
        <v>11</v>
      </c>
      <c r="P50" s="275">
        <v>47</v>
      </c>
      <c r="Q50" s="275">
        <v>46</v>
      </c>
      <c r="R50" s="82">
        <f>SUM(L50:Q50)</f>
        <v>196</v>
      </c>
      <c r="S50" s="649"/>
      <c r="T50" s="301"/>
      <c r="U50" s="52"/>
      <c r="V50" s="52"/>
    </row>
    <row r="51" spans="1:50" ht="33.75" customHeight="1" x14ac:dyDescent="0.25">
      <c r="A51" s="194" t="s">
        <v>13</v>
      </c>
      <c r="B51" s="30">
        <f>((((B49*7)*B50)/1000)-B41-B42)/5</f>
        <v>94.395639999999986</v>
      </c>
      <c r="C51" s="31">
        <f t="shared" ref="C51:F51" si="21">((((C49*7)*C50)/1000)-C41-C42)/5</f>
        <v>93.213119999999975</v>
      </c>
      <c r="D51" s="31">
        <f>((((D49*7)*D50)/1000)-D41-D42)/5</f>
        <v>21.128239999999995</v>
      </c>
      <c r="E51" s="31">
        <f t="shared" si="21"/>
        <v>94.03492</v>
      </c>
      <c r="F51" s="32">
        <f t="shared" si="21"/>
        <v>92.371319999999997</v>
      </c>
      <c r="G51" s="139">
        <f>((G48*1000)/G50)/7</f>
        <v>157.15993850708878</v>
      </c>
      <c r="H51" s="609"/>
      <c r="I51" s="364"/>
      <c r="J51" s="364"/>
      <c r="K51" s="364"/>
      <c r="L51" s="194" t="s">
        <v>13</v>
      </c>
      <c r="M51" s="30">
        <f>((((M49*7)*M50)/1000)-M41-M42)/5</f>
        <v>7.2307999999999995</v>
      </c>
      <c r="N51" s="31">
        <f t="shared" ref="N51:Q51" si="22">((((N49*7)*N50)/1000)-N41-N42)/5</f>
        <v>7.174199999999999</v>
      </c>
      <c r="O51" s="31">
        <f t="shared" si="22"/>
        <v>1.7316000000000003</v>
      </c>
      <c r="P51" s="31">
        <f t="shared" si="22"/>
        <v>7.3189999999999982</v>
      </c>
      <c r="Q51" s="31">
        <f t="shared" si="22"/>
        <v>7.0853999999999999</v>
      </c>
      <c r="R51" s="83">
        <f>((R48*1000)/R50)/7</f>
        <v>153.57142857142861</v>
      </c>
      <c r="S51" s="650"/>
      <c r="T51" s="301"/>
      <c r="U51" s="52"/>
      <c r="V51" s="52"/>
    </row>
    <row r="52" spans="1:50" ht="33.75" customHeight="1" x14ac:dyDescent="0.25">
      <c r="A52" s="185" t="s">
        <v>14</v>
      </c>
      <c r="B52" s="279">
        <f>((B50*B49)*7)/1000</f>
        <v>659.97820000000002</v>
      </c>
      <c r="C52" s="280">
        <f>((C50*C49)*7)/1000</f>
        <v>652.26559999999995</v>
      </c>
      <c r="D52" s="280">
        <f>((D50*D49)*7)/1000</f>
        <v>147.6412</v>
      </c>
      <c r="E52" s="280">
        <f>((E50*E49)*7)/1000</f>
        <v>657.77459999999996</v>
      </c>
      <c r="F52" s="282">
        <f>((F50*F49)*7)/1000</f>
        <v>646.75659999999993</v>
      </c>
      <c r="G52" s="112"/>
      <c r="H52" s="609"/>
      <c r="I52" s="364"/>
      <c r="J52" s="364"/>
      <c r="K52" s="364"/>
      <c r="L52" s="185" t="s">
        <v>14</v>
      </c>
      <c r="M52" s="279">
        <f>((M50*M49)*7)/1000</f>
        <v>50.554000000000002</v>
      </c>
      <c r="N52" s="280">
        <f>((N50*N49)*7)/1000</f>
        <v>50.070999999999998</v>
      </c>
      <c r="O52" s="280">
        <f>((O50*O49)*7)/1000</f>
        <v>11.858000000000001</v>
      </c>
      <c r="P52" s="280">
        <f t="shared" ref="P52:Q52" si="23">((P50*P49)*7)/1000</f>
        <v>50.994999999999997</v>
      </c>
      <c r="Q52" s="280">
        <f t="shared" si="23"/>
        <v>49.427</v>
      </c>
      <c r="R52" s="84"/>
      <c r="S52" s="522"/>
    </row>
    <row r="53" spans="1:50" ht="33.75" customHeight="1" thickBot="1" x14ac:dyDescent="0.3">
      <c r="A53" s="195" t="s">
        <v>15</v>
      </c>
      <c r="B53" s="37">
        <f t="shared" ref="B53:E53" si="24">+(B48/B50)/7*1000</f>
        <v>156.92821368948248</v>
      </c>
      <c r="C53" s="38">
        <f t="shared" si="24"/>
        <v>157.26351351351352</v>
      </c>
      <c r="D53" s="38">
        <f t="shared" si="24"/>
        <v>156.71641791044775</v>
      </c>
      <c r="E53" s="38">
        <f t="shared" si="24"/>
        <v>157.11892797319928</v>
      </c>
      <c r="F53" s="39">
        <f>+(F48/F50)/7*1000</f>
        <v>157.43489900219032</v>
      </c>
      <c r="G53" s="140"/>
      <c r="H53" s="609"/>
      <c r="I53" s="364"/>
      <c r="J53" s="364"/>
      <c r="K53" s="364"/>
      <c r="L53" s="195" t="s">
        <v>15</v>
      </c>
      <c r="M53" s="37">
        <f>+(M48/M50)/7*1000</f>
        <v>156.52173913043478</v>
      </c>
      <c r="N53" s="38">
        <f>+(N48/N50)/7*1000</f>
        <v>154.34782608695656</v>
      </c>
      <c r="O53" s="38">
        <f>+(O48/O50)/7*1000</f>
        <v>145.45454545454544</v>
      </c>
      <c r="P53" s="38">
        <f t="shared" ref="P53:Q53" si="25">+(P48/P50)/7*1000</f>
        <v>153.19148936170217</v>
      </c>
      <c r="Q53" s="38">
        <f t="shared" si="25"/>
        <v>152.17391304347828</v>
      </c>
      <c r="R53" s="39"/>
      <c r="S53" s="651"/>
      <c r="U53" s="42"/>
      <c r="V53" s="42"/>
    </row>
    <row r="54" spans="1:50" ht="33.75" customHeight="1" x14ac:dyDescent="0.25">
      <c r="A54" s="41"/>
      <c r="B54" s="43">
        <f>B52-B48</f>
        <v>1.9782000000000153</v>
      </c>
      <c r="C54" s="43">
        <f t="shared" ref="C54:F55" si="26">C52-C48</f>
        <v>0.56559999999990396</v>
      </c>
      <c r="D54" s="43">
        <f t="shared" si="26"/>
        <v>0.64119999999999777</v>
      </c>
      <c r="E54" s="43">
        <f>E52-E48</f>
        <v>1.1746000000000549</v>
      </c>
      <c r="F54" s="43">
        <f t="shared" si="26"/>
        <v>-0.14340000000004238</v>
      </c>
      <c r="G54" s="41"/>
      <c r="H54" s="41"/>
      <c r="I54" s="41"/>
      <c r="J54" s="41"/>
      <c r="K54" s="41"/>
      <c r="L54" s="42"/>
      <c r="M54" s="42">
        <f>M52-M48</f>
        <v>0.15399999999999636</v>
      </c>
      <c r="N54" s="42">
        <f t="shared" ref="N54:R55" si="27">N52-N48</f>
        <v>0.37099999999999511</v>
      </c>
      <c r="O54" s="42">
        <f t="shared" si="27"/>
        <v>0.65800000000000125</v>
      </c>
      <c r="P54" s="42">
        <f t="shared" si="27"/>
        <v>0.59499999999999176</v>
      </c>
      <c r="Q54" s="42">
        <f t="shared" si="27"/>
        <v>0.4269999999999996</v>
      </c>
      <c r="R54" s="42">
        <f t="shared" si="27"/>
        <v>-210.70000000000002</v>
      </c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-0.47178631051752973</v>
      </c>
      <c r="C55" s="42">
        <f>C53-C49</f>
        <v>-0.13648648648648987</v>
      </c>
      <c r="D55" s="42">
        <f t="shared" si="26"/>
        <v>-0.68358208955226019</v>
      </c>
      <c r="E55" s="42">
        <f>E53-E49</f>
        <v>-0.28107202680072874</v>
      </c>
      <c r="F55" s="42">
        <f>F53-F49</f>
        <v>3.4899002190314832E-2</v>
      </c>
      <c r="G55" s="41"/>
      <c r="H55" s="41"/>
      <c r="I55" s="41"/>
      <c r="J55" s="41"/>
      <c r="K55" s="42"/>
      <c r="L55" s="42"/>
      <c r="M55" s="42">
        <f>M53-M49</f>
        <v>-0.47826086956521863</v>
      </c>
      <c r="N55" s="42">
        <f t="shared" si="27"/>
        <v>-1.1521739130434412</v>
      </c>
      <c r="O55" s="42">
        <f>O53-O49</f>
        <v>-8.545454545454561</v>
      </c>
      <c r="P55" s="42">
        <f t="shared" si="27"/>
        <v>-1.8085106382978324</v>
      </c>
      <c r="Q55" s="42">
        <f t="shared" si="27"/>
        <v>-1.3260869565217206</v>
      </c>
      <c r="R55" s="42">
        <f t="shared" si="27"/>
        <v>-153.57142857142861</v>
      </c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54"/>
      <c r="N57" s="54"/>
      <c r="O57" s="637"/>
      <c r="P57" s="637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640" t="s">
        <v>30</v>
      </c>
      <c r="H58" s="974"/>
      <c r="I58" s="974"/>
      <c r="J58" s="974"/>
      <c r="K58" s="991"/>
      <c r="L58" s="973" t="s">
        <v>29</v>
      </c>
      <c r="M58" s="974"/>
      <c r="N58" s="974"/>
      <c r="O58" s="974"/>
      <c r="P58" s="974"/>
      <c r="Q58" s="973" t="s">
        <v>31</v>
      </c>
      <c r="R58" s="974"/>
      <c r="S58" s="974"/>
      <c r="T58" s="974"/>
      <c r="U58" s="991"/>
      <c r="V58" s="586" t="s">
        <v>9</v>
      </c>
      <c r="W58" s="661"/>
      <c r="X58" s="662"/>
      <c r="Y58" s="522"/>
      <c r="Z58" s="522"/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188">
        <v>1</v>
      </c>
      <c r="H59" s="168">
        <v>2</v>
      </c>
      <c r="I59" s="168">
        <v>3</v>
      </c>
      <c r="J59" s="168">
        <v>4</v>
      </c>
      <c r="K59" s="168">
        <v>5</v>
      </c>
      <c r="L59" s="188">
        <v>1</v>
      </c>
      <c r="M59" s="168">
        <v>2</v>
      </c>
      <c r="N59" s="168">
        <v>3</v>
      </c>
      <c r="O59" s="168">
        <v>4</v>
      </c>
      <c r="P59" s="413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126"/>
      <c r="W59" s="663"/>
      <c r="X59" s="645"/>
      <c r="Y59" s="657"/>
      <c r="Z59" s="657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25">
      <c r="A60" s="171" t="s">
        <v>53</v>
      </c>
      <c r="B60" s="447">
        <v>7.8</v>
      </c>
      <c r="C60" s="124">
        <v>7.9</v>
      </c>
      <c r="D60" s="124">
        <v>2.1</v>
      </c>
      <c r="E60" s="124">
        <v>8</v>
      </c>
      <c r="F60" s="123">
        <v>8</v>
      </c>
      <c r="G60" s="447">
        <v>7.7</v>
      </c>
      <c r="H60" s="124">
        <v>8</v>
      </c>
      <c r="I60" s="124">
        <v>2.1</v>
      </c>
      <c r="J60" s="124">
        <v>8</v>
      </c>
      <c r="K60" s="124">
        <v>7.9</v>
      </c>
      <c r="L60" s="130">
        <v>6</v>
      </c>
      <c r="M60" s="124">
        <v>6.6</v>
      </c>
      <c r="N60" s="124">
        <v>2</v>
      </c>
      <c r="O60" s="124">
        <v>6.6</v>
      </c>
      <c r="P60" s="124">
        <v>6.7</v>
      </c>
      <c r="Q60" s="123">
        <v>6.9</v>
      </c>
      <c r="R60" s="124">
        <v>7.1</v>
      </c>
      <c r="S60" s="124">
        <v>2.5</v>
      </c>
      <c r="T60" s="124">
        <v>7</v>
      </c>
      <c r="U60" s="132">
        <v>6.5</v>
      </c>
      <c r="V60" s="412">
        <f>SUM(B60:U60)</f>
        <v>125.39999999999999</v>
      </c>
      <c r="W60" s="651"/>
      <c r="X60" s="646"/>
      <c r="Y60" s="657"/>
      <c r="Z60" s="657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25">
      <c r="A61" s="171" t="s">
        <v>24</v>
      </c>
      <c r="B61" s="447">
        <v>7.8</v>
      </c>
      <c r="C61" s="124">
        <v>7.9</v>
      </c>
      <c r="D61" s="124">
        <v>2.1</v>
      </c>
      <c r="E61" s="124">
        <v>8</v>
      </c>
      <c r="F61" s="123">
        <v>8</v>
      </c>
      <c r="G61" s="447">
        <v>7.7</v>
      </c>
      <c r="H61" s="124">
        <v>8</v>
      </c>
      <c r="I61" s="124">
        <v>2.1</v>
      </c>
      <c r="J61" s="124">
        <v>8</v>
      </c>
      <c r="K61" s="124">
        <v>7.9</v>
      </c>
      <c r="L61" s="130">
        <v>6</v>
      </c>
      <c r="M61" s="124">
        <v>6.6</v>
      </c>
      <c r="N61" s="124">
        <v>2</v>
      </c>
      <c r="O61" s="124">
        <v>6.6</v>
      </c>
      <c r="P61" s="124">
        <v>6.7</v>
      </c>
      <c r="Q61" s="123">
        <v>6.9</v>
      </c>
      <c r="R61" s="124">
        <v>7.1</v>
      </c>
      <c r="S61" s="124">
        <v>2.5</v>
      </c>
      <c r="T61" s="124">
        <v>7</v>
      </c>
      <c r="U61" s="132">
        <v>6.5</v>
      </c>
      <c r="V61" s="412">
        <f t="shared" ref="V61:V66" si="28">SUM(B61:U61)</f>
        <v>125.39999999999999</v>
      </c>
      <c r="W61" s="651"/>
      <c r="X61" s="646"/>
      <c r="Y61" s="651"/>
      <c r="Z61" s="651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25">
      <c r="A62" s="171" t="s">
        <v>20</v>
      </c>
      <c r="B62" s="447">
        <v>7.8</v>
      </c>
      <c r="C62" s="124">
        <v>7.9</v>
      </c>
      <c r="D62" s="124">
        <v>2.1</v>
      </c>
      <c r="E62" s="124">
        <v>8</v>
      </c>
      <c r="F62" s="123">
        <v>8</v>
      </c>
      <c r="G62" s="447">
        <v>7.7</v>
      </c>
      <c r="H62" s="124">
        <v>8</v>
      </c>
      <c r="I62" s="124">
        <v>2.1</v>
      </c>
      <c r="J62" s="124">
        <v>8</v>
      </c>
      <c r="K62" s="124">
        <v>7.9</v>
      </c>
      <c r="L62" s="130">
        <v>6</v>
      </c>
      <c r="M62" s="124">
        <v>6.6</v>
      </c>
      <c r="N62" s="124">
        <v>2</v>
      </c>
      <c r="O62" s="124">
        <v>6.6</v>
      </c>
      <c r="P62" s="124">
        <v>6.7</v>
      </c>
      <c r="Q62" s="123">
        <v>6.9</v>
      </c>
      <c r="R62" s="124">
        <v>7.1</v>
      </c>
      <c r="S62" s="124">
        <v>2.5</v>
      </c>
      <c r="T62" s="124">
        <v>7</v>
      </c>
      <c r="U62" s="132">
        <v>6.5</v>
      </c>
      <c r="V62" s="412">
        <f t="shared" si="28"/>
        <v>125.39999999999999</v>
      </c>
      <c r="W62" s="651"/>
      <c r="X62" s="646"/>
      <c r="Y62" s="651"/>
      <c r="Z62" s="651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25">
      <c r="A63" s="171" t="s">
        <v>28</v>
      </c>
      <c r="B63" s="447">
        <v>7.8</v>
      </c>
      <c r="C63" s="124">
        <v>7.9</v>
      </c>
      <c r="D63" s="124">
        <v>2.1</v>
      </c>
      <c r="E63" s="124">
        <v>8</v>
      </c>
      <c r="F63" s="123">
        <v>8</v>
      </c>
      <c r="G63" s="447">
        <v>7.7</v>
      </c>
      <c r="H63" s="124">
        <v>8</v>
      </c>
      <c r="I63" s="124">
        <v>2.1</v>
      </c>
      <c r="J63" s="124">
        <v>8</v>
      </c>
      <c r="K63" s="124">
        <v>7.9</v>
      </c>
      <c r="L63" s="130">
        <v>6</v>
      </c>
      <c r="M63" s="124">
        <v>6.6</v>
      </c>
      <c r="N63" s="124">
        <v>2</v>
      </c>
      <c r="O63" s="124">
        <v>6.6</v>
      </c>
      <c r="P63" s="124">
        <v>6.7</v>
      </c>
      <c r="Q63" s="123">
        <v>6.9</v>
      </c>
      <c r="R63" s="124">
        <v>7.1</v>
      </c>
      <c r="S63" s="124">
        <v>2.5</v>
      </c>
      <c r="T63" s="124">
        <v>7</v>
      </c>
      <c r="U63" s="132">
        <v>6.5</v>
      </c>
      <c r="V63" s="412">
        <f t="shared" si="28"/>
        <v>125.39999999999999</v>
      </c>
      <c r="W63" s="651"/>
      <c r="X63" s="646"/>
      <c r="Y63" s="651"/>
      <c r="Z63" s="651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25">
      <c r="A64" s="171" t="s">
        <v>21</v>
      </c>
      <c r="B64" s="447">
        <v>7.8</v>
      </c>
      <c r="C64" s="124">
        <v>7.9</v>
      </c>
      <c r="D64" s="124">
        <v>2.1</v>
      </c>
      <c r="E64" s="124">
        <v>8</v>
      </c>
      <c r="F64" s="123">
        <v>8</v>
      </c>
      <c r="G64" s="447">
        <v>7.7</v>
      </c>
      <c r="H64" s="124">
        <v>8</v>
      </c>
      <c r="I64" s="124">
        <v>2.1</v>
      </c>
      <c r="J64" s="124">
        <v>8</v>
      </c>
      <c r="K64" s="124">
        <v>7.9</v>
      </c>
      <c r="L64" s="130">
        <v>6</v>
      </c>
      <c r="M64" s="124">
        <v>6.6</v>
      </c>
      <c r="N64" s="124">
        <v>2</v>
      </c>
      <c r="O64" s="124">
        <v>6.6</v>
      </c>
      <c r="P64" s="124">
        <v>6.7</v>
      </c>
      <c r="Q64" s="123">
        <v>6.9</v>
      </c>
      <c r="R64" s="124">
        <v>7.1</v>
      </c>
      <c r="S64" s="124">
        <v>2.5</v>
      </c>
      <c r="T64" s="124">
        <v>7</v>
      </c>
      <c r="U64" s="132">
        <v>6.5</v>
      </c>
      <c r="V64" s="412">
        <f t="shared" si="28"/>
        <v>125.39999999999999</v>
      </c>
      <c r="W64" s="651"/>
      <c r="X64" s="646"/>
      <c r="Y64" s="651"/>
      <c r="Z64" s="651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25">
      <c r="A65" s="171" t="s">
        <v>22</v>
      </c>
      <c r="B65" s="447">
        <v>7.8</v>
      </c>
      <c r="C65" s="124">
        <v>7.9</v>
      </c>
      <c r="D65" s="124">
        <v>2.1</v>
      </c>
      <c r="E65" s="124">
        <v>8</v>
      </c>
      <c r="F65" s="123">
        <v>8</v>
      </c>
      <c r="G65" s="447">
        <v>7.7</v>
      </c>
      <c r="H65" s="124">
        <v>8</v>
      </c>
      <c r="I65" s="124">
        <v>2.1</v>
      </c>
      <c r="J65" s="124">
        <v>8</v>
      </c>
      <c r="K65" s="124">
        <v>7.9</v>
      </c>
      <c r="L65" s="130">
        <v>6</v>
      </c>
      <c r="M65" s="124">
        <v>6.6</v>
      </c>
      <c r="N65" s="124">
        <v>2</v>
      </c>
      <c r="O65" s="124">
        <v>6.6</v>
      </c>
      <c r="P65" s="124">
        <v>6.7</v>
      </c>
      <c r="Q65" s="123">
        <v>6.9</v>
      </c>
      <c r="R65" s="124">
        <v>7.1</v>
      </c>
      <c r="S65" s="124">
        <v>2.5</v>
      </c>
      <c r="T65" s="124">
        <v>7</v>
      </c>
      <c r="U65" s="132">
        <v>6.5</v>
      </c>
      <c r="V65" s="412">
        <f t="shared" si="28"/>
        <v>125.39999999999999</v>
      </c>
      <c r="W65" s="651"/>
      <c r="X65" s="646"/>
      <c r="Y65" s="651"/>
      <c r="Z65" s="651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3">
      <c r="A66" s="171" t="s">
        <v>23</v>
      </c>
      <c r="B66" s="447">
        <v>7.8</v>
      </c>
      <c r="C66" s="124">
        <v>7.9</v>
      </c>
      <c r="D66" s="124">
        <v>2.1</v>
      </c>
      <c r="E66" s="124">
        <v>8</v>
      </c>
      <c r="F66" s="123">
        <v>8</v>
      </c>
      <c r="G66" s="447">
        <v>7.7</v>
      </c>
      <c r="H66" s="124">
        <v>8</v>
      </c>
      <c r="I66" s="124">
        <v>2.1</v>
      </c>
      <c r="J66" s="124">
        <v>8</v>
      </c>
      <c r="K66" s="124">
        <v>7.9</v>
      </c>
      <c r="L66" s="130">
        <v>6</v>
      </c>
      <c r="M66" s="124">
        <v>6.6</v>
      </c>
      <c r="N66" s="124">
        <v>2</v>
      </c>
      <c r="O66" s="124">
        <v>6.6</v>
      </c>
      <c r="P66" s="124">
        <v>6.7</v>
      </c>
      <c r="Q66" s="123">
        <v>6.9</v>
      </c>
      <c r="R66" s="124">
        <v>7.1</v>
      </c>
      <c r="S66" s="124">
        <v>2.5</v>
      </c>
      <c r="T66" s="124">
        <v>7</v>
      </c>
      <c r="U66" s="132">
        <v>6.5</v>
      </c>
      <c r="V66" s="412">
        <f t="shared" si="28"/>
        <v>125.39999999999999</v>
      </c>
      <c r="W66" s="651"/>
      <c r="X66" s="646"/>
      <c r="Y66" s="651"/>
      <c r="Z66" s="651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618">
        <f t="shared" ref="B67:U67" si="29">SUM(B60:B66)</f>
        <v>54.599999999999994</v>
      </c>
      <c r="C67" s="616">
        <f t="shared" si="29"/>
        <v>55.3</v>
      </c>
      <c r="D67" s="616">
        <f t="shared" si="29"/>
        <v>14.7</v>
      </c>
      <c r="E67" s="616">
        <f t="shared" si="29"/>
        <v>56</v>
      </c>
      <c r="F67" s="619">
        <f t="shared" si="29"/>
        <v>56</v>
      </c>
      <c r="G67" s="618">
        <f t="shared" si="29"/>
        <v>53.900000000000006</v>
      </c>
      <c r="H67" s="616">
        <f t="shared" si="29"/>
        <v>56</v>
      </c>
      <c r="I67" s="616">
        <f t="shared" si="29"/>
        <v>14.7</v>
      </c>
      <c r="J67" s="616">
        <f t="shared" si="29"/>
        <v>56</v>
      </c>
      <c r="K67" s="616">
        <f t="shared" si="29"/>
        <v>55.3</v>
      </c>
      <c r="L67" s="618">
        <f t="shared" si="29"/>
        <v>42</v>
      </c>
      <c r="M67" s="616">
        <f t="shared" si="29"/>
        <v>46.2</v>
      </c>
      <c r="N67" s="616">
        <f t="shared" si="29"/>
        <v>14</v>
      </c>
      <c r="O67" s="616">
        <f t="shared" si="29"/>
        <v>46.2</v>
      </c>
      <c r="P67" s="616">
        <f t="shared" si="29"/>
        <v>46.900000000000006</v>
      </c>
      <c r="Q67" s="615">
        <f t="shared" si="29"/>
        <v>48.3</v>
      </c>
      <c r="R67" s="616">
        <f t="shared" si="29"/>
        <v>49.7</v>
      </c>
      <c r="S67" s="616">
        <f t="shared" si="29"/>
        <v>17.5</v>
      </c>
      <c r="T67" s="616">
        <f t="shared" si="29"/>
        <v>49</v>
      </c>
      <c r="U67" s="617">
        <f t="shared" si="29"/>
        <v>45.5</v>
      </c>
      <c r="V67" s="449">
        <f>SUM(B67:U67)</f>
        <v>877.80000000000007</v>
      </c>
      <c r="W67" s="664"/>
      <c r="X67" s="646"/>
      <c r="Y67" s="651"/>
      <c r="Z67" s="651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159</v>
      </c>
      <c r="C68" s="358">
        <v>160</v>
      </c>
      <c r="D68" s="358">
        <v>158</v>
      </c>
      <c r="E68" s="358">
        <v>158.5</v>
      </c>
      <c r="F68" s="624">
        <v>159.5</v>
      </c>
      <c r="G68" s="357">
        <v>157.5</v>
      </c>
      <c r="H68" s="358">
        <v>159.5</v>
      </c>
      <c r="I68" s="358">
        <v>159.5</v>
      </c>
      <c r="J68" s="358">
        <v>160</v>
      </c>
      <c r="K68" s="358">
        <v>158</v>
      </c>
      <c r="L68" s="357">
        <v>156</v>
      </c>
      <c r="M68" s="358">
        <v>159.5</v>
      </c>
      <c r="N68" s="358">
        <v>155.5</v>
      </c>
      <c r="O68" s="358">
        <v>159.5</v>
      </c>
      <c r="P68" s="358">
        <v>159.5</v>
      </c>
      <c r="Q68" s="357">
        <v>160</v>
      </c>
      <c r="R68" s="358">
        <v>160</v>
      </c>
      <c r="S68" s="358">
        <v>160.5</v>
      </c>
      <c r="T68" s="358">
        <v>160.5</v>
      </c>
      <c r="U68" s="624">
        <v>160</v>
      </c>
      <c r="V68" s="296">
        <f>+((V67/V69)/7)*1000</f>
        <v>159.74522292993632</v>
      </c>
      <c r="W68" s="145"/>
      <c r="X68" s="648"/>
      <c r="Y68" s="665"/>
      <c r="Z68" s="522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49</v>
      </c>
      <c r="C69" s="275">
        <v>49</v>
      </c>
      <c r="D69" s="275">
        <v>13</v>
      </c>
      <c r="E69" s="275">
        <v>50</v>
      </c>
      <c r="F69" s="276">
        <v>50</v>
      </c>
      <c r="G69" s="257">
        <v>49</v>
      </c>
      <c r="H69" s="275">
        <v>50</v>
      </c>
      <c r="I69" s="275">
        <v>13</v>
      </c>
      <c r="J69" s="275">
        <v>50</v>
      </c>
      <c r="K69" s="275">
        <v>50</v>
      </c>
      <c r="L69" s="257">
        <v>39</v>
      </c>
      <c r="M69" s="275">
        <v>41</v>
      </c>
      <c r="N69" s="275">
        <v>13</v>
      </c>
      <c r="O69" s="275">
        <v>41</v>
      </c>
      <c r="P69" s="275">
        <v>42</v>
      </c>
      <c r="Q69" s="257">
        <v>43</v>
      </c>
      <c r="R69" s="275">
        <v>44</v>
      </c>
      <c r="S69" s="275">
        <v>15</v>
      </c>
      <c r="T69" s="275">
        <v>43</v>
      </c>
      <c r="U69" s="276">
        <v>41</v>
      </c>
      <c r="V69" s="254">
        <f>SUM(B69:U69)</f>
        <v>785</v>
      </c>
      <c r="W69" s="145"/>
      <c r="X69" s="649"/>
      <c r="Y69" s="665"/>
      <c r="Z69" s="522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 t="shared" ref="B70:U70" si="30">((((B68*7)*B69)/1000)-B60-B61)/5</f>
        <v>7.7874000000000008</v>
      </c>
      <c r="C70" s="31">
        <f t="shared" si="30"/>
        <v>7.8160000000000007</v>
      </c>
      <c r="D70" s="31">
        <f t="shared" si="30"/>
        <v>2.0356000000000001</v>
      </c>
      <c r="E70" s="31">
        <f t="shared" si="30"/>
        <v>7.8950000000000005</v>
      </c>
      <c r="F70" s="32">
        <f t="shared" si="30"/>
        <v>7.9650000000000007</v>
      </c>
      <c r="G70" s="30">
        <f t="shared" si="30"/>
        <v>7.724499999999999</v>
      </c>
      <c r="H70" s="31">
        <f t="shared" si="30"/>
        <v>7.9650000000000007</v>
      </c>
      <c r="I70" s="31">
        <f t="shared" si="30"/>
        <v>2.0629</v>
      </c>
      <c r="J70" s="31">
        <f t="shared" si="30"/>
        <v>8</v>
      </c>
      <c r="K70" s="31">
        <f t="shared" si="30"/>
        <v>7.9</v>
      </c>
      <c r="L70" s="30">
        <f t="shared" si="30"/>
        <v>6.1176000000000004</v>
      </c>
      <c r="M70" s="31">
        <f t="shared" si="30"/>
        <v>6.515299999999999</v>
      </c>
      <c r="N70" s="31">
        <f t="shared" si="30"/>
        <v>2.0301</v>
      </c>
      <c r="O70" s="31">
        <f t="shared" si="30"/>
        <v>6.515299999999999</v>
      </c>
      <c r="P70" s="31">
        <f t="shared" si="30"/>
        <v>6.698599999999999</v>
      </c>
      <c r="Q70" s="30">
        <f t="shared" si="30"/>
        <v>6.8719999999999999</v>
      </c>
      <c r="R70" s="31">
        <f t="shared" si="30"/>
        <v>7.016</v>
      </c>
      <c r="S70" s="31">
        <f t="shared" si="30"/>
        <v>2.3704999999999998</v>
      </c>
      <c r="T70" s="31">
        <f t="shared" si="30"/>
        <v>6.8620999999999999</v>
      </c>
      <c r="U70" s="32">
        <f t="shared" si="30"/>
        <v>6.5840000000000005</v>
      </c>
      <c r="V70" s="139">
        <f>((V67*1000)/V69)/7</f>
        <v>159.74522292993632</v>
      </c>
      <c r="W70" s="144"/>
      <c r="X70" s="650"/>
      <c r="Y70" s="665"/>
      <c r="Z70" s="522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31">((B69*B68)*7)/1000</f>
        <v>54.536999999999999</v>
      </c>
      <c r="C71" s="280">
        <f t="shared" si="31"/>
        <v>54.88</v>
      </c>
      <c r="D71" s="280">
        <f t="shared" si="31"/>
        <v>14.378</v>
      </c>
      <c r="E71" s="280">
        <f t="shared" si="31"/>
        <v>55.475000000000001</v>
      </c>
      <c r="F71" s="282">
        <f t="shared" si="31"/>
        <v>55.825000000000003</v>
      </c>
      <c r="G71" s="279">
        <f t="shared" si="31"/>
        <v>54.022500000000001</v>
      </c>
      <c r="H71" s="280">
        <f t="shared" si="31"/>
        <v>55.825000000000003</v>
      </c>
      <c r="I71" s="280">
        <f t="shared" si="31"/>
        <v>14.5145</v>
      </c>
      <c r="J71" s="280">
        <f t="shared" si="31"/>
        <v>56</v>
      </c>
      <c r="K71" s="280">
        <f t="shared" si="31"/>
        <v>55.3</v>
      </c>
      <c r="L71" s="279">
        <f t="shared" si="31"/>
        <v>42.588000000000001</v>
      </c>
      <c r="M71" s="280">
        <f t="shared" si="31"/>
        <v>45.776499999999999</v>
      </c>
      <c r="N71" s="280">
        <f t="shared" si="31"/>
        <v>14.150499999999999</v>
      </c>
      <c r="O71" s="280">
        <f t="shared" si="31"/>
        <v>45.776499999999999</v>
      </c>
      <c r="P71" s="280">
        <f t="shared" si="31"/>
        <v>46.893000000000001</v>
      </c>
      <c r="Q71" s="279">
        <f t="shared" si="31"/>
        <v>48.16</v>
      </c>
      <c r="R71" s="280">
        <f t="shared" si="31"/>
        <v>49.28</v>
      </c>
      <c r="S71" s="280">
        <f t="shared" si="31"/>
        <v>16.852499999999999</v>
      </c>
      <c r="T71" s="280">
        <f t="shared" si="31"/>
        <v>48.310499999999998</v>
      </c>
      <c r="U71" s="282">
        <f t="shared" si="31"/>
        <v>45.92</v>
      </c>
      <c r="V71" s="112"/>
      <c r="W71" s="651"/>
      <c r="X71" s="666"/>
      <c r="Y71" s="666"/>
      <c r="Z71" s="666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U72" si="32">+(B67/B69)/7*1000</f>
        <v>159.18367346938771</v>
      </c>
      <c r="C72" s="38">
        <f t="shared" si="32"/>
        <v>161.22448979591834</v>
      </c>
      <c r="D72" s="38">
        <f t="shared" si="32"/>
        <v>161.53846153846155</v>
      </c>
      <c r="E72" s="38">
        <f t="shared" si="32"/>
        <v>160</v>
      </c>
      <c r="F72" s="39">
        <f t="shared" si="32"/>
        <v>160</v>
      </c>
      <c r="G72" s="37">
        <f t="shared" si="32"/>
        <v>157.14285714285717</v>
      </c>
      <c r="H72" s="38">
        <f t="shared" si="32"/>
        <v>160</v>
      </c>
      <c r="I72" s="38">
        <f t="shared" si="32"/>
        <v>161.53846153846155</v>
      </c>
      <c r="J72" s="38">
        <f t="shared" si="32"/>
        <v>160</v>
      </c>
      <c r="K72" s="38">
        <f t="shared" si="32"/>
        <v>157.99999999999997</v>
      </c>
      <c r="L72" s="37">
        <f t="shared" si="32"/>
        <v>153.84615384615384</v>
      </c>
      <c r="M72" s="38">
        <f t="shared" si="32"/>
        <v>160.97560975609755</v>
      </c>
      <c r="N72" s="38">
        <f t="shared" si="32"/>
        <v>153.84615384615384</v>
      </c>
      <c r="O72" s="38">
        <f t="shared" si="32"/>
        <v>160.97560975609755</v>
      </c>
      <c r="P72" s="38">
        <f t="shared" si="32"/>
        <v>159.52380952380955</v>
      </c>
      <c r="Q72" s="37">
        <f t="shared" si="32"/>
        <v>160.46511627906975</v>
      </c>
      <c r="R72" s="38">
        <f t="shared" si="32"/>
        <v>161.36363636363637</v>
      </c>
      <c r="S72" s="38">
        <f t="shared" si="32"/>
        <v>166.66666666666669</v>
      </c>
      <c r="T72" s="38">
        <f t="shared" si="32"/>
        <v>162.79069767441862</v>
      </c>
      <c r="U72" s="39">
        <f t="shared" si="32"/>
        <v>158.53658536585365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43">
        <f>B71-B67</f>
        <v>-6.2999999999995282E-2</v>
      </c>
      <c r="C73" s="43">
        <f t="shared" ref="C73:F73" si="33">C71-C67</f>
        <v>-0.4199999999999946</v>
      </c>
      <c r="D73" s="43">
        <f t="shared" si="33"/>
        <v>-0.32199999999999918</v>
      </c>
      <c r="E73" s="43">
        <f t="shared" si="33"/>
        <v>-0.52499999999999858</v>
      </c>
      <c r="F73" s="43">
        <f t="shared" si="33"/>
        <v>-0.17499999999999716</v>
      </c>
      <c r="G73" s="43">
        <f>G71-G67</f>
        <v>0.12249999999999517</v>
      </c>
      <c r="H73" s="43">
        <f t="shared" ref="H73:U74" si="34">H71-H67</f>
        <v>-0.17499999999999716</v>
      </c>
      <c r="I73" s="43">
        <f t="shared" si="34"/>
        <v>-0.18549999999999933</v>
      </c>
      <c r="J73" s="43">
        <f t="shared" si="34"/>
        <v>0</v>
      </c>
      <c r="K73" s="43">
        <f t="shared" si="34"/>
        <v>0</v>
      </c>
      <c r="L73" s="43">
        <f>L71-L67</f>
        <v>0.58800000000000097</v>
      </c>
      <c r="M73" s="43">
        <f t="shared" ref="M73:P73" si="35">M71-M67</f>
        <v>-0.42350000000000421</v>
      </c>
      <c r="N73" s="43">
        <f t="shared" si="35"/>
        <v>0.15049999999999919</v>
      </c>
      <c r="O73" s="43">
        <f t="shared" si="35"/>
        <v>-0.42350000000000421</v>
      </c>
      <c r="P73" s="43">
        <f t="shared" si="35"/>
        <v>-7.0000000000050022E-3</v>
      </c>
      <c r="Q73" s="43">
        <f>Q71-Q67</f>
        <v>-0.14000000000000057</v>
      </c>
      <c r="R73" s="43">
        <f t="shared" ref="R73:U73" si="36">R71-R67</f>
        <v>-0.42000000000000171</v>
      </c>
      <c r="S73" s="43">
        <f t="shared" si="36"/>
        <v>-0.64750000000000085</v>
      </c>
      <c r="T73" s="43">
        <f t="shared" si="36"/>
        <v>-0.68950000000000244</v>
      </c>
      <c r="U73" s="43">
        <f t="shared" si="36"/>
        <v>0.42000000000000171</v>
      </c>
      <c r="W73" s="144"/>
      <c r="X73" s="522"/>
      <c r="Y73" s="522"/>
      <c r="Z73" s="522"/>
    </row>
    <row r="74" spans="1:50" ht="33.75" customHeight="1" x14ac:dyDescent="0.25">
      <c r="B74" s="42">
        <f t="shared" ref="B74:J74" si="37">B72-B68</f>
        <v>0.18367346938771334</v>
      </c>
      <c r="C74" s="42">
        <f t="shared" si="37"/>
        <v>1.2244897959183447</v>
      </c>
      <c r="D74" s="42">
        <f t="shared" si="37"/>
        <v>3.5384615384615472</v>
      </c>
      <c r="E74" s="42">
        <f t="shared" si="37"/>
        <v>1.5</v>
      </c>
      <c r="F74" s="42">
        <f t="shared" si="37"/>
        <v>0.5</v>
      </c>
      <c r="G74" s="42">
        <f t="shared" si="37"/>
        <v>-0.35714285714283278</v>
      </c>
      <c r="H74" s="42">
        <f t="shared" si="37"/>
        <v>0.5</v>
      </c>
      <c r="I74" s="42">
        <f>I72-I68</f>
        <v>2.0384615384615472</v>
      </c>
      <c r="J74" s="42">
        <f t="shared" si="37"/>
        <v>0</v>
      </c>
      <c r="K74" s="42">
        <f t="shared" si="34"/>
        <v>0</v>
      </c>
      <c r="L74" s="42">
        <f t="shared" si="34"/>
        <v>-2.1538461538461604</v>
      </c>
      <c r="M74" s="42">
        <f t="shared" si="34"/>
        <v>1.4756097560975547</v>
      </c>
      <c r="N74" s="42">
        <f t="shared" si="34"/>
        <v>-1.6538461538461604</v>
      </c>
      <c r="O74" s="42">
        <f t="shared" si="34"/>
        <v>1.4756097560975547</v>
      </c>
      <c r="P74" s="42">
        <f t="shared" si="34"/>
        <v>2.3809523809546818E-2</v>
      </c>
      <c r="Q74" s="42">
        <f t="shared" si="34"/>
        <v>0.46511627906974695</v>
      </c>
      <c r="R74" s="42">
        <f t="shared" si="34"/>
        <v>1.363636363636374</v>
      </c>
      <c r="S74" s="42">
        <f t="shared" si="34"/>
        <v>6.1666666666666856</v>
      </c>
      <c r="T74" s="42">
        <f t="shared" si="34"/>
        <v>2.2906976744186238</v>
      </c>
      <c r="U74" s="42">
        <f t="shared" si="34"/>
        <v>-1.4634146341463463</v>
      </c>
      <c r="V74" s="45"/>
      <c r="W74" s="651"/>
      <c r="X74" s="657"/>
      <c r="Y74" s="657"/>
      <c r="Z74" s="657"/>
      <c r="AA74" s="45"/>
      <c r="AB74" s="45"/>
      <c r="AC74" s="45"/>
      <c r="AD74" s="52"/>
    </row>
    <row r="75" spans="1:50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  <c r="W75" s="636"/>
    </row>
    <row r="76" spans="1:50" ht="33.75" customHeight="1" x14ac:dyDescent="0.25">
      <c r="A76" s="45"/>
      <c r="B76" s="283">
        <f>B66/B69</f>
        <v>0.15918367346938775</v>
      </c>
      <c r="C76" s="283">
        <f t="shared" ref="C76:K76" si="38">C66/C69</f>
        <v>0.16122448979591839</v>
      </c>
      <c r="D76" s="283">
        <f t="shared" si="38"/>
        <v>0.16153846153846155</v>
      </c>
      <c r="E76" s="283">
        <f t="shared" si="38"/>
        <v>0.16</v>
      </c>
      <c r="F76" s="283">
        <f t="shared" si="38"/>
        <v>0.16</v>
      </c>
      <c r="G76" s="283">
        <f t="shared" si="38"/>
        <v>0.15714285714285714</v>
      </c>
      <c r="H76" s="283">
        <f t="shared" si="38"/>
        <v>0.16</v>
      </c>
      <c r="I76" s="283">
        <f t="shared" si="38"/>
        <v>0.16153846153846155</v>
      </c>
      <c r="J76" s="283">
        <f t="shared" si="38"/>
        <v>0.16</v>
      </c>
      <c r="K76" s="283">
        <f t="shared" si="38"/>
        <v>0.158</v>
      </c>
      <c r="L76" s="45"/>
      <c r="M76" s="45"/>
      <c r="N76" s="45"/>
      <c r="O76" s="45"/>
    </row>
    <row r="77" spans="1:50" ht="33.75" customHeight="1" x14ac:dyDescent="0.25">
      <c r="A77" s="45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4">
    <mergeCell ref="Q58:U58"/>
    <mergeCell ref="A3:C3"/>
    <mergeCell ref="E9:G9"/>
    <mergeCell ref="W9:X9"/>
    <mergeCell ref="O11:P11"/>
    <mergeCell ref="B16:H16"/>
    <mergeCell ref="I16:O16"/>
    <mergeCell ref="P16:T16"/>
    <mergeCell ref="U16:Y16"/>
    <mergeCell ref="B39:F39"/>
    <mergeCell ref="G39:G40"/>
    <mergeCell ref="B58:F58"/>
    <mergeCell ref="H58:K58"/>
    <mergeCell ref="L58:P58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41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40</v>
      </c>
      <c r="P11" s="965"/>
      <c r="Q11" s="6"/>
      <c r="R11" s="6"/>
      <c r="S11" s="6"/>
      <c r="T11" s="1"/>
      <c r="U11" s="1"/>
      <c r="V11" s="1" t="s">
        <v>6</v>
      </c>
      <c r="W11" s="95">
        <v>45609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594"/>
      <c r="I17" s="386" t="s">
        <v>100</v>
      </c>
      <c r="J17" s="438">
        <v>1</v>
      </c>
      <c r="K17" s="438">
        <v>2</v>
      </c>
      <c r="L17" s="438">
        <v>3</v>
      </c>
      <c r="M17" s="438">
        <v>4</v>
      </c>
      <c r="N17" s="439">
        <v>5</v>
      </c>
      <c r="O17" s="594"/>
      <c r="P17" s="202">
        <v>1</v>
      </c>
      <c r="Q17" s="174">
        <v>2</v>
      </c>
      <c r="R17" s="174">
        <v>3</v>
      </c>
      <c r="S17" s="174">
        <v>4</v>
      </c>
      <c r="T17" s="203">
        <v>5</v>
      </c>
      <c r="U17" s="186">
        <v>1</v>
      </c>
      <c r="V17" s="174">
        <v>2</v>
      </c>
      <c r="W17" s="174">
        <v>3</v>
      </c>
      <c r="X17" s="174">
        <v>4</v>
      </c>
      <c r="Y17" s="175">
        <v>5</v>
      </c>
      <c r="Z17" s="126"/>
      <c r="AD17" s="2"/>
      <c r="AE17" s="15"/>
    </row>
    <row r="18" spans="1:40" ht="39.950000000000003" customHeight="1" x14ac:dyDescent="0.25">
      <c r="A18" s="171" t="s">
        <v>53</v>
      </c>
      <c r="B18" s="595">
        <v>318.10000000000002</v>
      </c>
      <c r="C18" s="596">
        <v>18.600000000000001</v>
      </c>
      <c r="D18" s="596">
        <v>18.8</v>
      </c>
      <c r="E18" s="596">
        <v>4.7</v>
      </c>
      <c r="F18" s="596">
        <v>19.100000000000001</v>
      </c>
      <c r="G18" s="597">
        <v>19.100000000000001</v>
      </c>
      <c r="H18" s="506">
        <f>SUM(B18:G18)</f>
        <v>398.40000000000009</v>
      </c>
      <c r="I18" s="599">
        <v>321.10000000000002</v>
      </c>
      <c r="J18" s="596">
        <v>18.899999999999999</v>
      </c>
      <c r="K18" s="596">
        <v>19.100000000000001</v>
      </c>
      <c r="L18" s="596">
        <v>4.5999999999999996</v>
      </c>
      <c r="M18" s="596">
        <v>18.2</v>
      </c>
      <c r="N18" s="600">
        <v>18</v>
      </c>
      <c r="O18" s="506">
        <f t="shared" ref="O18:O24" si="0">SUM(I18:N18)</f>
        <v>399.90000000000003</v>
      </c>
      <c r="P18" s="601">
        <v>77.900000000000006</v>
      </c>
      <c r="Q18" s="504">
        <v>77.8</v>
      </c>
      <c r="R18" s="596">
        <v>26.1</v>
      </c>
      <c r="S18" s="596">
        <v>78.400000000000006</v>
      </c>
      <c r="T18" s="600">
        <v>77.900000000000006</v>
      </c>
      <c r="U18" s="602">
        <v>80.8</v>
      </c>
      <c r="V18" s="596">
        <v>82</v>
      </c>
      <c r="W18" s="504">
        <v>27.2</v>
      </c>
      <c r="X18" s="504">
        <v>82.1</v>
      </c>
      <c r="Y18" s="600">
        <v>81.7</v>
      </c>
      <c r="Z18" s="509">
        <f>SUM(H18,O18,P18:Y18)</f>
        <v>1490.2000000000003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595">
        <v>318</v>
      </c>
      <c r="C19" s="596">
        <v>18.600000000000001</v>
      </c>
      <c r="D19" s="596">
        <v>18.8</v>
      </c>
      <c r="E19" s="596">
        <v>4.5999999999999996</v>
      </c>
      <c r="F19" s="596">
        <v>19.100000000000001</v>
      </c>
      <c r="G19" s="597">
        <v>19.100000000000001</v>
      </c>
      <c r="H19" s="635">
        <f>SUM(B19:G19)</f>
        <v>398.2000000000001</v>
      </c>
      <c r="I19" s="599">
        <v>321.10000000000002</v>
      </c>
      <c r="J19" s="596">
        <v>18.899999999999999</v>
      </c>
      <c r="K19" s="596">
        <v>19.100000000000001</v>
      </c>
      <c r="L19" s="596">
        <v>4.5999999999999996</v>
      </c>
      <c r="M19" s="596">
        <v>18.2</v>
      </c>
      <c r="N19" s="600">
        <v>18</v>
      </c>
      <c r="O19" s="635">
        <f t="shared" si="0"/>
        <v>399.90000000000003</v>
      </c>
      <c r="P19" s="601">
        <v>77.900000000000006</v>
      </c>
      <c r="Q19" s="504">
        <v>77.8</v>
      </c>
      <c r="R19" s="596">
        <v>25.6</v>
      </c>
      <c r="S19" s="596">
        <v>78.400000000000006</v>
      </c>
      <c r="T19" s="600">
        <v>77.900000000000006</v>
      </c>
      <c r="U19" s="602">
        <v>80.8</v>
      </c>
      <c r="V19" s="596">
        <v>82</v>
      </c>
      <c r="W19" s="504">
        <v>27</v>
      </c>
      <c r="X19" s="504">
        <v>82.1</v>
      </c>
      <c r="Y19" s="600">
        <v>81.7</v>
      </c>
      <c r="Z19" s="509">
        <f>SUM(H19,O19,P19:Y19)</f>
        <v>1489.3000000000002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595">
        <v>317.7</v>
      </c>
      <c r="C20" s="629">
        <v>18.2</v>
      </c>
      <c r="D20" s="629">
        <v>18.5</v>
      </c>
      <c r="E20" s="629">
        <v>4.5</v>
      </c>
      <c r="F20" s="629">
        <v>18.7</v>
      </c>
      <c r="G20" s="630">
        <v>18.8</v>
      </c>
      <c r="H20" s="506">
        <f t="shared" ref="H20:H22" si="1">SUM(B20:G20)</f>
        <v>396.4</v>
      </c>
      <c r="I20" s="599">
        <v>320.60000000000002</v>
      </c>
      <c r="J20" s="629">
        <v>18.5</v>
      </c>
      <c r="K20" s="629">
        <v>18.7</v>
      </c>
      <c r="L20" s="629">
        <v>4.5</v>
      </c>
      <c r="M20" s="629">
        <v>17.8</v>
      </c>
      <c r="N20" s="632">
        <v>17.7</v>
      </c>
      <c r="O20" s="506">
        <f t="shared" si="0"/>
        <v>397.8</v>
      </c>
      <c r="P20" s="633">
        <v>77.8</v>
      </c>
      <c r="Q20" s="455">
        <v>77.400000000000006</v>
      </c>
      <c r="R20" s="629">
        <v>25.6</v>
      </c>
      <c r="S20" s="629">
        <v>78.099999999999994</v>
      </c>
      <c r="T20" s="632">
        <v>77.599999999999994</v>
      </c>
      <c r="U20" s="634">
        <v>80.5</v>
      </c>
      <c r="V20" s="629">
        <v>81.8</v>
      </c>
      <c r="W20" s="455">
        <v>26.2</v>
      </c>
      <c r="X20" s="455">
        <v>81.8</v>
      </c>
      <c r="Y20" s="632">
        <v>80.8</v>
      </c>
      <c r="Z20" s="509">
        <f t="shared" ref="Z20:Z24" si="2">SUM(H20,O20,P20:Y20)</f>
        <v>1481.7999999999997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595">
        <v>317.7</v>
      </c>
      <c r="C21" s="596">
        <v>18.2</v>
      </c>
      <c r="D21" s="596">
        <v>18.5</v>
      </c>
      <c r="E21" s="596">
        <v>4.5</v>
      </c>
      <c r="F21" s="596">
        <v>18.7</v>
      </c>
      <c r="G21" s="597">
        <v>18.8</v>
      </c>
      <c r="H21" s="506">
        <f t="shared" si="1"/>
        <v>396.4</v>
      </c>
      <c r="I21" s="599">
        <v>320.60000000000002</v>
      </c>
      <c r="J21" s="596">
        <v>18.5</v>
      </c>
      <c r="K21" s="596">
        <v>18.7</v>
      </c>
      <c r="L21" s="596">
        <v>4.5</v>
      </c>
      <c r="M21" s="596">
        <v>17.8</v>
      </c>
      <c r="N21" s="600">
        <v>17.7</v>
      </c>
      <c r="O21" s="506">
        <f t="shared" si="0"/>
        <v>397.8</v>
      </c>
      <c r="P21" s="601">
        <v>77.8</v>
      </c>
      <c r="Q21" s="504">
        <v>77.400000000000006</v>
      </c>
      <c r="R21" s="596">
        <v>25.6</v>
      </c>
      <c r="S21" s="596">
        <v>78.099999999999994</v>
      </c>
      <c r="T21" s="600">
        <v>77.599999999999994</v>
      </c>
      <c r="U21" s="602">
        <v>80.5</v>
      </c>
      <c r="V21" s="596">
        <v>81.8</v>
      </c>
      <c r="W21" s="504">
        <v>26.2</v>
      </c>
      <c r="X21" s="504">
        <v>81.8</v>
      </c>
      <c r="Y21" s="600">
        <v>80.8</v>
      </c>
      <c r="Z21" s="509">
        <f t="shared" si="2"/>
        <v>1481.7999999999997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595">
        <v>317.7</v>
      </c>
      <c r="C22" s="596">
        <v>18.2</v>
      </c>
      <c r="D22" s="596">
        <v>18.5</v>
      </c>
      <c r="E22" s="596">
        <v>4.5</v>
      </c>
      <c r="F22" s="596">
        <v>18.7</v>
      </c>
      <c r="G22" s="597">
        <v>18.8</v>
      </c>
      <c r="H22" s="506">
        <f t="shared" si="1"/>
        <v>396.4</v>
      </c>
      <c r="I22" s="599">
        <v>320.60000000000002</v>
      </c>
      <c r="J22" s="596">
        <v>18.5</v>
      </c>
      <c r="K22" s="596">
        <v>18.7</v>
      </c>
      <c r="L22" s="596">
        <v>4.5</v>
      </c>
      <c r="M22" s="596">
        <v>17.8</v>
      </c>
      <c r="N22" s="600">
        <v>17.7</v>
      </c>
      <c r="O22" s="506">
        <f t="shared" si="0"/>
        <v>397.8</v>
      </c>
      <c r="P22" s="601">
        <v>77.8</v>
      </c>
      <c r="Q22" s="504">
        <v>77.400000000000006</v>
      </c>
      <c r="R22" s="596">
        <v>25.6</v>
      </c>
      <c r="S22" s="596">
        <v>78.099999999999994</v>
      </c>
      <c r="T22" s="600">
        <v>77.599999999999994</v>
      </c>
      <c r="U22" s="602">
        <v>80.5</v>
      </c>
      <c r="V22" s="596">
        <v>81.8</v>
      </c>
      <c r="W22" s="504">
        <v>26.2</v>
      </c>
      <c r="X22" s="504">
        <v>81.8</v>
      </c>
      <c r="Y22" s="600">
        <v>80.8</v>
      </c>
      <c r="Z22" s="509">
        <f t="shared" si="2"/>
        <v>1481.7999999999997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595">
        <v>317.7</v>
      </c>
      <c r="C23" s="596">
        <v>18.2</v>
      </c>
      <c r="D23" s="596">
        <v>18.5</v>
      </c>
      <c r="E23" s="596">
        <v>4.5</v>
      </c>
      <c r="F23" s="596">
        <v>18.7</v>
      </c>
      <c r="G23" s="597">
        <v>18.8</v>
      </c>
      <c r="H23" s="506">
        <f>SUM(B23:G23)</f>
        <v>396.4</v>
      </c>
      <c r="I23" s="599">
        <v>320.60000000000002</v>
      </c>
      <c r="J23" s="596">
        <v>18.5</v>
      </c>
      <c r="K23" s="596">
        <v>18.7</v>
      </c>
      <c r="L23" s="596">
        <v>4.5</v>
      </c>
      <c r="M23" s="596">
        <v>17.8</v>
      </c>
      <c r="N23" s="600">
        <v>17.7</v>
      </c>
      <c r="O23" s="506">
        <f t="shared" si="0"/>
        <v>397.8</v>
      </c>
      <c r="P23" s="601">
        <v>77.8</v>
      </c>
      <c r="Q23" s="504">
        <v>77.400000000000006</v>
      </c>
      <c r="R23" s="596">
        <v>25.6</v>
      </c>
      <c r="S23" s="596">
        <v>78.099999999999994</v>
      </c>
      <c r="T23" s="600">
        <v>77.599999999999994</v>
      </c>
      <c r="U23" s="602">
        <v>80.5</v>
      </c>
      <c r="V23" s="596">
        <v>81.8</v>
      </c>
      <c r="W23" s="504">
        <v>26.2</v>
      </c>
      <c r="X23" s="504">
        <v>81.8</v>
      </c>
      <c r="Y23" s="600">
        <v>80.8</v>
      </c>
      <c r="Z23" s="509">
        <f t="shared" si="2"/>
        <v>1481.7999999999997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595">
        <v>317.7</v>
      </c>
      <c r="C24" s="596">
        <v>18.2</v>
      </c>
      <c r="D24" s="596">
        <v>18.5</v>
      </c>
      <c r="E24" s="596">
        <v>4.5</v>
      </c>
      <c r="F24" s="596">
        <v>18.7</v>
      </c>
      <c r="G24" s="597">
        <v>18.8</v>
      </c>
      <c r="H24" s="598">
        <f>SUM(B24:G24)</f>
        <v>396.4</v>
      </c>
      <c r="I24" s="599">
        <v>320.60000000000002</v>
      </c>
      <c r="J24" s="596">
        <v>18.5</v>
      </c>
      <c r="K24" s="596">
        <v>18.7</v>
      </c>
      <c r="L24" s="596">
        <v>4.5</v>
      </c>
      <c r="M24" s="596">
        <v>17.8</v>
      </c>
      <c r="N24" s="600">
        <v>17.7</v>
      </c>
      <c r="O24" s="598">
        <f t="shared" si="0"/>
        <v>397.8</v>
      </c>
      <c r="P24" s="601">
        <v>77.8</v>
      </c>
      <c r="Q24" s="504">
        <v>77.400000000000006</v>
      </c>
      <c r="R24" s="596">
        <v>25.6</v>
      </c>
      <c r="S24" s="596">
        <v>78.099999999999994</v>
      </c>
      <c r="T24" s="600">
        <v>77.599999999999994</v>
      </c>
      <c r="U24" s="602">
        <v>80.5</v>
      </c>
      <c r="V24" s="596">
        <v>81.8</v>
      </c>
      <c r="W24" s="504">
        <v>26.2</v>
      </c>
      <c r="X24" s="504">
        <v>81.8</v>
      </c>
      <c r="Y24" s="600">
        <v>80.8</v>
      </c>
      <c r="Z24" s="643">
        <f t="shared" si="2"/>
        <v>1481.7999999999997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298">
        <f t="shared" ref="C25:H25" si="3">SUM(C18:C24)</f>
        <v>128.20000000000002</v>
      </c>
      <c r="D25" s="298">
        <f t="shared" si="3"/>
        <v>130.1</v>
      </c>
      <c r="E25" s="298">
        <f t="shared" si="3"/>
        <v>31.8</v>
      </c>
      <c r="F25" s="298">
        <f t="shared" si="3"/>
        <v>131.70000000000002</v>
      </c>
      <c r="G25" s="448">
        <f t="shared" si="3"/>
        <v>132.19999999999999</v>
      </c>
      <c r="H25" s="436">
        <f t="shared" si="3"/>
        <v>2778.6000000000004</v>
      </c>
      <c r="I25" s="297"/>
      <c r="J25" s="298">
        <f t="shared" ref="J25:N25" si="4">SUM(J18:J24)</f>
        <v>130.30000000000001</v>
      </c>
      <c r="K25" s="298">
        <f>SUM(K18:K24)</f>
        <v>131.70000000000002</v>
      </c>
      <c r="L25" s="298">
        <f t="shared" si="4"/>
        <v>31.7</v>
      </c>
      <c r="M25" s="298">
        <f t="shared" si="4"/>
        <v>125.39999999999999</v>
      </c>
      <c r="N25" s="299">
        <f t="shared" si="4"/>
        <v>124.50000000000001</v>
      </c>
      <c r="O25" s="436">
        <f>SUM(O18:O24)</f>
        <v>2788.8</v>
      </c>
      <c r="P25" s="297">
        <f t="shared" ref="P25:Y25" si="5">SUM(P18:P24)</f>
        <v>544.80000000000007</v>
      </c>
      <c r="Q25" s="297">
        <f t="shared" si="5"/>
        <v>542.59999999999991</v>
      </c>
      <c r="R25" s="297">
        <f t="shared" si="5"/>
        <v>179.7</v>
      </c>
      <c r="S25" s="297">
        <f t="shared" si="5"/>
        <v>547.30000000000007</v>
      </c>
      <c r="T25" s="297">
        <f t="shared" si="5"/>
        <v>543.80000000000007</v>
      </c>
      <c r="U25" s="297">
        <f t="shared" si="5"/>
        <v>564.1</v>
      </c>
      <c r="V25" s="297">
        <f t="shared" si="5"/>
        <v>573</v>
      </c>
      <c r="W25" s="297">
        <f t="shared" si="5"/>
        <v>185.2</v>
      </c>
      <c r="X25" s="297">
        <f t="shared" si="5"/>
        <v>573.20000000000005</v>
      </c>
      <c r="Y25" s="297">
        <f t="shared" si="5"/>
        <v>567.4</v>
      </c>
      <c r="Z25" s="607">
        <f>SUM(Z18,Z19,Z20,Z21,Z22,Z23,Z24)</f>
        <v>10388.499999999998</v>
      </c>
      <c r="AA25" s="301"/>
    </row>
    <row r="26" spans="1:40" s="2" customFormat="1" ht="36.75" customHeight="1" x14ac:dyDescent="0.25">
      <c r="A26" s="192" t="s">
        <v>11</v>
      </c>
      <c r="B26" s="293"/>
      <c r="C26" s="603">
        <v>162.19999999999999</v>
      </c>
      <c r="D26" s="603">
        <v>162.19999999999999</v>
      </c>
      <c r="E26" s="603">
        <v>162.19999999999999</v>
      </c>
      <c r="F26" s="603">
        <v>162.19999999999999</v>
      </c>
      <c r="G26" s="603">
        <v>162.19999999999999</v>
      </c>
      <c r="H26" s="478"/>
      <c r="I26" s="604"/>
      <c r="J26" s="603">
        <v>162.19999999999999</v>
      </c>
      <c r="K26" s="603">
        <v>162.19999999999999</v>
      </c>
      <c r="L26" s="603">
        <v>160.5</v>
      </c>
      <c r="M26" s="603">
        <v>160.5</v>
      </c>
      <c r="N26" s="603">
        <v>160.5</v>
      </c>
      <c r="O26" s="610"/>
      <c r="P26" s="603">
        <v>160.5</v>
      </c>
      <c r="Q26" s="603">
        <v>160.5</v>
      </c>
      <c r="R26" s="603">
        <v>160.5</v>
      </c>
      <c r="S26" s="603">
        <v>160.5</v>
      </c>
      <c r="T26" s="603">
        <v>160.5</v>
      </c>
      <c r="U26" s="603">
        <v>160.5</v>
      </c>
      <c r="V26" s="603">
        <v>160.5</v>
      </c>
      <c r="W26" s="603">
        <v>160.5</v>
      </c>
      <c r="X26" s="603">
        <v>160.5</v>
      </c>
      <c r="Y26" s="603">
        <v>160.5</v>
      </c>
      <c r="Z26" s="605">
        <f>(((Z25*1000)/7)/Z27)</f>
        <v>161.29457978170072</v>
      </c>
    </row>
    <row r="27" spans="1:40" s="2" customFormat="1" ht="33" customHeight="1" x14ac:dyDescent="0.25">
      <c r="A27" s="193" t="s">
        <v>12</v>
      </c>
      <c r="B27" s="257"/>
      <c r="C27" s="27">
        <v>565</v>
      </c>
      <c r="D27" s="27">
        <v>574</v>
      </c>
      <c r="E27" s="27">
        <v>140</v>
      </c>
      <c r="F27" s="27">
        <v>582</v>
      </c>
      <c r="G27" s="27">
        <v>583</v>
      </c>
      <c r="H27" s="441"/>
      <c r="I27" s="26"/>
      <c r="J27" s="27">
        <v>575</v>
      </c>
      <c r="K27" s="27">
        <v>580</v>
      </c>
      <c r="L27" s="483">
        <v>147</v>
      </c>
      <c r="M27" s="27">
        <v>584</v>
      </c>
      <c r="N27" s="27">
        <v>580</v>
      </c>
      <c r="O27" s="611"/>
      <c r="P27" s="26">
        <v>485</v>
      </c>
      <c r="Q27" s="27">
        <v>483</v>
      </c>
      <c r="R27" s="27">
        <v>160</v>
      </c>
      <c r="S27" s="27">
        <v>487</v>
      </c>
      <c r="T27" s="623">
        <v>484</v>
      </c>
      <c r="U27" s="26">
        <v>502</v>
      </c>
      <c r="V27" s="27">
        <v>510</v>
      </c>
      <c r="W27" s="27">
        <v>165</v>
      </c>
      <c r="X27" s="27">
        <v>510</v>
      </c>
      <c r="Y27" s="28">
        <v>505</v>
      </c>
      <c r="Z27" s="29">
        <f>SUM(C27:Y27)</f>
        <v>9201</v>
      </c>
      <c r="AA27" s="402"/>
    </row>
    <row r="28" spans="1:40" s="2" customFormat="1" ht="33" customHeight="1" x14ac:dyDescent="0.25">
      <c r="A28" s="444" t="s">
        <v>13</v>
      </c>
      <c r="B28" s="445"/>
      <c r="C28" s="31">
        <f>(C33*C27)/1000</f>
        <v>18.192999999999994</v>
      </c>
      <c r="D28" s="31">
        <f>(D33*D27)/1000</f>
        <v>18.48279999999999</v>
      </c>
      <c r="E28" s="31">
        <f t="shared" ref="E28:F28" si="6">(E33*E27)/1000</f>
        <v>4.5079999999999982</v>
      </c>
      <c r="F28" s="31">
        <f t="shared" si="6"/>
        <v>18.740399999999994</v>
      </c>
      <c r="G28" s="31">
        <f>(G33*G27)/1000</f>
        <v>18.772599999999994</v>
      </c>
      <c r="H28" s="442"/>
      <c r="I28" s="30"/>
      <c r="J28" s="31">
        <f>(J33*J27)/1000</f>
        <v>18.514999999999993</v>
      </c>
      <c r="K28" s="31">
        <f t="shared" ref="K28:N28" si="7">(K33*K27)/1000</f>
        <v>18.675999999999991</v>
      </c>
      <c r="L28" s="31">
        <f t="shared" si="7"/>
        <v>4.4835000000000003</v>
      </c>
      <c r="M28" s="31">
        <f t="shared" si="7"/>
        <v>17.812000000000001</v>
      </c>
      <c r="N28" s="31">
        <f t="shared" si="7"/>
        <v>17.690000000000001</v>
      </c>
      <c r="O28" s="612"/>
      <c r="P28" s="30">
        <f>((((P26*7)*P27)/1000)-P18-P19)/5</f>
        <v>77.819500000000019</v>
      </c>
      <c r="Q28" s="31">
        <f t="shared" ref="Q28:Y28" si="8">((((Q26*7)*Q27)/1000)-Q18-Q19)/5</f>
        <v>77.410099999999986</v>
      </c>
      <c r="R28" s="31">
        <f>((((R26*7)*R27)/1000)-R18-R19)/5</f>
        <v>25.612000000000002</v>
      </c>
      <c r="S28" s="31">
        <f t="shared" si="8"/>
        <v>78.068900000000014</v>
      </c>
      <c r="T28" s="32">
        <f t="shared" si="8"/>
        <v>77.594800000000006</v>
      </c>
      <c r="U28" s="30">
        <f t="shared" si="8"/>
        <v>80.479399999999984</v>
      </c>
      <c r="V28" s="31">
        <f t="shared" si="8"/>
        <v>81.796999999999997</v>
      </c>
      <c r="W28" s="31">
        <f t="shared" si="8"/>
        <v>26.235500000000002</v>
      </c>
      <c r="X28" s="31">
        <f t="shared" si="8"/>
        <v>81.756999999999991</v>
      </c>
      <c r="Y28" s="32">
        <f t="shared" si="8"/>
        <v>80.793499999999995</v>
      </c>
      <c r="Z28" s="33"/>
    </row>
    <row r="29" spans="1:40" ht="33.75" customHeight="1" x14ac:dyDescent="0.25">
      <c r="A29" s="185" t="s">
        <v>14</v>
      </c>
      <c r="B29" s="34"/>
      <c r="C29" s="280">
        <f>((C27*C30)*7)/1000</f>
        <v>128.20000000000002</v>
      </c>
      <c r="D29" s="280">
        <f t="shared" ref="D29:G29" si="9">((D27*D30)*7)/1000</f>
        <v>130.1</v>
      </c>
      <c r="E29" s="280">
        <f>((E27*E30)*7)/1000</f>
        <v>31.799999999999997</v>
      </c>
      <c r="F29" s="280">
        <f t="shared" si="9"/>
        <v>131.70000000000002</v>
      </c>
      <c r="G29" s="280">
        <f t="shared" si="9"/>
        <v>132.19999999999996</v>
      </c>
      <c r="H29" s="443"/>
      <c r="I29" s="279"/>
      <c r="J29" s="280">
        <f>((J27*J30)*7)/1000</f>
        <v>130.30000000000001</v>
      </c>
      <c r="K29" s="280">
        <f t="shared" ref="K29:N29" si="10">((K27*K30)*7)/1000</f>
        <v>131.70000000000002</v>
      </c>
      <c r="L29" s="280">
        <f t="shared" si="10"/>
        <v>31.7</v>
      </c>
      <c r="M29" s="280">
        <f t="shared" si="10"/>
        <v>125.4</v>
      </c>
      <c r="N29" s="280">
        <f t="shared" si="10"/>
        <v>124.5</v>
      </c>
      <c r="O29" s="613"/>
      <c r="P29" s="279">
        <f t="shared" ref="P29:Y29" si="11">((P27*P26)*7)/1000</f>
        <v>544.89750000000004</v>
      </c>
      <c r="Q29" s="280">
        <f t="shared" si="11"/>
        <v>542.65049999999997</v>
      </c>
      <c r="R29" s="280">
        <f t="shared" si="11"/>
        <v>179.76</v>
      </c>
      <c r="S29" s="280">
        <f t="shared" si="11"/>
        <v>547.14449999999999</v>
      </c>
      <c r="T29" s="282">
        <f t="shared" si="11"/>
        <v>543.774</v>
      </c>
      <c r="U29" s="279">
        <f t="shared" si="11"/>
        <v>563.99699999999996</v>
      </c>
      <c r="V29" s="280">
        <f t="shared" si="11"/>
        <v>572.98500000000001</v>
      </c>
      <c r="W29" s="280">
        <f t="shared" si="11"/>
        <v>185.3775</v>
      </c>
      <c r="X29" s="280">
        <f t="shared" si="11"/>
        <v>572.98500000000001</v>
      </c>
      <c r="Y29" s="282">
        <f t="shared" si="11"/>
        <v>567.36749999999995</v>
      </c>
      <c r="Z29" s="36"/>
    </row>
    <row r="30" spans="1:40" ht="33.75" customHeight="1" thickBot="1" x14ac:dyDescent="0.3">
      <c r="A30" s="195" t="s">
        <v>15</v>
      </c>
      <c r="B30" s="423"/>
      <c r="C30" s="38">
        <f>+(C25/C27)/7*1000</f>
        <v>32.414664981036665</v>
      </c>
      <c r="D30" s="38">
        <f t="shared" ref="D30:Y30" si="12">+(D25/D27)/7*1000</f>
        <v>32.379293180686908</v>
      </c>
      <c r="E30" s="38">
        <f t="shared" si="12"/>
        <v>32.448979591836732</v>
      </c>
      <c r="F30" s="38">
        <f t="shared" si="12"/>
        <v>32.326951399116354</v>
      </c>
      <c r="G30" s="38">
        <f t="shared" si="12"/>
        <v>32.394021073266352</v>
      </c>
      <c r="H30" s="259"/>
      <c r="I30" s="37"/>
      <c r="J30" s="38">
        <f t="shared" si="12"/>
        <v>32.372670807453417</v>
      </c>
      <c r="K30" s="38">
        <f t="shared" si="12"/>
        <v>32.438423645320199</v>
      </c>
      <c r="L30" s="38">
        <f t="shared" si="12"/>
        <v>30.806608357628765</v>
      </c>
      <c r="M30" s="38">
        <f t="shared" si="12"/>
        <v>30.675146771037184</v>
      </c>
      <c r="N30" s="38">
        <f t="shared" si="12"/>
        <v>30.665024630541875</v>
      </c>
      <c r="O30" s="614"/>
      <c r="P30" s="37">
        <f t="shared" si="12"/>
        <v>160.47128129602359</v>
      </c>
      <c r="Q30" s="38">
        <f t="shared" si="12"/>
        <v>160.48506359065362</v>
      </c>
      <c r="R30" s="38">
        <f t="shared" si="12"/>
        <v>160.44642857142858</v>
      </c>
      <c r="S30" s="38">
        <f t="shared" si="12"/>
        <v>160.54561454972134</v>
      </c>
      <c r="T30" s="39">
        <f t="shared" si="12"/>
        <v>160.50767414403779</v>
      </c>
      <c r="U30" s="37">
        <f t="shared" si="12"/>
        <v>160.52931132612409</v>
      </c>
      <c r="V30" s="38">
        <f t="shared" si="12"/>
        <v>160.50420168067228</v>
      </c>
      <c r="W30" s="38">
        <f t="shared" si="12"/>
        <v>160.34632034632031</v>
      </c>
      <c r="X30" s="38">
        <f t="shared" si="12"/>
        <v>160.56022408963585</v>
      </c>
      <c r="Y30" s="39">
        <f t="shared" si="12"/>
        <v>160.50919377652048</v>
      </c>
      <c r="Z30" s="40"/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3">D29-D25</f>
        <v>0</v>
      </c>
      <c r="E31" s="42">
        <f t="shared" si="13"/>
        <v>0</v>
      </c>
      <c r="F31" s="42">
        <f t="shared" si="13"/>
        <v>0</v>
      </c>
      <c r="G31" s="42">
        <f t="shared" si="13"/>
        <v>0</v>
      </c>
      <c r="H31" s="42"/>
      <c r="I31" s="42"/>
      <c r="J31" s="42">
        <f t="shared" si="13"/>
        <v>0</v>
      </c>
      <c r="K31" s="42">
        <f>K29-K25</f>
        <v>0</v>
      </c>
      <c r="L31" s="42">
        <f t="shared" si="13"/>
        <v>0</v>
      </c>
      <c r="M31" s="42">
        <f t="shared" si="13"/>
        <v>0</v>
      </c>
      <c r="N31" s="42">
        <f t="shared" si="13"/>
        <v>0</v>
      </c>
      <c r="O31" s="42"/>
      <c r="P31" s="42">
        <f t="shared" si="13"/>
        <v>9.7499999999968168E-2</v>
      </c>
      <c r="Q31" s="42">
        <f t="shared" si="13"/>
        <v>5.0500000000056389E-2</v>
      </c>
      <c r="R31" s="42">
        <f t="shared" si="13"/>
        <v>6.0000000000002274E-2</v>
      </c>
      <c r="S31" s="42">
        <f t="shared" si="13"/>
        <v>-0.15550000000007458</v>
      </c>
      <c r="T31" s="42">
        <f t="shared" si="13"/>
        <v>-2.6000000000067303E-2</v>
      </c>
      <c r="U31" s="42">
        <f t="shared" si="13"/>
        <v>-0.10300000000006548</v>
      </c>
      <c r="V31" s="42">
        <f t="shared" si="13"/>
        <v>-1.4999999999986358E-2</v>
      </c>
      <c r="W31" s="42">
        <f t="shared" si="13"/>
        <v>0.17750000000000909</v>
      </c>
      <c r="X31" s="42">
        <f t="shared" si="13"/>
        <v>-0.21500000000003183</v>
      </c>
      <c r="Y31" s="42">
        <f t="shared" si="13"/>
        <v>-3.2500000000027285E-2</v>
      </c>
      <c r="Z31" s="48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0.21466498103667675</v>
      </c>
      <c r="D32" s="42">
        <f t="shared" ref="D32:G32" si="14">D30-D33</f>
        <v>0.17929318068691913</v>
      </c>
      <c r="E32" s="42">
        <f t="shared" si="14"/>
        <v>0.24897959183674345</v>
      </c>
      <c r="F32" s="42">
        <f t="shared" si="14"/>
        <v>0.12695139911636488</v>
      </c>
      <c r="G32" s="42">
        <f t="shared" si="14"/>
        <v>0.19402107326636298</v>
      </c>
      <c r="H32" s="42"/>
      <c r="I32" s="42"/>
      <c r="J32" s="42">
        <f t="shared" ref="J32:N32" si="15">J30-J33</f>
        <v>0.17267080745342867</v>
      </c>
      <c r="K32" s="42">
        <f t="shared" si="15"/>
        <v>0.23842364532021065</v>
      </c>
      <c r="L32" s="42">
        <f t="shared" si="15"/>
        <v>0.30660835762876459</v>
      </c>
      <c r="M32" s="42">
        <f t="shared" si="15"/>
        <v>0.17514677103718412</v>
      </c>
      <c r="N32" s="42">
        <f t="shared" si="15"/>
        <v>0.16502463054187544</v>
      </c>
      <c r="O32" s="42"/>
      <c r="P32" s="42">
        <f t="shared" si="13"/>
        <v>-2.8718703976409188E-2</v>
      </c>
      <c r="Q32" s="42">
        <f t="shared" si="13"/>
        <v>-1.4936409346375967E-2</v>
      </c>
      <c r="R32" s="42">
        <f t="shared" si="13"/>
        <v>-5.3571428571416391E-2</v>
      </c>
      <c r="S32" s="42">
        <f t="shared" si="13"/>
        <v>4.5614549721335607E-2</v>
      </c>
      <c r="T32" s="42">
        <f t="shared" si="13"/>
        <v>7.6741440377929848E-3</v>
      </c>
      <c r="U32" s="42">
        <f t="shared" si="13"/>
        <v>2.93113261240876E-2</v>
      </c>
      <c r="V32" s="42">
        <f t="shared" si="13"/>
        <v>4.2016806722813271E-3</v>
      </c>
      <c r="W32" s="42">
        <f t="shared" si="13"/>
        <v>-0.1536796536796885</v>
      </c>
      <c r="X32" s="42">
        <f t="shared" si="13"/>
        <v>6.0224089635852351E-2</v>
      </c>
      <c r="Y32" s="42">
        <f t="shared" si="13"/>
        <v>9.193776520476149E-3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32.199999999999989</v>
      </c>
      <c r="D33" s="42">
        <f t="shared" ref="D33:G33" si="16">D26-$B$34</f>
        <v>32.199999999999989</v>
      </c>
      <c r="E33" s="42">
        <f t="shared" si="16"/>
        <v>32.199999999999989</v>
      </c>
      <c r="F33" s="42">
        <f t="shared" si="16"/>
        <v>32.199999999999989</v>
      </c>
      <c r="G33" s="42">
        <f t="shared" si="16"/>
        <v>32.199999999999989</v>
      </c>
      <c r="H33" s="42"/>
      <c r="I33" s="42"/>
      <c r="J33" s="42">
        <f>J26-$I$34</f>
        <v>32.199999999999989</v>
      </c>
      <c r="K33" s="42">
        <f t="shared" ref="K33:N33" si="17">K26-$I$34</f>
        <v>32.199999999999989</v>
      </c>
      <c r="L33" s="42">
        <f t="shared" si="17"/>
        <v>30.5</v>
      </c>
      <c r="M33" s="42">
        <f t="shared" si="17"/>
        <v>30.5</v>
      </c>
      <c r="N33" s="42">
        <f t="shared" si="17"/>
        <v>30.5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317.72000000000003</v>
      </c>
      <c r="D34" s="432">
        <f>SUM(C27:G27)</f>
        <v>2444</v>
      </c>
      <c r="E34" s="42"/>
      <c r="F34" s="42"/>
      <c r="G34" s="42"/>
      <c r="H34" s="42"/>
      <c r="I34" s="514">
        <v>130</v>
      </c>
      <c r="J34" s="431">
        <f>(I34*K34)/1000</f>
        <v>320.58</v>
      </c>
      <c r="K34" s="432">
        <f>SUM(J27:N27)</f>
        <v>2466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9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652" t="s">
        <v>18</v>
      </c>
      <c r="M39" s="653" t="s">
        <v>17</v>
      </c>
      <c r="N39" s="654"/>
      <c r="O39" s="654"/>
      <c r="P39" s="654"/>
      <c r="Q39" s="654"/>
      <c r="R39" s="655" t="s">
        <v>9</v>
      </c>
      <c r="S39" s="645"/>
      <c r="U39" s="45"/>
      <c r="V39" s="45"/>
      <c r="W39" s="46"/>
      <c r="X39" s="3"/>
      <c r="Y39" s="45"/>
      <c r="Z39" s="45"/>
      <c r="AA39" s="45"/>
      <c r="AB39" s="3"/>
    </row>
    <row r="40" spans="1:38" ht="33.75" customHeight="1" thickBot="1" x14ac:dyDescent="0.3">
      <c r="A40" s="170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1">
        <v>1</v>
      </c>
      <c r="N40" s="16">
        <v>2</v>
      </c>
      <c r="O40" s="16">
        <v>3</v>
      </c>
      <c r="P40" s="16">
        <v>4</v>
      </c>
      <c r="Q40" s="16">
        <v>5</v>
      </c>
      <c r="R40" s="76"/>
      <c r="S40" s="645"/>
      <c r="U40" s="47"/>
      <c r="X40" s="48"/>
      <c r="Y40" s="2"/>
      <c r="Z40" s="2"/>
      <c r="AA40" s="2"/>
      <c r="AB40" s="2"/>
    </row>
    <row r="41" spans="1:38" ht="33.75" customHeight="1" x14ac:dyDescent="0.25">
      <c r="A41" s="171" t="s">
        <v>32</v>
      </c>
      <c r="B41" s="142">
        <v>94</v>
      </c>
      <c r="C41" s="486">
        <v>93.1</v>
      </c>
      <c r="D41" s="486">
        <v>21</v>
      </c>
      <c r="E41" s="486">
        <v>93.8</v>
      </c>
      <c r="F41" s="537">
        <v>92.5</v>
      </c>
      <c r="G41" s="509">
        <f t="shared" ref="G41:G48" si="18">SUM(B41:F41)</f>
        <v>394.4</v>
      </c>
      <c r="H41" s="609"/>
      <c r="I41" s="364"/>
      <c r="J41" s="364"/>
      <c r="K41" s="364"/>
      <c r="L41" s="171" t="s">
        <v>53</v>
      </c>
      <c r="M41" s="18">
        <v>7.2</v>
      </c>
      <c r="N41" s="19">
        <v>7.1</v>
      </c>
      <c r="O41" s="19">
        <v>1.6</v>
      </c>
      <c r="P41" s="19">
        <v>7.2</v>
      </c>
      <c r="Q41" s="19">
        <v>7</v>
      </c>
      <c r="R41" s="656">
        <f>SUM(M41:Q41)</f>
        <v>30.1</v>
      </c>
      <c r="S41" s="646"/>
      <c r="T41" s="657"/>
      <c r="U41" s="657"/>
      <c r="X41" s="48"/>
      <c r="Y41" s="2"/>
      <c r="Z41" s="2"/>
      <c r="AA41" s="2"/>
      <c r="AB41" s="2"/>
    </row>
    <row r="42" spans="1:38" ht="33.75" customHeight="1" x14ac:dyDescent="0.25">
      <c r="A42" s="171" t="s">
        <v>24</v>
      </c>
      <c r="B42" s="142">
        <v>94</v>
      </c>
      <c r="C42" s="486">
        <v>93.1</v>
      </c>
      <c r="D42" s="486">
        <v>21</v>
      </c>
      <c r="E42" s="486">
        <v>93.8</v>
      </c>
      <c r="F42" s="537">
        <v>92.4</v>
      </c>
      <c r="G42" s="509">
        <f t="shared" si="18"/>
        <v>394.29999999999995</v>
      </c>
      <c r="H42" s="609"/>
      <c r="I42" s="364"/>
      <c r="J42" s="364"/>
      <c r="K42" s="364"/>
      <c r="L42" s="171" t="s">
        <v>24</v>
      </c>
      <c r="M42" s="18">
        <v>7.2</v>
      </c>
      <c r="N42" s="19">
        <v>7.1</v>
      </c>
      <c r="O42" s="19">
        <v>1.6</v>
      </c>
      <c r="P42" s="19">
        <v>7.2</v>
      </c>
      <c r="Q42" s="19">
        <v>7</v>
      </c>
      <c r="R42" s="656">
        <f t="shared" ref="R42:R47" si="19">SUM(M42:Q42)</f>
        <v>30.1</v>
      </c>
      <c r="S42" s="646"/>
      <c r="T42" s="647"/>
      <c r="U42" s="658"/>
      <c r="X42" s="48"/>
      <c r="Y42" s="2"/>
      <c r="Z42" s="2"/>
      <c r="AA42" s="2"/>
      <c r="AB42" s="2"/>
    </row>
    <row r="43" spans="1:38" ht="33.75" customHeight="1" x14ac:dyDescent="0.25">
      <c r="A43" s="171" t="s">
        <v>20</v>
      </c>
      <c r="B43" s="532">
        <v>93.9</v>
      </c>
      <c r="C43" s="431">
        <v>92.5</v>
      </c>
      <c r="D43" s="431">
        <v>20.9</v>
      </c>
      <c r="E43" s="431">
        <v>93.8</v>
      </c>
      <c r="F43" s="533">
        <v>92.1</v>
      </c>
      <c r="G43" s="509">
        <f t="shared" si="18"/>
        <v>393.20000000000005</v>
      </c>
      <c r="H43" s="609"/>
      <c r="I43" s="364"/>
      <c r="J43" s="364"/>
      <c r="K43" s="364"/>
      <c r="L43" s="171" t="s">
        <v>20</v>
      </c>
      <c r="M43" s="18">
        <v>7.3</v>
      </c>
      <c r="N43" s="19">
        <v>7.2</v>
      </c>
      <c r="O43" s="19">
        <v>1.8</v>
      </c>
      <c r="P43" s="19">
        <v>7.4</v>
      </c>
      <c r="Q43" s="19">
        <v>6.9</v>
      </c>
      <c r="R43" s="656">
        <f t="shared" si="19"/>
        <v>30.6</v>
      </c>
      <c r="S43" s="646"/>
      <c r="T43" s="647"/>
      <c r="U43" s="658"/>
      <c r="X43" s="48"/>
      <c r="Y43" s="2"/>
      <c r="Z43" s="2"/>
      <c r="AA43" s="2"/>
      <c r="AB43" s="2"/>
    </row>
    <row r="44" spans="1:38" ht="33.75" customHeight="1" x14ac:dyDescent="0.25">
      <c r="A44" s="171" t="s">
        <v>28</v>
      </c>
      <c r="B44" s="142">
        <v>93.9</v>
      </c>
      <c r="C44" s="486">
        <v>92.5</v>
      </c>
      <c r="D44" s="486">
        <v>20.9</v>
      </c>
      <c r="E44" s="486">
        <v>93.8</v>
      </c>
      <c r="F44" s="537">
        <v>92.1</v>
      </c>
      <c r="G44" s="509">
        <f t="shared" si="18"/>
        <v>393.20000000000005</v>
      </c>
      <c r="H44" s="609"/>
      <c r="I44" s="364"/>
      <c r="J44" s="364"/>
      <c r="K44" s="364"/>
      <c r="L44" s="171" t="s">
        <v>28</v>
      </c>
      <c r="M44" s="18">
        <v>7.3</v>
      </c>
      <c r="N44" s="19">
        <v>7.2</v>
      </c>
      <c r="O44" s="19">
        <v>1.8</v>
      </c>
      <c r="P44" s="19">
        <v>7.4</v>
      </c>
      <c r="Q44" s="19">
        <v>6.9</v>
      </c>
      <c r="R44" s="656">
        <f t="shared" si="19"/>
        <v>30.6</v>
      </c>
      <c r="S44" s="646"/>
      <c r="T44" s="647"/>
      <c r="U44" s="658"/>
      <c r="X44" s="48"/>
      <c r="Y44" s="2"/>
      <c r="Z44" s="2"/>
      <c r="AA44" s="2"/>
      <c r="AB44" s="2"/>
    </row>
    <row r="45" spans="1:38" ht="33.75" customHeight="1" x14ac:dyDescent="0.25">
      <c r="A45" s="171" t="s">
        <v>21</v>
      </c>
      <c r="B45" s="142">
        <v>93.9</v>
      </c>
      <c r="C45" s="486">
        <v>92.5</v>
      </c>
      <c r="D45" s="486">
        <v>20.9</v>
      </c>
      <c r="E45" s="486">
        <v>93.8</v>
      </c>
      <c r="F45" s="537">
        <v>92.1</v>
      </c>
      <c r="G45" s="509">
        <f t="shared" si="18"/>
        <v>393.20000000000005</v>
      </c>
      <c r="H45" s="609"/>
      <c r="I45" s="364"/>
      <c r="J45" s="364"/>
      <c r="K45" s="364"/>
      <c r="L45" s="171" t="s">
        <v>21</v>
      </c>
      <c r="M45" s="18">
        <v>7.3</v>
      </c>
      <c r="N45" s="19">
        <v>7.2</v>
      </c>
      <c r="O45" s="19">
        <v>1.8</v>
      </c>
      <c r="P45" s="19">
        <v>7.4</v>
      </c>
      <c r="Q45" s="19">
        <v>6.9</v>
      </c>
      <c r="R45" s="656">
        <f t="shared" si="19"/>
        <v>30.6</v>
      </c>
      <c r="S45" s="646"/>
      <c r="T45" s="647"/>
      <c r="U45" s="658"/>
      <c r="X45" s="48"/>
      <c r="Y45" s="2"/>
      <c r="Z45" s="2"/>
      <c r="AA45" s="2"/>
      <c r="AB45" s="2"/>
    </row>
    <row r="46" spans="1:38" ht="33.75" customHeight="1" x14ac:dyDescent="0.25">
      <c r="A46" s="171" t="s">
        <v>22</v>
      </c>
      <c r="B46" s="142">
        <v>93.9</v>
      </c>
      <c r="C46" s="486">
        <v>92.5</v>
      </c>
      <c r="D46" s="486">
        <v>20.9</v>
      </c>
      <c r="E46" s="486">
        <v>93.8</v>
      </c>
      <c r="F46" s="537">
        <v>92.1</v>
      </c>
      <c r="G46" s="509">
        <f t="shared" si="18"/>
        <v>393.20000000000005</v>
      </c>
      <c r="H46" s="609"/>
      <c r="I46" s="364"/>
      <c r="J46" s="364"/>
      <c r="K46" s="364"/>
      <c r="L46" s="171" t="s">
        <v>22</v>
      </c>
      <c r="M46" s="18">
        <v>7.3</v>
      </c>
      <c r="N46" s="19">
        <v>7.2</v>
      </c>
      <c r="O46" s="19">
        <v>1.8</v>
      </c>
      <c r="P46" s="19">
        <v>7.4</v>
      </c>
      <c r="Q46" s="19">
        <v>6.9</v>
      </c>
      <c r="R46" s="656">
        <f t="shared" si="19"/>
        <v>30.6</v>
      </c>
      <c r="S46" s="646"/>
      <c r="T46" s="647"/>
      <c r="U46" s="658"/>
      <c r="X46" s="48"/>
      <c r="Y46" s="2"/>
      <c r="Z46" s="2"/>
      <c r="AA46" s="2"/>
      <c r="AB46" s="2"/>
    </row>
    <row r="47" spans="1:38" ht="33.75" customHeight="1" thickBot="1" x14ac:dyDescent="0.3">
      <c r="A47" s="285" t="s">
        <v>23</v>
      </c>
      <c r="B47" s="142">
        <v>93.9</v>
      </c>
      <c r="C47" s="486">
        <v>92.5</v>
      </c>
      <c r="D47" s="486">
        <v>20.9</v>
      </c>
      <c r="E47" s="486">
        <v>93.8</v>
      </c>
      <c r="F47" s="537">
        <v>92.1</v>
      </c>
      <c r="G47" s="526">
        <f t="shared" si="18"/>
        <v>393.20000000000005</v>
      </c>
      <c r="H47" s="609"/>
      <c r="I47" s="364"/>
      <c r="J47" s="364"/>
      <c r="K47" s="364"/>
      <c r="L47" s="285" t="s">
        <v>23</v>
      </c>
      <c r="M47" s="18">
        <v>7.3</v>
      </c>
      <c r="N47" s="19">
        <v>7.4</v>
      </c>
      <c r="O47" s="19">
        <v>1.8</v>
      </c>
      <c r="P47" s="19">
        <v>7.4</v>
      </c>
      <c r="Q47" s="19">
        <v>7</v>
      </c>
      <c r="R47" s="656">
        <f t="shared" si="19"/>
        <v>30.9</v>
      </c>
      <c r="S47" s="646"/>
      <c r="T47" s="647"/>
      <c r="U47" s="658"/>
      <c r="X47" s="48"/>
      <c r="Y47" s="48"/>
      <c r="Z47" s="48"/>
      <c r="AA47" s="2"/>
      <c r="AB47" s="2"/>
      <c r="AC47" s="2"/>
      <c r="AD47" s="2"/>
    </row>
    <row r="48" spans="1:38" ht="33.75" customHeight="1" x14ac:dyDescent="0.25">
      <c r="A48" s="290" t="s">
        <v>9</v>
      </c>
      <c r="B48" s="131">
        <f>SUM(B41:B47)</f>
        <v>657.49999999999989</v>
      </c>
      <c r="C48" s="128">
        <f t="shared" ref="C48:F48" si="20">SUM(C41:C47)</f>
        <v>648.70000000000005</v>
      </c>
      <c r="D48" s="128">
        <f t="shared" si="20"/>
        <v>146.5</v>
      </c>
      <c r="E48" s="128">
        <f t="shared" si="20"/>
        <v>656.59999999999991</v>
      </c>
      <c r="F48" s="129">
        <f t="shared" si="20"/>
        <v>645.40000000000009</v>
      </c>
      <c r="G48" s="644">
        <f t="shared" si="18"/>
        <v>2754.7</v>
      </c>
      <c r="H48" s="609"/>
      <c r="I48" s="364"/>
      <c r="J48" s="364"/>
      <c r="K48" s="364"/>
      <c r="L48" s="290" t="s">
        <v>9</v>
      </c>
      <c r="M48" s="18">
        <f>SUM(M41:M47)</f>
        <v>50.899999999999991</v>
      </c>
      <c r="N48" s="19">
        <f>SUM(N41:N47)</f>
        <v>50.4</v>
      </c>
      <c r="O48" s="19">
        <f>SUM(O41:O47)</f>
        <v>12.200000000000001</v>
      </c>
      <c r="P48" s="19">
        <f t="shared" ref="P48:Q48" si="21">SUM(P41:P47)</f>
        <v>51.4</v>
      </c>
      <c r="Q48" s="19">
        <f t="shared" si="21"/>
        <v>48.599999999999994</v>
      </c>
      <c r="R48" s="77">
        <f>SUM(M48:Q48)</f>
        <v>213.49999999999997</v>
      </c>
      <c r="S48" s="647"/>
      <c r="T48" s="647"/>
      <c r="U48" s="658"/>
      <c r="X48" s="2"/>
      <c r="Y48" s="2"/>
      <c r="Z48" s="2"/>
      <c r="AA48" s="2"/>
      <c r="AB48" s="2"/>
      <c r="AC48" s="2"/>
      <c r="AD48" s="2"/>
    </row>
    <row r="49" spans="1:51" ht="33.75" customHeight="1" x14ac:dyDescent="0.25">
      <c r="A49" s="192" t="s">
        <v>11</v>
      </c>
      <c r="B49" s="23">
        <v>157.1</v>
      </c>
      <c r="C49" s="24">
        <v>157.1</v>
      </c>
      <c r="D49" s="24">
        <v>157.1</v>
      </c>
      <c r="E49" s="24">
        <v>157.1</v>
      </c>
      <c r="F49" s="63">
        <v>157.1</v>
      </c>
      <c r="G49" s="137">
        <f>+((G48/G50)/7)*1000</f>
        <v>157.09723410322212</v>
      </c>
      <c r="H49" s="609"/>
      <c r="I49" s="364"/>
      <c r="J49" s="364"/>
      <c r="K49" s="364"/>
      <c r="L49" s="273" t="s">
        <v>11</v>
      </c>
      <c r="M49" s="23">
        <v>158</v>
      </c>
      <c r="N49" s="24">
        <v>156.5</v>
      </c>
      <c r="O49" s="24">
        <v>155.5</v>
      </c>
      <c r="P49" s="24">
        <v>156</v>
      </c>
      <c r="Q49" s="24">
        <v>154.5</v>
      </c>
      <c r="R49" s="78">
        <f>+((R48/R50)/7)*1000</f>
        <v>156.41025641025638</v>
      </c>
      <c r="S49" s="648"/>
      <c r="T49" s="647"/>
      <c r="U49" s="658"/>
      <c r="V49" s="50"/>
    </row>
    <row r="50" spans="1:51" ht="33.75" customHeight="1" x14ac:dyDescent="0.25">
      <c r="A50" s="193" t="s">
        <v>12</v>
      </c>
      <c r="B50" s="26">
        <v>598</v>
      </c>
      <c r="C50" s="27">
        <v>590</v>
      </c>
      <c r="D50" s="27">
        <v>133</v>
      </c>
      <c r="E50" s="27">
        <v>597</v>
      </c>
      <c r="F50" s="28">
        <v>587</v>
      </c>
      <c r="G50" s="395">
        <f>SUM(B50:F50)</f>
        <v>2505</v>
      </c>
      <c r="H50" s="609"/>
      <c r="I50" s="364"/>
      <c r="J50" s="364"/>
      <c r="K50" s="364"/>
      <c r="L50" s="193" t="s">
        <v>12</v>
      </c>
      <c r="M50" s="257">
        <v>46</v>
      </c>
      <c r="N50" s="275">
        <v>46</v>
      </c>
      <c r="O50" s="275">
        <v>11</v>
      </c>
      <c r="P50" s="275">
        <v>47</v>
      </c>
      <c r="Q50" s="275">
        <v>45</v>
      </c>
      <c r="R50" s="82">
        <f>SUM(L50:Q50)</f>
        <v>195</v>
      </c>
      <c r="S50" s="649"/>
      <c r="T50" s="301"/>
      <c r="U50" s="52"/>
      <c r="V50" s="52"/>
    </row>
    <row r="51" spans="1:51" ht="33.75" customHeight="1" x14ac:dyDescent="0.25">
      <c r="A51" s="194" t="s">
        <v>13</v>
      </c>
      <c r="B51" s="30">
        <f>((((B49*7)*B50)/1000)-B41-B42)/5</f>
        <v>93.924119999999988</v>
      </c>
      <c r="C51" s="31">
        <f t="shared" ref="C51:F51" si="22">((((C49*7)*C50)/1000)-C41-C42)/5</f>
        <v>92.524599999999992</v>
      </c>
      <c r="D51" s="31">
        <f>((((D49*7)*D50)/1000)-D41-D42)/5</f>
        <v>20.85202</v>
      </c>
      <c r="E51" s="31">
        <f t="shared" si="22"/>
        <v>93.784180000000006</v>
      </c>
      <c r="F51" s="32">
        <f t="shared" si="22"/>
        <v>92.124780000000015</v>
      </c>
      <c r="G51" s="139">
        <f>((G48*1000)/G50)/7</f>
        <v>157.09723410322212</v>
      </c>
      <c r="H51" s="609"/>
      <c r="I51" s="364"/>
      <c r="J51" s="364"/>
      <c r="K51" s="364"/>
      <c r="L51" s="194" t="s">
        <v>13</v>
      </c>
      <c r="M51" s="30">
        <f>((((M49*7)*M50)/1000)-M41-M42)/5</f>
        <v>7.2951999999999986</v>
      </c>
      <c r="N51" s="31">
        <f t="shared" ref="N51:Q51" si="23">((((N49*7)*N50)/1000)-N41-N42)/5</f>
        <v>7.2385999999999999</v>
      </c>
      <c r="O51" s="31">
        <f t="shared" si="23"/>
        <v>1.7547000000000001</v>
      </c>
      <c r="P51" s="31">
        <f t="shared" si="23"/>
        <v>7.3847999999999985</v>
      </c>
      <c r="Q51" s="31">
        <f t="shared" si="23"/>
        <v>6.9334999999999996</v>
      </c>
      <c r="R51" s="83">
        <f>((R48*1000)/R50)/7</f>
        <v>156.41025641025638</v>
      </c>
      <c r="S51" s="650"/>
      <c r="T51" s="301"/>
      <c r="U51" s="52"/>
      <c r="V51" s="52"/>
    </row>
    <row r="52" spans="1:51" ht="33.75" customHeight="1" x14ac:dyDescent="0.25">
      <c r="A52" s="185" t="s">
        <v>14</v>
      </c>
      <c r="B52" s="279">
        <f>((B50*B49)*7)/1000</f>
        <v>657.62059999999997</v>
      </c>
      <c r="C52" s="280">
        <f>((C50*C49)*7)/1000</f>
        <v>648.82299999999998</v>
      </c>
      <c r="D52" s="280">
        <f>((D50*D49)*7)/1000</f>
        <v>146.26009999999999</v>
      </c>
      <c r="E52" s="280">
        <f>((E50*E49)*7)/1000</f>
        <v>656.52089999999998</v>
      </c>
      <c r="F52" s="282">
        <f>((F50*F49)*7)/1000</f>
        <v>645.52390000000003</v>
      </c>
      <c r="G52" s="112"/>
      <c r="H52" s="609"/>
      <c r="I52" s="364"/>
      <c r="J52" s="364"/>
      <c r="K52" s="364"/>
      <c r="L52" s="185" t="s">
        <v>14</v>
      </c>
      <c r="M52" s="279">
        <f>((M50*M49)*7)/1000</f>
        <v>50.875999999999998</v>
      </c>
      <c r="N52" s="280">
        <f>((N50*N49)*7)/1000</f>
        <v>50.393000000000001</v>
      </c>
      <c r="O52" s="280">
        <f>((O50*O49)*7)/1000</f>
        <v>11.9735</v>
      </c>
      <c r="P52" s="280">
        <f t="shared" ref="P52:Q52" si="24">((P50*P49)*7)/1000</f>
        <v>51.323999999999998</v>
      </c>
      <c r="Q52" s="280">
        <f t="shared" si="24"/>
        <v>48.667499999999997</v>
      </c>
      <c r="R52" s="84"/>
      <c r="S52" s="522"/>
    </row>
    <row r="53" spans="1:51" ht="33.75" customHeight="1" thickBot="1" x14ac:dyDescent="0.3">
      <c r="A53" s="195" t="s">
        <v>15</v>
      </c>
      <c r="B53" s="37">
        <f t="shared" ref="B53:E53" si="25">+(B48/B50)/7*1000</f>
        <v>157.07118967988532</v>
      </c>
      <c r="C53" s="38">
        <f t="shared" si="25"/>
        <v>157.07021791767556</v>
      </c>
      <c r="D53" s="38">
        <f t="shared" si="25"/>
        <v>157.35767991407087</v>
      </c>
      <c r="E53" s="38">
        <f t="shared" si="25"/>
        <v>157.11892797319928</v>
      </c>
      <c r="F53" s="39">
        <f>+(F48/F50)/7*1000</f>
        <v>157.06984667802388</v>
      </c>
      <c r="G53" s="140"/>
      <c r="H53" s="609"/>
      <c r="I53" s="364"/>
      <c r="J53" s="364"/>
      <c r="K53" s="364"/>
      <c r="L53" s="195" t="s">
        <v>15</v>
      </c>
      <c r="M53" s="37">
        <f>+(M48/M50)/7*1000</f>
        <v>158.07453416149065</v>
      </c>
      <c r="N53" s="38">
        <f>+(N48/N50)/7*1000</f>
        <v>156.52173913043475</v>
      </c>
      <c r="O53" s="38">
        <f>+(O48/O50)/7*1000</f>
        <v>158.44155844155844</v>
      </c>
      <c r="P53" s="38">
        <f t="shared" ref="P53:Q53" si="26">+(P48/P50)/7*1000</f>
        <v>156.23100303951367</v>
      </c>
      <c r="Q53" s="38">
        <f t="shared" si="26"/>
        <v>154.28571428571428</v>
      </c>
      <c r="R53" s="39"/>
      <c r="S53" s="651"/>
      <c r="U53" s="42"/>
      <c r="V53" s="42"/>
    </row>
    <row r="54" spans="1:51" ht="33.75" customHeight="1" x14ac:dyDescent="0.25">
      <c r="A54" s="41"/>
      <c r="B54" s="43">
        <f>B52-B48</f>
        <v>0.12060000000008131</v>
      </c>
      <c r="C54" s="43">
        <f t="shared" ref="C54:F55" si="27">C52-C48</f>
        <v>0.12299999999993361</v>
      </c>
      <c r="D54" s="43">
        <f t="shared" si="27"/>
        <v>-0.23990000000000578</v>
      </c>
      <c r="E54" s="43">
        <f>E52-E48</f>
        <v>-7.9099999999925785E-2</v>
      </c>
      <c r="F54" s="43">
        <f t="shared" si="27"/>
        <v>0.12389999999993506</v>
      </c>
      <c r="G54" s="41"/>
      <c r="H54" s="41"/>
      <c r="I54" s="41"/>
      <c r="J54" s="41"/>
      <c r="K54" s="41"/>
      <c r="L54" s="42"/>
      <c r="M54" s="42">
        <f>M52-M48</f>
        <v>-2.3999999999993804E-2</v>
      </c>
      <c r="N54" s="42">
        <f t="shared" ref="N54:R55" si="28">N52-N48</f>
        <v>-6.9999999999978968E-3</v>
      </c>
      <c r="O54" s="42">
        <f t="shared" si="28"/>
        <v>-0.22650000000000148</v>
      </c>
      <c r="P54" s="42">
        <f t="shared" si="28"/>
        <v>-7.6000000000000512E-2</v>
      </c>
      <c r="Q54" s="42">
        <f t="shared" si="28"/>
        <v>6.7500000000002558E-2</v>
      </c>
      <c r="R54" s="42">
        <f t="shared" si="28"/>
        <v>-213.49999999999997</v>
      </c>
      <c r="S54" s="522"/>
      <c r="T54" s="42"/>
      <c r="U54" s="42"/>
      <c r="V54" s="2"/>
      <c r="W54" s="2"/>
      <c r="X54" s="2"/>
      <c r="Y54" s="2"/>
      <c r="Z54" s="2"/>
    </row>
    <row r="55" spans="1:51" ht="33.75" customHeight="1" x14ac:dyDescent="0.25">
      <c r="A55" s="41"/>
      <c r="B55" s="42">
        <f>B53-B49</f>
        <v>-2.881032011467255E-2</v>
      </c>
      <c r="C55" s="42">
        <f>C53-C49</f>
        <v>-2.9782082324430803E-2</v>
      </c>
      <c r="D55" s="42">
        <f t="shared" si="27"/>
        <v>0.2576799140708772</v>
      </c>
      <c r="E55" s="42">
        <f>E53-E49</f>
        <v>1.8927973199282633E-2</v>
      </c>
      <c r="F55" s="42">
        <f>F53-F49</f>
        <v>-3.0153321976115421E-2</v>
      </c>
      <c r="G55" s="41"/>
      <c r="H55" s="41"/>
      <c r="I55" s="41"/>
      <c r="J55" s="41"/>
      <c r="K55" s="42"/>
      <c r="L55" s="42"/>
      <c r="M55" s="42">
        <f>M53-M49</f>
        <v>7.4534161490646511E-2</v>
      </c>
      <c r="N55" s="42">
        <f t="shared" si="28"/>
        <v>2.1739130434752951E-2</v>
      </c>
      <c r="O55" s="42">
        <f>O53-O49</f>
        <v>2.9415584415584419</v>
      </c>
      <c r="P55" s="42">
        <f t="shared" si="28"/>
        <v>0.23100303951366641</v>
      </c>
      <c r="Q55" s="42">
        <f t="shared" si="28"/>
        <v>-0.21428571428572241</v>
      </c>
      <c r="R55" s="42">
        <f t="shared" si="28"/>
        <v>-156.41025641025638</v>
      </c>
      <c r="S55" s="522"/>
      <c r="T55" s="43"/>
      <c r="U55" s="43"/>
      <c r="V55" s="2"/>
      <c r="W55" s="2"/>
      <c r="X55" s="2"/>
      <c r="Y55" s="2"/>
      <c r="AC55" s="3"/>
    </row>
    <row r="56" spans="1:51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>
        <f>M41/M50</f>
        <v>0.15652173913043479</v>
      </c>
      <c r="N56" s="42">
        <f t="shared" ref="N56:Q56" si="29">N41/N50</f>
        <v>0.15434782608695652</v>
      </c>
      <c r="O56" s="42">
        <f t="shared" si="29"/>
        <v>0.14545454545454548</v>
      </c>
      <c r="P56" s="42">
        <f t="shared" si="29"/>
        <v>0.15319148936170213</v>
      </c>
      <c r="Q56" s="42">
        <f t="shared" si="29"/>
        <v>0.15555555555555556</v>
      </c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1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54"/>
      <c r="N57" s="54"/>
      <c r="O57" s="637"/>
      <c r="P57" s="637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1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248"/>
      <c r="H58" s="973" t="s">
        <v>30</v>
      </c>
      <c r="I58" s="974"/>
      <c r="J58" s="974"/>
      <c r="K58" s="974"/>
      <c r="L58" s="991"/>
      <c r="M58" s="973" t="s">
        <v>29</v>
      </c>
      <c r="N58" s="974"/>
      <c r="O58" s="974"/>
      <c r="P58" s="974"/>
      <c r="Q58" s="991"/>
      <c r="R58" s="973" t="s">
        <v>31</v>
      </c>
      <c r="S58" s="974"/>
      <c r="T58" s="974"/>
      <c r="U58" s="974"/>
      <c r="V58" s="991"/>
      <c r="W58" s="586" t="s">
        <v>9</v>
      </c>
      <c r="X58" s="661"/>
      <c r="Y58" s="662"/>
      <c r="Z58" s="522"/>
      <c r="AA58" s="522"/>
      <c r="AG58" s="43"/>
      <c r="AH58" s="43"/>
      <c r="AI58" s="43"/>
      <c r="AJ58" s="2"/>
      <c r="AK58" s="2"/>
      <c r="AL58" s="2"/>
      <c r="AM58" s="2"/>
      <c r="AO58" s="2"/>
      <c r="AP58" s="2"/>
      <c r="AQ58" s="2"/>
    </row>
    <row r="59" spans="1:51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189" t="s">
        <v>120</v>
      </c>
      <c r="H59" s="188">
        <v>1</v>
      </c>
      <c r="I59" s="168">
        <v>2</v>
      </c>
      <c r="J59" s="168">
        <v>3</v>
      </c>
      <c r="K59" s="168">
        <v>4</v>
      </c>
      <c r="L59" s="168">
        <v>5</v>
      </c>
      <c r="M59" s="188">
        <v>1</v>
      </c>
      <c r="N59" s="168">
        <v>2</v>
      </c>
      <c r="O59" s="168">
        <v>3</v>
      </c>
      <c r="P59" s="168">
        <v>4</v>
      </c>
      <c r="Q59" s="414">
        <v>5</v>
      </c>
      <c r="R59" s="189">
        <v>1</v>
      </c>
      <c r="S59" s="168">
        <v>2</v>
      </c>
      <c r="T59" s="168">
        <v>3</v>
      </c>
      <c r="U59" s="168">
        <v>4</v>
      </c>
      <c r="V59" s="414">
        <v>5</v>
      </c>
      <c r="W59" s="126"/>
      <c r="X59" s="663"/>
      <c r="Y59" s="645"/>
      <c r="Z59" s="657"/>
      <c r="AA59" s="657"/>
      <c r="AD59" s="45"/>
      <c r="AE59" s="45"/>
      <c r="AF59" s="45"/>
      <c r="AG59" s="45"/>
      <c r="AH59" s="45"/>
      <c r="AI59" s="57"/>
      <c r="AJ59" s="57"/>
      <c r="AK59" s="57"/>
      <c r="AL59" s="57"/>
      <c r="AM59" s="45"/>
      <c r="AN59" s="45"/>
      <c r="AO59" s="58"/>
      <c r="AP59" s="58"/>
      <c r="AQ59" s="58"/>
      <c r="AR59" s="2"/>
      <c r="AS59" s="2"/>
      <c r="AT59" s="2"/>
      <c r="AU59" s="2"/>
      <c r="AV59" s="2"/>
      <c r="AW59" s="2"/>
      <c r="AX59" s="2"/>
      <c r="AY59" s="2"/>
    </row>
    <row r="60" spans="1:51" ht="33.75" customHeight="1" x14ac:dyDescent="0.25">
      <c r="A60" s="171" t="s">
        <v>53</v>
      </c>
      <c r="B60" s="447">
        <v>7.5</v>
      </c>
      <c r="C60" s="124">
        <v>7.6</v>
      </c>
      <c r="D60" s="124">
        <v>1.8</v>
      </c>
      <c r="E60" s="124">
        <v>7.7</v>
      </c>
      <c r="F60" s="123">
        <v>7.7</v>
      </c>
      <c r="G60" s="123">
        <v>2.9</v>
      </c>
      <c r="H60" s="447">
        <v>7.5</v>
      </c>
      <c r="I60" s="124">
        <v>7.7</v>
      </c>
      <c r="J60" s="124">
        <v>1.9</v>
      </c>
      <c r="K60" s="124">
        <v>7.7</v>
      </c>
      <c r="L60" s="124">
        <v>7.6</v>
      </c>
      <c r="M60" s="130">
        <v>6</v>
      </c>
      <c r="N60" s="124">
        <v>6.6</v>
      </c>
      <c r="O60" s="124">
        <v>2</v>
      </c>
      <c r="P60" s="124">
        <v>6.6</v>
      </c>
      <c r="Q60" s="132">
        <v>6.7</v>
      </c>
      <c r="R60" s="123">
        <v>6.9</v>
      </c>
      <c r="S60" s="124">
        <v>7.1</v>
      </c>
      <c r="T60" s="124">
        <v>2.5</v>
      </c>
      <c r="U60" s="124">
        <v>7</v>
      </c>
      <c r="V60" s="132">
        <v>6.5</v>
      </c>
      <c r="W60" s="412">
        <f t="shared" ref="W60:W67" si="30">SUM(B60:V60)</f>
        <v>125.49999999999999</v>
      </c>
      <c r="X60" s="651"/>
      <c r="Y60" s="646"/>
      <c r="Z60" s="657"/>
      <c r="AA60" s="657"/>
      <c r="AD60" s="42"/>
      <c r="AE60" s="2"/>
      <c r="AF60" s="45"/>
      <c r="AG60" s="45"/>
      <c r="AH60" s="45"/>
      <c r="AI60" s="57"/>
      <c r="AJ60" s="57"/>
      <c r="AK60" s="57"/>
      <c r="AL60" s="57"/>
      <c r="AM60" s="45"/>
      <c r="AN60" s="45"/>
      <c r="AO60" s="58"/>
      <c r="AP60" s="58"/>
      <c r="AQ60" s="58"/>
      <c r="AR60" s="2"/>
      <c r="AS60" s="2"/>
      <c r="AT60" s="2"/>
      <c r="AU60" s="2"/>
      <c r="AV60" s="2"/>
      <c r="AW60" s="2"/>
      <c r="AX60" s="2"/>
      <c r="AY60" s="2"/>
    </row>
    <row r="61" spans="1:51" ht="33.75" customHeight="1" x14ac:dyDescent="0.25">
      <c r="A61" s="171" t="s">
        <v>24</v>
      </c>
      <c r="B61" s="447">
        <v>7.5</v>
      </c>
      <c r="C61" s="124">
        <v>7.6</v>
      </c>
      <c r="D61" s="124">
        <v>1.8</v>
      </c>
      <c r="E61" s="124">
        <v>7.7</v>
      </c>
      <c r="F61" s="123">
        <v>7.7</v>
      </c>
      <c r="G61" s="123">
        <v>2.9</v>
      </c>
      <c r="H61" s="447">
        <v>7.5</v>
      </c>
      <c r="I61" s="124">
        <v>7.7</v>
      </c>
      <c r="J61" s="124">
        <v>1.9</v>
      </c>
      <c r="K61" s="124">
        <v>7.7</v>
      </c>
      <c r="L61" s="124">
        <v>7.6</v>
      </c>
      <c r="M61" s="130">
        <v>6</v>
      </c>
      <c r="N61" s="124">
        <v>6.6</v>
      </c>
      <c r="O61" s="124">
        <v>2</v>
      </c>
      <c r="P61" s="124">
        <v>6.6</v>
      </c>
      <c r="Q61" s="132">
        <v>6.7</v>
      </c>
      <c r="R61" s="123">
        <v>6.9</v>
      </c>
      <c r="S61" s="124">
        <v>7.1</v>
      </c>
      <c r="T61" s="124">
        <v>2.5</v>
      </c>
      <c r="U61" s="124">
        <v>7</v>
      </c>
      <c r="V61" s="132">
        <v>6.5</v>
      </c>
      <c r="W61" s="412">
        <f t="shared" si="30"/>
        <v>125.49999999999999</v>
      </c>
      <c r="X61" s="651"/>
      <c r="Y61" s="646"/>
      <c r="Z61" s="651"/>
      <c r="AA61" s="651"/>
      <c r="AD61" s="42"/>
      <c r="AE61" s="2"/>
      <c r="AF61" s="45"/>
      <c r="AG61" s="45"/>
      <c r="AH61" s="45"/>
      <c r="AI61" s="57"/>
      <c r="AJ61" s="57"/>
      <c r="AK61" s="57"/>
      <c r="AL61" s="57"/>
      <c r="AM61" s="45"/>
      <c r="AN61" s="45"/>
      <c r="AO61" s="58"/>
      <c r="AP61" s="58"/>
      <c r="AQ61" s="58"/>
      <c r="AR61" s="2"/>
      <c r="AS61" s="2"/>
      <c r="AT61" s="2"/>
      <c r="AU61" s="2"/>
      <c r="AV61" s="2"/>
      <c r="AW61" s="2"/>
      <c r="AX61" s="2"/>
      <c r="AY61" s="2"/>
    </row>
    <row r="62" spans="1:51" ht="33.75" customHeight="1" x14ac:dyDescent="0.25">
      <c r="A62" s="171" t="s">
        <v>20</v>
      </c>
      <c r="B62" s="447">
        <v>7.5</v>
      </c>
      <c r="C62" s="124">
        <v>7.5</v>
      </c>
      <c r="D62" s="124">
        <v>1.7</v>
      </c>
      <c r="E62" s="124">
        <v>7.6</v>
      </c>
      <c r="F62" s="123">
        <v>7.6</v>
      </c>
      <c r="G62" s="123">
        <v>2.8</v>
      </c>
      <c r="H62" s="447">
        <v>7.7</v>
      </c>
      <c r="I62" s="124">
        <v>7.6</v>
      </c>
      <c r="J62" s="124">
        <v>1.9</v>
      </c>
      <c r="K62" s="124">
        <v>7.6</v>
      </c>
      <c r="L62" s="124">
        <v>7.5</v>
      </c>
      <c r="M62" s="130">
        <v>6.2</v>
      </c>
      <c r="N62" s="124">
        <v>6.5</v>
      </c>
      <c r="O62" s="124">
        <v>2</v>
      </c>
      <c r="P62" s="124">
        <v>6.5</v>
      </c>
      <c r="Q62" s="132">
        <v>6.7</v>
      </c>
      <c r="R62" s="123">
        <v>6.8</v>
      </c>
      <c r="S62" s="124">
        <v>7</v>
      </c>
      <c r="T62" s="124">
        <v>2.4</v>
      </c>
      <c r="U62" s="124">
        <v>6.9</v>
      </c>
      <c r="V62" s="132">
        <v>6.6</v>
      </c>
      <c r="W62" s="412">
        <f t="shared" si="30"/>
        <v>124.60000000000001</v>
      </c>
      <c r="X62" s="651"/>
      <c r="Y62" s="646"/>
      <c r="Z62" s="651"/>
      <c r="AA62" s="651"/>
      <c r="AD62" s="42"/>
      <c r="AE62" s="2"/>
      <c r="AF62" s="45"/>
      <c r="AG62" s="45"/>
      <c r="AH62" s="45"/>
      <c r="AI62" s="57"/>
      <c r="AJ62" s="57"/>
      <c r="AK62" s="57"/>
      <c r="AL62" s="57"/>
      <c r="AM62" s="45"/>
      <c r="AN62" s="45"/>
      <c r="AO62" s="58"/>
      <c r="AP62" s="58"/>
      <c r="AQ62" s="58"/>
      <c r="AR62" s="2"/>
      <c r="AS62" s="2"/>
      <c r="AT62" s="2"/>
      <c r="AU62" s="2"/>
      <c r="AV62" s="2"/>
      <c r="AW62" s="2"/>
      <c r="AX62" s="2"/>
      <c r="AY62" s="2"/>
    </row>
    <row r="63" spans="1:51" ht="33.75" customHeight="1" x14ac:dyDescent="0.25">
      <c r="A63" s="171" t="s">
        <v>28</v>
      </c>
      <c r="B63" s="447">
        <v>7.5</v>
      </c>
      <c r="C63" s="124">
        <v>7.5</v>
      </c>
      <c r="D63" s="124">
        <v>1.7</v>
      </c>
      <c r="E63" s="124">
        <v>7.6</v>
      </c>
      <c r="F63" s="123">
        <v>7.6</v>
      </c>
      <c r="G63" s="123">
        <v>2.8</v>
      </c>
      <c r="H63" s="447">
        <v>7.7</v>
      </c>
      <c r="I63" s="124">
        <v>7.6</v>
      </c>
      <c r="J63" s="124">
        <v>1.9</v>
      </c>
      <c r="K63" s="124">
        <v>7.7</v>
      </c>
      <c r="L63" s="124">
        <v>7.6</v>
      </c>
      <c r="M63" s="130">
        <v>6.2</v>
      </c>
      <c r="N63" s="124">
        <v>6.5</v>
      </c>
      <c r="O63" s="124">
        <v>2</v>
      </c>
      <c r="P63" s="124">
        <v>6.5</v>
      </c>
      <c r="Q63" s="132">
        <v>6.7</v>
      </c>
      <c r="R63" s="123">
        <v>6.9</v>
      </c>
      <c r="S63" s="124">
        <v>7</v>
      </c>
      <c r="T63" s="124">
        <v>2.4</v>
      </c>
      <c r="U63" s="124">
        <v>6.9</v>
      </c>
      <c r="V63" s="132">
        <v>6.6</v>
      </c>
      <c r="W63" s="412">
        <f t="shared" si="30"/>
        <v>124.90000000000002</v>
      </c>
      <c r="X63" s="651"/>
      <c r="Y63" s="646"/>
      <c r="Z63" s="651"/>
      <c r="AA63" s="651"/>
      <c r="AD63" s="42"/>
      <c r="AE63" s="2"/>
      <c r="AF63" s="45"/>
      <c r="AG63" s="45"/>
      <c r="AH63" s="45"/>
      <c r="AI63" s="57"/>
      <c r="AJ63" s="57"/>
      <c r="AK63" s="57"/>
      <c r="AL63" s="57"/>
      <c r="AM63" s="45"/>
      <c r="AN63" s="45"/>
      <c r="AO63" s="58"/>
      <c r="AP63" s="58"/>
      <c r="AQ63" s="58"/>
      <c r="AR63" s="3"/>
      <c r="AS63" s="3"/>
      <c r="AT63" s="2"/>
      <c r="AU63" s="2"/>
      <c r="AV63" s="2"/>
      <c r="AW63" s="2"/>
      <c r="AX63" s="2"/>
      <c r="AY63" s="2"/>
    </row>
    <row r="64" spans="1:51" ht="33.75" customHeight="1" x14ac:dyDescent="0.25">
      <c r="A64" s="171" t="s">
        <v>21</v>
      </c>
      <c r="B64" s="447">
        <v>7.5</v>
      </c>
      <c r="C64" s="124">
        <v>7.5</v>
      </c>
      <c r="D64" s="124">
        <v>1.7</v>
      </c>
      <c r="E64" s="124">
        <v>7.6</v>
      </c>
      <c r="F64" s="123">
        <v>7.6</v>
      </c>
      <c r="G64" s="123">
        <v>2.8</v>
      </c>
      <c r="H64" s="447">
        <v>7.7</v>
      </c>
      <c r="I64" s="124">
        <v>7.6</v>
      </c>
      <c r="J64" s="124">
        <v>1.9</v>
      </c>
      <c r="K64" s="124">
        <v>7.7</v>
      </c>
      <c r="L64" s="124">
        <v>7.6</v>
      </c>
      <c r="M64" s="130">
        <v>6.2</v>
      </c>
      <c r="N64" s="124">
        <v>6.5</v>
      </c>
      <c r="O64" s="124">
        <v>2</v>
      </c>
      <c r="P64" s="124">
        <v>6.5</v>
      </c>
      <c r="Q64" s="132">
        <v>6.7</v>
      </c>
      <c r="R64" s="123">
        <v>6.9</v>
      </c>
      <c r="S64" s="124">
        <v>7</v>
      </c>
      <c r="T64" s="124">
        <v>2.4</v>
      </c>
      <c r="U64" s="124">
        <v>6.9</v>
      </c>
      <c r="V64" s="132">
        <v>6.6</v>
      </c>
      <c r="W64" s="412">
        <f t="shared" si="30"/>
        <v>124.90000000000002</v>
      </c>
      <c r="X64" s="651"/>
      <c r="Y64" s="646"/>
      <c r="Z64" s="651"/>
      <c r="AA64" s="651"/>
      <c r="AD64" s="42"/>
      <c r="AE64" s="2"/>
      <c r="AF64" s="45"/>
      <c r="AG64" s="45"/>
      <c r="AH64" s="45"/>
      <c r="AI64" s="57"/>
      <c r="AJ64" s="57"/>
      <c r="AK64" s="57"/>
      <c r="AL64" s="57"/>
      <c r="AM64" s="45"/>
      <c r="AN64" s="45"/>
      <c r="AO64" s="58"/>
      <c r="AP64" s="58"/>
      <c r="AQ64" s="58"/>
      <c r="AR64" s="3"/>
      <c r="AS64" s="3"/>
      <c r="AT64" s="2"/>
      <c r="AU64" s="2"/>
      <c r="AV64" s="2"/>
      <c r="AW64" s="2"/>
      <c r="AX64" s="2"/>
      <c r="AY64" s="2"/>
    </row>
    <row r="65" spans="1:51" ht="33.75" customHeight="1" x14ac:dyDescent="0.25">
      <c r="A65" s="171" t="s">
        <v>22</v>
      </c>
      <c r="B65" s="447">
        <v>7.4</v>
      </c>
      <c r="C65" s="124">
        <v>7.5</v>
      </c>
      <c r="D65" s="124">
        <v>1.7</v>
      </c>
      <c r="E65" s="124">
        <v>7.6</v>
      </c>
      <c r="F65" s="123">
        <v>7.6</v>
      </c>
      <c r="G65" s="123">
        <v>2.9</v>
      </c>
      <c r="H65" s="447">
        <v>7.7</v>
      </c>
      <c r="I65" s="124">
        <v>7.7</v>
      </c>
      <c r="J65" s="124">
        <v>1.9</v>
      </c>
      <c r="K65" s="124">
        <v>7.7</v>
      </c>
      <c r="L65" s="124">
        <v>7.6</v>
      </c>
      <c r="M65" s="130">
        <v>6.2</v>
      </c>
      <c r="N65" s="124">
        <v>6.5</v>
      </c>
      <c r="O65" s="124">
        <v>2.1</v>
      </c>
      <c r="P65" s="124">
        <v>6.5</v>
      </c>
      <c r="Q65" s="132">
        <v>6.7</v>
      </c>
      <c r="R65" s="123">
        <v>6.9</v>
      </c>
      <c r="S65" s="124">
        <v>7</v>
      </c>
      <c r="T65" s="124">
        <v>2.4</v>
      </c>
      <c r="U65" s="124">
        <v>6.8</v>
      </c>
      <c r="V65" s="132">
        <v>6.6</v>
      </c>
      <c r="W65" s="412">
        <f t="shared" si="30"/>
        <v>125.00000000000001</v>
      </c>
      <c r="X65" s="651"/>
      <c r="Y65" s="646"/>
      <c r="Z65" s="651"/>
      <c r="AA65" s="651"/>
      <c r="AD65" s="42"/>
      <c r="AE65" s="2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3"/>
      <c r="AS65" s="3"/>
      <c r="AV65" s="2"/>
      <c r="AW65" s="2"/>
      <c r="AX65" s="2"/>
      <c r="AY65" s="2"/>
    </row>
    <row r="66" spans="1:51" ht="33.75" customHeight="1" thickBot="1" x14ac:dyDescent="0.3">
      <c r="A66" s="171" t="s">
        <v>23</v>
      </c>
      <c r="B66" s="447">
        <v>7.4</v>
      </c>
      <c r="C66" s="124">
        <v>7.5</v>
      </c>
      <c r="D66" s="124">
        <v>1.8</v>
      </c>
      <c r="E66" s="124">
        <v>7.6</v>
      </c>
      <c r="F66" s="123">
        <v>7.6</v>
      </c>
      <c r="G66" s="123">
        <v>2.9</v>
      </c>
      <c r="H66" s="447">
        <v>7.7</v>
      </c>
      <c r="I66" s="124">
        <v>7.7</v>
      </c>
      <c r="J66" s="124">
        <v>2</v>
      </c>
      <c r="K66" s="124">
        <v>7.7</v>
      </c>
      <c r="L66" s="124">
        <v>7.6</v>
      </c>
      <c r="M66" s="153">
        <v>6.1</v>
      </c>
      <c r="N66" s="154">
        <v>6.6</v>
      </c>
      <c r="O66" s="154">
        <v>2.1</v>
      </c>
      <c r="P66" s="154">
        <v>6.6</v>
      </c>
      <c r="Q66" s="182">
        <v>6.7</v>
      </c>
      <c r="R66" s="123">
        <v>6.9</v>
      </c>
      <c r="S66" s="124">
        <v>7.1</v>
      </c>
      <c r="T66" s="124">
        <v>2.2999999999999998</v>
      </c>
      <c r="U66" s="124">
        <v>6.8</v>
      </c>
      <c r="V66" s="132">
        <v>6.5</v>
      </c>
      <c r="W66" s="412">
        <f t="shared" si="30"/>
        <v>125.19999999999997</v>
      </c>
      <c r="X66" s="651"/>
      <c r="Y66" s="646"/>
      <c r="Z66" s="651"/>
      <c r="AA66" s="651"/>
      <c r="AD66" s="42"/>
      <c r="AE66" s="2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3"/>
      <c r="AS66" s="3"/>
      <c r="AV66" s="2"/>
      <c r="AW66" s="2"/>
      <c r="AX66" s="2"/>
      <c r="AY66" s="2"/>
    </row>
    <row r="67" spans="1:51" ht="33.75" customHeight="1" thickBot="1" x14ac:dyDescent="0.3">
      <c r="A67" s="170" t="s">
        <v>9</v>
      </c>
      <c r="B67" s="297">
        <f t="shared" ref="B67:V67" si="31">SUM(B60:B66)</f>
        <v>52.3</v>
      </c>
      <c r="C67" s="298">
        <f t="shared" si="31"/>
        <v>52.7</v>
      </c>
      <c r="D67" s="298">
        <f t="shared" si="31"/>
        <v>12.2</v>
      </c>
      <c r="E67" s="298">
        <f t="shared" si="31"/>
        <v>53.400000000000006</v>
      </c>
      <c r="F67" s="298">
        <f t="shared" si="31"/>
        <v>53.400000000000006</v>
      </c>
      <c r="G67" s="299">
        <f t="shared" ref="G67" si="32">SUM(G60:G66)</f>
        <v>19.999999999999996</v>
      </c>
      <c r="H67" s="615">
        <f t="shared" si="31"/>
        <v>53.500000000000007</v>
      </c>
      <c r="I67" s="616">
        <f t="shared" si="31"/>
        <v>53.600000000000009</v>
      </c>
      <c r="J67" s="616">
        <f t="shared" si="31"/>
        <v>13.4</v>
      </c>
      <c r="K67" s="616">
        <f t="shared" si="31"/>
        <v>53.800000000000004</v>
      </c>
      <c r="L67" s="616">
        <f t="shared" si="31"/>
        <v>53.1</v>
      </c>
      <c r="M67" s="618">
        <f t="shared" si="31"/>
        <v>42.9</v>
      </c>
      <c r="N67" s="616">
        <f t="shared" si="31"/>
        <v>45.800000000000004</v>
      </c>
      <c r="O67" s="616">
        <f t="shared" si="31"/>
        <v>14.2</v>
      </c>
      <c r="P67" s="616">
        <f t="shared" si="31"/>
        <v>45.800000000000004</v>
      </c>
      <c r="Q67" s="616">
        <f t="shared" si="31"/>
        <v>46.900000000000006</v>
      </c>
      <c r="R67" s="615">
        <f t="shared" si="31"/>
        <v>48.199999999999996</v>
      </c>
      <c r="S67" s="616">
        <f t="shared" si="31"/>
        <v>49.300000000000004</v>
      </c>
      <c r="T67" s="616">
        <f t="shared" si="31"/>
        <v>16.900000000000002</v>
      </c>
      <c r="U67" s="616">
        <f t="shared" si="31"/>
        <v>48.29999999999999</v>
      </c>
      <c r="V67" s="617">
        <f t="shared" si="31"/>
        <v>45.900000000000006</v>
      </c>
      <c r="W67" s="449">
        <f t="shared" si="30"/>
        <v>875.59999999999991</v>
      </c>
      <c r="X67" s="664"/>
      <c r="Y67" s="646"/>
      <c r="Z67" s="651"/>
      <c r="AA67" s="651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3"/>
      <c r="AS67" s="3"/>
      <c r="AT67" s="3"/>
      <c r="AU67" s="3"/>
      <c r="AV67" s="2"/>
      <c r="AW67" s="2"/>
      <c r="AX67" s="2"/>
      <c r="AY67" s="2"/>
    </row>
    <row r="68" spans="1:51" ht="33.75" customHeight="1" x14ac:dyDescent="0.25">
      <c r="A68" s="192" t="s">
        <v>11</v>
      </c>
      <c r="B68" s="357">
        <v>159</v>
      </c>
      <c r="C68" s="358">
        <v>160</v>
      </c>
      <c r="D68" s="358">
        <v>159</v>
      </c>
      <c r="E68" s="358">
        <v>159</v>
      </c>
      <c r="F68" s="358">
        <v>159.5</v>
      </c>
      <c r="G68" s="624">
        <v>159</v>
      </c>
      <c r="H68" s="671">
        <v>158.5</v>
      </c>
      <c r="I68" s="358">
        <v>159.5</v>
      </c>
      <c r="J68" s="358">
        <v>160</v>
      </c>
      <c r="K68" s="358">
        <v>160</v>
      </c>
      <c r="L68" s="358">
        <v>158</v>
      </c>
      <c r="M68" s="357">
        <v>157</v>
      </c>
      <c r="N68" s="358">
        <v>159.5</v>
      </c>
      <c r="O68" s="358">
        <v>155.5</v>
      </c>
      <c r="P68" s="358">
        <v>159.5</v>
      </c>
      <c r="Q68" s="358">
        <v>159.5</v>
      </c>
      <c r="R68" s="357">
        <v>160</v>
      </c>
      <c r="S68" s="358">
        <v>160</v>
      </c>
      <c r="T68" s="358">
        <v>160.5</v>
      </c>
      <c r="U68" s="358">
        <v>160.5</v>
      </c>
      <c r="V68" s="624">
        <v>160</v>
      </c>
      <c r="W68" s="296">
        <f>+((W67/W69)/7)*1000</f>
        <v>159.34485896269334</v>
      </c>
      <c r="X68" s="145"/>
      <c r="Y68" s="648"/>
      <c r="Z68" s="665"/>
      <c r="AA68" s="522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3"/>
      <c r="AS68" s="3"/>
      <c r="AT68" s="3"/>
      <c r="AU68" s="3"/>
      <c r="AV68" s="2"/>
      <c r="AW68" s="2"/>
      <c r="AX68" s="2"/>
      <c r="AY68" s="2"/>
    </row>
    <row r="69" spans="1:51" ht="33.75" customHeight="1" x14ac:dyDescent="0.25">
      <c r="A69" s="193" t="s">
        <v>12</v>
      </c>
      <c r="B69" s="257">
        <v>47</v>
      </c>
      <c r="C69" s="275">
        <v>47</v>
      </c>
      <c r="D69" s="275">
        <v>11</v>
      </c>
      <c r="E69" s="275">
        <v>48</v>
      </c>
      <c r="F69" s="275">
        <v>48</v>
      </c>
      <c r="G69" s="276">
        <v>18</v>
      </c>
      <c r="H69" s="79">
        <v>48</v>
      </c>
      <c r="I69" s="275">
        <v>48</v>
      </c>
      <c r="J69" s="275">
        <v>12</v>
      </c>
      <c r="K69" s="275">
        <v>48</v>
      </c>
      <c r="L69" s="275">
        <v>48</v>
      </c>
      <c r="M69" s="257">
        <v>39</v>
      </c>
      <c r="N69" s="275">
        <v>41</v>
      </c>
      <c r="O69" s="275">
        <v>13</v>
      </c>
      <c r="P69" s="275">
        <v>41</v>
      </c>
      <c r="Q69" s="275">
        <v>42</v>
      </c>
      <c r="R69" s="257">
        <v>43</v>
      </c>
      <c r="S69" s="275">
        <v>44</v>
      </c>
      <c r="T69" s="275">
        <v>15</v>
      </c>
      <c r="U69" s="275">
        <v>43</v>
      </c>
      <c r="V69" s="276">
        <v>41</v>
      </c>
      <c r="W69" s="254">
        <f>SUM(B69:V69)</f>
        <v>785</v>
      </c>
      <c r="X69" s="145"/>
      <c r="Y69" s="649"/>
      <c r="Z69" s="665"/>
      <c r="AA69" s="522"/>
      <c r="AE69" s="59"/>
      <c r="AI69" s="3"/>
      <c r="AJ69" s="3"/>
      <c r="AK69" s="3"/>
      <c r="AL69" s="3"/>
      <c r="AM69" s="3"/>
      <c r="AN69" s="3"/>
    </row>
    <row r="70" spans="1:51" ht="33.75" customHeight="1" x14ac:dyDescent="0.25">
      <c r="A70" s="194" t="s">
        <v>13</v>
      </c>
      <c r="B70" s="30">
        <f t="shared" ref="B70:V70" si="33">((((B68*7)*B69)/1000)-B60-B61)/5</f>
        <v>7.4622000000000002</v>
      </c>
      <c r="C70" s="31">
        <f t="shared" si="33"/>
        <v>7.4879999999999995</v>
      </c>
      <c r="D70" s="31">
        <f t="shared" si="33"/>
        <v>1.7285999999999997</v>
      </c>
      <c r="E70" s="31">
        <f t="shared" si="33"/>
        <v>7.6047999999999991</v>
      </c>
      <c r="F70" s="31">
        <f t="shared" si="33"/>
        <v>7.638399999999999</v>
      </c>
      <c r="G70" s="32">
        <f t="shared" si="33"/>
        <v>2.8468</v>
      </c>
      <c r="H70" s="65">
        <f t="shared" si="33"/>
        <v>7.6512000000000002</v>
      </c>
      <c r="I70" s="31">
        <f t="shared" si="33"/>
        <v>7.638399999999999</v>
      </c>
      <c r="J70" s="31">
        <f t="shared" si="33"/>
        <v>1.9279999999999997</v>
      </c>
      <c r="K70" s="31">
        <f t="shared" si="33"/>
        <v>7.6719999999999988</v>
      </c>
      <c r="L70" s="31">
        <f t="shared" si="33"/>
        <v>7.5775999999999994</v>
      </c>
      <c r="M70" s="30">
        <f t="shared" si="33"/>
        <v>6.1721999999999992</v>
      </c>
      <c r="N70" s="31">
        <f t="shared" si="33"/>
        <v>6.515299999999999</v>
      </c>
      <c r="O70" s="31">
        <f t="shared" si="33"/>
        <v>2.0301</v>
      </c>
      <c r="P70" s="31">
        <f t="shared" si="33"/>
        <v>6.515299999999999</v>
      </c>
      <c r="Q70" s="31">
        <f t="shared" si="33"/>
        <v>6.698599999999999</v>
      </c>
      <c r="R70" s="30">
        <f t="shared" si="33"/>
        <v>6.8719999999999999</v>
      </c>
      <c r="S70" s="31">
        <f t="shared" si="33"/>
        <v>7.016</v>
      </c>
      <c r="T70" s="31">
        <f t="shared" si="33"/>
        <v>2.3704999999999998</v>
      </c>
      <c r="U70" s="31">
        <f t="shared" si="33"/>
        <v>6.8620999999999999</v>
      </c>
      <c r="V70" s="32">
        <f t="shared" si="33"/>
        <v>6.5840000000000005</v>
      </c>
      <c r="W70" s="139">
        <f>((W67*1000)/W69)/7</f>
        <v>159.34485896269334</v>
      </c>
      <c r="X70" s="144"/>
      <c r="Y70" s="650"/>
      <c r="Z70" s="665"/>
      <c r="AA70" s="522"/>
      <c r="AI70" s="3"/>
      <c r="AJ70" s="3"/>
      <c r="AK70" s="3"/>
      <c r="AL70" s="3"/>
      <c r="AM70" s="3"/>
      <c r="AN70" s="3"/>
    </row>
    <row r="71" spans="1:51" ht="33.75" customHeight="1" x14ac:dyDescent="0.25">
      <c r="A71" s="185" t="s">
        <v>14</v>
      </c>
      <c r="B71" s="279">
        <f t="shared" ref="B71:V71" si="34">((B69*B68)*7)/1000</f>
        <v>52.311</v>
      </c>
      <c r="C71" s="280">
        <f t="shared" si="34"/>
        <v>52.64</v>
      </c>
      <c r="D71" s="280">
        <f t="shared" si="34"/>
        <v>12.243</v>
      </c>
      <c r="E71" s="280">
        <f t="shared" si="34"/>
        <v>53.423999999999999</v>
      </c>
      <c r="F71" s="280">
        <f t="shared" si="34"/>
        <v>53.591999999999999</v>
      </c>
      <c r="G71" s="282">
        <f t="shared" si="34"/>
        <v>20.033999999999999</v>
      </c>
      <c r="H71" s="325">
        <f t="shared" si="34"/>
        <v>53.256</v>
      </c>
      <c r="I71" s="280">
        <f t="shared" si="34"/>
        <v>53.591999999999999</v>
      </c>
      <c r="J71" s="280">
        <f t="shared" si="34"/>
        <v>13.44</v>
      </c>
      <c r="K71" s="280">
        <f t="shared" si="34"/>
        <v>53.76</v>
      </c>
      <c r="L71" s="280">
        <f t="shared" si="34"/>
        <v>53.088000000000001</v>
      </c>
      <c r="M71" s="279">
        <f t="shared" si="34"/>
        <v>42.860999999999997</v>
      </c>
      <c r="N71" s="280">
        <f t="shared" si="34"/>
        <v>45.776499999999999</v>
      </c>
      <c r="O71" s="280">
        <f t="shared" si="34"/>
        <v>14.150499999999999</v>
      </c>
      <c r="P71" s="280">
        <f t="shared" si="34"/>
        <v>45.776499999999999</v>
      </c>
      <c r="Q71" s="280">
        <f t="shared" si="34"/>
        <v>46.893000000000001</v>
      </c>
      <c r="R71" s="279">
        <f t="shared" si="34"/>
        <v>48.16</v>
      </c>
      <c r="S71" s="280">
        <f t="shared" si="34"/>
        <v>49.28</v>
      </c>
      <c r="T71" s="280">
        <f t="shared" si="34"/>
        <v>16.852499999999999</v>
      </c>
      <c r="U71" s="280">
        <f t="shared" si="34"/>
        <v>48.310499999999998</v>
      </c>
      <c r="V71" s="282">
        <f t="shared" si="34"/>
        <v>45.92</v>
      </c>
      <c r="W71" s="112"/>
      <c r="X71" s="651"/>
      <c r="Y71" s="666"/>
      <c r="Z71" s="666"/>
      <c r="AA71" s="666"/>
      <c r="AB71" s="41"/>
      <c r="AC71" s="41"/>
      <c r="AD71" s="41"/>
      <c r="AN71" s="3"/>
    </row>
    <row r="72" spans="1:51" ht="33.75" customHeight="1" thickBot="1" x14ac:dyDescent="0.3">
      <c r="A72" s="195" t="s">
        <v>15</v>
      </c>
      <c r="B72" s="37">
        <f t="shared" ref="B72:V72" si="35">+(B67/B69)/7*1000</f>
        <v>158.96656534954406</v>
      </c>
      <c r="C72" s="38">
        <f t="shared" si="35"/>
        <v>160.18237082066869</v>
      </c>
      <c r="D72" s="38">
        <f t="shared" si="35"/>
        <v>158.44155844155844</v>
      </c>
      <c r="E72" s="38">
        <f t="shared" si="35"/>
        <v>158.92857142857144</v>
      </c>
      <c r="F72" s="38">
        <f t="shared" si="35"/>
        <v>158.92857142857144</v>
      </c>
      <c r="G72" s="39">
        <f t="shared" si="35"/>
        <v>158.73015873015871</v>
      </c>
      <c r="H72" s="67">
        <f t="shared" si="35"/>
        <v>159.22619047619048</v>
      </c>
      <c r="I72" s="38">
        <f t="shared" si="35"/>
        <v>159.52380952380958</v>
      </c>
      <c r="J72" s="38">
        <f t="shared" si="35"/>
        <v>159.52380952380955</v>
      </c>
      <c r="K72" s="38">
        <f t="shared" si="35"/>
        <v>160.11904761904762</v>
      </c>
      <c r="L72" s="38">
        <f t="shared" si="35"/>
        <v>158.03571428571428</v>
      </c>
      <c r="M72" s="37">
        <f t="shared" si="35"/>
        <v>157.14285714285711</v>
      </c>
      <c r="N72" s="38">
        <f t="shared" si="35"/>
        <v>159.58188153310107</v>
      </c>
      <c r="O72" s="38">
        <f t="shared" si="35"/>
        <v>156.04395604395603</v>
      </c>
      <c r="P72" s="38">
        <f t="shared" si="35"/>
        <v>159.58188153310107</v>
      </c>
      <c r="Q72" s="38">
        <f t="shared" si="35"/>
        <v>159.52380952380955</v>
      </c>
      <c r="R72" s="37">
        <f t="shared" si="35"/>
        <v>160.13289036544847</v>
      </c>
      <c r="S72" s="38">
        <f t="shared" si="35"/>
        <v>160.06493506493507</v>
      </c>
      <c r="T72" s="38">
        <f t="shared" si="35"/>
        <v>160.95238095238096</v>
      </c>
      <c r="U72" s="38">
        <f t="shared" si="35"/>
        <v>160.46511627906972</v>
      </c>
      <c r="V72" s="39">
        <f t="shared" si="35"/>
        <v>159.93031358885017</v>
      </c>
      <c r="W72" s="40"/>
      <c r="X72" s="651"/>
      <c r="Y72" s="522"/>
      <c r="Z72" s="522"/>
      <c r="AA72" s="522"/>
      <c r="AN72" s="3"/>
    </row>
    <row r="73" spans="1:51" ht="33.75" customHeight="1" x14ac:dyDescent="0.25">
      <c r="B73" s="43">
        <f>B71-B67</f>
        <v>1.1000000000002785E-2</v>
      </c>
      <c r="C73" s="43">
        <f t="shared" ref="C73:G74" si="36">C71-C67</f>
        <v>-6.0000000000002274E-2</v>
      </c>
      <c r="D73" s="43">
        <f t="shared" si="36"/>
        <v>4.3000000000001037E-2</v>
      </c>
      <c r="E73" s="43">
        <f t="shared" si="36"/>
        <v>2.3999999999993804E-2</v>
      </c>
      <c r="F73" s="43">
        <f t="shared" si="36"/>
        <v>0.19199999999999307</v>
      </c>
      <c r="G73" s="43">
        <f t="shared" si="36"/>
        <v>3.4000000000002473E-2</v>
      </c>
      <c r="H73" s="43">
        <f>H71-H67</f>
        <v>-0.24400000000000688</v>
      </c>
      <c r="I73" s="43">
        <f t="shared" ref="I73:V74" si="37">I71-I67</f>
        <v>-8.0000000000097771E-3</v>
      </c>
      <c r="J73" s="43">
        <f t="shared" si="37"/>
        <v>3.9999999999999147E-2</v>
      </c>
      <c r="K73" s="43">
        <f t="shared" si="37"/>
        <v>-4.0000000000006253E-2</v>
      </c>
      <c r="L73" s="43">
        <f t="shared" si="37"/>
        <v>-1.2000000000000455E-2</v>
      </c>
      <c r="M73" s="43">
        <f>M71-M67</f>
        <v>-3.9000000000001478E-2</v>
      </c>
      <c r="N73" s="43">
        <f t="shared" ref="N73:Q73" si="38">N71-N67</f>
        <v>-2.3500000000005627E-2</v>
      </c>
      <c r="O73" s="43">
        <f t="shared" si="38"/>
        <v>-4.9500000000000099E-2</v>
      </c>
      <c r="P73" s="43">
        <f t="shared" si="38"/>
        <v>-2.3500000000005627E-2</v>
      </c>
      <c r="Q73" s="43">
        <f t="shared" si="38"/>
        <v>-7.0000000000050022E-3</v>
      </c>
      <c r="R73" s="43">
        <f>R71-R67</f>
        <v>-3.9999999999999147E-2</v>
      </c>
      <c r="S73" s="43">
        <f t="shared" ref="S73:V73" si="39">S71-S67</f>
        <v>-2.0000000000003126E-2</v>
      </c>
      <c r="T73" s="43">
        <f t="shared" si="39"/>
        <v>-4.7500000000002984E-2</v>
      </c>
      <c r="U73" s="43">
        <f t="shared" si="39"/>
        <v>1.0500000000007503E-2</v>
      </c>
      <c r="V73" s="43">
        <f t="shared" si="39"/>
        <v>1.9999999999996021E-2</v>
      </c>
      <c r="X73" s="144"/>
      <c r="Y73" s="522"/>
      <c r="Z73" s="522"/>
      <c r="AA73" s="522"/>
    </row>
    <row r="74" spans="1:51" ht="33.75" customHeight="1" x14ac:dyDescent="0.25">
      <c r="B74" s="42">
        <f t="shared" ref="B74:K74" si="40">B72-B68</f>
        <v>-3.3434650455944848E-2</v>
      </c>
      <c r="C74" s="42">
        <f t="shared" si="40"/>
        <v>0.18237082066869448</v>
      </c>
      <c r="D74" s="42">
        <f t="shared" si="40"/>
        <v>-0.55844155844155807</v>
      </c>
      <c r="E74" s="42">
        <f t="shared" si="40"/>
        <v>-7.1428571428555188E-2</v>
      </c>
      <c r="F74" s="42">
        <f t="shared" si="40"/>
        <v>-0.57142857142855519</v>
      </c>
      <c r="G74" s="42">
        <f t="shared" si="36"/>
        <v>-0.26984126984129375</v>
      </c>
      <c r="H74" s="42">
        <f t="shared" si="40"/>
        <v>0.7261904761904816</v>
      </c>
      <c r="I74" s="42">
        <f t="shared" si="40"/>
        <v>2.3809523809575239E-2</v>
      </c>
      <c r="J74" s="42">
        <f>J72-J68</f>
        <v>-0.47619047619045318</v>
      </c>
      <c r="K74" s="42">
        <f t="shared" si="40"/>
        <v>0.1190476190476204</v>
      </c>
      <c r="L74" s="42">
        <f t="shared" si="37"/>
        <v>3.5714285714277594E-2</v>
      </c>
      <c r="M74" s="42">
        <f t="shared" si="37"/>
        <v>0.14285714285711038</v>
      </c>
      <c r="N74" s="42">
        <f t="shared" si="37"/>
        <v>8.1881533101068271E-2</v>
      </c>
      <c r="O74" s="42">
        <f t="shared" si="37"/>
        <v>0.54395604395602959</v>
      </c>
      <c r="P74" s="42">
        <f t="shared" si="37"/>
        <v>8.1881533101068271E-2</v>
      </c>
      <c r="Q74" s="42">
        <f t="shared" si="37"/>
        <v>2.3809523809546818E-2</v>
      </c>
      <c r="R74" s="42">
        <f t="shared" si="37"/>
        <v>0.13289036544847477</v>
      </c>
      <c r="S74" s="42">
        <f t="shared" si="37"/>
        <v>6.4935064935070841E-2</v>
      </c>
      <c r="T74" s="42">
        <f t="shared" si="37"/>
        <v>0.45238095238096321</v>
      </c>
      <c r="U74" s="42">
        <f t="shared" si="37"/>
        <v>-3.488372093028147E-2</v>
      </c>
      <c r="V74" s="42">
        <f t="shared" si="37"/>
        <v>-6.9686411149831429E-2</v>
      </c>
      <c r="W74" s="45"/>
      <c r="X74" s="651"/>
      <c r="Y74" s="657"/>
      <c r="Z74" s="657"/>
      <c r="AA74" s="657"/>
      <c r="AB74" s="45"/>
      <c r="AC74" s="45"/>
      <c r="AD74" s="45"/>
      <c r="AE74" s="52"/>
    </row>
    <row r="75" spans="1:51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>
        <f>M60/M69</f>
        <v>0.15384615384615385</v>
      </c>
      <c r="N75" s="636">
        <f t="shared" ref="N75:V75" si="41">N60/N69</f>
        <v>0.16097560975609757</v>
      </c>
      <c r="O75" s="636">
        <f t="shared" si="41"/>
        <v>0.15384615384615385</v>
      </c>
      <c r="P75" s="636">
        <f t="shared" si="41"/>
        <v>0.16097560975609757</v>
      </c>
      <c r="Q75" s="636">
        <f t="shared" si="41"/>
        <v>0.15952380952380954</v>
      </c>
      <c r="R75" s="636">
        <f t="shared" si="41"/>
        <v>0.16046511627906979</v>
      </c>
      <c r="S75" s="636">
        <f t="shared" si="41"/>
        <v>0.16136363636363635</v>
      </c>
      <c r="T75" s="636">
        <f t="shared" si="41"/>
        <v>0.16666666666666666</v>
      </c>
      <c r="U75" s="636">
        <f t="shared" si="41"/>
        <v>0.16279069767441862</v>
      </c>
      <c r="V75" s="636">
        <f t="shared" si="41"/>
        <v>0.15853658536585366</v>
      </c>
      <c r="W75" s="636"/>
    </row>
    <row r="76" spans="1:51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45"/>
      <c r="N76" s="45"/>
      <c r="O76" s="45"/>
    </row>
    <row r="77" spans="1:51" ht="33.75" customHeight="1" x14ac:dyDescent="0.25">
      <c r="A77" s="45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1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1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1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4">
    <mergeCell ref="B39:F39"/>
    <mergeCell ref="G39:G40"/>
    <mergeCell ref="B58:F58"/>
    <mergeCell ref="R58:V58"/>
    <mergeCell ref="M58:Q58"/>
    <mergeCell ref="H58:L58"/>
    <mergeCell ref="A3:C3"/>
    <mergeCell ref="E9:G9"/>
    <mergeCell ref="W9:X9"/>
    <mergeCell ref="O11:P11"/>
    <mergeCell ref="B16:H16"/>
    <mergeCell ref="I16:O16"/>
    <mergeCell ref="P16:T16"/>
    <mergeCell ref="U16:Y16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41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40</v>
      </c>
      <c r="P11" s="965"/>
      <c r="Q11" s="6"/>
      <c r="R11" s="6"/>
      <c r="S11" s="6"/>
      <c r="T11" s="1"/>
      <c r="U11" s="1"/>
      <c r="V11" s="1" t="s">
        <v>6</v>
      </c>
      <c r="W11" s="95">
        <v>45613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594"/>
      <c r="I17" s="386" t="s">
        <v>100</v>
      </c>
      <c r="J17" s="438">
        <v>1</v>
      </c>
      <c r="K17" s="438">
        <v>2</v>
      </c>
      <c r="L17" s="438">
        <v>3</v>
      </c>
      <c r="M17" s="438">
        <v>4</v>
      </c>
      <c r="N17" s="439">
        <v>5</v>
      </c>
      <c r="O17" s="594"/>
      <c r="P17" s="202">
        <v>1</v>
      </c>
      <c r="Q17" s="174">
        <v>2</v>
      </c>
      <c r="R17" s="174">
        <v>3</v>
      </c>
      <c r="S17" s="174">
        <v>4</v>
      </c>
      <c r="T17" s="203">
        <v>5</v>
      </c>
      <c r="U17" s="186">
        <v>1</v>
      </c>
      <c r="V17" s="174">
        <v>2</v>
      </c>
      <c r="W17" s="174">
        <v>3</v>
      </c>
      <c r="X17" s="174">
        <v>4</v>
      </c>
      <c r="Y17" s="175">
        <v>5</v>
      </c>
      <c r="Z17" s="126"/>
      <c r="AD17" s="2"/>
      <c r="AE17" s="15"/>
    </row>
    <row r="18" spans="1:40" ht="39.950000000000003" customHeight="1" x14ac:dyDescent="0.25">
      <c r="A18" s="171" t="s">
        <v>53</v>
      </c>
      <c r="B18" s="595">
        <v>318.10000000000002</v>
      </c>
      <c r="C18" s="596">
        <v>18.600000000000001</v>
      </c>
      <c r="D18" s="596">
        <v>18.8</v>
      </c>
      <c r="E18" s="596">
        <v>4.7</v>
      </c>
      <c r="F18" s="596">
        <v>19.100000000000001</v>
      </c>
      <c r="G18" s="597">
        <v>19.100000000000001</v>
      </c>
      <c r="H18" s="506">
        <f>SUM(B18:G18)</f>
        <v>398.40000000000009</v>
      </c>
      <c r="I18" s="599">
        <v>321.10000000000002</v>
      </c>
      <c r="J18" s="596">
        <v>18.899999999999999</v>
      </c>
      <c r="K18" s="596">
        <v>19.100000000000001</v>
      </c>
      <c r="L18" s="596">
        <v>4.5999999999999996</v>
      </c>
      <c r="M18" s="596">
        <v>18.2</v>
      </c>
      <c r="N18" s="600">
        <v>18</v>
      </c>
      <c r="O18" s="506">
        <f t="shared" ref="O18:O24" si="0">SUM(I18:N18)</f>
        <v>399.90000000000003</v>
      </c>
      <c r="P18" s="601">
        <v>77.900000000000006</v>
      </c>
      <c r="Q18" s="504">
        <v>77.8</v>
      </c>
      <c r="R18" s="596">
        <v>26.1</v>
      </c>
      <c r="S18" s="596">
        <v>78.400000000000006</v>
      </c>
      <c r="T18" s="600">
        <v>77.900000000000006</v>
      </c>
      <c r="U18" s="602">
        <v>80.8</v>
      </c>
      <c r="V18" s="596">
        <v>82</v>
      </c>
      <c r="W18" s="504">
        <v>27.2</v>
      </c>
      <c r="X18" s="504">
        <v>82.1</v>
      </c>
      <c r="Y18" s="600">
        <v>81.7</v>
      </c>
      <c r="Z18" s="509">
        <f>SUM(H18,O18,P18:Y18)</f>
        <v>1490.2000000000003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595">
        <v>318</v>
      </c>
      <c r="C19" s="596">
        <v>18.600000000000001</v>
      </c>
      <c r="D19" s="596">
        <v>18.8</v>
      </c>
      <c r="E19" s="596">
        <v>4.5999999999999996</v>
      </c>
      <c r="F19" s="596">
        <v>19.100000000000001</v>
      </c>
      <c r="G19" s="597">
        <v>19.100000000000001</v>
      </c>
      <c r="H19" s="635">
        <f>SUM(B19:G19)</f>
        <v>398.2000000000001</v>
      </c>
      <c r="I19" s="599">
        <v>321.10000000000002</v>
      </c>
      <c r="J19" s="596">
        <v>18.899999999999999</v>
      </c>
      <c r="K19" s="596">
        <v>19.100000000000001</v>
      </c>
      <c r="L19" s="596">
        <v>4.5999999999999996</v>
      </c>
      <c r="M19" s="596">
        <v>18.2</v>
      </c>
      <c r="N19" s="600">
        <v>18</v>
      </c>
      <c r="O19" s="635">
        <f t="shared" si="0"/>
        <v>399.90000000000003</v>
      </c>
      <c r="P19" s="601">
        <v>77.900000000000006</v>
      </c>
      <c r="Q19" s="504">
        <v>77.8</v>
      </c>
      <c r="R19" s="596">
        <v>25.6</v>
      </c>
      <c r="S19" s="596">
        <v>78.400000000000006</v>
      </c>
      <c r="T19" s="600">
        <v>77.900000000000006</v>
      </c>
      <c r="U19" s="602">
        <v>80.8</v>
      </c>
      <c r="V19" s="596">
        <v>82</v>
      </c>
      <c r="W19" s="504">
        <v>27</v>
      </c>
      <c r="X19" s="504">
        <v>82.1</v>
      </c>
      <c r="Y19" s="600">
        <v>81.7</v>
      </c>
      <c r="Z19" s="509">
        <f>SUM(H19,O19,P19:Y19)</f>
        <v>1489.3000000000002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595">
        <v>317.7</v>
      </c>
      <c r="C20" s="629">
        <v>18.2</v>
      </c>
      <c r="D20" s="629">
        <v>18.5</v>
      </c>
      <c r="E20" s="629">
        <v>4.5</v>
      </c>
      <c r="F20" s="629">
        <v>18.7</v>
      </c>
      <c r="G20" s="630">
        <v>18.8</v>
      </c>
      <c r="H20" s="506">
        <f t="shared" ref="H20:H22" si="1">SUM(B20:G20)</f>
        <v>396.4</v>
      </c>
      <c r="I20" s="599">
        <v>320.60000000000002</v>
      </c>
      <c r="J20" s="629">
        <v>18.5</v>
      </c>
      <c r="K20" s="629">
        <v>18.7</v>
      </c>
      <c r="L20" s="629">
        <v>4.5</v>
      </c>
      <c r="M20" s="629">
        <v>17.8</v>
      </c>
      <c r="N20" s="632">
        <v>17.7</v>
      </c>
      <c r="O20" s="506">
        <f t="shared" si="0"/>
        <v>397.8</v>
      </c>
      <c r="P20" s="633">
        <v>77.8</v>
      </c>
      <c r="Q20" s="455">
        <v>77.400000000000006</v>
      </c>
      <c r="R20" s="629">
        <v>25.6</v>
      </c>
      <c r="S20" s="629">
        <v>78.099999999999994</v>
      </c>
      <c r="T20" s="632">
        <v>77.599999999999994</v>
      </c>
      <c r="U20" s="634">
        <v>80.5</v>
      </c>
      <c r="V20" s="629">
        <v>81.8</v>
      </c>
      <c r="W20" s="455">
        <v>26.2</v>
      </c>
      <c r="X20" s="455">
        <v>81.8</v>
      </c>
      <c r="Y20" s="632">
        <v>80.8</v>
      </c>
      <c r="Z20" s="509">
        <f t="shared" ref="Z20:Z24" si="2">SUM(H20,O20,P20:Y20)</f>
        <v>1481.7999999999997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595">
        <v>317.7</v>
      </c>
      <c r="C21" s="596">
        <v>18.2</v>
      </c>
      <c r="D21" s="596">
        <v>18.5</v>
      </c>
      <c r="E21" s="596">
        <v>4.5</v>
      </c>
      <c r="F21" s="596">
        <v>18.7</v>
      </c>
      <c r="G21" s="597">
        <v>18.8</v>
      </c>
      <c r="H21" s="506">
        <f t="shared" si="1"/>
        <v>396.4</v>
      </c>
      <c r="I21" s="599">
        <v>320.5</v>
      </c>
      <c r="J21" s="596">
        <v>18.5</v>
      </c>
      <c r="K21" s="596">
        <v>18.7</v>
      </c>
      <c r="L21" s="596">
        <v>4.5</v>
      </c>
      <c r="M21" s="596">
        <v>17.8</v>
      </c>
      <c r="N21" s="600">
        <v>17.7</v>
      </c>
      <c r="O21" s="506">
        <f t="shared" si="0"/>
        <v>397.7</v>
      </c>
      <c r="P21" s="601">
        <v>77.8</v>
      </c>
      <c r="Q21" s="504">
        <v>77.2</v>
      </c>
      <c r="R21" s="596">
        <v>25.6</v>
      </c>
      <c r="S21" s="596">
        <v>78.099999999999994</v>
      </c>
      <c r="T21" s="600">
        <v>77.599999999999994</v>
      </c>
      <c r="U21" s="602">
        <v>80.3</v>
      </c>
      <c r="V21" s="596">
        <v>81.8</v>
      </c>
      <c r="W21" s="504">
        <v>26</v>
      </c>
      <c r="X21" s="504">
        <v>81.8</v>
      </c>
      <c r="Y21" s="600">
        <v>80.8</v>
      </c>
      <c r="Z21" s="509">
        <f t="shared" si="2"/>
        <v>1481.0999999999997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595">
        <v>317.7</v>
      </c>
      <c r="C22" s="596">
        <v>18.2</v>
      </c>
      <c r="D22" s="596">
        <v>18.5</v>
      </c>
      <c r="E22" s="596">
        <v>4.5</v>
      </c>
      <c r="F22" s="596">
        <v>18.7</v>
      </c>
      <c r="G22" s="597">
        <v>18.8</v>
      </c>
      <c r="H22" s="506">
        <f t="shared" si="1"/>
        <v>396.4</v>
      </c>
      <c r="I22" s="599">
        <v>320.10000000000002</v>
      </c>
      <c r="J22" s="596">
        <v>18.5</v>
      </c>
      <c r="K22" s="596">
        <v>18.7</v>
      </c>
      <c r="L22" s="596">
        <v>4.5</v>
      </c>
      <c r="M22" s="596">
        <v>17.8</v>
      </c>
      <c r="N22" s="600">
        <v>17.600000000000001</v>
      </c>
      <c r="O22" s="506">
        <f t="shared" si="0"/>
        <v>397.20000000000005</v>
      </c>
      <c r="P22" s="601">
        <v>77.8</v>
      </c>
      <c r="Q22" s="504">
        <v>77.2</v>
      </c>
      <c r="R22" s="596">
        <v>25.6</v>
      </c>
      <c r="S22" s="596">
        <v>78.099999999999994</v>
      </c>
      <c r="T22" s="600">
        <v>77.099999999999994</v>
      </c>
      <c r="U22" s="602">
        <v>80.3</v>
      </c>
      <c r="V22" s="596">
        <v>81.8</v>
      </c>
      <c r="W22" s="504">
        <v>26</v>
      </c>
      <c r="X22" s="504">
        <v>81.8</v>
      </c>
      <c r="Y22" s="600">
        <v>80.599999999999994</v>
      </c>
      <c r="Z22" s="509">
        <f t="shared" si="2"/>
        <v>1479.8999999999996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595">
        <v>317.7</v>
      </c>
      <c r="C23" s="596">
        <v>18.2</v>
      </c>
      <c r="D23" s="596">
        <v>18.5</v>
      </c>
      <c r="E23" s="596">
        <v>4.5</v>
      </c>
      <c r="F23" s="596">
        <v>18.7</v>
      </c>
      <c r="G23" s="597">
        <v>18.8</v>
      </c>
      <c r="H23" s="506">
        <f>SUM(B23:G23)</f>
        <v>396.4</v>
      </c>
      <c r="I23" s="599">
        <v>319.8</v>
      </c>
      <c r="J23" s="596">
        <v>18.399999999999999</v>
      </c>
      <c r="K23" s="596">
        <v>18.7</v>
      </c>
      <c r="L23" s="596">
        <v>4.5</v>
      </c>
      <c r="M23" s="596">
        <v>17.8</v>
      </c>
      <c r="N23" s="600">
        <v>17.600000000000001</v>
      </c>
      <c r="O23" s="506">
        <f t="shared" si="0"/>
        <v>396.8</v>
      </c>
      <c r="P23" s="601">
        <v>77.8</v>
      </c>
      <c r="Q23" s="504">
        <v>77.2</v>
      </c>
      <c r="R23" s="596">
        <v>25.4</v>
      </c>
      <c r="S23" s="596">
        <v>77.8</v>
      </c>
      <c r="T23" s="600">
        <v>77.099999999999994</v>
      </c>
      <c r="U23" s="602">
        <v>80.3</v>
      </c>
      <c r="V23" s="596">
        <v>81.8</v>
      </c>
      <c r="W23" s="504">
        <v>25.6</v>
      </c>
      <c r="X23" s="504">
        <v>81.8</v>
      </c>
      <c r="Y23" s="600">
        <v>80.599999999999994</v>
      </c>
      <c r="Z23" s="509">
        <f t="shared" si="2"/>
        <v>1478.5999999999997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595">
        <v>317.3</v>
      </c>
      <c r="C24" s="596">
        <v>18.2</v>
      </c>
      <c r="D24" s="596">
        <v>18.5</v>
      </c>
      <c r="E24" s="596">
        <v>4.5</v>
      </c>
      <c r="F24" s="596">
        <v>18.7</v>
      </c>
      <c r="G24" s="597">
        <v>18.7</v>
      </c>
      <c r="H24" s="598">
        <f>SUM(B24:G24)</f>
        <v>395.9</v>
      </c>
      <c r="I24" s="599">
        <v>319.5</v>
      </c>
      <c r="J24" s="596">
        <v>18.399999999999999</v>
      </c>
      <c r="K24" s="596">
        <v>18.7</v>
      </c>
      <c r="L24" s="596">
        <v>4.4000000000000004</v>
      </c>
      <c r="M24" s="596">
        <v>17.8</v>
      </c>
      <c r="N24" s="600">
        <v>17.600000000000001</v>
      </c>
      <c r="O24" s="598">
        <f t="shared" si="0"/>
        <v>396.4</v>
      </c>
      <c r="P24" s="601">
        <v>77.8</v>
      </c>
      <c r="Q24" s="504">
        <v>77.2</v>
      </c>
      <c r="R24" s="596">
        <v>25.4</v>
      </c>
      <c r="S24" s="596">
        <v>77.8</v>
      </c>
      <c r="T24" s="600">
        <v>77.099999999999994</v>
      </c>
      <c r="U24" s="602">
        <v>80.3</v>
      </c>
      <c r="V24" s="596">
        <v>81.599999999999994</v>
      </c>
      <c r="W24" s="504">
        <v>25.3</v>
      </c>
      <c r="X24" s="504">
        <v>81.8</v>
      </c>
      <c r="Y24" s="600">
        <v>80.599999999999994</v>
      </c>
      <c r="Z24" s="643">
        <f t="shared" si="2"/>
        <v>1477.1999999999996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298">
        <f t="shared" ref="C25:H25" si="3">SUM(C18:C24)</f>
        <v>128.20000000000002</v>
      </c>
      <c r="D25" s="298">
        <f t="shared" si="3"/>
        <v>130.1</v>
      </c>
      <c r="E25" s="298">
        <f t="shared" si="3"/>
        <v>31.8</v>
      </c>
      <c r="F25" s="298">
        <f t="shared" si="3"/>
        <v>131.70000000000002</v>
      </c>
      <c r="G25" s="448">
        <f t="shared" si="3"/>
        <v>132.1</v>
      </c>
      <c r="H25" s="436">
        <f t="shared" si="3"/>
        <v>2778.1000000000004</v>
      </c>
      <c r="I25" s="297"/>
      <c r="J25" s="298">
        <f t="shared" ref="J25:N25" si="4">SUM(J18:J24)</f>
        <v>130.1</v>
      </c>
      <c r="K25" s="298">
        <f>SUM(K18:K24)</f>
        <v>131.70000000000002</v>
      </c>
      <c r="L25" s="298">
        <f t="shared" si="4"/>
        <v>31.6</v>
      </c>
      <c r="M25" s="298">
        <f t="shared" si="4"/>
        <v>125.39999999999999</v>
      </c>
      <c r="N25" s="299">
        <f t="shared" si="4"/>
        <v>124.19999999999999</v>
      </c>
      <c r="O25" s="436">
        <f>SUM(O18:O24)</f>
        <v>2785.7000000000003</v>
      </c>
      <c r="P25" s="297">
        <f t="shared" ref="P25:Y25" si="5">SUM(P18:P24)</f>
        <v>544.80000000000007</v>
      </c>
      <c r="Q25" s="297">
        <f t="shared" si="5"/>
        <v>541.79999999999995</v>
      </c>
      <c r="R25" s="297">
        <f t="shared" si="5"/>
        <v>179.3</v>
      </c>
      <c r="S25" s="297">
        <f t="shared" si="5"/>
        <v>546.70000000000005</v>
      </c>
      <c r="T25" s="297">
        <f t="shared" si="5"/>
        <v>542.30000000000007</v>
      </c>
      <c r="U25" s="297">
        <f t="shared" si="5"/>
        <v>563.29999999999995</v>
      </c>
      <c r="V25" s="297">
        <f t="shared" si="5"/>
        <v>572.80000000000007</v>
      </c>
      <c r="W25" s="297">
        <f t="shared" si="5"/>
        <v>183.3</v>
      </c>
      <c r="X25" s="297">
        <f t="shared" si="5"/>
        <v>573.20000000000005</v>
      </c>
      <c r="Y25" s="297">
        <f t="shared" si="5"/>
        <v>566.80000000000007</v>
      </c>
      <c r="Z25" s="607">
        <f>SUM(Z18,Z19,Z20,Z21,Z22,Z23,Z24)</f>
        <v>10378.099999999999</v>
      </c>
      <c r="AA25" s="301"/>
    </row>
    <row r="26" spans="1:40" s="2" customFormat="1" ht="36.75" customHeight="1" x14ac:dyDescent="0.25">
      <c r="A26" s="192" t="s">
        <v>11</v>
      </c>
      <c r="B26" s="293"/>
      <c r="C26" s="603">
        <v>162.19999999999999</v>
      </c>
      <c r="D26" s="603">
        <v>162.19999999999999</v>
      </c>
      <c r="E26" s="603">
        <v>162.19999999999999</v>
      </c>
      <c r="F26" s="603">
        <v>162.19999999999999</v>
      </c>
      <c r="G26" s="676">
        <v>162.19999999999999</v>
      </c>
      <c r="H26" s="678"/>
      <c r="I26" s="604"/>
      <c r="J26" s="603">
        <v>162.19999999999999</v>
      </c>
      <c r="K26" s="603">
        <v>162.19999999999999</v>
      </c>
      <c r="L26" s="603">
        <v>160.5</v>
      </c>
      <c r="M26" s="603">
        <v>160.5</v>
      </c>
      <c r="N26" s="676">
        <v>160.5</v>
      </c>
      <c r="O26" s="678"/>
      <c r="P26" s="677">
        <v>160.5</v>
      </c>
      <c r="Q26" s="603">
        <v>160.5</v>
      </c>
      <c r="R26" s="603">
        <v>160.5</v>
      </c>
      <c r="S26" s="603">
        <v>160.5</v>
      </c>
      <c r="T26" s="603">
        <v>160.5</v>
      </c>
      <c r="U26" s="603">
        <v>160.5</v>
      </c>
      <c r="V26" s="603">
        <v>160.5</v>
      </c>
      <c r="W26" s="603">
        <v>160.5</v>
      </c>
      <c r="X26" s="603">
        <v>160.5</v>
      </c>
      <c r="Y26" s="603">
        <v>160.5</v>
      </c>
      <c r="Z26" s="605">
        <f>(((Z25*1000)/7)/Z27)</f>
        <v>161.53690502132426</v>
      </c>
    </row>
    <row r="27" spans="1:40" s="2" customFormat="1" ht="33" customHeight="1" x14ac:dyDescent="0.25">
      <c r="A27" s="193" t="s">
        <v>12</v>
      </c>
      <c r="B27" s="257"/>
      <c r="C27" s="27">
        <v>565</v>
      </c>
      <c r="D27" s="27">
        <v>574</v>
      </c>
      <c r="E27" s="27">
        <v>139</v>
      </c>
      <c r="F27" s="27">
        <v>581</v>
      </c>
      <c r="G27" s="183">
        <v>582</v>
      </c>
      <c r="H27" s="679"/>
      <c r="I27" s="26"/>
      <c r="J27" s="27">
        <v>572</v>
      </c>
      <c r="K27" s="27">
        <v>580</v>
      </c>
      <c r="L27" s="483">
        <v>144</v>
      </c>
      <c r="M27" s="27">
        <v>584</v>
      </c>
      <c r="N27" s="183">
        <v>578</v>
      </c>
      <c r="O27" s="679"/>
      <c r="P27" s="64">
        <v>485</v>
      </c>
      <c r="Q27" s="27">
        <v>482</v>
      </c>
      <c r="R27" s="27">
        <v>159</v>
      </c>
      <c r="S27" s="27">
        <v>486</v>
      </c>
      <c r="T27" s="623">
        <v>482</v>
      </c>
      <c r="U27" s="26">
        <v>501</v>
      </c>
      <c r="V27" s="27">
        <v>509</v>
      </c>
      <c r="W27" s="27">
        <v>161</v>
      </c>
      <c r="X27" s="27">
        <v>510</v>
      </c>
      <c r="Y27" s="28">
        <v>504</v>
      </c>
      <c r="Z27" s="29">
        <f>SUM(C27:Y27)</f>
        <v>9178</v>
      </c>
      <c r="AA27" s="402"/>
    </row>
    <row r="28" spans="1:40" s="2" customFormat="1" ht="33" customHeight="1" x14ac:dyDescent="0.25">
      <c r="A28" s="444" t="s">
        <v>13</v>
      </c>
      <c r="B28" s="445"/>
      <c r="C28" s="31">
        <f>(C33*C27)/1000</f>
        <v>18.192999999999994</v>
      </c>
      <c r="D28" s="31">
        <f>(D33*D27)/1000</f>
        <v>18.48279999999999</v>
      </c>
      <c r="E28" s="31">
        <f t="shared" ref="E28:F28" si="6">(E33*E27)/1000</f>
        <v>4.4757999999999987</v>
      </c>
      <c r="F28" s="31">
        <f t="shared" si="6"/>
        <v>18.708199999999994</v>
      </c>
      <c r="G28" s="163">
        <f>(G33*G27)/1000</f>
        <v>18.740399999999994</v>
      </c>
      <c r="H28" s="286"/>
      <c r="I28" s="30"/>
      <c r="J28" s="31">
        <f>(J33*J27)/1000</f>
        <v>18.418399999999995</v>
      </c>
      <c r="K28" s="31">
        <f t="shared" ref="K28:N28" si="7">(K33*K27)/1000</f>
        <v>18.675999999999991</v>
      </c>
      <c r="L28" s="31">
        <f t="shared" si="7"/>
        <v>4.3920000000000003</v>
      </c>
      <c r="M28" s="31">
        <f t="shared" si="7"/>
        <v>17.812000000000001</v>
      </c>
      <c r="N28" s="163">
        <f t="shared" si="7"/>
        <v>17.629000000000001</v>
      </c>
      <c r="O28" s="286"/>
      <c r="P28" s="65">
        <f>((((P26*7)*P27)/1000)-P18-P19)/5</f>
        <v>77.819500000000019</v>
      </c>
      <c r="Q28" s="31">
        <f t="shared" ref="Q28:Y28" si="8">((((Q26*7)*Q27)/1000)-Q18-Q19)/5</f>
        <v>77.185400000000001</v>
      </c>
      <c r="R28" s="31">
        <f>((((R26*7)*R27)/1000)-R18-R19)/5</f>
        <v>25.387300000000003</v>
      </c>
      <c r="S28" s="31">
        <f t="shared" si="8"/>
        <v>77.844200000000001</v>
      </c>
      <c r="T28" s="32">
        <f t="shared" si="8"/>
        <v>77.145400000000024</v>
      </c>
      <c r="U28" s="30">
        <f t="shared" si="8"/>
        <v>80.2547</v>
      </c>
      <c r="V28" s="31">
        <f t="shared" si="8"/>
        <v>81.572299999999998</v>
      </c>
      <c r="W28" s="31">
        <f t="shared" si="8"/>
        <v>25.3367</v>
      </c>
      <c r="X28" s="31">
        <f t="shared" si="8"/>
        <v>81.756999999999991</v>
      </c>
      <c r="Y28" s="32">
        <f t="shared" si="8"/>
        <v>80.56880000000001</v>
      </c>
      <c r="Z28" s="33"/>
    </row>
    <row r="29" spans="1:40" ht="33.75" customHeight="1" x14ac:dyDescent="0.25">
      <c r="A29" s="185" t="s">
        <v>14</v>
      </c>
      <c r="B29" s="34"/>
      <c r="C29" s="280">
        <f>((C27*C30)*7)/1000</f>
        <v>128.20000000000002</v>
      </c>
      <c r="D29" s="280">
        <f t="shared" ref="D29:G29" si="9">((D27*D30)*7)/1000</f>
        <v>130.1</v>
      </c>
      <c r="E29" s="280">
        <f>((E27*E30)*7)/1000</f>
        <v>31.8</v>
      </c>
      <c r="F29" s="280">
        <f t="shared" si="9"/>
        <v>131.69999999999999</v>
      </c>
      <c r="G29" s="281">
        <f t="shared" si="9"/>
        <v>132.10000000000002</v>
      </c>
      <c r="H29" s="680"/>
      <c r="I29" s="279"/>
      <c r="J29" s="280">
        <f>((J27*J30)*7)/1000</f>
        <v>130.1</v>
      </c>
      <c r="K29" s="280">
        <f t="shared" ref="K29:N29" si="10">((K27*K30)*7)/1000</f>
        <v>131.70000000000002</v>
      </c>
      <c r="L29" s="280">
        <f t="shared" si="10"/>
        <v>31.599999999999998</v>
      </c>
      <c r="M29" s="280">
        <f t="shared" si="10"/>
        <v>125.4</v>
      </c>
      <c r="N29" s="281">
        <f t="shared" si="10"/>
        <v>124.19999999999999</v>
      </c>
      <c r="O29" s="680"/>
      <c r="P29" s="325">
        <f t="shared" ref="P29:Y29" si="11">((P27*P26)*7)/1000</f>
        <v>544.89750000000004</v>
      </c>
      <c r="Q29" s="280">
        <f t="shared" si="11"/>
        <v>541.52700000000004</v>
      </c>
      <c r="R29" s="280">
        <f t="shared" si="11"/>
        <v>178.63650000000001</v>
      </c>
      <c r="S29" s="280">
        <f t="shared" si="11"/>
        <v>546.02099999999996</v>
      </c>
      <c r="T29" s="282">
        <f t="shared" si="11"/>
        <v>541.52700000000004</v>
      </c>
      <c r="U29" s="279">
        <f t="shared" si="11"/>
        <v>562.87350000000004</v>
      </c>
      <c r="V29" s="280">
        <f t="shared" si="11"/>
        <v>571.86149999999998</v>
      </c>
      <c r="W29" s="280">
        <f t="shared" si="11"/>
        <v>180.8835</v>
      </c>
      <c r="X29" s="280">
        <f t="shared" si="11"/>
        <v>572.98500000000001</v>
      </c>
      <c r="Y29" s="282">
        <f t="shared" si="11"/>
        <v>566.24400000000003</v>
      </c>
      <c r="Z29" s="36"/>
    </row>
    <row r="30" spans="1:40" ht="33.75" customHeight="1" thickBot="1" x14ac:dyDescent="0.3">
      <c r="A30" s="195" t="s">
        <v>15</v>
      </c>
      <c r="B30" s="423"/>
      <c r="C30" s="38">
        <f>+(C25/C27)/7*1000</f>
        <v>32.414664981036665</v>
      </c>
      <c r="D30" s="38">
        <f t="shared" ref="D30:Y30" si="12">+(D25/D27)/7*1000</f>
        <v>32.379293180686908</v>
      </c>
      <c r="E30" s="38">
        <f t="shared" si="12"/>
        <v>32.682425488180883</v>
      </c>
      <c r="F30" s="38">
        <f t="shared" si="12"/>
        <v>32.38259159085321</v>
      </c>
      <c r="G30" s="207">
        <f t="shared" si="12"/>
        <v>32.425135002454596</v>
      </c>
      <c r="H30" s="262"/>
      <c r="I30" s="37"/>
      <c r="J30" s="38">
        <f t="shared" si="12"/>
        <v>32.492507492507492</v>
      </c>
      <c r="K30" s="38">
        <f t="shared" si="12"/>
        <v>32.438423645320199</v>
      </c>
      <c r="L30" s="38">
        <f t="shared" si="12"/>
        <v>31.349206349206348</v>
      </c>
      <c r="M30" s="38">
        <f t="shared" si="12"/>
        <v>30.675146771037184</v>
      </c>
      <c r="N30" s="207">
        <f t="shared" si="12"/>
        <v>30.69698467622343</v>
      </c>
      <c r="O30" s="262"/>
      <c r="P30" s="67">
        <f t="shared" si="12"/>
        <v>160.47128129602359</v>
      </c>
      <c r="Q30" s="38">
        <f t="shared" si="12"/>
        <v>160.58091286307055</v>
      </c>
      <c r="R30" s="38">
        <f t="shared" si="12"/>
        <v>161.09613656783469</v>
      </c>
      <c r="S30" s="38">
        <f t="shared" si="12"/>
        <v>160.69958847736626</v>
      </c>
      <c r="T30" s="39">
        <f t="shared" si="12"/>
        <v>160.72910491997632</v>
      </c>
      <c r="U30" s="37">
        <f t="shared" si="12"/>
        <v>160.62161391502707</v>
      </c>
      <c r="V30" s="38">
        <f t="shared" si="12"/>
        <v>160.76340162784172</v>
      </c>
      <c r="W30" s="38">
        <f t="shared" si="12"/>
        <v>162.64418811002662</v>
      </c>
      <c r="X30" s="38">
        <f t="shared" si="12"/>
        <v>160.56022408963585</v>
      </c>
      <c r="Y30" s="39">
        <f t="shared" si="12"/>
        <v>160.65759637188214</v>
      </c>
      <c r="Z30" s="40"/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3">D29-D25</f>
        <v>0</v>
      </c>
      <c r="E31" s="42">
        <f t="shared" si="13"/>
        <v>0</v>
      </c>
      <c r="F31" s="42">
        <f t="shared" si="13"/>
        <v>0</v>
      </c>
      <c r="G31" s="42">
        <f t="shared" si="13"/>
        <v>0</v>
      </c>
      <c r="H31" s="42"/>
      <c r="I31" s="42"/>
      <c r="J31" s="42">
        <f t="shared" si="13"/>
        <v>0</v>
      </c>
      <c r="K31" s="42">
        <f>K29-K25</f>
        <v>0</v>
      </c>
      <c r="L31" s="42">
        <f t="shared" si="13"/>
        <v>0</v>
      </c>
      <c r="M31" s="42">
        <f t="shared" si="13"/>
        <v>0</v>
      </c>
      <c r="N31" s="42">
        <f t="shared" si="13"/>
        <v>0</v>
      </c>
      <c r="O31" s="42"/>
      <c r="P31" s="42">
        <f t="shared" si="13"/>
        <v>9.7499999999968168E-2</v>
      </c>
      <c r="Q31" s="42">
        <f t="shared" si="13"/>
        <v>-0.27299999999991087</v>
      </c>
      <c r="R31" s="42">
        <f t="shared" si="13"/>
        <v>-0.66349999999999909</v>
      </c>
      <c r="S31" s="42">
        <f t="shared" si="13"/>
        <v>-0.67900000000008731</v>
      </c>
      <c r="T31" s="42">
        <f t="shared" si="13"/>
        <v>-0.77300000000002456</v>
      </c>
      <c r="U31" s="42">
        <f t="shared" si="13"/>
        <v>-0.42649999999991905</v>
      </c>
      <c r="V31" s="42">
        <f t="shared" si="13"/>
        <v>-0.93850000000009004</v>
      </c>
      <c r="W31" s="42">
        <f t="shared" si="13"/>
        <v>-2.4165000000000134</v>
      </c>
      <c r="X31" s="42">
        <f t="shared" si="13"/>
        <v>-0.21500000000003183</v>
      </c>
      <c r="Y31" s="42">
        <f t="shared" si="13"/>
        <v>-0.55600000000004002</v>
      </c>
      <c r="Z31" s="48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0.21466498103667675</v>
      </c>
      <c r="D32" s="42">
        <f t="shared" ref="D32:G32" si="14">D30-D33</f>
        <v>0.17929318068691913</v>
      </c>
      <c r="E32" s="42">
        <f t="shared" si="14"/>
        <v>0.48242548818089404</v>
      </c>
      <c r="F32" s="42">
        <f t="shared" si="14"/>
        <v>0.18259159085322096</v>
      </c>
      <c r="G32" s="42">
        <f t="shared" si="14"/>
        <v>0.22513500245460705</v>
      </c>
      <c r="H32" s="42"/>
      <c r="I32" s="42"/>
      <c r="J32" s="42">
        <f t="shared" ref="J32:N32" si="15">J30-J33</f>
        <v>0.29250749250750374</v>
      </c>
      <c r="K32" s="42">
        <f t="shared" si="15"/>
        <v>0.23842364532021065</v>
      </c>
      <c r="L32" s="42">
        <f t="shared" si="15"/>
        <v>0.84920634920634797</v>
      </c>
      <c r="M32" s="42">
        <f t="shared" si="15"/>
        <v>0.17514677103718412</v>
      </c>
      <c r="N32" s="42">
        <f t="shared" si="15"/>
        <v>0.19698467622342974</v>
      </c>
      <c r="O32" s="42"/>
      <c r="P32" s="42">
        <f t="shared" si="13"/>
        <v>-2.8718703976409188E-2</v>
      </c>
      <c r="Q32" s="42">
        <f t="shared" si="13"/>
        <v>8.0912863070551566E-2</v>
      </c>
      <c r="R32" s="42">
        <f t="shared" si="13"/>
        <v>0.59613656783469082</v>
      </c>
      <c r="S32" s="42">
        <f t="shared" si="13"/>
        <v>0.1995884773662624</v>
      </c>
      <c r="T32" s="42">
        <f t="shared" si="13"/>
        <v>0.22910491997632221</v>
      </c>
      <c r="U32" s="42">
        <f t="shared" si="13"/>
        <v>0.1216139150270692</v>
      </c>
      <c r="V32" s="42">
        <f t="shared" si="13"/>
        <v>0.26340162784171639</v>
      </c>
      <c r="W32" s="42">
        <f t="shared" si="13"/>
        <v>2.1441881100266187</v>
      </c>
      <c r="X32" s="42">
        <f t="shared" si="13"/>
        <v>6.0224089635852351E-2</v>
      </c>
      <c r="Y32" s="42">
        <f t="shared" si="13"/>
        <v>0.1575963718821356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32.199999999999989</v>
      </c>
      <c r="D33" s="42">
        <f t="shared" ref="D33:G33" si="16">D26-$B$34</f>
        <v>32.199999999999989</v>
      </c>
      <c r="E33" s="42">
        <f t="shared" si="16"/>
        <v>32.199999999999989</v>
      </c>
      <c r="F33" s="42">
        <f t="shared" si="16"/>
        <v>32.199999999999989</v>
      </c>
      <c r="G33" s="42">
        <f t="shared" si="16"/>
        <v>32.199999999999989</v>
      </c>
      <c r="H33" s="42"/>
      <c r="I33" s="42"/>
      <c r="J33" s="42">
        <f>J26-$I$34</f>
        <v>32.199999999999989</v>
      </c>
      <c r="K33" s="42">
        <f t="shared" ref="K33:N33" si="17">K26-$I$34</f>
        <v>32.199999999999989</v>
      </c>
      <c r="L33" s="42">
        <f t="shared" si="17"/>
        <v>30.5</v>
      </c>
      <c r="M33" s="42">
        <f t="shared" si="17"/>
        <v>30.5</v>
      </c>
      <c r="N33" s="42">
        <f t="shared" si="17"/>
        <v>30.5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317.33</v>
      </c>
      <c r="D34" s="432">
        <f>SUM(C27:G27)</f>
        <v>2441</v>
      </c>
      <c r="E34" s="42"/>
      <c r="F34" s="42"/>
      <c r="G34" s="42"/>
      <c r="H34" s="42"/>
      <c r="I34" s="514">
        <v>130</v>
      </c>
      <c r="J34" s="431">
        <f>(I34*K34)/1000</f>
        <v>319.54000000000002</v>
      </c>
      <c r="K34" s="432">
        <f>SUM(J27:N27)</f>
        <v>2458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991"/>
      <c r="S39" s="674" t="s">
        <v>9</v>
      </c>
      <c r="T39" s="645"/>
      <c r="V39" s="45"/>
      <c r="W39" s="45"/>
      <c r="X39" s="46"/>
      <c r="Y39" s="3"/>
      <c r="Z39" s="45"/>
      <c r="AA39" s="45"/>
      <c r="AB39" s="45"/>
      <c r="AC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168">
        <v>5</v>
      </c>
      <c r="R40" s="169" t="s">
        <v>123</v>
      </c>
      <c r="S40" s="236"/>
      <c r="T40" s="645"/>
      <c r="V40" s="47"/>
      <c r="Y40" s="48"/>
      <c r="Z40" s="2"/>
      <c r="AA40" s="2"/>
      <c r="AB40" s="2"/>
      <c r="AC40" s="2"/>
    </row>
    <row r="41" spans="1:38" ht="33.75" customHeight="1" x14ac:dyDescent="0.25">
      <c r="A41" s="171" t="s">
        <v>32</v>
      </c>
      <c r="B41" s="142">
        <v>94</v>
      </c>
      <c r="C41" s="486">
        <v>93.1</v>
      </c>
      <c r="D41" s="486">
        <v>21</v>
      </c>
      <c r="E41" s="486">
        <v>93.8</v>
      </c>
      <c r="F41" s="537">
        <v>92.5</v>
      </c>
      <c r="G41" s="509">
        <f t="shared" ref="G41:G48" si="18">SUM(B41:F41)</f>
        <v>394.4</v>
      </c>
      <c r="H41" s="609"/>
      <c r="I41" s="364"/>
      <c r="J41" s="364"/>
      <c r="K41" s="364"/>
      <c r="L41" s="171" t="s">
        <v>53</v>
      </c>
      <c r="M41" s="179">
        <v>7</v>
      </c>
      <c r="N41" s="180">
        <v>6.8</v>
      </c>
      <c r="O41" s="180">
        <v>1.5</v>
      </c>
      <c r="P41" s="180">
        <v>6.9</v>
      </c>
      <c r="Q41" s="180">
        <v>7</v>
      </c>
      <c r="R41" s="181">
        <v>0.9</v>
      </c>
      <c r="S41" s="375">
        <f>SUM(M41:R41)</f>
        <v>30.1</v>
      </c>
      <c r="T41" s="646"/>
      <c r="U41" s="675"/>
      <c r="V41" s="657"/>
      <c r="Y41" s="48"/>
      <c r="Z41" s="2"/>
      <c r="AA41" s="2"/>
      <c r="AB41" s="2"/>
      <c r="AC41" s="2"/>
    </row>
    <row r="42" spans="1:38" ht="33.75" customHeight="1" x14ac:dyDescent="0.25">
      <c r="A42" s="171" t="s">
        <v>24</v>
      </c>
      <c r="B42" s="142">
        <v>94</v>
      </c>
      <c r="C42" s="486">
        <v>93.1</v>
      </c>
      <c r="D42" s="486">
        <v>21</v>
      </c>
      <c r="E42" s="486">
        <v>93.8</v>
      </c>
      <c r="F42" s="537">
        <v>92.4</v>
      </c>
      <c r="G42" s="509">
        <f t="shared" si="18"/>
        <v>394.29999999999995</v>
      </c>
      <c r="H42" s="609"/>
      <c r="I42" s="364"/>
      <c r="J42" s="364"/>
      <c r="K42" s="364"/>
      <c r="L42" s="171" t="s">
        <v>24</v>
      </c>
      <c r="M42" s="18">
        <v>7</v>
      </c>
      <c r="N42" s="19">
        <v>6.8</v>
      </c>
      <c r="O42" s="19">
        <v>1.5</v>
      </c>
      <c r="P42" s="19">
        <v>6.9</v>
      </c>
      <c r="Q42" s="19">
        <v>7</v>
      </c>
      <c r="R42" s="20">
        <v>0.9</v>
      </c>
      <c r="S42" s="98">
        <f t="shared" ref="S42:S48" si="19">SUM(M42:R42)</f>
        <v>30.1</v>
      </c>
      <c r="T42" s="646"/>
      <c r="U42" s="647"/>
      <c r="V42" s="658"/>
      <c r="Y42" s="48"/>
      <c r="Z42" s="2"/>
      <c r="AA42" s="2"/>
      <c r="AB42" s="2"/>
      <c r="AC42" s="2"/>
    </row>
    <row r="43" spans="1:38" ht="33.75" customHeight="1" x14ac:dyDescent="0.25">
      <c r="A43" s="171" t="s">
        <v>20</v>
      </c>
      <c r="B43" s="532">
        <v>93.9</v>
      </c>
      <c r="C43" s="431">
        <v>92.5</v>
      </c>
      <c r="D43" s="431">
        <v>20.9</v>
      </c>
      <c r="E43" s="431">
        <v>93.8</v>
      </c>
      <c r="F43" s="533">
        <v>92.1</v>
      </c>
      <c r="G43" s="509">
        <f t="shared" si="18"/>
        <v>393.20000000000005</v>
      </c>
      <c r="H43" s="609"/>
      <c r="I43" s="364"/>
      <c r="J43" s="364"/>
      <c r="K43" s="364"/>
      <c r="L43" s="171" t="s">
        <v>20</v>
      </c>
      <c r="M43" s="18">
        <v>7.1</v>
      </c>
      <c r="N43" s="19">
        <v>6.9</v>
      </c>
      <c r="O43" s="19">
        <v>1.5</v>
      </c>
      <c r="P43" s="19">
        <v>7</v>
      </c>
      <c r="Q43" s="19">
        <v>6.9</v>
      </c>
      <c r="R43" s="20">
        <v>0.9</v>
      </c>
      <c r="S43" s="98">
        <f t="shared" si="19"/>
        <v>30.299999999999997</v>
      </c>
      <c r="T43" s="646"/>
      <c r="U43" s="647"/>
      <c r="V43" s="658"/>
      <c r="Y43" s="48"/>
      <c r="Z43" s="2"/>
      <c r="AA43" s="2"/>
      <c r="AB43" s="2"/>
      <c r="AC43" s="2"/>
    </row>
    <row r="44" spans="1:38" ht="33.75" customHeight="1" x14ac:dyDescent="0.25">
      <c r="A44" s="171" t="s">
        <v>28</v>
      </c>
      <c r="B44" s="142">
        <v>93.9</v>
      </c>
      <c r="C44" s="486">
        <v>92.5</v>
      </c>
      <c r="D44" s="486">
        <v>20.9</v>
      </c>
      <c r="E44" s="486">
        <v>93.8</v>
      </c>
      <c r="F44" s="537">
        <v>92.1</v>
      </c>
      <c r="G44" s="509">
        <f t="shared" si="18"/>
        <v>393.20000000000005</v>
      </c>
      <c r="H44" s="609"/>
      <c r="I44" s="364"/>
      <c r="J44" s="364"/>
      <c r="K44" s="364"/>
      <c r="L44" s="171" t="s">
        <v>28</v>
      </c>
      <c r="M44" s="18">
        <v>7.1</v>
      </c>
      <c r="N44" s="19">
        <v>6.9</v>
      </c>
      <c r="O44" s="19">
        <v>1.6</v>
      </c>
      <c r="P44" s="19">
        <v>7</v>
      </c>
      <c r="Q44" s="19">
        <v>6.9</v>
      </c>
      <c r="R44" s="20">
        <v>0.9</v>
      </c>
      <c r="S44" s="98">
        <f t="shared" si="19"/>
        <v>30.4</v>
      </c>
      <c r="T44" s="646"/>
      <c r="U44" s="647"/>
      <c r="V44" s="658"/>
      <c r="Y44" s="48"/>
      <c r="Z44" s="2"/>
      <c r="AA44" s="2"/>
      <c r="AB44" s="2"/>
      <c r="AC44" s="2"/>
    </row>
    <row r="45" spans="1:38" ht="33.75" customHeight="1" x14ac:dyDescent="0.25">
      <c r="A45" s="171" t="s">
        <v>21</v>
      </c>
      <c r="B45" s="142">
        <v>93.9</v>
      </c>
      <c r="C45" s="486">
        <v>92.3</v>
      </c>
      <c r="D45" s="486">
        <v>20.9</v>
      </c>
      <c r="E45" s="486">
        <v>93.8</v>
      </c>
      <c r="F45" s="537">
        <v>91.7</v>
      </c>
      <c r="G45" s="509">
        <f t="shared" si="18"/>
        <v>392.59999999999997</v>
      </c>
      <c r="H45" s="609"/>
      <c r="I45" s="364"/>
      <c r="J45" s="364"/>
      <c r="K45" s="364"/>
      <c r="L45" s="171" t="s">
        <v>21</v>
      </c>
      <c r="M45" s="18">
        <v>7.2</v>
      </c>
      <c r="N45" s="19">
        <v>6.9</v>
      </c>
      <c r="O45" s="19">
        <v>1.6</v>
      </c>
      <c r="P45" s="19">
        <v>7.1</v>
      </c>
      <c r="Q45" s="19">
        <v>6.9</v>
      </c>
      <c r="R45" s="20">
        <v>1</v>
      </c>
      <c r="S45" s="98">
        <f t="shared" si="19"/>
        <v>30.700000000000003</v>
      </c>
      <c r="T45" s="646"/>
      <c r="U45" s="647"/>
      <c r="V45" s="658"/>
      <c r="Y45" s="48"/>
      <c r="Z45" s="2"/>
      <c r="AA45" s="2"/>
      <c r="AB45" s="2"/>
      <c r="AC45" s="2"/>
    </row>
    <row r="46" spans="1:38" ht="33.75" customHeight="1" x14ac:dyDescent="0.25">
      <c r="A46" s="171" t="s">
        <v>22</v>
      </c>
      <c r="B46" s="142">
        <v>93.9</v>
      </c>
      <c r="C46" s="486">
        <v>92.3</v>
      </c>
      <c r="D46" s="486">
        <v>20.6</v>
      </c>
      <c r="E46" s="486">
        <v>93.6</v>
      </c>
      <c r="F46" s="537">
        <v>91.2</v>
      </c>
      <c r="G46" s="509">
        <f t="shared" si="18"/>
        <v>391.59999999999997</v>
      </c>
      <c r="H46" s="609"/>
      <c r="I46" s="364"/>
      <c r="J46" s="364"/>
      <c r="K46" s="364"/>
      <c r="L46" s="171" t="s">
        <v>22</v>
      </c>
      <c r="M46" s="18">
        <v>7.2</v>
      </c>
      <c r="N46" s="19">
        <v>6.9</v>
      </c>
      <c r="O46" s="19">
        <v>1.6</v>
      </c>
      <c r="P46" s="19">
        <v>7.1</v>
      </c>
      <c r="Q46" s="19">
        <v>7</v>
      </c>
      <c r="R46" s="20">
        <v>1</v>
      </c>
      <c r="S46" s="98">
        <f t="shared" si="19"/>
        <v>30.8</v>
      </c>
      <c r="T46" s="646"/>
      <c r="U46" s="647"/>
      <c r="V46" s="658"/>
      <c r="Y46" s="48"/>
      <c r="Z46" s="2"/>
      <c r="AA46" s="2"/>
      <c r="AB46" s="2"/>
      <c r="AC46" s="2"/>
    </row>
    <row r="47" spans="1:38" ht="33.75" customHeight="1" thickBot="1" x14ac:dyDescent="0.3">
      <c r="A47" s="285" t="s">
        <v>23</v>
      </c>
      <c r="B47" s="142">
        <v>93.9</v>
      </c>
      <c r="C47" s="486">
        <v>92.3</v>
      </c>
      <c r="D47" s="486">
        <v>20.6</v>
      </c>
      <c r="E47" s="486">
        <v>93.6</v>
      </c>
      <c r="F47" s="537">
        <v>90.4</v>
      </c>
      <c r="G47" s="526">
        <f t="shared" si="18"/>
        <v>390.79999999999995</v>
      </c>
      <c r="H47" s="609"/>
      <c r="I47" s="364"/>
      <c r="J47" s="364"/>
      <c r="K47" s="364"/>
      <c r="L47" s="285" t="s">
        <v>23</v>
      </c>
      <c r="M47" s="153">
        <v>7.2</v>
      </c>
      <c r="N47" s="154">
        <v>7</v>
      </c>
      <c r="O47" s="154">
        <v>1.6</v>
      </c>
      <c r="P47" s="154">
        <v>7.1</v>
      </c>
      <c r="Q47" s="154">
        <v>7</v>
      </c>
      <c r="R47" s="182">
        <v>1</v>
      </c>
      <c r="S47" s="628">
        <f t="shared" si="19"/>
        <v>30.9</v>
      </c>
      <c r="T47" s="646"/>
      <c r="U47" s="647"/>
      <c r="V47" s="658"/>
      <c r="Y47" s="48"/>
      <c r="Z47" s="48"/>
      <c r="AA47" s="48"/>
      <c r="AB47" s="2"/>
      <c r="AC47" s="2"/>
      <c r="AD47" s="2"/>
      <c r="AE47" s="2"/>
    </row>
    <row r="48" spans="1:38" ht="33.75" customHeight="1" thickBot="1" x14ac:dyDescent="0.3">
      <c r="A48" s="290" t="s">
        <v>9</v>
      </c>
      <c r="B48" s="131">
        <f>SUM(B41:B47)</f>
        <v>657.49999999999989</v>
      </c>
      <c r="C48" s="128">
        <f t="shared" ref="C48:F48" si="20">SUM(C41:C47)</f>
        <v>648.09999999999991</v>
      </c>
      <c r="D48" s="128">
        <f t="shared" si="20"/>
        <v>145.89999999999998</v>
      </c>
      <c r="E48" s="128">
        <f t="shared" si="20"/>
        <v>656.2</v>
      </c>
      <c r="F48" s="129">
        <f t="shared" si="20"/>
        <v>642.4</v>
      </c>
      <c r="G48" s="644">
        <f t="shared" si="18"/>
        <v>2750.1</v>
      </c>
      <c r="H48" s="609"/>
      <c r="I48" s="364"/>
      <c r="J48" s="364"/>
      <c r="K48" s="364"/>
      <c r="L48" s="290" t="s">
        <v>9</v>
      </c>
      <c r="M48" s="681">
        <f>SUM(M41:M47)</f>
        <v>49.800000000000011</v>
      </c>
      <c r="N48" s="682">
        <f>SUM(N41:N47)</f>
        <v>48.199999999999996</v>
      </c>
      <c r="O48" s="682">
        <f>SUM(O41:O47)</f>
        <v>10.899999999999999</v>
      </c>
      <c r="P48" s="682">
        <f t="shared" ref="P48:R48" si="21">SUM(P41:P47)</f>
        <v>49.1</v>
      </c>
      <c r="Q48" s="682">
        <f t="shared" si="21"/>
        <v>48.699999999999996</v>
      </c>
      <c r="R48" s="683">
        <f t="shared" si="21"/>
        <v>6.6</v>
      </c>
      <c r="S48" s="684">
        <f t="shared" si="19"/>
        <v>213.29999999999998</v>
      </c>
      <c r="T48" s="647"/>
      <c r="U48" s="647"/>
      <c r="V48" s="658"/>
      <c r="Y48" s="2"/>
      <c r="Z48" s="2"/>
      <c r="AA48" s="2"/>
      <c r="AB48" s="2"/>
      <c r="AC48" s="2"/>
      <c r="AD48" s="2"/>
      <c r="AE48" s="2"/>
    </row>
    <row r="49" spans="1:51" ht="33.75" customHeight="1" x14ac:dyDescent="0.25">
      <c r="A49" s="192" t="s">
        <v>11</v>
      </c>
      <c r="B49" s="23">
        <v>157.1</v>
      </c>
      <c r="C49" s="24">
        <v>157.1</v>
      </c>
      <c r="D49" s="24">
        <v>157.1</v>
      </c>
      <c r="E49" s="24">
        <v>157.1</v>
      </c>
      <c r="F49" s="63">
        <v>157.1</v>
      </c>
      <c r="G49" s="137">
        <f>+((G48/G50)/7)*1000</f>
        <v>157.52663535341966</v>
      </c>
      <c r="H49" s="609"/>
      <c r="I49" s="364"/>
      <c r="J49" s="364"/>
      <c r="K49" s="364"/>
      <c r="L49" s="273" t="s">
        <v>11</v>
      </c>
      <c r="M49" s="293">
        <v>158</v>
      </c>
      <c r="N49" s="294">
        <v>156.5</v>
      </c>
      <c r="O49" s="294">
        <v>155.5</v>
      </c>
      <c r="P49" s="294">
        <v>156</v>
      </c>
      <c r="Q49" s="294">
        <v>154.5</v>
      </c>
      <c r="R49" s="295">
        <v>156</v>
      </c>
      <c r="S49" s="296">
        <f>+((S48/S50)/7)*1000</f>
        <v>156.26373626373623</v>
      </c>
      <c r="T49" s="648"/>
      <c r="U49" s="647"/>
      <c r="V49" s="658"/>
      <c r="W49" s="50"/>
    </row>
    <row r="50" spans="1:51" ht="33.75" customHeight="1" x14ac:dyDescent="0.25">
      <c r="A50" s="193" t="s">
        <v>12</v>
      </c>
      <c r="B50" s="26">
        <v>598</v>
      </c>
      <c r="C50" s="27">
        <v>589</v>
      </c>
      <c r="D50" s="27">
        <v>132</v>
      </c>
      <c r="E50" s="27">
        <v>596</v>
      </c>
      <c r="F50" s="28">
        <v>579</v>
      </c>
      <c r="G50" s="395">
        <f>SUM(B50:F50)</f>
        <v>2494</v>
      </c>
      <c r="H50" s="609"/>
      <c r="I50" s="364"/>
      <c r="J50" s="364"/>
      <c r="K50" s="364"/>
      <c r="L50" s="193" t="s">
        <v>12</v>
      </c>
      <c r="M50" s="257">
        <v>45</v>
      </c>
      <c r="N50" s="275">
        <v>44</v>
      </c>
      <c r="O50" s="275">
        <v>10</v>
      </c>
      <c r="P50" s="275">
        <v>45</v>
      </c>
      <c r="Q50" s="275">
        <v>45</v>
      </c>
      <c r="R50" s="276">
        <v>6</v>
      </c>
      <c r="S50" s="254">
        <f>SUM(M50:R50)</f>
        <v>195</v>
      </c>
      <c r="T50" s="649"/>
      <c r="U50" s="301"/>
      <c r="V50" s="52"/>
      <c r="W50" s="52"/>
    </row>
    <row r="51" spans="1:51" ht="33.75" customHeight="1" x14ac:dyDescent="0.25">
      <c r="A51" s="194" t="s">
        <v>13</v>
      </c>
      <c r="B51" s="30">
        <f>((((B49*7)*B50)/1000)-B41-B42)/5</f>
        <v>93.924119999999988</v>
      </c>
      <c r="C51" s="31">
        <f t="shared" ref="C51:F51" si="22">((((C49*7)*C50)/1000)-C41-C42)/5</f>
        <v>92.304659999999984</v>
      </c>
      <c r="D51" s="31">
        <f>((((D49*7)*D50)/1000)-D41-D42)/5</f>
        <v>20.632079999999995</v>
      </c>
      <c r="E51" s="31">
        <f t="shared" si="22"/>
        <v>93.564240000000026</v>
      </c>
      <c r="F51" s="32">
        <f t="shared" si="22"/>
        <v>90.365260000000006</v>
      </c>
      <c r="G51" s="139">
        <f>((G48*1000)/G50)/7</f>
        <v>157.52663535341964</v>
      </c>
      <c r="H51" s="609"/>
      <c r="I51" s="364"/>
      <c r="J51" s="364"/>
      <c r="K51" s="364"/>
      <c r="L51" s="194" t="s">
        <v>13</v>
      </c>
      <c r="M51" s="30">
        <f>((((M49*7)*M50)/1000)-M41-M42)/5</f>
        <v>7.1540000000000008</v>
      </c>
      <c r="N51" s="31">
        <f t="shared" ref="N51:Q51" si="23">((((N49*7)*N50)/1000)-N41-N42)/5</f>
        <v>6.9204000000000008</v>
      </c>
      <c r="O51" s="31">
        <f t="shared" si="23"/>
        <v>1.577</v>
      </c>
      <c r="P51" s="31">
        <f t="shared" si="23"/>
        <v>7.0680000000000005</v>
      </c>
      <c r="Q51" s="31">
        <f t="shared" si="23"/>
        <v>6.9334999999999996</v>
      </c>
      <c r="R51" s="32">
        <f t="shared" ref="R51" si="24">((((R49*7)*R50)/1000)-R41-R42)/5</f>
        <v>0.9503999999999998</v>
      </c>
      <c r="S51" s="274">
        <f>((S48*1000)/S50)/7</f>
        <v>156.26373626373623</v>
      </c>
      <c r="T51" s="650"/>
      <c r="U51" s="301"/>
      <c r="V51" s="52"/>
      <c r="W51" s="52"/>
    </row>
    <row r="52" spans="1:51" ht="33.75" customHeight="1" x14ac:dyDescent="0.25">
      <c r="A52" s="185" t="s">
        <v>14</v>
      </c>
      <c r="B52" s="279">
        <f>((B50*B49)*7)/1000</f>
        <v>657.62059999999997</v>
      </c>
      <c r="C52" s="280">
        <f>((C50*C49)*7)/1000</f>
        <v>647.72329999999988</v>
      </c>
      <c r="D52" s="280">
        <f>((D50*D49)*7)/1000</f>
        <v>145.16039999999998</v>
      </c>
      <c r="E52" s="280">
        <f>((E50*E49)*7)/1000</f>
        <v>655.4212</v>
      </c>
      <c r="F52" s="282">
        <f>((F50*F49)*7)/1000</f>
        <v>636.72629999999992</v>
      </c>
      <c r="G52" s="112"/>
      <c r="H52" s="609"/>
      <c r="I52" s="364"/>
      <c r="J52" s="364"/>
      <c r="K52" s="364"/>
      <c r="L52" s="185" t="s">
        <v>14</v>
      </c>
      <c r="M52" s="279">
        <f>((M50*M49)*7)/1000</f>
        <v>49.77</v>
      </c>
      <c r="N52" s="280">
        <f>((N50*N49)*7)/1000</f>
        <v>48.201999999999998</v>
      </c>
      <c r="O52" s="280">
        <f>((O50*O49)*7)/1000</f>
        <v>10.885</v>
      </c>
      <c r="P52" s="280">
        <f t="shared" ref="P52:Q52" si="25">((P50*P49)*7)/1000</f>
        <v>49.14</v>
      </c>
      <c r="Q52" s="280">
        <f t="shared" si="25"/>
        <v>48.667499999999997</v>
      </c>
      <c r="R52" s="282">
        <f t="shared" ref="R52" si="26">((R50*R49)*7)/1000</f>
        <v>6.5519999999999996</v>
      </c>
      <c r="S52" s="36"/>
      <c r="T52" s="522"/>
    </row>
    <row r="53" spans="1:51" ht="33.75" customHeight="1" thickBot="1" x14ac:dyDescent="0.3">
      <c r="A53" s="195" t="s">
        <v>15</v>
      </c>
      <c r="B53" s="37">
        <f t="shared" ref="B53:E53" si="27">+(B48/B50)/7*1000</f>
        <v>157.07118967988532</v>
      </c>
      <c r="C53" s="38">
        <f t="shared" si="27"/>
        <v>157.19136551055055</v>
      </c>
      <c r="D53" s="38">
        <f t="shared" si="27"/>
        <v>157.90043290043289</v>
      </c>
      <c r="E53" s="38">
        <f t="shared" si="27"/>
        <v>157.28667305848515</v>
      </c>
      <c r="F53" s="39">
        <f>+(F48/F50)/7*1000</f>
        <v>158.49987663459166</v>
      </c>
      <c r="G53" s="140"/>
      <c r="H53" s="609"/>
      <c r="I53" s="364"/>
      <c r="J53" s="364"/>
      <c r="K53" s="364"/>
      <c r="L53" s="195" t="s">
        <v>15</v>
      </c>
      <c r="M53" s="37">
        <f>+(M48/M50)/7*1000</f>
        <v>158.09523809523813</v>
      </c>
      <c r="N53" s="38">
        <f>+(N48/N50)/7*1000</f>
        <v>156.49350649350649</v>
      </c>
      <c r="O53" s="38">
        <f>+(O48/O50)/7*1000</f>
        <v>155.71428571428569</v>
      </c>
      <c r="P53" s="38">
        <f t="shared" ref="P53:Q53" si="28">+(P48/P50)/7*1000</f>
        <v>155.87301587301587</v>
      </c>
      <c r="Q53" s="38">
        <f t="shared" si="28"/>
        <v>154.60317460317461</v>
      </c>
      <c r="R53" s="39">
        <f t="shared" ref="R53" si="29">+(R48/R50)/7*1000</f>
        <v>157.14285714285711</v>
      </c>
      <c r="S53" s="259"/>
      <c r="T53" s="651"/>
      <c r="V53" s="42"/>
      <c r="W53" s="42"/>
    </row>
    <row r="54" spans="1:51" ht="33.75" customHeight="1" x14ac:dyDescent="0.25">
      <c r="A54" s="41"/>
      <c r="B54" s="43">
        <f>B52-B48</f>
        <v>0.12060000000008131</v>
      </c>
      <c r="C54" s="43">
        <f t="shared" ref="C54:F55" si="30">C52-C48</f>
        <v>-0.37670000000002801</v>
      </c>
      <c r="D54" s="43">
        <f t="shared" si="30"/>
        <v>-0.73959999999999582</v>
      </c>
      <c r="E54" s="43">
        <f>E52-E48</f>
        <v>-0.77880000000004657</v>
      </c>
      <c r="F54" s="43">
        <f t="shared" si="30"/>
        <v>-5.6737000000000535</v>
      </c>
      <c r="G54" s="41"/>
      <c r="H54" s="41"/>
      <c r="I54" s="41"/>
      <c r="J54" s="41"/>
      <c r="K54" s="41"/>
      <c r="L54" s="42"/>
      <c r="M54" s="42">
        <f>M52-M48</f>
        <v>-3.0000000000008242E-2</v>
      </c>
      <c r="N54" s="42">
        <f t="shared" ref="N54:S55" si="31">N52-N48</f>
        <v>2.0000000000024443E-3</v>
      </c>
      <c r="O54" s="42">
        <f t="shared" si="31"/>
        <v>-1.4999999999998792E-2</v>
      </c>
      <c r="P54" s="42">
        <f t="shared" si="31"/>
        <v>3.9999999999999147E-2</v>
      </c>
      <c r="Q54" s="42">
        <f t="shared" si="31"/>
        <v>-3.2499999999998863E-2</v>
      </c>
      <c r="R54" s="42">
        <f t="shared" ref="R54" si="32">R52-R48</f>
        <v>-4.8000000000000043E-2</v>
      </c>
      <c r="S54" s="42">
        <f t="shared" si="31"/>
        <v>-213.29999999999998</v>
      </c>
      <c r="T54" s="522"/>
      <c r="U54" s="42"/>
      <c r="V54" s="42"/>
      <c r="W54" s="2"/>
      <c r="X54" s="2"/>
      <c r="Y54" s="2"/>
      <c r="Z54" s="2"/>
      <c r="AA54" s="2"/>
    </row>
    <row r="55" spans="1:51" ht="33.75" customHeight="1" x14ac:dyDescent="0.25">
      <c r="A55" s="41"/>
      <c r="B55" s="42">
        <f>B53-B49</f>
        <v>-2.881032011467255E-2</v>
      </c>
      <c r="C55" s="42">
        <f>C53-C49</f>
        <v>9.1365510550559748E-2</v>
      </c>
      <c r="D55" s="42">
        <f t="shared" si="30"/>
        <v>0.80043290043289517</v>
      </c>
      <c r="E55" s="42">
        <f>E53-E49</f>
        <v>0.18667305848515525</v>
      </c>
      <c r="F55" s="42">
        <f>F53-F49</f>
        <v>1.3998766345916636</v>
      </c>
      <c r="G55" s="41"/>
      <c r="H55" s="41"/>
      <c r="I55" s="41"/>
      <c r="J55" s="41"/>
      <c r="K55" s="42"/>
      <c r="L55" s="42"/>
      <c r="M55" s="42">
        <f>M53-M49</f>
        <v>9.5238095238130427E-2</v>
      </c>
      <c r="N55" s="42">
        <f t="shared" si="31"/>
        <v>-6.4935064935127684E-3</v>
      </c>
      <c r="O55" s="42">
        <f>O53-O49</f>
        <v>0.21428571428569398</v>
      </c>
      <c r="P55" s="42">
        <f t="shared" si="31"/>
        <v>-0.12698412698412653</v>
      </c>
      <c r="Q55" s="42">
        <f t="shared" si="31"/>
        <v>0.10317460317460814</v>
      </c>
      <c r="R55" s="42">
        <f t="shared" ref="R55" si="33">R53-R49</f>
        <v>1.1428571428571104</v>
      </c>
      <c r="S55" s="42">
        <f t="shared" si="31"/>
        <v>-156.26373626373623</v>
      </c>
      <c r="T55" s="522"/>
      <c r="U55" s="43"/>
      <c r="V55" s="43"/>
      <c r="W55" s="2"/>
      <c r="X55" s="2"/>
      <c r="Y55" s="2"/>
      <c r="Z55" s="2"/>
      <c r="AD55" s="3"/>
    </row>
    <row r="56" spans="1:51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1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283"/>
      <c r="N57" s="283"/>
      <c r="O57" s="283"/>
      <c r="P57" s="283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1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248"/>
      <c r="H58" s="973" t="s">
        <v>30</v>
      </c>
      <c r="I58" s="974"/>
      <c r="J58" s="974"/>
      <c r="K58" s="974"/>
      <c r="L58" s="991"/>
      <c r="M58" s="973" t="s">
        <v>29</v>
      </c>
      <c r="N58" s="974"/>
      <c r="O58" s="974"/>
      <c r="P58" s="974"/>
      <c r="Q58" s="991"/>
      <c r="R58" s="973" t="s">
        <v>31</v>
      </c>
      <c r="S58" s="974"/>
      <c r="T58" s="974"/>
      <c r="U58" s="974"/>
      <c r="V58" s="991"/>
      <c r="W58" s="586" t="s">
        <v>9</v>
      </c>
      <c r="X58" s="661"/>
      <c r="Y58" s="662"/>
      <c r="Z58" s="522"/>
      <c r="AA58" s="522"/>
      <c r="AG58" s="43"/>
      <c r="AH58" s="43"/>
      <c r="AI58" s="43"/>
      <c r="AJ58" s="2"/>
      <c r="AK58" s="2"/>
      <c r="AL58" s="2"/>
      <c r="AM58" s="2"/>
      <c r="AO58" s="2"/>
      <c r="AP58" s="2"/>
      <c r="AQ58" s="2"/>
    </row>
    <row r="59" spans="1:51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189" t="s">
        <v>120</v>
      </c>
      <c r="H59" s="188">
        <v>1</v>
      </c>
      <c r="I59" s="168">
        <v>2</v>
      </c>
      <c r="J59" s="168">
        <v>3</v>
      </c>
      <c r="K59" s="168">
        <v>4</v>
      </c>
      <c r="L59" s="168">
        <v>5</v>
      </c>
      <c r="M59" s="188">
        <v>1</v>
      </c>
      <c r="N59" s="168">
        <v>2</v>
      </c>
      <c r="O59" s="168">
        <v>3</v>
      </c>
      <c r="P59" s="168">
        <v>4</v>
      </c>
      <c r="Q59" s="414">
        <v>5</v>
      </c>
      <c r="R59" s="189">
        <v>1</v>
      </c>
      <c r="S59" s="168">
        <v>2</v>
      </c>
      <c r="T59" s="168">
        <v>3</v>
      </c>
      <c r="U59" s="168">
        <v>4</v>
      </c>
      <c r="V59" s="414">
        <v>5</v>
      </c>
      <c r="W59" s="126"/>
      <c r="X59" s="663"/>
      <c r="Y59" s="645"/>
      <c r="Z59" s="657"/>
      <c r="AA59" s="657"/>
      <c r="AD59" s="45"/>
      <c r="AE59" s="45"/>
      <c r="AF59" s="45"/>
      <c r="AG59" s="45"/>
      <c r="AH59" s="45"/>
      <c r="AI59" s="57"/>
      <c r="AJ59" s="57"/>
      <c r="AK59" s="57"/>
      <c r="AL59" s="57"/>
      <c r="AM59" s="45"/>
      <c r="AN59" s="45"/>
      <c r="AO59" s="58"/>
      <c r="AP59" s="58"/>
      <c r="AQ59" s="58"/>
      <c r="AR59" s="2"/>
      <c r="AS59" s="2"/>
      <c r="AT59" s="2"/>
      <c r="AU59" s="2"/>
      <c r="AV59" s="2"/>
      <c r="AW59" s="2"/>
      <c r="AX59" s="2"/>
      <c r="AY59" s="2"/>
    </row>
    <row r="60" spans="1:51" ht="33.75" customHeight="1" x14ac:dyDescent="0.25">
      <c r="A60" s="171" t="s">
        <v>53</v>
      </c>
      <c r="B60" s="447">
        <v>7.5</v>
      </c>
      <c r="C60" s="124">
        <v>7.6</v>
      </c>
      <c r="D60" s="124">
        <v>1.8</v>
      </c>
      <c r="E60" s="124">
        <v>7.7</v>
      </c>
      <c r="F60" s="123">
        <v>7.7</v>
      </c>
      <c r="G60" s="123">
        <v>5.8</v>
      </c>
      <c r="H60" s="447">
        <v>7.5</v>
      </c>
      <c r="I60" s="124">
        <v>7.7</v>
      </c>
      <c r="J60" s="124">
        <v>1.9</v>
      </c>
      <c r="K60" s="124">
        <v>7.7</v>
      </c>
      <c r="L60" s="124">
        <v>7.6</v>
      </c>
      <c r="M60" s="130">
        <v>6</v>
      </c>
      <c r="N60" s="124">
        <v>6.3</v>
      </c>
      <c r="O60" s="124">
        <v>1.8</v>
      </c>
      <c r="P60" s="124">
        <v>6.1</v>
      </c>
      <c r="Q60" s="132">
        <v>6.2</v>
      </c>
      <c r="R60" s="123">
        <v>6.6</v>
      </c>
      <c r="S60" s="124">
        <v>6.6</v>
      </c>
      <c r="T60" s="124">
        <v>2.2000000000000002</v>
      </c>
      <c r="U60" s="124">
        <v>6.7</v>
      </c>
      <c r="V60" s="132">
        <v>6.5</v>
      </c>
      <c r="W60" s="412">
        <f t="shared" ref="W60:W67" si="34">SUM(B60:V60)</f>
        <v>125.49999999999999</v>
      </c>
      <c r="X60" s="651">
        <v>125.49999999999999</v>
      </c>
      <c r="Y60" s="646"/>
      <c r="Z60" s="657"/>
      <c r="AA60" s="657"/>
      <c r="AD60" s="42"/>
      <c r="AE60" s="2"/>
      <c r="AF60" s="45"/>
      <c r="AG60" s="45"/>
      <c r="AH60" s="45"/>
      <c r="AI60" s="57"/>
      <c r="AJ60" s="57"/>
      <c r="AK60" s="57"/>
      <c r="AL60" s="57"/>
      <c r="AM60" s="45"/>
      <c r="AN60" s="45"/>
      <c r="AO60" s="58"/>
      <c r="AP60" s="58"/>
      <c r="AQ60" s="58"/>
      <c r="AR60" s="2"/>
      <c r="AS60" s="2"/>
      <c r="AT60" s="2"/>
      <c r="AU60" s="2"/>
      <c r="AV60" s="2"/>
      <c r="AW60" s="2"/>
      <c r="AX60" s="2"/>
      <c r="AY60" s="2"/>
    </row>
    <row r="61" spans="1:51" ht="33.75" customHeight="1" x14ac:dyDescent="0.25">
      <c r="A61" s="171" t="s">
        <v>24</v>
      </c>
      <c r="B61" s="447">
        <v>7.5</v>
      </c>
      <c r="C61" s="124">
        <v>7.6</v>
      </c>
      <c r="D61" s="124">
        <v>1.8</v>
      </c>
      <c r="E61" s="124">
        <v>7.7</v>
      </c>
      <c r="F61" s="123">
        <v>7.7</v>
      </c>
      <c r="G61" s="123">
        <v>5.8</v>
      </c>
      <c r="H61" s="447">
        <v>7.5</v>
      </c>
      <c r="I61" s="124">
        <v>7.7</v>
      </c>
      <c r="J61" s="124">
        <v>1.9</v>
      </c>
      <c r="K61" s="124">
        <v>7.7</v>
      </c>
      <c r="L61" s="124">
        <v>7.6</v>
      </c>
      <c r="M61" s="130">
        <v>6</v>
      </c>
      <c r="N61" s="124">
        <v>6.3</v>
      </c>
      <c r="O61" s="124">
        <v>1.8</v>
      </c>
      <c r="P61" s="124">
        <v>6.1</v>
      </c>
      <c r="Q61" s="132">
        <v>6.2</v>
      </c>
      <c r="R61" s="123">
        <v>6.6</v>
      </c>
      <c r="S61" s="124">
        <v>6.6</v>
      </c>
      <c r="T61" s="124">
        <v>2.2000000000000002</v>
      </c>
      <c r="U61" s="124">
        <v>6.7</v>
      </c>
      <c r="V61" s="132">
        <v>6.5</v>
      </c>
      <c r="W61" s="412">
        <f t="shared" si="34"/>
        <v>125.49999999999999</v>
      </c>
      <c r="X61" s="651">
        <v>125.49999999999999</v>
      </c>
      <c r="Y61" s="646"/>
      <c r="Z61" s="651"/>
      <c r="AA61" s="651"/>
      <c r="AD61" s="42"/>
      <c r="AE61" s="2"/>
      <c r="AF61" s="45"/>
      <c r="AG61" s="45"/>
      <c r="AH61" s="45"/>
      <c r="AI61" s="57"/>
      <c r="AJ61" s="57"/>
      <c r="AK61" s="57"/>
      <c r="AL61" s="57"/>
      <c r="AM61" s="45"/>
      <c r="AN61" s="45"/>
      <c r="AO61" s="58"/>
      <c r="AP61" s="58"/>
      <c r="AQ61" s="58"/>
      <c r="AR61" s="2"/>
      <c r="AS61" s="2"/>
      <c r="AT61" s="2"/>
      <c r="AU61" s="2"/>
      <c r="AV61" s="2"/>
      <c r="AW61" s="2"/>
      <c r="AX61" s="2"/>
      <c r="AY61" s="2"/>
    </row>
    <row r="62" spans="1:51" ht="33.75" customHeight="1" x14ac:dyDescent="0.25">
      <c r="A62" s="171" t="s">
        <v>20</v>
      </c>
      <c r="B62" s="447">
        <v>7.5</v>
      </c>
      <c r="C62" s="124">
        <v>7.5</v>
      </c>
      <c r="D62" s="124">
        <v>1.7</v>
      </c>
      <c r="E62" s="124">
        <v>7.6</v>
      </c>
      <c r="F62" s="123">
        <v>7.6</v>
      </c>
      <c r="G62" s="123">
        <v>2.8</v>
      </c>
      <c r="H62" s="447">
        <v>7.7</v>
      </c>
      <c r="I62" s="124">
        <v>7.6</v>
      </c>
      <c r="J62" s="124">
        <v>1.9</v>
      </c>
      <c r="K62" s="124">
        <v>7.6</v>
      </c>
      <c r="L62" s="124">
        <v>7.5</v>
      </c>
      <c r="M62" s="130">
        <v>6.2</v>
      </c>
      <c r="N62" s="124">
        <v>6.5</v>
      </c>
      <c r="O62" s="124">
        <v>2</v>
      </c>
      <c r="P62" s="124">
        <v>6.5</v>
      </c>
      <c r="Q62" s="132">
        <v>6.7</v>
      </c>
      <c r="R62" s="123">
        <v>6.8</v>
      </c>
      <c r="S62" s="124">
        <v>7</v>
      </c>
      <c r="T62" s="124">
        <v>2.4</v>
      </c>
      <c r="U62" s="124">
        <v>6.9</v>
      </c>
      <c r="V62" s="132">
        <v>6.6</v>
      </c>
      <c r="W62" s="412">
        <f t="shared" si="34"/>
        <v>124.60000000000001</v>
      </c>
      <c r="X62" s="651">
        <v>124.60000000000001</v>
      </c>
      <c r="Y62" s="646"/>
      <c r="Z62" s="651"/>
      <c r="AA62" s="651"/>
      <c r="AD62" s="42"/>
      <c r="AE62" s="2"/>
      <c r="AF62" s="45"/>
      <c r="AG62" s="45"/>
      <c r="AH62" s="45"/>
      <c r="AI62" s="57"/>
      <c r="AJ62" s="57"/>
      <c r="AK62" s="57"/>
      <c r="AL62" s="57"/>
      <c r="AM62" s="45"/>
      <c r="AN62" s="45"/>
      <c r="AO62" s="58"/>
      <c r="AP62" s="58"/>
      <c r="AQ62" s="58"/>
      <c r="AR62" s="2"/>
      <c r="AS62" s="2"/>
      <c r="AT62" s="2"/>
      <c r="AU62" s="2"/>
      <c r="AV62" s="2"/>
      <c r="AW62" s="2"/>
      <c r="AX62" s="2"/>
      <c r="AY62" s="2"/>
    </row>
    <row r="63" spans="1:51" ht="33.75" customHeight="1" x14ac:dyDescent="0.25">
      <c r="A63" s="171" t="s">
        <v>28</v>
      </c>
      <c r="B63" s="447">
        <v>7.5</v>
      </c>
      <c r="C63" s="124">
        <v>7.5</v>
      </c>
      <c r="D63" s="124">
        <v>1.7</v>
      </c>
      <c r="E63" s="124">
        <v>7.6</v>
      </c>
      <c r="F63" s="123">
        <v>7.6</v>
      </c>
      <c r="G63" s="123">
        <v>5.7</v>
      </c>
      <c r="H63" s="447">
        <v>7.7</v>
      </c>
      <c r="I63" s="124">
        <v>7.6</v>
      </c>
      <c r="J63" s="124">
        <v>1.9</v>
      </c>
      <c r="K63" s="124">
        <v>7.7</v>
      </c>
      <c r="L63" s="124">
        <v>7.6</v>
      </c>
      <c r="M63" s="130">
        <v>6.1</v>
      </c>
      <c r="N63" s="124">
        <v>6.1</v>
      </c>
      <c r="O63" s="124">
        <v>1.8</v>
      </c>
      <c r="P63" s="124">
        <v>5.9</v>
      </c>
      <c r="Q63" s="132">
        <v>6.1</v>
      </c>
      <c r="R63" s="123">
        <v>6.4</v>
      </c>
      <c r="S63" s="124">
        <v>6.4</v>
      </c>
      <c r="T63" s="124">
        <v>1.9</v>
      </c>
      <c r="U63" s="124">
        <v>6.4</v>
      </c>
      <c r="V63" s="132">
        <v>6.6</v>
      </c>
      <c r="W63" s="412">
        <f t="shared" si="34"/>
        <v>123.80000000000001</v>
      </c>
      <c r="X63" s="651">
        <v>124.90000000000002</v>
      </c>
      <c r="Y63" s="646"/>
      <c r="Z63" s="651"/>
      <c r="AA63" s="651"/>
      <c r="AD63" s="42"/>
      <c r="AE63" s="2"/>
      <c r="AF63" s="45"/>
      <c r="AG63" s="45"/>
      <c r="AH63" s="45"/>
      <c r="AI63" s="57"/>
      <c r="AJ63" s="57"/>
      <c r="AK63" s="57"/>
      <c r="AL63" s="57"/>
      <c r="AM63" s="45"/>
      <c r="AN63" s="45"/>
      <c r="AO63" s="58"/>
      <c r="AP63" s="58"/>
      <c r="AQ63" s="58"/>
      <c r="AR63" s="3"/>
      <c r="AS63" s="3"/>
      <c r="AT63" s="2"/>
      <c r="AU63" s="2"/>
      <c r="AV63" s="2"/>
      <c r="AW63" s="2"/>
      <c r="AX63" s="2"/>
      <c r="AY63" s="2"/>
    </row>
    <row r="64" spans="1:51" ht="33.75" customHeight="1" x14ac:dyDescent="0.25">
      <c r="A64" s="171" t="s">
        <v>21</v>
      </c>
      <c r="B64" s="447">
        <v>7.5</v>
      </c>
      <c r="C64" s="124">
        <v>7.5</v>
      </c>
      <c r="D64" s="124">
        <v>1.7</v>
      </c>
      <c r="E64" s="124">
        <v>7.6</v>
      </c>
      <c r="F64" s="123">
        <v>7.6</v>
      </c>
      <c r="G64" s="123">
        <v>5.7</v>
      </c>
      <c r="H64" s="447">
        <v>7.7</v>
      </c>
      <c r="I64" s="124">
        <v>7.6</v>
      </c>
      <c r="J64" s="124">
        <v>1.9</v>
      </c>
      <c r="K64" s="124">
        <v>7.7</v>
      </c>
      <c r="L64" s="124">
        <v>7.6</v>
      </c>
      <c r="M64" s="130">
        <v>6.2</v>
      </c>
      <c r="N64" s="124">
        <v>6.1</v>
      </c>
      <c r="O64" s="124">
        <v>1.9</v>
      </c>
      <c r="P64" s="124">
        <v>5.9</v>
      </c>
      <c r="Q64" s="132">
        <v>6.1</v>
      </c>
      <c r="R64" s="123">
        <v>6.5</v>
      </c>
      <c r="S64" s="124">
        <v>6.4</v>
      </c>
      <c r="T64" s="124">
        <v>1.9</v>
      </c>
      <c r="U64" s="124">
        <v>6.4</v>
      </c>
      <c r="V64" s="132">
        <v>6.6</v>
      </c>
      <c r="W64" s="412">
        <f t="shared" si="34"/>
        <v>124.10000000000002</v>
      </c>
      <c r="X64" s="651">
        <v>124.90000000000002</v>
      </c>
      <c r="Y64" s="646"/>
      <c r="Z64" s="651"/>
      <c r="AA64" s="651"/>
      <c r="AD64" s="42"/>
      <c r="AE64" s="2"/>
      <c r="AF64" s="45"/>
      <c r="AG64" s="45"/>
      <c r="AH64" s="45"/>
      <c r="AI64" s="57"/>
      <c r="AJ64" s="57"/>
      <c r="AK64" s="57"/>
      <c r="AL64" s="57"/>
      <c r="AM64" s="45"/>
      <c r="AN64" s="45"/>
      <c r="AO64" s="58"/>
      <c r="AP64" s="58"/>
      <c r="AQ64" s="58"/>
      <c r="AR64" s="3"/>
      <c r="AS64" s="3"/>
      <c r="AT64" s="2"/>
      <c r="AU64" s="2"/>
      <c r="AV64" s="2"/>
      <c r="AW64" s="2"/>
      <c r="AX64" s="2"/>
      <c r="AY64" s="2"/>
    </row>
    <row r="65" spans="1:51" ht="33.75" customHeight="1" x14ac:dyDescent="0.25">
      <c r="A65" s="171" t="s">
        <v>22</v>
      </c>
      <c r="B65" s="447">
        <v>7.4</v>
      </c>
      <c r="C65" s="124">
        <v>7.5</v>
      </c>
      <c r="D65" s="124">
        <v>1.7</v>
      </c>
      <c r="E65" s="124">
        <v>7.6</v>
      </c>
      <c r="F65" s="123">
        <v>7.6</v>
      </c>
      <c r="G65" s="123">
        <v>5.8</v>
      </c>
      <c r="H65" s="447">
        <v>7.7</v>
      </c>
      <c r="I65" s="124">
        <v>7.7</v>
      </c>
      <c r="J65" s="124">
        <v>1.9</v>
      </c>
      <c r="K65" s="124">
        <v>7.7</v>
      </c>
      <c r="L65" s="124">
        <v>7.6</v>
      </c>
      <c r="M65" s="130">
        <v>6.2</v>
      </c>
      <c r="N65" s="124">
        <v>6.1</v>
      </c>
      <c r="O65" s="124">
        <v>1.9</v>
      </c>
      <c r="P65" s="124">
        <v>5.9</v>
      </c>
      <c r="Q65" s="132">
        <v>6.1</v>
      </c>
      <c r="R65" s="123">
        <v>6.5</v>
      </c>
      <c r="S65" s="124">
        <v>6.4</v>
      </c>
      <c r="T65" s="124">
        <v>2</v>
      </c>
      <c r="U65" s="124">
        <v>6.5</v>
      </c>
      <c r="V65" s="132">
        <v>6.6</v>
      </c>
      <c r="W65" s="412">
        <f t="shared" si="34"/>
        <v>124.4</v>
      </c>
      <c r="X65" s="651">
        <v>125.00000000000001</v>
      </c>
      <c r="Y65" s="646"/>
      <c r="Z65" s="651"/>
      <c r="AA65" s="651"/>
      <c r="AD65" s="42"/>
      <c r="AE65" s="2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3"/>
      <c r="AS65" s="3"/>
      <c r="AV65" s="2"/>
      <c r="AW65" s="2"/>
      <c r="AX65" s="2"/>
      <c r="AY65" s="2"/>
    </row>
    <row r="66" spans="1:51" ht="33.75" customHeight="1" thickBot="1" x14ac:dyDescent="0.3">
      <c r="A66" s="171" t="s">
        <v>23</v>
      </c>
      <c r="B66" s="447">
        <v>7.4</v>
      </c>
      <c r="C66" s="124">
        <v>7.5</v>
      </c>
      <c r="D66" s="124">
        <v>1.8</v>
      </c>
      <c r="E66" s="124">
        <v>7.6</v>
      </c>
      <c r="F66" s="123">
        <v>7.6</v>
      </c>
      <c r="G66" s="123">
        <v>5.8</v>
      </c>
      <c r="H66" s="447">
        <v>7.7</v>
      </c>
      <c r="I66" s="124">
        <v>7.7</v>
      </c>
      <c r="J66" s="124">
        <v>2</v>
      </c>
      <c r="K66" s="124">
        <v>7.7</v>
      </c>
      <c r="L66" s="124">
        <v>7.6</v>
      </c>
      <c r="M66" s="153">
        <v>6.2</v>
      </c>
      <c r="N66" s="154">
        <v>6.1</v>
      </c>
      <c r="O66" s="154">
        <v>1.9</v>
      </c>
      <c r="P66" s="154">
        <v>6</v>
      </c>
      <c r="Q66" s="182">
        <v>6.1</v>
      </c>
      <c r="R66" s="123">
        <v>6.5</v>
      </c>
      <c r="S66" s="124">
        <v>6.5</v>
      </c>
      <c r="T66" s="124">
        <v>2</v>
      </c>
      <c r="U66" s="124">
        <v>6.5</v>
      </c>
      <c r="V66" s="132">
        <v>6.6</v>
      </c>
      <c r="W66" s="412">
        <f t="shared" si="34"/>
        <v>124.8</v>
      </c>
      <c r="X66" s="651">
        <v>125.19999999999997</v>
      </c>
      <c r="Y66" s="646"/>
      <c r="Z66" s="651"/>
      <c r="AA66" s="651"/>
      <c r="AD66" s="42"/>
      <c r="AE66" s="2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3"/>
      <c r="AS66" s="3"/>
      <c r="AV66" s="2"/>
      <c r="AW66" s="2"/>
      <c r="AX66" s="2"/>
      <c r="AY66" s="2"/>
    </row>
    <row r="67" spans="1:51" ht="33.75" customHeight="1" thickBot="1" x14ac:dyDescent="0.3">
      <c r="A67" s="170" t="s">
        <v>9</v>
      </c>
      <c r="B67" s="297">
        <f t="shared" ref="B67:V67" si="35">SUM(B60:B66)</f>
        <v>52.3</v>
      </c>
      <c r="C67" s="298">
        <f t="shared" si="35"/>
        <v>52.7</v>
      </c>
      <c r="D67" s="298">
        <f t="shared" si="35"/>
        <v>12.2</v>
      </c>
      <c r="E67" s="298">
        <f t="shared" si="35"/>
        <v>53.400000000000006</v>
      </c>
      <c r="F67" s="298">
        <f t="shared" si="35"/>
        <v>53.400000000000006</v>
      </c>
      <c r="G67" s="299">
        <f t="shared" si="35"/>
        <v>37.4</v>
      </c>
      <c r="H67" s="615">
        <f t="shared" si="35"/>
        <v>53.500000000000007</v>
      </c>
      <c r="I67" s="616">
        <f t="shared" si="35"/>
        <v>53.600000000000009</v>
      </c>
      <c r="J67" s="616">
        <f t="shared" si="35"/>
        <v>13.4</v>
      </c>
      <c r="K67" s="616">
        <f t="shared" si="35"/>
        <v>53.800000000000004</v>
      </c>
      <c r="L67" s="616">
        <f t="shared" si="35"/>
        <v>53.1</v>
      </c>
      <c r="M67" s="618">
        <f t="shared" si="35"/>
        <v>42.9</v>
      </c>
      <c r="N67" s="616">
        <f t="shared" si="35"/>
        <v>43.500000000000007</v>
      </c>
      <c r="O67" s="616">
        <f t="shared" si="35"/>
        <v>13.1</v>
      </c>
      <c r="P67" s="616">
        <f t="shared" si="35"/>
        <v>42.4</v>
      </c>
      <c r="Q67" s="616">
        <f t="shared" si="35"/>
        <v>43.500000000000007</v>
      </c>
      <c r="R67" s="615">
        <f t="shared" si="35"/>
        <v>45.9</v>
      </c>
      <c r="S67" s="616">
        <f t="shared" si="35"/>
        <v>45.9</v>
      </c>
      <c r="T67" s="616">
        <f t="shared" si="35"/>
        <v>14.600000000000001</v>
      </c>
      <c r="U67" s="616">
        <f t="shared" si="35"/>
        <v>46.1</v>
      </c>
      <c r="V67" s="617">
        <f t="shared" si="35"/>
        <v>46.000000000000007</v>
      </c>
      <c r="W67" s="449">
        <f t="shared" si="34"/>
        <v>872.7</v>
      </c>
      <c r="X67" s="664">
        <v>875.59999999999991</v>
      </c>
      <c r="Y67" s="646"/>
      <c r="Z67" s="651"/>
      <c r="AA67" s="651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3"/>
      <c r="AS67" s="3"/>
      <c r="AT67" s="3"/>
      <c r="AU67" s="3"/>
      <c r="AV67" s="2"/>
      <c r="AW67" s="2"/>
      <c r="AX67" s="2"/>
      <c r="AY67" s="2"/>
    </row>
    <row r="68" spans="1:51" ht="33.75" customHeight="1" x14ac:dyDescent="0.25">
      <c r="A68" s="192" t="s">
        <v>11</v>
      </c>
      <c r="B68" s="357">
        <v>159</v>
      </c>
      <c r="C68" s="358">
        <v>160</v>
      </c>
      <c r="D68" s="358">
        <v>159</v>
      </c>
      <c r="E68" s="358">
        <v>159</v>
      </c>
      <c r="F68" s="358">
        <v>159.5</v>
      </c>
      <c r="G68" s="624">
        <v>160</v>
      </c>
      <c r="H68" s="671">
        <v>158.5</v>
      </c>
      <c r="I68" s="358">
        <v>159.5</v>
      </c>
      <c r="J68" s="358">
        <v>160</v>
      </c>
      <c r="K68" s="358">
        <v>160</v>
      </c>
      <c r="L68" s="358">
        <v>158</v>
      </c>
      <c r="M68" s="357">
        <v>157</v>
      </c>
      <c r="N68" s="358">
        <v>159.5</v>
      </c>
      <c r="O68" s="358">
        <v>155.5</v>
      </c>
      <c r="P68" s="358">
        <v>159.5</v>
      </c>
      <c r="Q68" s="358">
        <v>159.5</v>
      </c>
      <c r="R68" s="357">
        <v>160</v>
      </c>
      <c r="S68" s="358">
        <v>160</v>
      </c>
      <c r="T68" s="358">
        <v>160.5</v>
      </c>
      <c r="U68" s="358">
        <v>160.5</v>
      </c>
      <c r="V68" s="624">
        <v>160</v>
      </c>
      <c r="W68" s="296">
        <f>+((W67/W69)/7)*1000</f>
        <v>158.81710646041856</v>
      </c>
      <c r="X68" s="145">
        <v>159.34485896269334</v>
      </c>
      <c r="Y68" s="648"/>
      <c r="Z68" s="665"/>
      <c r="AA68" s="522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3"/>
      <c r="AS68" s="3"/>
      <c r="AT68" s="3"/>
      <c r="AU68" s="3"/>
      <c r="AV68" s="2"/>
      <c r="AW68" s="2"/>
      <c r="AX68" s="2"/>
      <c r="AY68" s="2"/>
    </row>
    <row r="69" spans="1:51" ht="33.75" customHeight="1" x14ac:dyDescent="0.25">
      <c r="A69" s="193" t="s">
        <v>12</v>
      </c>
      <c r="B69" s="257">
        <v>47</v>
      </c>
      <c r="C69" s="275">
        <v>47</v>
      </c>
      <c r="D69" s="275">
        <v>11</v>
      </c>
      <c r="E69" s="275">
        <v>48</v>
      </c>
      <c r="F69" s="275">
        <v>48</v>
      </c>
      <c r="G69" s="276">
        <v>36</v>
      </c>
      <c r="H69" s="79">
        <v>48</v>
      </c>
      <c r="I69" s="275">
        <v>48</v>
      </c>
      <c r="J69" s="275">
        <v>12</v>
      </c>
      <c r="K69" s="275">
        <v>48</v>
      </c>
      <c r="L69" s="275">
        <v>48</v>
      </c>
      <c r="M69" s="257">
        <v>39</v>
      </c>
      <c r="N69" s="275">
        <v>39</v>
      </c>
      <c r="O69" s="275">
        <v>12</v>
      </c>
      <c r="P69" s="275">
        <v>38</v>
      </c>
      <c r="Q69" s="275">
        <v>39</v>
      </c>
      <c r="R69" s="257">
        <v>41</v>
      </c>
      <c r="S69" s="275">
        <v>41</v>
      </c>
      <c r="T69" s="275">
        <v>13</v>
      </c>
      <c r="U69" s="275">
        <v>41</v>
      </c>
      <c r="V69" s="276">
        <v>41</v>
      </c>
      <c r="W69" s="254">
        <f>SUM(B69:V69)</f>
        <v>785</v>
      </c>
      <c r="X69" s="145">
        <v>785</v>
      </c>
      <c r="Y69" s="649"/>
      <c r="Z69" s="665"/>
      <c r="AA69" s="522"/>
      <c r="AE69" s="59"/>
      <c r="AI69" s="3"/>
      <c r="AJ69" s="3"/>
      <c r="AK69" s="3"/>
      <c r="AL69" s="3"/>
      <c r="AM69" s="3"/>
      <c r="AN69" s="3"/>
    </row>
    <row r="70" spans="1:51" ht="33.75" customHeight="1" x14ac:dyDescent="0.25">
      <c r="A70" s="194" t="s">
        <v>13</v>
      </c>
      <c r="B70" s="30">
        <f t="shared" ref="B70:L70" si="36">((((B68*7)*B69)/1000)-B60-B61)/5</f>
        <v>7.4622000000000002</v>
      </c>
      <c r="C70" s="31">
        <f t="shared" si="36"/>
        <v>7.4879999999999995</v>
      </c>
      <c r="D70" s="31">
        <f t="shared" si="36"/>
        <v>1.7285999999999997</v>
      </c>
      <c r="E70" s="31">
        <f t="shared" si="36"/>
        <v>7.6047999999999991</v>
      </c>
      <c r="F70" s="31">
        <f t="shared" si="36"/>
        <v>7.638399999999999</v>
      </c>
      <c r="G70" s="32">
        <f t="shared" si="36"/>
        <v>5.7440000000000007</v>
      </c>
      <c r="H70" s="65">
        <f t="shared" si="36"/>
        <v>7.6512000000000002</v>
      </c>
      <c r="I70" s="31">
        <f t="shared" si="36"/>
        <v>7.638399999999999</v>
      </c>
      <c r="J70" s="31">
        <f t="shared" si="36"/>
        <v>1.9279999999999997</v>
      </c>
      <c r="K70" s="31">
        <f t="shared" si="36"/>
        <v>7.6719999999999988</v>
      </c>
      <c r="L70" s="31">
        <f t="shared" si="36"/>
        <v>7.5775999999999994</v>
      </c>
      <c r="M70" s="30">
        <f>((((M68*7)*M69)/1000)-M60-M61-M62)/4</f>
        <v>6.1652499999999995</v>
      </c>
      <c r="N70" s="31">
        <f t="shared" ref="N70:V70" si="37">((((N68*7)*N69)/1000)-N60-N61-N62)/4</f>
        <v>6.1108750000000009</v>
      </c>
      <c r="O70" s="31">
        <f t="shared" si="37"/>
        <v>1.8654999999999995</v>
      </c>
      <c r="P70" s="31">
        <f t="shared" si="37"/>
        <v>5.9317499999999992</v>
      </c>
      <c r="Q70" s="31">
        <f t="shared" si="37"/>
        <v>6.1108750000000001</v>
      </c>
      <c r="R70" s="30">
        <f t="shared" si="37"/>
        <v>6.4799999999999995</v>
      </c>
      <c r="S70" s="31">
        <f t="shared" si="37"/>
        <v>6.43</v>
      </c>
      <c r="T70" s="31">
        <f t="shared" si="37"/>
        <v>1.9513750000000001</v>
      </c>
      <c r="U70" s="31">
        <f t="shared" si="37"/>
        <v>6.4408749999999984</v>
      </c>
      <c r="V70" s="32">
        <f t="shared" si="37"/>
        <v>6.58</v>
      </c>
      <c r="W70" s="139">
        <f>((W67*1000)/W69)/7</f>
        <v>158.81710646041856</v>
      </c>
      <c r="X70" s="144">
        <v>159.34485896269334</v>
      </c>
      <c r="Y70" s="650"/>
      <c r="Z70" s="665"/>
      <c r="AA70" s="522"/>
      <c r="AI70" s="3"/>
      <c r="AJ70" s="3"/>
      <c r="AK70" s="3"/>
      <c r="AL70" s="3"/>
      <c r="AM70" s="3"/>
      <c r="AN70" s="3"/>
    </row>
    <row r="71" spans="1:51" ht="33.75" customHeight="1" x14ac:dyDescent="0.25">
      <c r="A71" s="185" t="s">
        <v>14</v>
      </c>
      <c r="B71" s="279">
        <f t="shared" ref="B71:V71" si="38">((B69*B68)*7)/1000</f>
        <v>52.311</v>
      </c>
      <c r="C71" s="280">
        <f t="shared" si="38"/>
        <v>52.64</v>
      </c>
      <c r="D71" s="280">
        <f t="shared" si="38"/>
        <v>12.243</v>
      </c>
      <c r="E71" s="280">
        <f t="shared" si="38"/>
        <v>53.423999999999999</v>
      </c>
      <c r="F71" s="280">
        <f t="shared" si="38"/>
        <v>53.591999999999999</v>
      </c>
      <c r="G71" s="282">
        <f t="shared" si="38"/>
        <v>40.32</v>
      </c>
      <c r="H71" s="325">
        <f t="shared" si="38"/>
        <v>53.256</v>
      </c>
      <c r="I71" s="280">
        <f t="shared" si="38"/>
        <v>53.591999999999999</v>
      </c>
      <c r="J71" s="280">
        <f t="shared" si="38"/>
        <v>13.44</v>
      </c>
      <c r="K71" s="280">
        <f t="shared" si="38"/>
        <v>53.76</v>
      </c>
      <c r="L71" s="280">
        <f t="shared" si="38"/>
        <v>53.088000000000001</v>
      </c>
      <c r="M71" s="279">
        <f t="shared" si="38"/>
        <v>42.860999999999997</v>
      </c>
      <c r="N71" s="280">
        <f t="shared" si="38"/>
        <v>43.543500000000002</v>
      </c>
      <c r="O71" s="280">
        <f t="shared" si="38"/>
        <v>13.061999999999999</v>
      </c>
      <c r="P71" s="280">
        <f t="shared" si="38"/>
        <v>42.427</v>
      </c>
      <c r="Q71" s="280">
        <f t="shared" si="38"/>
        <v>43.543500000000002</v>
      </c>
      <c r="R71" s="279">
        <f t="shared" si="38"/>
        <v>45.92</v>
      </c>
      <c r="S71" s="280">
        <f t="shared" si="38"/>
        <v>45.92</v>
      </c>
      <c r="T71" s="280">
        <f t="shared" si="38"/>
        <v>14.605499999999999</v>
      </c>
      <c r="U71" s="280">
        <f t="shared" si="38"/>
        <v>46.063499999999998</v>
      </c>
      <c r="V71" s="282">
        <f t="shared" si="38"/>
        <v>45.92</v>
      </c>
      <c r="W71" s="112"/>
      <c r="X71" s="651"/>
      <c r="Y71" s="666"/>
      <c r="Z71" s="666"/>
      <c r="AA71" s="666"/>
      <c r="AB71" s="41"/>
      <c r="AC71" s="41"/>
      <c r="AD71" s="41"/>
      <c r="AN71" s="3"/>
    </row>
    <row r="72" spans="1:51" ht="33.75" customHeight="1" thickBot="1" x14ac:dyDescent="0.3">
      <c r="A72" s="195" t="s">
        <v>15</v>
      </c>
      <c r="B72" s="37">
        <f t="shared" ref="B72:V72" si="39">+(B67/B69)/7*1000</f>
        <v>158.96656534954406</v>
      </c>
      <c r="C72" s="38">
        <f t="shared" si="39"/>
        <v>160.18237082066869</v>
      </c>
      <c r="D72" s="38">
        <f t="shared" si="39"/>
        <v>158.44155844155844</v>
      </c>
      <c r="E72" s="38">
        <f t="shared" si="39"/>
        <v>158.92857142857144</v>
      </c>
      <c r="F72" s="38">
        <f t="shared" si="39"/>
        <v>158.92857142857144</v>
      </c>
      <c r="G72" s="39">
        <f t="shared" si="39"/>
        <v>148.41269841269838</v>
      </c>
      <c r="H72" s="67">
        <f t="shared" si="39"/>
        <v>159.22619047619048</v>
      </c>
      <c r="I72" s="38">
        <f t="shared" si="39"/>
        <v>159.52380952380958</v>
      </c>
      <c r="J72" s="38">
        <f t="shared" si="39"/>
        <v>159.52380952380955</v>
      </c>
      <c r="K72" s="38">
        <f t="shared" si="39"/>
        <v>160.11904761904762</v>
      </c>
      <c r="L72" s="38">
        <f t="shared" si="39"/>
        <v>158.03571428571428</v>
      </c>
      <c r="M72" s="37">
        <f t="shared" si="39"/>
        <v>157.14285714285711</v>
      </c>
      <c r="N72" s="38">
        <f t="shared" si="39"/>
        <v>159.34065934065939</v>
      </c>
      <c r="O72" s="38">
        <f t="shared" si="39"/>
        <v>155.95238095238093</v>
      </c>
      <c r="P72" s="38">
        <f t="shared" si="39"/>
        <v>159.39849624060147</v>
      </c>
      <c r="Q72" s="38">
        <f t="shared" si="39"/>
        <v>159.34065934065939</v>
      </c>
      <c r="R72" s="37">
        <f t="shared" si="39"/>
        <v>159.93031358885014</v>
      </c>
      <c r="S72" s="38">
        <f t="shared" si="39"/>
        <v>159.93031358885014</v>
      </c>
      <c r="T72" s="38">
        <f t="shared" si="39"/>
        <v>160.43956043956047</v>
      </c>
      <c r="U72" s="38">
        <f t="shared" si="39"/>
        <v>160.62717770034845</v>
      </c>
      <c r="V72" s="39">
        <f t="shared" si="39"/>
        <v>160.27874564459933</v>
      </c>
      <c r="W72" s="40"/>
      <c r="X72" s="651"/>
      <c r="Y72" s="522"/>
      <c r="Z72" s="522"/>
      <c r="AA72" s="522"/>
      <c r="AN72" s="3"/>
    </row>
    <row r="73" spans="1:51" ht="33.75" customHeight="1" x14ac:dyDescent="0.25">
      <c r="B73" s="43">
        <f>B71-B67</f>
        <v>1.1000000000002785E-2</v>
      </c>
      <c r="C73" s="43">
        <f t="shared" ref="C73:G74" si="40">C71-C67</f>
        <v>-6.0000000000002274E-2</v>
      </c>
      <c r="D73" s="43">
        <f t="shared" si="40"/>
        <v>4.3000000000001037E-2</v>
      </c>
      <c r="E73" s="43">
        <f t="shared" si="40"/>
        <v>2.3999999999993804E-2</v>
      </c>
      <c r="F73" s="43">
        <f t="shared" si="40"/>
        <v>0.19199999999999307</v>
      </c>
      <c r="G73" s="43">
        <f t="shared" si="40"/>
        <v>2.9200000000000017</v>
      </c>
      <c r="H73" s="43">
        <f>H71-H67</f>
        <v>-0.24400000000000688</v>
      </c>
      <c r="I73" s="43">
        <f t="shared" ref="I73:V74" si="41">I71-I67</f>
        <v>-8.0000000000097771E-3</v>
      </c>
      <c r="J73" s="43">
        <f t="shared" si="41"/>
        <v>3.9999999999999147E-2</v>
      </c>
      <c r="K73" s="43">
        <f t="shared" si="41"/>
        <v>-4.0000000000006253E-2</v>
      </c>
      <c r="L73" s="43">
        <f t="shared" si="41"/>
        <v>-1.2000000000000455E-2</v>
      </c>
      <c r="M73" s="43">
        <f>M71-M67</f>
        <v>-3.9000000000001478E-2</v>
      </c>
      <c r="N73" s="43">
        <f t="shared" ref="N73:Q73" si="42">N71-N67</f>
        <v>4.3499999999994543E-2</v>
      </c>
      <c r="O73" s="43">
        <f t="shared" si="42"/>
        <v>-3.8000000000000256E-2</v>
      </c>
      <c r="P73" s="43">
        <f t="shared" si="42"/>
        <v>2.7000000000001023E-2</v>
      </c>
      <c r="Q73" s="43">
        <f t="shared" si="42"/>
        <v>4.3499999999994543E-2</v>
      </c>
      <c r="R73" s="43">
        <f>R71-R67</f>
        <v>2.0000000000003126E-2</v>
      </c>
      <c r="S73" s="43">
        <f t="shared" ref="S73:V73" si="43">S71-S67</f>
        <v>2.0000000000003126E-2</v>
      </c>
      <c r="T73" s="43">
        <f t="shared" si="43"/>
        <v>5.49999999999784E-3</v>
      </c>
      <c r="U73" s="43">
        <f t="shared" si="43"/>
        <v>-3.6500000000003752E-2</v>
      </c>
      <c r="V73" s="43">
        <f t="shared" si="43"/>
        <v>-8.00000000000054E-2</v>
      </c>
      <c r="X73" s="144"/>
      <c r="Y73" s="522"/>
      <c r="Z73" s="522"/>
      <c r="AA73" s="522"/>
    </row>
    <row r="74" spans="1:51" ht="33.75" customHeight="1" x14ac:dyDescent="0.25">
      <c r="B74" s="42">
        <f t="shared" ref="B74:K74" si="44">B72-B68</f>
        <v>-3.3434650455944848E-2</v>
      </c>
      <c r="C74" s="42">
        <f t="shared" si="44"/>
        <v>0.18237082066869448</v>
      </c>
      <c r="D74" s="42">
        <f t="shared" si="44"/>
        <v>-0.55844155844155807</v>
      </c>
      <c r="E74" s="42">
        <f t="shared" si="44"/>
        <v>-7.1428571428555188E-2</v>
      </c>
      <c r="F74" s="42">
        <f t="shared" si="44"/>
        <v>-0.57142857142855519</v>
      </c>
      <c r="G74" s="42">
        <f t="shared" si="40"/>
        <v>-11.587301587301624</v>
      </c>
      <c r="H74" s="42">
        <f t="shared" si="44"/>
        <v>0.7261904761904816</v>
      </c>
      <c r="I74" s="42">
        <f t="shared" si="44"/>
        <v>2.3809523809575239E-2</v>
      </c>
      <c r="J74" s="42">
        <f>J72-J68</f>
        <v>-0.47619047619045318</v>
      </c>
      <c r="K74" s="42">
        <f t="shared" si="44"/>
        <v>0.1190476190476204</v>
      </c>
      <c r="L74" s="42">
        <f t="shared" si="41"/>
        <v>3.5714285714277594E-2</v>
      </c>
      <c r="M74" s="42">
        <f t="shared" si="41"/>
        <v>0.14285714285711038</v>
      </c>
      <c r="N74" s="42">
        <f t="shared" si="41"/>
        <v>-0.15934065934061437</v>
      </c>
      <c r="O74" s="42">
        <f t="shared" si="41"/>
        <v>0.45238095238093479</v>
      </c>
      <c r="P74" s="42">
        <f t="shared" si="41"/>
        <v>-0.10150375939852552</v>
      </c>
      <c r="Q74" s="42">
        <f t="shared" si="41"/>
        <v>-0.15934065934061437</v>
      </c>
      <c r="R74" s="42">
        <f t="shared" si="41"/>
        <v>-6.968641114985985E-2</v>
      </c>
      <c r="S74" s="42">
        <f t="shared" si="41"/>
        <v>-6.968641114985985E-2</v>
      </c>
      <c r="T74" s="42">
        <f t="shared" si="41"/>
        <v>-6.0439560439533579E-2</v>
      </c>
      <c r="U74" s="42">
        <f t="shared" si="41"/>
        <v>0.12717770034845444</v>
      </c>
      <c r="V74" s="42">
        <f t="shared" si="41"/>
        <v>0.27874564459932571</v>
      </c>
      <c r="W74" s="45"/>
      <c r="X74" s="651"/>
      <c r="Y74" s="657"/>
      <c r="Z74" s="657"/>
      <c r="AA74" s="657"/>
      <c r="AB74" s="45"/>
      <c r="AC74" s="45"/>
      <c r="AD74" s="45"/>
      <c r="AE74" s="52"/>
    </row>
    <row r="75" spans="1:51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  <c r="W75" s="636"/>
    </row>
    <row r="76" spans="1:51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1" ht="33.75" customHeight="1" x14ac:dyDescent="0.25">
      <c r="A77" s="45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1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1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1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5">
    <mergeCell ref="R58:V58"/>
    <mergeCell ref="M39:R39"/>
    <mergeCell ref="A3:C3"/>
    <mergeCell ref="E9:G9"/>
    <mergeCell ref="W9:X9"/>
    <mergeCell ref="O11:P11"/>
    <mergeCell ref="B16:H16"/>
    <mergeCell ref="I16:O16"/>
    <mergeCell ref="P16:T16"/>
    <mergeCell ref="U16:Y16"/>
    <mergeCell ref="B39:F39"/>
    <mergeCell ref="G39:G40"/>
    <mergeCell ref="B58:F58"/>
    <mergeCell ref="H58:L58"/>
    <mergeCell ref="M58:Q58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41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41</v>
      </c>
      <c r="P11" s="965"/>
      <c r="Q11" s="6"/>
      <c r="R11" s="6"/>
      <c r="S11" s="6"/>
      <c r="T11" s="1"/>
      <c r="U11" s="1"/>
      <c r="V11" s="1" t="s">
        <v>6</v>
      </c>
      <c r="W11" s="95">
        <v>45621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594"/>
      <c r="I17" s="386" t="s">
        <v>100</v>
      </c>
      <c r="J17" s="438">
        <v>1</v>
      </c>
      <c r="K17" s="438">
        <v>2</v>
      </c>
      <c r="L17" s="438">
        <v>3</v>
      </c>
      <c r="M17" s="438">
        <v>4</v>
      </c>
      <c r="N17" s="439">
        <v>5</v>
      </c>
      <c r="O17" s="594"/>
      <c r="P17" s="202">
        <v>1</v>
      </c>
      <c r="Q17" s="174">
        <v>2</v>
      </c>
      <c r="R17" s="174">
        <v>3</v>
      </c>
      <c r="S17" s="174">
        <v>4</v>
      </c>
      <c r="T17" s="203">
        <v>5</v>
      </c>
      <c r="U17" s="186">
        <v>1</v>
      </c>
      <c r="V17" s="174">
        <v>2</v>
      </c>
      <c r="W17" s="174">
        <v>3</v>
      </c>
      <c r="X17" s="174">
        <v>4</v>
      </c>
      <c r="Y17" s="175">
        <v>5</v>
      </c>
      <c r="Z17" s="126"/>
      <c r="AD17" s="2"/>
      <c r="AE17" s="15"/>
    </row>
    <row r="18" spans="1:40" ht="39.950000000000003" customHeight="1" x14ac:dyDescent="0.25">
      <c r="A18" s="171" t="s">
        <v>53</v>
      </c>
      <c r="B18" s="595">
        <v>317.2</v>
      </c>
      <c r="C18" s="596">
        <v>18.2</v>
      </c>
      <c r="D18" s="596">
        <v>18.5</v>
      </c>
      <c r="E18" s="596">
        <v>4.4000000000000004</v>
      </c>
      <c r="F18" s="596">
        <v>18.7</v>
      </c>
      <c r="G18" s="597">
        <v>18.7</v>
      </c>
      <c r="H18" s="506">
        <v>395.69999999999993</v>
      </c>
      <c r="I18" s="599">
        <v>319.39999999999998</v>
      </c>
      <c r="J18" s="596">
        <v>18.399999999999999</v>
      </c>
      <c r="K18" s="596">
        <v>18.7</v>
      </c>
      <c r="L18" s="596">
        <v>4.4000000000000004</v>
      </c>
      <c r="M18" s="596">
        <v>17.8</v>
      </c>
      <c r="N18" s="600">
        <v>17.600000000000001</v>
      </c>
      <c r="O18" s="506">
        <v>396.29999999999995</v>
      </c>
      <c r="P18" s="601">
        <v>77.599999999999994</v>
      </c>
      <c r="Q18" s="504">
        <v>77.2</v>
      </c>
      <c r="R18" s="596">
        <v>25.3</v>
      </c>
      <c r="S18" s="596">
        <v>77.8</v>
      </c>
      <c r="T18" s="600">
        <v>77.099999999999994</v>
      </c>
      <c r="U18" s="602">
        <v>80.3</v>
      </c>
      <c r="V18" s="596">
        <v>81.8</v>
      </c>
      <c r="W18" s="504">
        <v>25.6</v>
      </c>
      <c r="X18" s="504">
        <v>81.8</v>
      </c>
      <c r="Y18" s="600">
        <v>80.599999999999994</v>
      </c>
      <c r="Z18" s="509">
        <f>SUM(H18,O18,P18:Y18)</f>
        <v>1477.0999999999995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595">
        <v>316.8</v>
      </c>
      <c r="C19" s="596">
        <v>18.2</v>
      </c>
      <c r="D19" s="596">
        <v>18.5</v>
      </c>
      <c r="E19" s="596">
        <v>4.4000000000000004</v>
      </c>
      <c r="F19" s="596">
        <v>18.7</v>
      </c>
      <c r="G19" s="597">
        <v>18.7</v>
      </c>
      <c r="H19" s="635">
        <v>395.29999999999995</v>
      </c>
      <c r="I19" s="599">
        <v>319.3</v>
      </c>
      <c r="J19" s="596">
        <v>18.399999999999999</v>
      </c>
      <c r="K19" s="596">
        <v>18.7</v>
      </c>
      <c r="L19" s="596">
        <v>4.4000000000000004</v>
      </c>
      <c r="M19" s="596">
        <v>17.8</v>
      </c>
      <c r="N19" s="600">
        <v>17.600000000000001</v>
      </c>
      <c r="O19" s="635">
        <v>396.2</v>
      </c>
      <c r="P19" s="601">
        <v>77.599999999999994</v>
      </c>
      <c r="Q19" s="504">
        <v>77.2</v>
      </c>
      <c r="R19" s="596">
        <v>25.2</v>
      </c>
      <c r="S19" s="596">
        <v>77.8</v>
      </c>
      <c r="T19" s="600">
        <v>77.099999999999994</v>
      </c>
      <c r="U19" s="602">
        <v>80.3</v>
      </c>
      <c r="V19" s="596">
        <v>81.599999999999994</v>
      </c>
      <c r="W19" s="504">
        <v>25.3</v>
      </c>
      <c r="X19" s="504">
        <v>81.8</v>
      </c>
      <c r="Y19" s="600">
        <v>80.599999999999994</v>
      </c>
      <c r="Z19" s="509">
        <f>SUM(H19,O19,P19:Y19)</f>
        <v>1475.9999999999998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595">
        <v>316.60000000000002</v>
      </c>
      <c r="C20" s="596">
        <v>17.899999999999999</v>
      </c>
      <c r="D20" s="596">
        <v>18.2</v>
      </c>
      <c r="E20" s="596">
        <v>4.4000000000000004</v>
      </c>
      <c r="F20" s="596">
        <v>18.399999999999999</v>
      </c>
      <c r="G20" s="597">
        <v>18.399999999999999</v>
      </c>
      <c r="H20" s="635">
        <v>393.89999999999992</v>
      </c>
      <c r="I20" s="599">
        <v>319.2</v>
      </c>
      <c r="J20" s="596">
        <v>18.100000000000001</v>
      </c>
      <c r="K20" s="596">
        <v>18.399999999999999</v>
      </c>
      <c r="L20" s="596">
        <v>4.3</v>
      </c>
      <c r="M20" s="596">
        <v>17.5</v>
      </c>
      <c r="N20" s="600">
        <v>17.3</v>
      </c>
      <c r="O20" s="635">
        <v>394.8</v>
      </c>
      <c r="P20" s="601">
        <v>77.400000000000006</v>
      </c>
      <c r="Q20" s="504">
        <v>77.099999999999994</v>
      </c>
      <c r="R20" s="596">
        <v>25.1</v>
      </c>
      <c r="S20" s="596">
        <v>77.7</v>
      </c>
      <c r="T20" s="600">
        <v>77.099999999999994</v>
      </c>
      <c r="U20" s="602">
        <v>80.099999999999994</v>
      </c>
      <c r="V20" s="596">
        <v>81.3</v>
      </c>
      <c r="W20" s="504">
        <v>25.2</v>
      </c>
      <c r="X20" s="504">
        <v>81.5</v>
      </c>
      <c r="Y20" s="600">
        <v>80</v>
      </c>
      <c r="Z20" s="509">
        <f t="shared" ref="Z20:Z24" si="0">SUM(H20,O20,P20:Y20)</f>
        <v>1471.1999999999998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595">
        <v>316.60000000000002</v>
      </c>
      <c r="C21" s="596">
        <v>18.2</v>
      </c>
      <c r="D21" s="596">
        <v>18.5</v>
      </c>
      <c r="E21" s="596">
        <v>4.4000000000000004</v>
      </c>
      <c r="F21" s="596">
        <v>18.7</v>
      </c>
      <c r="G21" s="597">
        <v>18.7</v>
      </c>
      <c r="H21" s="635">
        <f t="shared" ref="H21" si="1">SUM(B21:G21)</f>
        <v>395.09999999999997</v>
      </c>
      <c r="I21" s="599">
        <v>319.3</v>
      </c>
      <c r="J21" s="596">
        <v>18.399999999999999</v>
      </c>
      <c r="K21" s="596">
        <v>18.7</v>
      </c>
      <c r="L21" s="596">
        <v>4.4000000000000004</v>
      </c>
      <c r="M21" s="596">
        <v>17.8</v>
      </c>
      <c r="N21" s="600">
        <v>17.600000000000001</v>
      </c>
      <c r="O21" s="635">
        <f t="shared" ref="O21" si="2">SUM(I21:N21)</f>
        <v>396.2</v>
      </c>
      <c r="P21" s="601">
        <v>77.599999999999994</v>
      </c>
      <c r="Q21" s="504">
        <v>77.2</v>
      </c>
      <c r="R21" s="596">
        <v>25.2</v>
      </c>
      <c r="S21" s="596">
        <v>77.8</v>
      </c>
      <c r="T21" s="600">
        <v>77.099999999999994</v>
      </c>
      <c r="U21" s="602">
        <v>80.3</v>
      </c>
      <c r="V21" s="596">
        <v>81.599999999999994</v>
      </c>
      <c r="W21" s="504">
        <v>25.3</v>
      </c>
      <c r="X21" s="504">
        <v>81.8</v>
      </c>
      <c r="Y21" s="600">
        <v>80.599999999999994</v>
      </c>
      <c r="Z21" s="509">
        <f t="shared" si="0"/>
        <v>1475.7999999999997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595">
        <v>316.60000000000002</v>
      </c>
      <c r="C22" s="629">
        <v>17.899999999999999</v>
      </c>
      <c r="D22" s="629">
        <v>18.2</v>
      </c>
      <c r="E22" s="629">
        <v>4.4000000000000004</v>
      </c>
      <c r="F22" s="629">
        <v>18.399999999999999</v>
      </c>
      <c r="G22" s="630">
        <v>18.399999999999999</v>
      </c>
      <c r="H22" s="717">
        <f t="shared" ref="H22" si="3">SUM(B22:G22)</f>
        <v>393.89999999999992</v>
      </c>
      <c r="I22" s="631">
        <v>319.2</v>
      </c>
      <c r="J22" s="629">
        <v>18.100000000000001</v>
      </c>
      <c r="K22" s="629">
        <v>18.399999999999999</v>
      </c>
      <c r="L22" s="629">
        <v>4.3</v>
      </c>
      <c r="M22" s="629">
        <v>17.5</v>
      </c>
      <c r="N22" s="632">
        <v>17.3</v>
      </c>
      <c r="O22" s="717">
        <f t="shared" ref="O22:O24" si="4">SUM(I22:N22)</f>
        <v>394.8</v>
      </c>
      <c r="P22" s="633">
        <v>76.599999999999994</v>
      </c>
      <c r="Q22" s="455">
        <v>76.8</v>
      </c>
      <c r="R22" s="629">
        <v>24.4</v>
      </c>
      <c r="S22" s="629">
        <v>77.7</v>
      </c>
      <c r="T22" s="632">
        <v>77.2</v>
      </c>
      <c r="U22" s="634">
        <v>79.599999999999994</v>
      </c>
      <c r="V22" s="629">
        <v>81.2</v>
      </c>
      <c r="W22" s="455">
        <v>25.2</v>
      </c>
      <c r="X22" s="455">
        <v>80.900000000000006</v>
      </c>
      <c r="Y22" s="632">
        <v>81.2</v>
      </c>
      <c r="Z22" s="509">
        <f t="shared" si="0"/>
        <v>1469.5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595">
        <v>316.60000000000002</v>
      </c>
      <c r="C23" s="629">
        <v>17.899999999999999</v>
      </c>
      <c r="D23" s="629">
        <v>18.2</v>
      </c>
      <c r="E23" s="629">
        <v>4.4000000000000004</v>
      </c>
      <c r="F23" s="629">
        <v>18.399999999999999</v>
      </c>
      <c r="G23" s="630">
        <v>18.399999999999999</v>
      </c>
      <c r="H23" s="717">
        <f>SUM(B23:G23)</f>
        <v>393.89999999999992</v>
      </c>
      <c r="I23" s="631">
        <v>319.2</v>
      </c>
      <c r="J23" s="629">
        <v>18.100000000000001</v>
      </c>
      <c r="K23" s="629">
        <v>18.399999999999999</v>
      </c>
      <c r="L23" s="629">
        <v>4.3</v>
      </c>
      <c r="M23" s="629">
        <v>17.5</v>
      </c>
      <c r="N23" s="632">
        <v>17.3</v>
      </c>
      <c r="O23" s="717">
        <f t="shared" si="4"/>
        <v>394.8</v>
      </c>
      <c r="P23" s="633">
        <v>77</v>
      </c>
      <c r="Q23" s="455">
        <v>77.099999999999994</v>
      </c>
      <c r="R23" s="629">
        <v>24.1</v>
      </c>
      <c r="S23" s="629">
        <v>77.7</v>
      </c>
      <c r="T23" s="632">
        <v>77.099999999999994</v>
      </c>
      <c r="U23" s="634">
        <v>79.599999999999994</v>
      </c>
      <c r="V23" s="629">
        <v>81.099999999999994</v>
      </c>
      <c r="W23" s="455">
        <v>25.1</v>
      </c>
      <c r="X23" s="455">
        <v>81</v>
      </c>
      <c r="Y23" s="632">
        <v>81.3</v>
      </c>
      <c r="Z23" s="509">
        <f t="shared" si="0"/>
        <v>1469.7999999999995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595">
        <v>316.60000000000002</v>
      </c>
      <c r="C24" s="596">
        <v>17.899999999999999</v>
      </c>
      <c r="D24" s="596">
        <v>18.2</v>
      </c>
      <c r="E24" s="596">
        <v>4.4000000000000004</v>
      </c>
      <c r="F24" s="596">
        <v>18.399999999999999</v>
      </c>
      <c r="G24" s="597">
        <v>18.399999999999999</v>
      </c>
      <c r="H24" s="598">
        <f>SUM(B24:G24)</f>
        <v>393.89999999999992</v>
      </c>
      <c r="I24" s="599">
        <v>319.2</v>
      </c>
      <c r="J24" s="596">
        <v>18.100000000000001</v>
      </c>
      <c r="K24" s="596">
        <v>18.399999999999999</v>
      </c>
      <c r="L24" s="596">
        <v>4.3</v>
      </c>
      <c r="M24" s="596">
        <v>17.5</v>
      </c>
      <c r="N24" s="600">
        <v>17.3</v>
      </c>
      <c r="O24" s="598">
        <f t="shared" si="4"/>
        <v>394.8</v>
      </c>
      <c r="P24" s="601">
        <v>77</v>
      </c>
      <c r="Q24" s="504">
        <v>77.099999999999994</v>
      </c>
      <c r="R24" s="596">
        <v>24.2</v>
      </c>
      <c r="S24" s="596">
        <v>77.7</v>
      </c>
      <c r="T24" s="600">
        <v>77.099999999999994</v>
      </c>
      <c r="U24" s="602">
        <v>79.599999999999994</v>
      </c>
      <c r="V24" s="596">
        <v>81.2</v>
      </c>
      <c r="W24" s="504">
        <v>25.2</v>
      </c>
      <c r="X24" s="504">
        <v>81</v>
      </c>
      <c r="Y24" s="600">
        <v>81.3</v>
      </c>
      <c r="Z24" s="643">
        <f t="shared" si="0"/>
        <v>1470.1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298">
        <f t="shared" ref="C25:H25" si="5">SUM(C18:C24)</f>
        <v>126.20000000000002</v>
      </c>
      <c r="D25" s="298">
        <f t="shared" si="5"/>
        <v>128.30000000000001</v>
      </c>
      <c r="E25" s="298">
        <f t="shared" si="5"/>
        <v>30.799999999999997</v>
      </c>
      <c r="F25" s="298">
        <f t="shared" si="5"/>
        <v>129.70000000000002</v>
      </c>
      <c r="G25" s="448">
        <f t="shared" si="5"/>
        <v>129.70000000000002</v>
      </c>
      <c r="H25" s="436">
        <f t="shared" si="5"/>
        <v>2761.7</v>
      </c>
      <c r="I25" s="297"/>
      <c r="J25" s="298">
        <f t="shared" ref="J25:N25" si="6">SUM(J18:J24)</f>
        <v>127.6</v>
      </c>
      <c r="K25" s="298">
        <f>SUM(K18:K24)</f>
        <v>129.70000000000002</v>
      </c>
      <c r="L25" s="298">
        <f t="shared" si="6"/>
        <v>30.400000000000002</v>
      </c>
      <c r="M25" s="298">
        <f t="shared" si="6"/>
        <v>123.4</v>
      </c>
      <c r="N25" s="299">
        <f t="shared" si="6"/>
        <v>121.99999999999999</v>
      </c>
      <c r="O25" s="436">
        <f>SUM(O18:O24)</f>
        <v>2767.9</v>
      </c>
      <c r="P25" s="297">
        <f t="shared" ref="P25:W25" si="7">SUM(P18:P24)</f>
        <v>540.79999999999995</v>
      </c>
      <c r="Q25" s="297">
        <f t="shared" si="7"/>
        <v>539.70000000000005</v>
      </c>
      <c r="R25" s="297">
        <f t="shared" si="7"/>
        <v>173.49999999999997</v>
      </c>
      <c r="S25" s="297">
        <f t="shared" si="7"/>
        <v>544.20000000000005</v>
      </c>
      <c r="T25" s="297">
        <f t="shared" si="7"/>
        <v>539.79999999999995</v>
      </c>
      <c r="U25" s="297">
        <f t="shared" si="7"/>
        <v>559.80000000000007</v>
      </c>
      <c r="V25" s="297">
        <f t="shared" si="7"/>
        <v>569.79999999999995</v>
      </c>
      <c r="W25" s="297">
        <f t="shared" si="7"/>
        <v>176.9</v>
      </c>
      <c r="X25" s="297">
        <f>SUM(X18:X24)</f>
        <v>569.79999999999995</v>
      </c>
      <c r="Y25" s="297">
        <f>SUM(Y18:Y24)</f>
        <v>565.59999999999991</v>
      </c>
      <c r="Z25" s="607">
        <f>SUM(Z18,Z19,Z20,Z21,Z22,Z23,Z24)</f>
        <v>10309.499999999998</v>
      </c>
      <c r="AA25" s="301"/>
    </row>
    <row r="26" spans="1:40" s="2" customFormat="1" ht="36.75" customHeight="1" x14ac:dyDescent="0.25">
      <c r="A26" s="192" t="s">
        <v>11</v>
      </c>
      <c r="B26" s="293"/>
      <c r="C26" s="603">
        <v>161.69999999999999</v>
      </c>
      <c r="D26" s="603">
        <v>161.69999999999999</v>
      </c>
      <c r="E26" s="603">
        <v>161.69999999999999</v>
      </c>
      <c r="F26" s="603">
        <v>161.69999999999999</v>
      </c>
      <c r="G26" s="603">
        <v>161.69999999999999</v>
      </c>
      <c r="H26" s="678"/>
      <c r="I26" s="604"/>
      <c r="J26" s="603">
        <v>161.69999999999999</v>
      </c>
      <c r="K26" s="603">
        <v>161.69999999999999</v>
      </c>
      <c r="L26" s="603">
        <v>160</v>
      </c>
      <c r="M26" s="603">
        <v>160</v>
      </c>
      <c r="N26" s="603">
        <v>160</v>
      </c>
      <c r="O26" s="678"/>
      <c r="P26" s="603">
        <v>160</v>
      </c>
      <c r="Q26" s="603">
        <v>160</v>
      </c>
      <c r="R26" s="603">
        <v>160</v>
      </c>
      <c r="S26" s="603">
        <v>160</v>
      </c>
      <c r="T26" s="603">
        <v>160</v>
      </c>
      <c r="U26" s="603">
        <v>160</v>
      </c>
      <c r="V26" s="603">
        <v>160</v>
      </c>
      <c r="W26" s="603">
        <v>160</v>
      </c>
      <c r="X26" s="603">
        <v>160</v>
      </c>
      <c r="Y26" s="603">
        <v>160.5</v>
      </c>
      <c r="Z26" s="605">
        <f>(((Z25*1000)/7)/Z27)</f>
        <v>161.06580427446568</v>
      </c>
    </row>
    <row r="27" spans="1:40" s="2" customFormat="1" ht="33" customHeight="1" x14ac:dyDescent="0.25">
      <c r="A27" s="193" t="s">
        <v>12</v>
      </c>
      <c r="B27" s="257"/>
      <c r="C27" s="27">
        <v>561</v>
      </c>
      <c r="D27" s="27">
        <v>574</v>
      </c>
      <c r="E27" s="27">
        <v>136</v>
      </c>
      <c r="F27" s="27">
        <v>579</v>
      </c>
      <c r="G27" s="183">
        <v>578</v>
      </c>
      <c r="H27" s="679"/>
      <c r="I27" s="26"/>
      <c r="J27" s="27">
        <v>570</v>
      </c>
      <c r="K27" s="27">
        <v>579</v>
      </c>
      <c r="L27" s="483">
        <v>139</v>
      </c>
      <c r="M27" s="27">
        <v>583</v>
      </c>
      <c r="N27" s="183">
        <v>577</v>
      </c>
      <c r="O27" s="679"/>
      <c r="P27" s="64">
        <v>483</v>
      </c>
      <c r="Q27" s="27">
        <v>482</v>
      </c>
      <c r="R27" s="27">
        <v>155</v>
      </c>
      <c r="S27" s="27">
        <v>486</v>
      </c>
      <c r="T27" s="623">
        <v>482</v>
      </c>
      <c r="U27" s="26">
        <v>500</v>
      </c>
      <c r="V27" s="27">
        <v>509</v>
      </c>
      <c r="W27" s="27">
        <v>158</v>
      </c>
      <c r="X27" s="27">
        <v>509</v>
      </c>
      <c r="Y27" s="28">
        <v>504</v>
      </c>
      <c r="Z27" s="29">
        <f>SUM(C27:Y27)</f>
        <v>9144</v>
      </c>
      <c r="AA27" s="402"/>
    </row>
    <row r="28" spans="1:40" s="2" customFormat="1" ht="33" customHeight="1" x14ac:dyDescent="0.25">
      <c r="A28" s="444" t="s">
        <v>13</v>
      </c>
      <c r="B28" s="445"/>
      <c r="C28" s="31">
        <f>(C33*C27)/1000</f>
        <v>17.783699999999993</v>
      </c>
      <c r="D28" s="31">
        <f>(D33*D27)/1000</f>
        <v>18.195799999999991</v>
      </c>
      <c r="E28" s="31">
        <f t="shared" ref="E28:F28" si="8">(E33*E27)/1000</f>
        <v>4.3111999999999986</v>
      </c>
      <c r="F28" s="31">
        <f t="shared" si="8"/>
        <v>18.354299999999991</v>
      </c>
      <c r="G28" s="163">
        <f>(G33*G27)/1000</f>
        <v>18.322599999999994</v>
      </c>
      <c r="H28" s="286"/>
      <c r="I28" s="30"/>
      <c r="J28" s="31">
        <f>(J33*J27)/1000</f>
        <v>18.068999999999992</v>
      </c>
      <c r="K28" s="31">
        <f t="shared" ref="K28:N28" si="9">(K33*K27)/1000</f>
        <v>18.354299999999991</v>
      </c>
      <c r="L28" s="31">
        <f t="shared" si="9"/>
        <v>4.17</v>
      </c>
      <c r="M28" s="31">
        <f t="shared" si="9"/>
        <v>17.489999999999998</v>
      </c>
      <c r="N28" s="163">
        <f t="shared" si="9"/>
        <v>17.309999999999999</v>
      </c>
      <c r="O28" s="286"/>
      <c r="P28" s="65">
        <f>((((P26*7)*P27)/1000)-P18-P19)/5</f>
        <v>77.152000000000001</v>
      </c>
      <c r="Q28" s="31">
        <f t="shared" ref="Q28:Y28" si="10">((((Q26*7)*Q27)/1000)-Q18-Q19)/5</f>
        <v>77.088000000000008</v>
      </c>
      <c r="R28" s="31">
        <f>((((R26*7)*R27)/1000)-R18-R19)/5</f>
        <v>24.619999999999997</v>
      </c>
      <c r="S28" s="31">
        <f t="shared" si="10"/>
        <v>77.744</v>
      </c>
      <c r="T28" s="32">
        <f t="shared" si="10"/>
        <v>77.128</v>
      </c>
      <c r="U28" s="30">
        <f t="shared" si="10"/>
        <v>79.88</v>
      </c>
      <c r="V28" s="31">
        <f t="shared" si="10"/>
        <v>81.336000000000013</v>
      </c>
      <c r="W28" s="31">
        <f t="shared" si="10"/>
        <v>25.212000000000003</v>
      </c>
      <c r="X28" s="31">
        <f t="shared" si="10"/>
        <v>81.296000000000006</v>
      </c>
      <c r="Y28" s="32">
        <f t="shared" si="10"/>
        <v>81.008799999999994</v>
      </c>
      <c r="Z28" s="33"/>
    </row>
    <row r="29" spans="1:40" ht="33.75" customHeight="1" x14ac:dyDescent="0.25">
      <c r="A29" s="185" t="s">
        <v>14</v>
      </c>
      <c r="B29" s="34"/>
      <c r="C29" s="280">
        <f>((C27*C30)*7)/1000</f>
        <v>126.20000000000002</v>
      </c>
      <c r="D29" s="280">
        <f t="shared" ref="D29:G29" si="11">((D27*D30)*7)/1000</f>
        <v>128.30000000000001</v>
      </c>
      <c r="E29" s="280">
        <f>((E27*E30)*7)/1000</f>
        <v>30.8</v>
      </c>
      <c r="F29" s="280">
        <f t="shared" si="11"/>
        <v>129.70000000000002</v>
      </c>
      <c r="G29" s="281">
        <f t="shared" si="11"/>
        <v>129.69999999999999</v>
      </c>
      <c r="H29" s="680"/>
      <c r="I29" s="279"/>
      <c r="J29" s="280">
        <f>((J27*J30)*7)/1000</f>
        <v>127.6</v>
      </c>
      <c r="K29" s="280">
        <f t="shared" ref="K29:N29" si="12">((K27*K30)*7)/1000</f>
        <v>129.70000000000002</v>
      </c>
      <c r="L29" s="280">
        <f t="shared" si="12"/>
        <v>30.4</v>
      </c>
      <c r="M29" s="280">
        <f t="shared" si="12"/>
        <v>123.4</v>
      </c>
      <c r="N29" s="281">
        <f t="shared" si="12"/>
        <v>122</v>
      </c>
      <c r="O29" s="680"/>
      <c r="P29" s="325">
        <f t="shared" ref="P29:Y29" si="13">((P27*P26)*7)/1000</f>
        <v>540.96</v>
      </c>
      <c r="Q29" s="280">
        <f t="shared" si="13"/>
        <v>539.84</v>
      </c>
      <c r="R29" s="280">
        <f t="shared" si="13"/>
        <v>173.6</v>
      </c>
      <c r="S29" s="280">
        <f t="shared" si="13"/>
        <v>544.32000000000005</v>
      </c>
      <c r="T29" s="282">
        <f t="shared" si="13"/>
        <v>539.84</v>
      </c>
      <c r="U29" s="279">
        <f t="shared" si="13"/>
        <v>560</v>
      </c>
      <c r="V29" s="280">
        <f t="shared" si="13"/>
        <v>570.08000000000004</v>
      </c>
      <c r="W29" s="280">
        <f t="shared" si="13"/>
        <v>176.96</v>
      </c>
      <c r="X29" s="280">
        <f t="shared" si="13"/>
        <v>570.08000000000004</v>
      </c>
      <c r="Y29" s="282">
        <f t="shared" si="13"/>
        <v>566.24400000000003</v>
      </c>
      <c r="Z29" s="36"/>
    </row>
    <row r="30" spans="1:40" ht="33.75" customHeight="1" thickBot="1" x14ac:dyDescent="0.3">
      <c r="A30" s="195" t="s">
        <v>15</v>
      </c>
      <c r="B30" s="423"/>
      <c r="C30" s="38">
        <f>+(C25/C27)/7*1000</f>
        <v>32.136490960020375</v>
      </c>
      <c r="D30" s="38">
        <f t="shared" ref="D30:X30" si="14">+(D25/D27)/7*1000</f>
        <v>31.931309109009458</v>
      </c>
      <c r="E30" s="38">
        <f t="shared" si="14"/>
        <v>32.352941176470587</v>
      </c>
      <c r="F30" s="38">
        <f t="shared" si="14"/>
        <v>32.000986923266723</v>
      </c>
      <c r="G30" s="207">
        <f t="shared" si="14"/>
        <v>32.056351952545725</v>
      </c>
      <c r="H30" s="262"/>
      <c r="I30" s="37"/>
      <c r="J30" s="38">
        <f t="shared" si="14"/>
        <v>31.979949874686714</v>
      </c>
      <c r="K30" s="38">
        <f t="shared" si="14"/>
        <v>32.000986923266723</v>
      </c>
      <c r="L30" s="38">
        <f t="shared" si="14"/>
        <v>31.243576567317575</v>
      </c>
      <c r="M30" s="38">
        <f t="shared" si="14"/>
        <v>30.237686841460427</v>
      </c>
      <c r="N30" s="207">
        <f t="shared" si="14"/>
        <v>30.205496410002471</v>
      </c>
      <c r="O30" s="262"/>
      <c r="P30" s="67">
        <f t="shared" si="14"/>
        <v>159.95267672286303</v>
      </c>
      <c r="Q30" s="38">
        <f t="shared" si="14"/>
        <v>159.95850622406641</v>
      </c>
      <c r="R30" s="38">
        <f t="shared" si="14"/>
        <v>159.90783410138246</v>
      </c>
      <c r="S30" s="38">
        <f t="shared" si="14"/>
        <v>159.96472663139329</v>
      </c>
      <c r="T30" s="39">
        <f t="shared" si="14"/>
        <v>159.9881446354475</v>
      </c>
      <c r="U30" s="37">
        <f t="shared" si="14"/>
        <v>159.94285714285718</v>
      </c>
      <c r="V30" s="38">
        <f t="shared" si="14"/>
        <v>159.92141453831039</v>
      </c>
      <c r="W30" s="38">
        <f t="shared" si="14"/>
        <v>159.94575045207958</v>
      </c>
      <c r="X30" s="38">
        <f t="shared" si="14"/>
        <v>159.92141453831039</v>
      </c>
      <c r="Y30" s="38">
        <f>+(Y25/Y27)/7*1000</f>
        <v>160.31746031746027</v>
      </c>
      <c r="Z30" s="40"/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5">D29-D25</f>
        <v>0</v>
      </c>
      <c r="E31" s="42">
        <f t="shared" si="15"/>
        <v>0</v>
      </c>
      <c r="F31" s="42">
        <f t="shared" si="15"/>
        <v>0</v>
      </c>
      <c r="G31" s="42">
        <f t="shared" si="15"/>
        <v>0</v>
      </c>
      <c r="H31" s="42"/>
      <c r="I31" s="42"/>
      <c r="J31" s="42">
        <f t="shared" si="15"/>
        <v>0</v>
      </c>
      <c r="K31" s="42">
        <f>K29-K25</f>
        <v>0</v>
      </c>
      <c r="L31" s="42">
        <f t="shared" si="15"/>
        <v>0</v>
      </c>
      <c r="M31" s="42">
        <f t="shared" si="15"/>
        <v>0</v>
      </c>
      <c r="N31" s="42">
        <f t="shared" si="15"/>
        <v>0</v>
      </c>
      <c r="O31" s="42"/>
      <c r="P31" s="42">
        <f>P29-P25</f>
        <v>0.16000000000008185</v>
      </c>
      <c r="Q31" s="42">
        <f>Q29-Q25</f>
        <v>0.13999999999998636</v>
      </c>
      <c r="R31" s="42">
        <f t="shared" si="15"/>
        <v>0.10000000000002274</v>
      </c>
      <c r="S31" s="42">
        <f t="shared" si="15"/>
        <v>0.12000000000000455</v>
      </c>
      <c r="T31" s="42">
        <f t="shared" si="15"/>
        <v>4.0000000000077307E-2</v>
      </c>
      <c r="U31" s="42">
        <f>U29-U25</f>
        <v>0.19999999999993179</v>
      </c>
      <c r="V31" s="42">
        <f t="shared" si="15"/>
        <v>0.2800000000000864</v>
      </c>
      <c r="W31" s="42">
        <f t="shared" si="15"/>
        <v>6.0000000000002274E-2</v>
      </c>
      <c r="X31" s="42">
        <f t="shared" si="15"/>
        <v>0.2800000000000864</v>
      </c>
      <c r="Y31" s="42">
        <f>Y29-Y25</f>
        <v>0.64400000000011914</v>
      </c>
      <c r="Z31" s="48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0.4364909600203859</v>
      </c>
      <c r="D32" s="42">
        <f t="shared" ref="D32:G32" si="16">D30-D33</f>
        <v>0.23130910900946944</v>
      </c>
      <c r="E32" s="42">
        <f t="shared" si="16"/>
        <v>0.65294117647059835</v>
      </c>
      <c r="F32" s="42">
        <f t="shared" si="16"/>
        <v>0.30098692326673415</v>
      </c>
      <c r="G32" s="42">
        <f t="shared" si="16"/>
        <v>0.35635195254573659</v>
      </c>
      <c r="H32" s="42"/>
      <c r="I32" s="42"/>
      <c r="J32" s="42">
        <f t="shared" ref="J32:N32" si="17">J30-J33</f>
        <v>0.27994987468672505</v>
      </c>
      <c r="K32" s="42">
        <f t="shared" si="17"/>
        <v>0.30098692326673415</v>
      </c>
      <c r="L32" s="42">
        <f t="shared" si="17"/>
        <v>1.2435765673175752</v>
      </c>
      <c r="M32" s="42">
        <f t="shared" si="17"/>
        <v>0.23768684146042673</v>
      </c>
      <c r="N32" s="42">
        <f t="shared" si="17"/>
        <v>0.20549641000247121</v>
      </c>
      <c r="O32" s="42"/>
      <c r="P32" s="42">
        <f t="shared" si="15"/>
        <v>-4.7323277136968045E-2</v>
      </c>
      <c r="Q32" s="42">
        <f t="shared" si="15"/>
        <v>-4.1493775933588495E-2</v>
      </c>
      <c r="R32" s="42">
        <f t="shared" si="15"/>
        <v>-9.2165898617537323E-2</v>
      </c>
      <c r="S32" s="42">
        <f t="shared" si="15"/>
        <v>-3.527336860670971E-2</v>
      </c>
      <c r="T32" s="42">
        <f t="shared" si="15"/>
        <v>-1.1855364552502579E-2</v>
      </c>
      <c r="U32" s="42">
        <f t="shared" si="15"/>
        <v>-5.7142857142821413E-2</v>
      </c>
      <c r="V32" s="42">
        <f t="shared" si="15"/>
        <v>-7.8585461689613112E-2</v>
      </c>
      <c r="W32" s="42">
        <f t="shared" si="15"/>
        <v>-5.4249547920420582E-2</v>
      </c>
      <c r="X32" s="42">
        <f t="shared" si="15"/>
        <v>-7.8585461689613112E-2</v>
      </c>
      <c r="Y32" s="42">
        <f t="shared" si="15"/>
        <v>-0.1825396825397263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31.699999999999989</v>
      </c>
      <c r="D33" s="42">
        <f t="shared" ref="D33:G33" si="18">D26-$B$34</f>
        <v>31.699999999999989</v>
      </c>
      <c r="E33" s="42">
        <f t="shared" si="18"/>
        <v>31.699999999999989</v>
      </c>
      <c r="F33" s="42">
        <f t="shared" si="18"/>
        <v>31.699999999999989</v>
      </c>
      <c r="G33" s="42">
        <f t="shared" si="18"/>
        <v>31.699999999999989</v>
      </c>
      <c r="H33" s="42"/>
      <c r="I33" s="42"/>
      <c r="J33" s="42">
        <f>J26-$I$34</f>
        <v>31.699999999999989</v>
      </c>
      <c r="K33" s="42">
        <f t="shared" ref="K33:N33" si="19">K26-$I$34</f>
        <v>31.699999999999989</v>
      </c>
      <c r="L33" s="42">
        <f t="shared" si="19"/>
        <v>30</v>
      </c>
      <c r="M33" s="42">
        <f t="shared" si="19"/>
        <v>30</v>
      </c>
      <c r="N33" s="42">
        <f t="shared" si="19"/>
        <v>30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315.64</v>
      </c>
      <c r="D34" s="432">
        <f>SUM(C27:G27)</f>
        <v>2428</v>
      </c>
      <c r="E34" s="42"/>
      <c r="F34" s="42"/>
      <c r="G34" s="42"/>
      <c r="H34" s="42"/>
      <c r="I34" s="514">
        <v>130</v>
      </c>
      <c r="J34" s="431">
        <f>(I34*K34)/1000</f>
        <v>318.24</v>
      </c>
      <c r="K34" s="432">
        <f>SUM(J27:N27)</f>
        <v>2448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991"/>
      <c r="S39" s="674" t="s">
        <v>9</v>
      </c>
      <c r="T39" s="645"/>
      <c r="V39" s="45"/>
      <c r="W39" s="45"/>
      <c r="X39" s="46"/>
      <c r="Y39" s="3"/>
      <c r="Z39" s="45"/>
      <c r="AA39" s="45"/>
      <c r="AB39" s="45"/>
      <c r="AC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168">
        <v>5</v>
      </c>
      <c r="R40" s="169" t="s">
        <v>123</v>
      </c>
      <c r="S40" s="236"/>
      <c r="T40" s="645"/>
      <c r="V40" s="47"/>
      <c r="Y40" s="48"/>
      <c r="Z40" s="2"/>
      <c r="AA40" s="2"/>
      <c r="AB40" s="2"/>
      <c r="AC40" s="2"/>
    </row>
    <row r="41" spans="1:38" ht="33.75" customHeight="1" x14ac:dyDescent="0.25">
      <c r="A41" s="171" t="s">
        <v>32</v>
      </c>
      <c r="B41" s="142">
        <v>93.6</v>
      </c>
      <c r="C41" s="486">
        <v>92.2</v>
      </c>
      <c r="D41" s="486">
        <v>20.6</v>
      </c>
      <c r="E41" s="486">
        <v>93.2</v>
      </c>
      <c r="F41" s="537">
        <v>90.4</v>
      </c>
      <c r="G41" s="509">
        <f t="shared" ref="G41:G48" si="20">SUM(B41:F41)</f>
        <v>390</v>
      </c>
      <c r="H41" s="609"/>
      <c r="I41" s="364"/>
      <c r="J41" s="364"/>
      <c r="K41" s="364"/>
      <c r="L41" s="171" t="s">
        <v>53</v>
      </c>
      <c r="M41" s="18">
        <v>6.9</v>
      </c>
      <c r="N41" s="19">
        <v>7</v>
      </c>
      <c r="O41" s="19">
        <v>1.6</v>
      </c>
      <c r="P41" s="19">
        <v>7.1</v>
      </c>
      <c r="Q41" s="19">
        <v>7</v>
      </c>
      <c r="R41" s="20">
        <v>1</v>
      </c>
      <c r="S41" s="375">
        <f>SUM(M41:R41)</f>
        <v>30.6</v>
      </c>
      <c r="T41" s="646"/>
      <c r="U41" s="675"/>
      <c r="V41" s="657"/>
      <c r="Y41" s="48"/>
      <c r="Z41" s="2"/>
      <c r="AA41" s="2"/>
      <c r="AB41" s="2"/>
      <c r="AC41" s="2"/>
    </row>
    <row r="42" spans="1:38" ht="33.75" customHeight="1" x14ac:dyDescent="0.25">
      <c r="A42" s="171" t="s">
        <v>24</v>
      </c>
      <c r="B42" s="279">
        <v>92.8</v>
      </c>
      <c r="C42" s="280">
        <v>91.8</v>
      </c>
      <c r="D42" s="280">
        <v>20.100000000000001</v>
      </c>
      <c r="E42" s="280">
        <v>92.9</v>
      </c>
      <c r="F42" s="281">
        <v>90.4</v>
      </c>
      <c r="G42" s="509">
        <f t="shared" si="20"/>
        <v>388</v>
      </c>
      <c r="H42" s="609"/>
      <c r="I42" s="364"/>
      <c r="J42" s="364"/>
      <c r="K42" s="364"/>
      <c r="L42" s="171" t="s">
        <v>24</v>
      </c>
      <c r="M42" s="18">
        <v>6.9</v>
      </c>
      <c r="N42" s="19">
        <v>7</v>
      </c>
      <c r="O42" s="19">
        <v>1.6</v>
      </c>
      <c r="P42" s="19">
        <v>7.1</v>
      </c>
      <c r="Q42" s="19">
        <v>7</v>
      </c>
      <c r="R42" s="20">
        <v>1</v>
      </c>
      <c r="S42" s="98">
        <f t="shared" ref="S42:S48" si="21">SUM(M42:R42)</f>
        <v>30.6</v>
      </c>
      <c r="T42" s="646"/>
      <c r="U42" s="647"/>
      <c r="V42" s="658"/>
      <c r="Y42" s="48"/>
      <c r="Z42" s="2"/>
      <c r="AA42" s="2"/>
      <c r="AB42" s="2"/>
      <c r="AC42" s="2"/>
    </row>
    <row r="43" spans="1:38" ht="33.75" customHeight="1" x14ac:dyDescent="0.25">
      <c r="A43" s="171" t="s">
        <v>20</v>
      </c>
      <c r="B43" s="532">
        <v>92.8</v>
      </c>
      <c r="C43" s="431">
        <v>91.8</v>
      </c>
      <c r="D43" s="431">
        <v>20.100000000000001</v>
      </c>
      <c r="E43" s="431">
        <v>92.9</v>
      </c>
      <c r="F43" s="533">
        <v>90.4</v>
      </c>
      <c r="G43" s="509">
        <f t="shared" si="20"/>
        <v>388</v>
      </c>
      <c r="H43" s="609"/>
      <c r="I43" s="364"/>
      <c r="J43" s="364"/>
      <c r="K43" s="364"/>
      <c r="L43" s="171" t="s">
        <v>20</v>
      </c>
      <c r="M43" s="532">
        <v>6.9</v>
      </c>
      <c r="N43" s="711">
        <v>7</v>
      </c>
      <c r="O43" s="711">
        <v>1.6</v>
      </c>
      <c r="P43" s="711">
        <v>7.1</v>
      </c>
      <c r="Q43" s="711">
        <v>7</v>
      </c>
      <c r="R43" s="712">
        <v>1</v>
      </c>
      <c r="S43" s="98">
        <f t="shared" si="21"/>
        <v>30.6</v>
      </c>
      <c r="T43" s="646"/>
      <c r="U43" s="647"/>
      <c r="V43" s="658"/>
      <c r="Y43" s="48"/>
      <c r="Z43" s="2"/>
      <c r="AA43" s="2"/>
      <c r="AB43" s="2"/>
      <c r="AC43" s="2"/>
    </row>
    <row r="44" spans="1:38" ht="33.75" customHeight="1" x14ac:dyDescent="0.25">
      <c r="A44" s="171" t="s">
        <v>28</v>
      </c>
      <c r="B44" s="142">
        <v>92.5</v>
      </c>
      <c r="C44" s="486">
        <v>91.5</v>
      </c>
      <c r="D44" s="486">
        <v>20.2</v>
      </c>
      <c r="E44" s="486">
        <v>92.1</v>
      </c>
      <c r="F44" s="537">
        <v>91</v>
      </c>
      <c r="G44" s="509">
        <f t="shared" si="20"/>
        <v>387.29999999999995</v>
      </c>
      <c r="H44" s="537"/>
      <c r="I44" s="364"/>
      <c r="J44" s="364"/>
      <c r="K44" s="364"/>
      <c r="L44" s="171" t="s">
        <v>28</v>
      </c>
      <c r="M44" s="532">
        <v>7</v>
      </c>
      <c r="N44" s="711">
        <v>6.8</v>
      </c>
      <c r="O44" s="711">
        <v>1.2</v>
      </c>
      <c r="P44" s="711">
        <v>6.9</v>
      </c>
      <c r="Q44" s="711">
        <v>6.9</v>
      </c>
      <c r="R44" s="712">
        <v>1</v>
      </c>
      <c r="S44" s="98">
        <f t="shared" si="21"/>
        <v>29.799999999999997</v>
      </c>
      <c r="T44" s="646"/>
      <c r="U44" s="647"/>
      <c r="V44" s="658"/>
      <c r="Y44" s="48"/>
      <c r="Z44" s="2"/>
      <c r="AA44" s="2"/>
      <c r="AB44" s="2"/>
      <c r="AC44" s="2"/>
    </row>
    <row r="45" spans="1:38" ht="33.75" customHeight="1" x14ac:dyDescent="0.25">
      <c r="A45" s="171" t="s">
        <v>21</v>
      </c>
      <c r="B45" s="142">
        <v>92.3</v>
      </c>
      <c r="C45" s="486">
        <v>91.5</v>
      </c>
      <c r="D45" s="486">
        <v>20.2</v>
      </c>
      <c r="E45" s="486">
        <v>92.1</v>
      </c>
      <c r="F45" s="537">
        <v>91</v>
      </c>
      <c r="G45" s="509">
        <f t="shared" si="20"/>
        <v>387.1</v>
      </c>
      <c r="H45" s="537"/>
      <c r="I45" s="364"/>
      <c r="J45" s="364"/>
      <c r="K45" s="364"/>
      <c r="L45" s="171" t="s">
        <v>21</v>
      </c>
      <c r="M45" s="18">
        <v>7</v>
      </c>
      <c r="N45" s="180">
        <v>6.8</v>
      </c>
      <c r="O45" s="180">
        <v>1.2</v>
      </c>
      <c r="P45" s="180">
        <v>6.9</v>
      </c>
      <c r="Q45" s="180">
        <v>6.9</v>
      </c>
      <c r="R45" s="181">
        <v>1</v>
      </c>
      <c r="S45" s="98">
        <f t="shared" si="21"/>
        <v>29.799999999999997</v>
      </c>
      <c r="T45" s="646"/>
      <c r="U45" s="647"/>
      <c r="V45" s="658"/>
      <c r="Y45" s="48"/>
      <c r="Z45" s="2"/>
      <c r="AA45" s="2"/>
      <c r="AB45" s="2"/>
      <c r="AC45" s="2"/>
    </row>
    <row r="46" spans="1:38" ht="33.75" customHeight="1" x14ac:dyDescent="0.25">
      <c r="A46" s="171" t="s">
        <v>22</v>
      </c>
      <c r="B46" s="142">
        <v>92.3</v>
      </c>
      <c r="C46" s="486">
        <v>91.1</v>
      </c>
      <c r="D46" s="486">
        <v>20.2</v>
      </c>
      <c r="E46" s="486">
        <v>92.2</v>
      </c>
      <c r="F46" s="537">
        <v>90</v>
      </c>
      <c r="G46" s="509">
        <f t="shared" si="20"/>
        <v>385.79999999999995</v>
      </c>
      <c r="H46" s="537"/>
      <c r="I46" s="364"/>
      <c r="J46" s="364"/>
      <c r="K46" s="364"/>
      <c r="L46" s="171" t="s">
        <v>22</v>
      </c>
      <c r="M46" s="18">
        <v>7</v>
      </c>
      <c r="N46" s="180">
        <v>6.8</v>
      </c>
      <c r="O46" s="180">
        <v>1.3</v>
      </c>
      <c r="P46" s="180">
        <v>7</v>
      </c>
      <c r="Q46" s="180">
        <v>6.9</v>
      </c>
      <c r="R46" s="181">
        <v>1</v>
      </c>
      <c r="S46" s="98">
        <f t="shared" si="21"/>
        <v>30</v>
      </c>
      <c r="T46" s="646"/>
      <c r="U46" s="647"/>
      <c r="V46" s="658"/>
      <c r="Y46" s="48"/>
      <c r="Z46" s="2"/>
      <c r="AA46" s="2"/>
      <c r="AB46" s="2"/>
      <c r="AC46" s="2"/>
    </row>
    <row r="47" spans="1:38" ht="33.75" customHeight="1" thickBot="1" x14ac:dyDescent="0.3">
      <c r="A47" s="285" t="s">
        <v>23</v>
      </c>
      <c r="B47" s="142">
        <v>92.4</v>
      </c>
      <c r="C47" s="486">
        <v>91.1</v>
      </c>
      <c r="D47" s="486">
        <v>19.100000000000001</v>
      </c>
      <c r="E47" s="486">
        <v>92.2</v>
      </c>
      <c r="F47" s="537">
        <v>90.1</v>
      </c>
      <c r="G47" s="526">
        <f t="shared" si="20"/>
        <v>384.9</v>
      </c>
      <c r="H47" s="537"/>
      <c r="I47" s="364"/>
      <c r="J47" s="364"/>
      <c r="K47" s="364"/>
      <c r="L47" s="285" t="s">
        <v>23</v>
      </c>
      <c r="M47" s="130">
        <v>7</v>
      </c>
      <c r="N47" s="689">
        <v>6.8</v>
      </c>
      <c r="O47" s="689">
        <v>1.3</v>
      </c>
      <c r="P47" s="689">
        <v>7</v>
      </c>
      <c r="Q47" s="689">
        <v>7</v>
      </c>
      <c r="R47" s="690">
        <v>1</v>
      </c>
      <c r="S47" s="372">
        <f t="shared" si="21"/>
        <v>30.1</v>
      </c>
      <c r="T47" s="646"/>
      <c r="U47" s="647"/>
      <c r="V47" s="658"/>
      <c r="Y47" s="48"/>
      <c r="Z47" s="48"/>
      <c r="AA47" s="48"/>
      <c r="AB47" s="2"/>
      <c r="AC47" s="2"/>
      <c r="AD47" s="2"/>
      <c r="AE47" s="2"/>
    </row>
    <row r="48" spans="1:38" ht="33.75" customHeight="1" thickBot="1" x14ac:dyDescent="0.3">
      <c r="A48" s="290" t="s">
        <v>9</v>
      </c>
      <c r="B48" s="131">
        <f>SUM(B41:B47)</f>
        <v>648.69999999999993</v>
      </c>
      <c r="C48" s="128">
        <f t="shared" ref="C48:F48" si="22">SUM(C41:C47)</f>
        <v>641</v>
      </c>
      <c r="D48" s="128">
        <f t="shared" si="22"/>
        <v>140.5</v>
      </c>
      <c r="E48" s="128">
        <f t="shared" si="22"/>
        <v>647.60000000000014</v>
      </c>
      <c r="F48" s="129">
        <f t="shared" si="22"/>
        <v>633.30000000000007</v>
      </c>
      <c r="G48" s="644">
        <f t="shared" si="20"/>
        <v>2711.1000000000004</v>
      </c>
      <c r="H48" s="609"/>
      <c r="I48" s="364"/>
      <c r="J48" s="364"/>
      <c r="K48" s="364"/>
      <c r="L48" s="290" t="s">
        <v>9</v>
      </c>
      <c r="M48" s="687">
        <f>SUM(M41:M47)</f>
        <v>48.7</v>
      </c>
      <c r="N48" s="688">
        <f>SUM(N41:N47)</f>
        <v>48.199999999999996</v>
      </c>
      <c r="O48" s="688">
        <f>SUM(O41:O47)</f>
        <v>9.8000000000000025</v>
      </c>
      <c r="P48" s="688">
        <f t="shared" ref="P48:R48" si="23">SUM(P41:P47)</f>
        <v>49.099999999999994</v>
      </c>
      <c r="Q48" s="688">
        <f t="shared" si="23"/>
        <v>48.699999999999996</v>
      </c>
      <c r="R48" s="691">
        <f t="shared" si="23"/>
        <v>7</v>
      </c>
      <c r="S48" s="607">
        <f t="shared" si="21"/>
        <v>211.5</v>
      </c>
      <c r="T48" s="647"/>
      <c r="U48" s="647"/>
      <c r="V48" s="658"/>
      <c r="Y48" s="2"/>
      <c r="Z48" s="2"/>
      <c r="AA48" s="2"/>
      <c r="AB48" s="2"/>
      <c r="AC48" s="2"/>
      <c r="AD48" s="2"/>
      <c r="AE48" s="2"/>
    </row>
    <row r="49" spans="1:51" ht="33.75" customHeight="1" x14ac:dyDescent="0.25">
      <c r="A49" s="192" t="s">
        <v>11</v>
      </c>
      <c r="B49" s="23">
        <v>156.80000000000001</v>
      </c>
      <c r="C49" s="63">
        <v>156.80000000000001</v>
      </c>
      <c r="D49" s="23">
        <v>156.80000000000001</v>
      </c>
      <c r="E49" s="24">
        <v>156.80000000000001</v>
      </c>
      <c r="F49" s="63">
        <v>156.80000000000001</v>
      </c>
      <c r="G49" s="137">
        <f>+((G48/G50)/7)*1000</f>
        <v>156.80161943319843</v>
      </c>
      <c r="H49" s="609"/>
      <c r="I49" s="364"/>
      <c r="J49" s="364"/>
      <c r="K49" s="364"/>
      <c r="L49" s="273" t="s">
        <v>11</v>
      </c>
      <c r="M49" s="293">
        <v>158</v>
      </c>
      <c r="N49" s="294">
        <v>156.5</v>
      </c>
      <c r="O49" s="294">
        <v>155.5</v>
      </c>
      <c r="P49" s="294">
        <v>156</v>
      </c>
      <c r="Q49" s="294">
        <v>154.5</v>
      </c>
      <c r="R49" s="295">
        <v>156</v>
      </c>
      <c r="S49" s="296">
        <f>+((S48/S50)/7)*1000</f>
        <v>156.5507031828275</v>
      </c>
      <c r="T49" s="648"/>
      <c r="U49" s="647"/>
      <c r="V49" s="658"/>
      <c r="W49" s="50"/>
    </row>
    <row r="50" spans="1:51" ht="33.75" customHeight="1" x14ac:dyDescent="0.25">
      <c r="A50" s="193" t="s">
        <v>12</v>
      </c>
      <c r="B50" s="26">
        <v>591</v>
      </c>
      <c r="C50" s="27">
        <v>584</v>
      </c>
      <c r="D50" s="27">
        <v>128</v>
      </c>
      <c r="E50" s="27">
        <v>590</v>
      </c>
      <c r="F50" s="28">
        <v>577</v>
      </c>
      <c r="G50" s="395">
        <f>SUM(B50:F50)</f>
        <v>2470</v>
      </c>
      <c r="H50" s="609"/>
      <c r="I50" s="364"/>
      <c r="J50" s="364"/>
      <c r="K50" s="364"/>
      <c r="L50" s="193" t="s">
        <v>12</v>
      </c>
      <c r="M50" s="257">
        <v>44</v>
      </c>
      <c r="N50" s="275">
        <v>44</v>
      </c>
      <c r="O50" s="275">
        <v>9</v>
      </c>
      <c r="P50" s="275">
        <v>45</v>
      </c>
      <c r="Q50" s="275">
        <v>45</v>
      </c>
      <c r="R50" s="276">
        <v>6</v>
      </c>
      <c r="S50" s="254">
        <f>SUM(M50:R50)</f>
        <v>193</v>
      </c>
      <c r="T50" s="649"/>
      <c r="U50" s="301"/>
      <c r="V50" s="52"/>
      <c r="W50" s="52"/>
    </row>
    <row r="51" spans="1:51" ht="33.75" customHeight="1" x14ac:dyDescent="0.25">
      <c r="A51" s="194" t="s">
        <v>13</v>
      </c>
      <c r="B51" s="30">
        <f>((((B49*7)*B50)/1000)-B41-B42)/5</f>
        <v>92.456320000000019</v>
      </c>
      <c r="C51" s="31">
        <f t="shared" ref="C51:F51" si="24">((((C49*7)*C50)/1000)-C41-C42)/5</f>
        <v>91.399680000000004</v>
      </c>
      <c r="D51" s="31">
        <f>((((D49*7)*D50)/1000)-D41-D42)/5</f>
        <v>19.958560000000006</v>
      </c>
      <c r="E51" s="31">
        <f t="shared" si="24"/>
        <v>92.296800000000005</v>
      </c>
      <c r="F51" s="32">
        <f t="shared" si="24"/>
        <v>90.503040000000027</v>
      </c>
      <c r="G51" s="139">
        <f>((G48*1000)/G50)/7</f>
        <v>156.8016194331984</v>
      </c>
      <c r="H51" s="609"/>
      <c r="I51" s="364"/>
      <c r="J51" s="364"/>
      <c r="K51" s="364"/>
      <c r="L51" s="194" t="s">
        <v>13</v>
      </c>
      <c r="M51" s="30">
        <f>((((M49*7)*M50)/1000)-M41-M42)/5</f>
        <v>6.9728000000000012</v>
      </c>
      <c r="N51" s="31">
        <f t="shared" ref="N51:R51" si="25">((((N49*7)*N50)/1000)-N41-N42)/5</f>
        <v>6.8403999999999998</v>
      </c>
      <c r="O51" s="31">
        <f t="shared" si="25"/>
        <v>1.3193000000000001</v>
      </c>
      <c r="P51" s="31">
        <f t="shared" si="25"/>
        <v>6.9879999999999995</v>
      </c>
      <c r="Q51" s="31">
        <f t="shared" si="25"/>
        <v>6.9334999999999996</v>
      </c>
      <c r="R51" s="32">
        <f t="shared" si="25"/>
        <v>0.91039999999999988</v>
      </c>
      <c r="S51" s="274">
        <f>((S48*1000)/S50)/7</f>
        <v>156.55070318282756</v>
      </c>
      <c r="T51" s="650"/>
      <c r="U51" s="301"/>
      <c r="V51" s="52"/>
      <c r="W51" s="52"/>
    </row>
    <row r="52" spans="1:51" ht="33.75" customHeight="1" x14ac:dyDescent="0.25">
      <c r="A52" s="185" t="s">
        <v>14</v>
      </c>
      <c r="B52" s="279">
        <f>((B50*B49)*7)/1000</f>
        <v>648.6816</v>
      </c>
      <c r="C52" s="280">
        <f>((C50*C49)*7)/1000</f>
        <v>640.99840000000017</v>
      </c>
      <c r="D52" s="280">
        <f>((D50*D49)*7)/1000</f>
        <v>140.49280000000002</v>
      </c>
      <c r="E52" s="280">
        <f>((E50*E49)*7)/1000</f>
        <v>647.58399999999995</v>
      </c>
      <c r="F52" s="282">
        <f>((F50*F49)*7)/1000</f>
        <v>633.31520000000012</v>
      </c>
      <c r="G52" s="112"/>
      <c r="H52" s="609"/>
      <c r="I52" s="364"/>
      <c r="J52" s="364"/>
      <c r="K52" s="364"/>
      <c r="L52" s="185" t="s">
        <v>14</v>
      </c>
      <c r="M52" s="279">
        <f>((M50*M49)*7)/1000</f>
        <v>48.664000000000001</v>
      </c>
      <c r="N52" s="280">
        <f>((N50*N49)*7)/1000</f>
        <v>48.201999999999998</v>
      </c>
      <c r="O52" s="280">
        <f>((O50*O49)*7)/1000</f>
        <v>9.7965</v>
      </c>
      <c r="P52" s="280">
        <f t="shared" ref="P52:R52" si="26">((P50*P49)*7)/1000</f>
        <v>49.14</v>
      </c>
      <c r="Q52" s="280">
        <f t="shared" si="26"/>
        <v>48.667499999999997</v>
      </c>
      <c r="R52" s="282">
        <f t="shared" si="26"/>
        <v>6.5519999999999996</v>
      </c>
      <c r="S52" s="36"/>
      <c r="T52" s="522"/>
    </row>
    <row r="53" spans="1:51" ht="33.75" customHeight="1" thickBot="1" x14ac:dyDescent="0.3">
      <c r="A53" s="195" t="s">
        <v>15</v>
      </c>
      <c r="B53" s="37">
        <f>+(B48/B50)/7*1000</f>
        <v>156.8044476673918</v>
      </c>
      <c r="C53" s="38">
        <f t="shared" ref="C53:E53" si="27">+(C48/C50)/7*1000</f>
        <v>156.80039138943246</v>
      </c>
      <c r="D53" s="38">
        <f t="shared" si="27"/>
        <v>156.80803571428572</v>
      </c>
      <c r="E53" s="38">
        <f t="shared" si="27"/>
        <v>156.80387409200972</v>
      </c>
      <c r="F53" s="39">
        <f>+(F48/F50)/7*1000</f>
        <v>156.79623669225057</v>
      </c>
      <c r="G53" s="140"/>
      <c r="H53" s="609"/>
      <c r="I53" s="364"/>
      <c r="J53" s="364"/>
      <c r="K53" s="364"/>
      <c r="L53" s="195" t="s">
        <v>15</v>
      </c>
      <c r="M53" s="37">
        <f>+(M48/M50)/7*1000</f>
        <v>158.11688311688312</v>
      </c>
      <c r="N53" s="38">
        <f>+(N48/N50)/7*1000</f>
        <v>156.49350649350649</v>
      </c>
      <c r="O53" s="38">
        <f>+(O48/O50)/7*1000</f>
        <v>155.5555555555556</v>
      </c>
      <c r="P53" s="38">
        <f t="shared" ref="P53:R53" si="28">+(P48/P50)/7*1000</f>
        <v>155.87301587301585</v>
      </c>
      <c r="Q53" s="38">
        <f t="shared" si="28"/>
        <v>154.60317460317461</v>
      </c>
      <c r="R53" s="39">
        <f t="shared" si="28"/>
        <v>166.66666666666669</v>
      </c>
      <c r="S53" s="259"/>
      <c r="T53" s="651"/>
      <c r="V53" s="42"/>
      <c r="W53" s="42"/>
    </row>
    <row r="54" spans="1:51" ht="33.75" customHeight="1" x14ac:dyDescent="0.25">
      <c r="A54" s="41"/>
      <c r="B54" s="43">
        <f>B52-B48</f>
        <v>-1.8399999999928696E-2</v>
      </c>
      <c r="C54" s="43">
        <f t="shared" ref="C54:D55" si="29">C52-C48</f>
        <v>-1.5999999998257408E-3</v>
      </c>
      <c r="D54" s="43">
        <f t="shared" si="29"/>
        <v>-7.1999999999832198E-3</v>
      </c>
      <c r="E54" s="43">
        <f>E52-E48</f>
        <v>-1.6000000000190084E-2</v>
      </c>
      <c r="F54" s="43">
        <f>F52-F48</f>
        <v>1.520000000004984E-2</v>
      </c>
      <c r="G54" s="41"/>
      <c r="H54" s="41"/>
      <c r="I54" s="41"/>
      <c r="J54" s="41"/>
      <c r="K54" s="41"/>
      <c r="L54" s="42"/>
      <c r="M54" s="42">
        <f>M52-M48</f>
        <v>-3.6000000000001364E-2</v>
      </c>
      <c r="N54" s="42">
        <f>N52-N48</f>
        <v>2.0000000000024443E-3</v>
      </c>
      <c r="O54" s="42">
        <f t="shared" ref="N54:S55" si="30">O52-O48</f>
        <v>-3.5000000000025011E-3</v>
      </c>
      <c r="P54" s="42">
        <f t="shared" si="30"/>
        <v>4.0000000000006253E-2</v>
      </c>
      <c r="Q54" s="42">
        <f t="shared" si="30"/>
        <v>-3.2499999999998863E-2</v>
      </c>
      <c r="R54" s="42">
        <f t="shared" si="30"/>
        <v>-0.4480000000000004</v>
      </c>
      <c r="S54" s="42">
        <f t="shared" si="30"/>
        <v>-211.5</v>
      </c>
      <c r="T54" s="522"/>
      <c r="U54" s="42"/>
      <c r="V54" s="42"/>
      <c r="W54" s="2"/>
      <c r="X54" s="2"/>
      <c r="Y54" s="2"/>
      <c r="Z54" s="2"/>
      <c r="AA54" s="2"/>
    </row>
    <row r="55" spans="1:51" ht="33.75" customHeight="1" x14ac:dyDescent="0.25">
      <c r="A55" s="41"/>
      <c r="B55" s="42">
        <f>B53-B49</f>
        <v>4.4476673917870357E-3</v>
      </c>
      <c r="C55" s="42">
        <f>C53-C49</f>
        <v>3.9138943245120572E-4</v>
      </c>
      <c r="D55" s="42">
        <f t="shared" si="29"/>
        <v>8.0357142857110375E-3</v>
      </c>
      <c r="E55" s="42">
        <f>E53-E49</f>
        <v>3.8740920097097842E-3</v>
      </c>
      <c r="F55" s="42">
        <f>F53-F49</f>
        <v>-3.7633077494376721E-3</v>
      </c>
      <c r="G55" s="41"/>
      <c r="H55" s="41"/>
      <c r="I55" s="41"/>
      <c r="J55" s="41"/>
      <c r="K55" s="42"/>
      <c r="L55" s="42"/>
      <c r="M55" s="42">
        <f>M53-M49</f>
        <v>0.11688311688311614</v>
      </c>
      <c r="N55" s="42">
        <f t="shared" si="30"/>
        <v>-6.4935064935127684E-3</v>
      </c>
      <c r="O55" s="42">
        <f>O53-O49</f>
        <v>5.5555555555599767E-2</v>
      </c>
      <c r="P55" s="42">
        <f>P53-P49</f>
        <v>-0.12698412698415495</v>
      </c>
      <c r="Q55" s="42">
        <f t="shared" si="30"/>
        <v>0.10317460317460814</v>
      </c>
      <c r="R55" s="42">
        <f t="shared" si="30"/>
        <v>10.666666666666686</v>
      </c>
      <c r="S55" s="42">
        <f t="shared" si="30"/>
        <v>-156.5507031828275</v>
      </c>
      <c r="T55" s="522"/>
      <c r="U55" s="43"/>
      <c r="V55" s="43"/>
      <c r="W55" s="2"/>
      <c r="X55" s="2"/>
      <c r="Y55" s="2"/>
      <c r="Z55" s="2"/>
      <c r="AD55" s="3"/>
    </row>
    <row r="56" spans="1:51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1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283"/>
      <c r="N57" s="283"/>
      <c r="O57" s="283"/>
      <c r="P57" s="283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1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248"/>
      <c r="H58" s="999" t="s">
        <v>30</v>
      </c>
      <c r="I58" s="1000"/>
      <c r="J58" s="1000"/>
      <c r="K58" s="1000"/>
      <c r="L58" s="1001"/>
      <c r="M58" s="973" t="s">
        <v>29</v>
      </c>
      <c r="N58" s="974"/>
      <c r="O58" s="974"/>
      <c r="P58" s="974"/>
      <c r="Q58" s="991"/>
      <c r="R58" s="973" t="s">
        <v>31</v>
      </c>
      <c r="S58" s="974"/>
      <c r="T58" s="974"/>
      <c r="U58" s="974"/>
      <c r="V58" s="991"/>
      <c r="W58" s="586" t="s">
        <v>9</v>
      </c>
      <c r="X58" s="661"/>
      <c r="Y58" s="662"/>
      <c r="Z58" s="522"/>
      <c r="AA58" s="522"/>
      <c r="AG58" s="43"/>
      <c r="AH58" s="43"/>
      <c r="AI58" s="43"/>
      <c r="AJ58" s="2"/>
      <c r="AK58" s="2"/>
      <c r="AL58" s="2"/>
      <c r="AM58" s="2"/>
      <c r="AO58" s="2"/>
      <c r="AP58" s="2"/>
      <c r="AQ58" s="2"/>
    </row>
    <row r="59" spans="1:51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189" t="s">
        <v>120</v>
      </c>
      <c r="H59" s="692">
        <v>1</v>
      </c>
      <c r="I59" s="693">
        <v>2</v>
      </c>
      <c r="J59" s="693">
        <v>3</v>
      </c>
      <c r="K59" s="693">
        <v>4</v>
      </c>
      <c r="L59" s="693">
        <v>5</v>
      </c>
      <c r="M59" s="188">
        <v>1</v>
      </c>
      <c r="N59" s="168">
        <v>2</v>
      </c>
      <c r="O59" s="168">
        <v>3</v>
      </c>
      <c r="P59" s="168">
        <v>4</v>
      </c>
      <c r="Q59" s="414">
        <v>5</v>
      </c>
      <c r="R59" s="189">
        <v>1</v>
      </c>
      <c r="S59" s="168">
        <v>2</v>
      </c>
      <c r="T59" s="168">
        <v>3</v>
      </c>
      <c r="U59" s="168">
        <v>4</v>
      </c>
      <c r="V59" s="414">
        <v>5</v>
      </c>
      <c r="W59" s="126"/>
      <c r="X59" s="663"/>
      <c r="Y59" s="645"/>
      <c r="Z59" s="657"/>
      <c r="AA59" s="657"/>
      <c r="AD59" s="45"/>
      <c r="AE59" s="45"/>
      <c r="AF59" s="45"/>
      <c r="AG59" s="45"/>
      <c r="AH59" s="45"/>
      <c r="AI59" s="57"/>
      <c r="AJ59" s="57"/>
      <c r="AK59" s="57"/>
      <c r="AL59" s="57"/>
      <c r="AM59" s="45"/>
      <c r="AN59" s="45"/>
      <c r="AO59" s="58"/>
      <c r="AP59" s="58"/>
      <c r="AQ59" s="58"/>
      <c r="AR59" s="2"/>
      <c r="AS59" s="2"/>
      <c r="AT59" s="2"/>
      <c r="AU59" s="2"/>
      <c r="AV59" s="2"/>
      <c r="AW59" s="2"/>
      <c r="AX59" s="2"/>
      <c r="AY59" s="2"/>
    </row>
    <row r="60" spans="1:51" ht="33.75" customHeight="1" x14ac:dyDescent="0.25">
      <c r="A60" s="171" t="s">
        <v>53</v>
      </c>
      <c r="B60" s="447">
        <v>7.4</v>
      </c>
      <c r="C60" s="124">
        <v>7.5</v>
      </c>
      <c r="D60" s="124">
        <v>1.8</v>
      </c>
      <c r="E60" s="124">
        <v>7.6</v>
      </c>
      <c r="F60" s="123">
        <v>7.6</v>
      </c>
      <c r="G60" s="123">
        <v>5.8</v>
      </c>
      <c r="H60" s="694">
        <v>7.7</v>
      </c>
      <c r="I60" s="415">
        <v>7.7</v>
      </c>
      <c r="J60" s="415">
        <v>2</v>
      </c>
      <c r="K60" s="415">
        <v>7.7</v>
      </c>
      <c r="L60" s="415">
        <v>7.6</v>
      </c>
      <c r="M60" s="130">
        <v>6.2</v>
      </c>
      <c r="N60" s="124">
        <v>6.1</v>
      </c>
      <c r="O60" s="124">
        <v>1.9</v>
      </c>
      <c r="P60" s="124">
        <v>6</v>
      </c>
      <c r="Q60" s="132">
        <v>6.1</v>
      </c>
      <c r="R60" s="123">
        <v>6.5</v>
      </c>
      <c r="S60" s="124">
        <v>6.5</v>
      </c>
      <c r="T60" s="124">
        <v>2</v>
      </c>
      <c r="U60" s="124">
        <v>6.5</v>
      </c>
      <c r="V60" s="132">
        <v>6.6</v>
      </c>
      <c r="W60" s="412">
        <f t="shared" ref="W60:W67" si="31">SUM(B60:V60)</f>
        <v>124.8</v>
      </c>
      <c r="X60" s="651">
        <v>125.49999999999999</v>
      </c>
      <c r="Y60" s="646"/>
      <c r="Z60" s="657"/>
      <c r="AA60" s="657"/>
      <c r="AD60" s="42"/>
      <c r="AE60" s="2"/>
      <c r="AF60" s="45"/>
      <c r="AG60" s="45"/>
      <c r="AH60" s="45"/>
      <c r="AI60" s="57"/>
      <c r="AJ60" s="57"/>
      <c r="AK60" s="57"/>
      <c r="AL60" s="57"/>
      <c r="AM60" s="45"/>
      <c r="AN60" s="45"/>
      <c r="AO60" s="58"/>
      <c r="AP60" s="58"/>
      <c r="AQ60" s="58"/>
      <c r="AR60" s="2"/>
      <c r="AS60" s="2"/>
      <c r="AT60" s="2"/>
      <c r="AU60" s="2"/>
      <c r="AV60" s="2"/>
      <c r="AW60" s="2"/>
      <c r="AX60" s="2"/>
      <c r="AY60" s="2"/>
    </row>
    <row r="61" spans="1:51" ht="33.75" customHeight="1" x14ac:dyDescent="0.25">
      <c r="A61" s="171" t="s">
        <v>24</v>
      </c>
      <c r="B61" s="447">
        <v>7.4</v>
      </c>
      <c r="C61" s="124">
        <v>7.5</v>
      </c>
      <c r="D61" s="124">
        <v>1.8</v>
      </c>
      <c r="E61" s="124">
        <v>7.6</v>
      </c>
      <c r="F61" s="123">
        <v>7.6</v>
      </c>
      <c r="G61" s="123">
        <v>5.8</v>
      </c>
      <c r="H61" s="694">
        <v>7.7</v>
      </c>
      <c r="I61" s="415">
        <v>7.7</v>
      </c>
      <c r="J61" s="415">
        <v>2</v>
      </c>
      <c r="K61" s="415">
        <v>7.7</v>
      </c>
      <c r="L61" s="415">
        <v>7.6</v>
      </c>
      <c r="M61" s="18">
        <v>6.2</v>
      </c>
      <c r="N61" s="19">
        <v>6.1</v>
      </c>
      <c r="O61" s="19">
        <v>1.9</v>
      </c>
      <c r="P61" s="19">
        <v>6</v>
      </c>
      <c r="Q61" s="20">
        <v>6.1</v>
      </c>
      <c r="R61" s="123">
        <v>6.5</v>
      </c>
      <c r="S61" s="124">
        <v>6.5</v>
      </c>
      <c r="T61" s="124">
        <v>2</v>
      </c>
      <c r="U61" s="124">
        <v>6.5</v>
      </c>
      <c r="V61" s="132">
        <v>6.6</v>
      </c>
      <c r="W61" s="412">
        <f t="shared" si="31"/>
        <v>124.8</v>
      </c>
      <c r="X61" s="651">
        <v>125.49999999999999</v>
      </c>
      <c r="Y61" s="646"/>
      <c r="Z61" s="651"/>
      <c r="AA61" s="651"/>
      <c r="AD61" s="42"/>
      <c r="AE61" s="2"/>
      <c r="AF61" s="45"/>
      <c r="AG61" s="45"/>
      <c r="AH61" s="45"/>
      <c r="AI61" s="57"/>
      <c r="AJ61" s="57"/>
      <c r="AK61" s="57"/>
      <c r="AL61" s="57"/>
      <c r="AM61" s="45"/>
      <c r="AN61" s="45"/>
      <c r="AO61" s="58"/>
      <c r="AP61" s="58"/>
      <c r="AQ61" s="58"/>
      <c r="AR61" s="2"/>
      <c r="AS61" s="2"/>
      <c r="AT61" s="2"/>
      <c r="AU61" s="2"/>
      <c r="AV61" s="2"/>
      <c r="AW61" s="2"/>
      <c r="AX61" s="2"/>
      <c r="AY61" s="2"/>
    </row>
    <row r="62" spans="1:51" ht="33.75" customHeight="1" x14ac:dyDescent="0.25">
      <c r="A62" s="171" t="s">
        <v>20</v>
      </c>
      <c r="B62" s="706">
        <v>7.4</v>
      </c>
      <c r="C62" s="707">
        <v>7.5</v>
      </c>
      <c r="D62" s="707">
        <v>1.8</v>
      </c>
      <c r="E62" s="707">
        <v>7.6</v>
      </c>
      <c r="F62" s="708">
        <v>7.6</v>
      </c>
      <c r="G62" s="708">
        <v>5.8</v>
      </c>
      <c r="H62" s="709">
        <v>7.7</v>
      </c>
      <c r="I62" s="629">
        <v>7.7</v>
      </c>
      <c r="J62" s="629">
        <v>2</v>
      </c>
      <c r="K62" s="629">
        <v>7.7</v>
      </c>
      <c r="L62" s="629">
        <v>7.6</v>
      </c>
      <c r="M62" s="710">
        <v>6.2</v>
      </c>
      <c r="N62" s="711">
        <v>6.1</v>
      </c>
      <c r="O62" s="711">
        <v>1.9</v>
      </c>
      <c r="P62" s="711">
        <v>6.1</v>
      </c>
      <c r="Q62" s="712">
        <v>6.1</v>
      </c>
      <c r="R62" s="708">
        <v>6.5</v>
      </c>
      <c r="S62" s="707">
        <v>6.5</v>
      </c>
      <c r="T62" s="707">
        <v>2.2000000000000002</v>
      </c>
      <c r="U62" s="707">
        <v>6.5</v>
      </c>
      <c r="V62" s="713">
        <v>6.6</v>
      </c>
      <c r="W62" s="412">
        <f t="shared" si="31"/>
        <v>125.1</v>
      </c>
      <c r="X62" s="651">
        <v>124.60000000000001</v>
      </c>
      <c r="Y62" s="646"/>
      <c r="Z62" s="651"/>
      <c r="AA62" s="651"/>
      <c r="AD62" s="42"/>
      <c r="AE62" s="2"/>
      <c r="AF62" s="45"/>
      <c r="AG62" s="45"/>
      <c r="AH62" s="45"/>
      <c r="AI62" s="57"/>
      <c r="AJ62" s="57"/>
      <c r="AK62" s="57"/>
      <c r="AL62" s="57"/>
      <c r="AM62" s="45"/>
      <c r="AN62" s="45"/>
      <c r="AO62" s="58"/>
      <c r="AP62" s="58"/>
      <c r="AQ62" s="58"/>
      <c r="AR62" s="2"/>
      <c r="AS62" s="2"/>
      <c r="AT62" s="2"/>
      <c r="AU62" s="2"/>
      <c r="AV62" s="2"/>
      <c r="AW62" s="2"/>
      <c r="AX62" s="2"/>
      <c r="AY62" s="2"/>
    </row>
    <row r="63" spans="1:51" ht="33.75" customHeight="1" x14ac:dyDescent="0.25">
      <c r="A63" s="171" t="s">
        <v>28</v>
      </c>
      <c r="B63" s="447">
        <v>7.4</v>
      </c>
      <c r="C63" s="124">
        <v>7.5</v>
      </c>
      <c r="D63" s="124">
        <v>1.7</v>
      </c>
      <c r="E63" s="124">
        <v>7.6</v>
      </c>
      <c r="F63" s="123">
        <v>7.7</v>
      </c>
      <c r="G63" s="123">
        <v>5.8</v>
      </c>
      <c r="H63" s="694">
        <v>7.7</v>
      </c>
      <c r="I63" s="415">
        <v>7.7</v>
      </c>
      <c r="J63" s="415">
        <v>2</v>
      </c>
      <c r="K63" s="415">
        <v>7.7</v>
      </c>
      <c r="L63" s="415">
        <v>7.6</v>
      </c>
      <c r="M63" s="179">
        <v>6.2</v>
      </c>
      <c r="N63" s="180">
        <v>6.1</v>
      </c>
      <c r="O63" s="180">
        <v>1.9</v>
      </c>
      <c r="P63" s="180">
        <v>6.1</v>
      </c>
      <c r="Q63" s="181">
        <v>6.1</v>
      </c>
      <c r="R63" s="123">
        <v>6.5</v>
      </c>
      <c r="S63" s="124">
        <v>6.5</v>
      </c>
      <c r="T63" s="124">
        <v>2.2000000000000002</v>
      </c>
      <c r="U63" s="124">
        <v>6.5</v>
      </c>
      <c r="V63" s="132">
        <v>6.6</v>
      </c>
      <c r="W63" s="412">
        <f t="shared" si="31"/>
        <v>125.1</v>
      </c>
      <c r="X63" s="651">
        <v>124.90000000000002</v>
      </c>
      <c r="Y63" s="646"/>
      <c r="Z63" s="651"/>
      <c r="AA63" s="651"/>
      <c r="AD63" s="42"/>
      <c r="AE63" s="2"/>
      <c r="AF63" s="45"/>
      <c r="AG63" s="45"/>
      <c r="AH63" s="45"/>
      <c r="AI63" s="57"/>
      <c r="AJ63" s="57"/>
      <c r="AK63" s="57"/>
      <c r="AL63" s="57"/>
      <c r="AM63" s="45"/>
      <c r="AN63" s="45"/>
      <c r="AO63" s="58"/>
      <c r="AP63" s="58"/>
      <c r="AQ63" s="58"/>
      <c r="AR63" s="3"/>
      <c r="AS63" s="3"/>
      <c r="AT63" s="2"/>
      <c r="AU63" s="2"/>
      <c r="AV63" s="2"/>
      <c r="AW63" s="2"/>
      <c r="AX63" s="2"/>
      <c r="AY63" s="2"/>
    </row>
    <row r="64" spans="1:51" ht="33.75" customHeight="1" x14ac:dyDescent="0.25">
      <c r="A64" s="171" t="s">
        <v>21</v>
      </c>
      <c r="B64" s="447">
        <v>7.5</v>
      </c>
      <c r="C64" s="124">
        <v>7.5</v>
      </c>
      <c r="D64" s="124">
        <v>1.7</v>
      </c>
      <c r="E64" s="124">
        <v>7.6</v>
      </c>
      <c r="F64" s="123">
        <v>7.7</v>
      </c>
      <c r="G64" s="123">
        <v>5.7</v>
      </c>
      <c r="H64" s="694">
        <v>7.5</v>
      </c>
      <c r="I64" s="415">
        <v>7.6</v>
      </c>
      <c r="J64" s="415">
        <v>1.8</v>
      </c>
      <c r="K64" s="415">
        <v>7.6</v>
      </c>
      <c r="L64" s="415">
        <v>7.5</v>
      </c>
      <c r="M64" s="179">
        <v>6</v>
      </c>
      <c r="N64" s="180">
        <v>6.4</v>
      </c>
      <c r="O64" s="180">
        <v>1.8</v>
      </c>
      <c r="P64" s="180">
        <v>6</v>
      </c>
      <c r="Q64" s="181">
        <v>6.3</v>
      </c>
      <c r="R64" s="123">
        <v>6.6</v>
      </c>
      <c r="S64" s="124">
        <v>6.6</v>
      </c>
      <c r="T64" s="124">
        <v>2.1</v>
      </c>
      <c r="U64" s="124">
        <v>6.6</v>
      </c>
      <c r="V64" s="132">
        <v>6.6</v>
      </c>
      <c r="W64" s="412">
        <f t="shared" si="31"/>
        <v>124.69999999999996</v>
      </c>
      <c r="X64" s="651">
        <v>124.90000000000002</v>
      </c>
      <c r="Y64" s="646"/>
      <c r="Z64" s="651"/>
      <c r="AA64" s="651"/>
      <c r="AD64" s="42"/>
      <c r="AE64" s="2"/>
      <c r="AF64" s="45"/>
      <c r="AG64" s="45"/>
      <c r="AH64" s="45"/>
      <c r="AI64" s="57"/>
      <c r="AJ64" s="57"/>
      <c r="AK64" s="57"/>
      <c r="AL64" s="57"/>
      <c r="AM64" s="45"/>
      <c r="AN64" s="45"/>
      <c r="AO64" s="58"/>
      <c r="AP64" s="58"/>
      <c r="AQ64" s="58"/>
      <c r="AR64" s="3"/>
      <c r="AS64" s="3"/>
      <c r="AT64" s="2"/>
      <c r="AU64" s="2"/>
      <c r="AV64" s="2"/>
      <c r="AW64" s="2"/>
      <c r="AX64" s="2"/>
      <c r="AY64" s="2"/>
    </row>
    <row r="65" spans="1:51" ht="33.75" customHeight="1" x14ac:dyDescent="0.25">
      <c r="A65" s="171" t="s">
        <v>22</v>
      </c>
      <c r="B65" s="447">
        <v>7.6</v>
      </c>
      <c r="C65" s="124">
        <v>7.5</v>
      </c>
      <c r="D65" s="124">
        <v>1.7</v>
      </c>
      <c r="E65" s="124">
        <v>7.6</v>
      </c>
      <c r="F65" s="123">
        <v>7.7</v>
      </c>
      <c r="G65" s="123">
        <v>5.7</v>
      </c>
      <c r="H65" s="694">
        <v>7.5</v>
      </c>
      <c r="I65" s="415">
        <v>7.6</v>
      </c>
      <c r="J65" s="415">
        <v>1.8</v>
      </c>
      <c r="K65" s="415">
        <v>7.7</v>
      </c>
      <c r="L65" s="415">
        <v>7.6</v>
      </c>
      <c r="M65" s="179">
        <v>6</v>
      </c>
      <c r="N65" s="180">
        <v>6.3</v>
      </c>
      <c r="O65" s="180">
        <v>1.8</v>
      </c>
      <c r="P65" s="180">
        <v>6.1</v>
      </c>
      <c r="Q65" s="181">
        <v>6.3</v>
      </c>
      <c r="R65" s="123">
        <v>6.6</v>
      </c>
      <c r="S65" s="124">
        <v>6.6</v>
      </c>
      <c r="T65" s="124">
        <v>2.1</v>
      </c>
      <c r="U65" s="124">
        <v>6.6</v>
      </c>
      <c r="V65" s="132">
        <v>6.6</v>
      </c>
      <c r="W65" s="412">
        <f t="shared" si="31"/>
        <v>124.99999999999996</v>
      </c>
      <c r="X65" s="651">
        <v>125.00000000000001</v>
      </c>
      <c r="Y65" s="646"/>
      <c r="Z65" s="651"/>
      <c r="AA65" s="651"/>
      <c r="AD65" s="42"/>
      <c r="AE65" s="2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3"/>
      <c r="AS65" s="3"/>
      <c r="AV65" s="2"/>
      <c r="AW65" s="2"/>
      <c r="AX65" s="2"/>
      <c r="AY65" s="2"/>
    </row>
    <row r="66" spans="1:51" ht="33.75" customHeight="1" thickBot="1" x14ac:dyDescent="0.3">
      <c r="A66" s="171" t="s">
        <v>23</v>
      </c>
      <c r="B66" s="447">
        <v>7.6</v>
      </c>
      <c r="C66" s="124">
        <v>7.6</v>
      </c>
      <c r="D66" s="124">
        <v>1.7</v>
      </c>
      <c r="E66" s="124">
        <v>7.8</v>
      </c>
      <c r="F66" s="123">
        <v>7.7</v>
      </c>
      <c r="G66" s="123">
        <v>5.7</v>
      </c>
      <c r="H66" s="694">
        <v>7.5</v>
      </c>
      <c r="I66" s="415">
        <v>7.6</v>
      </c>
      <c r="J66" s="415">
        <v>1.8</v>
      </c>
      <c r="K66" s="415">
        <v>7.7</v>
      </c>
      <c r="L66" s="415">
        <v>7.6</v>
      </c>
      <c r="M66" s="681">
        <v>6.1</v>
      </c>
      <c r="N66" s="180">
        <v>6.4</v>
      </c>
      <c r="O66" s="682">
        <v>1.9</v>
      </c>
      <c r="P66" s="180">
        <v>6.1</v>
      </c>
      <c r="Q66" s="181">
        <v>6.3</v>
      </c>
      <c r="R66" s="123">
        <v>6.7</v>
      </c>
      <c r="S66" s="124">
        <v>6.7</v>
      </c>
      <c r="T66" s="124">
        <v>2</v>
      </c>
      <c r="U66" s="124">
        <v>6.9</v>
      </c>
      <c r="V66" s="132">
        <v>6.3</v>
      </c>
      <c r="W66" s="412">
        <f t="shared" si="31"/>
        <v>125.7</v>
      </c>
      <c r="X66" s="651">
        <v>125.19999999999997</v>
      </c>
      <c r="Y66" s="646"/>
      <c r="Z66" s="651"/>
      <c r="AA66" s="651"/>
      <c r="AD66" s="42"/>
      <c r="AE66" s="2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3"/>
      <c r="AS66" s="3"/>
      <c r="AV66" s="2"/>
      <c r="AW66" s="2"/>
      <c r="AX66" s="2"/>
      <c r="AY66" s="2"/>
    </row>
    <row r="67" spans="1:51" ht="33.75" customHeight="1" thickBot="1" x14ac:dyDescent="0.3">
      <c r="A67" s="170" t="s">
        <v>9</v>
      </c>
      <c r="B67" s="297">
        <f t="shared" ref="B67:V67" si="32">SUM(B60:B66)</f>
        <v>52.300000000000004</v>
      </c>
      <c r="C67" s="298">
        <f t="shared" si="32"/>
        <v>52.6</v>
      </c>
      <c r="D67" s="298">
        <f t="shared" si="32"/>
        <v>12.2</v>
      </c>
      <c r="E67" s="298">
        <f t="shared" si="32"/>
        <v>53.4</v>
      </c>
      <c r="F67" s="298">
        <f t="shared" si="32"/>
        <v>53.6</v>
      </c>
      <c r="G67" s="299">
        <f t="shared" si="32"/>
        <v>40.300000000000004</v>
      </c>
      <c r="H67" s="695">
        <f t="shared" si="32"/>
        <v>53.3</v>
      </c>
      <c r="I67" s="696">
        <f t="shared" si="32"/>
        <v>53.6</v>
      </c>
      <c r="J67" s="696">
        <f t="shared" si="32"/>
        <v>13.400000000000002</v>
      </c>
      <c r="K67" s="696">
        <f t="shared" si="32"/>
        <v>53.800000000000004</v>
      </c>
      <c r="L67" s="696">
        <f t="shared" si="32"/>
        <v>53.1</v>
      </c>
      <c r="M67" s="618">
        <f t="shared" si="32"/>
        <v>42.9</v>
      </c>
      <c r="N67" s="616">
        <f t="shared" si="32"/>
        <v>43.499999999999993</v>
      </c>
      <c r="O67" s="616">
        <f t="shared" si="32"/>
        <v>13.100000000000001</v>
      </c>
      <c r="P67" s="616">
        <f t="shared" si="32"/>
        <v>42.400000000000006</v>
      </c>
      <c r="Q67" s="616">
        <f t="shared" si="32"/>
        <v>43.3</v>
      </c>
      <c r="R67" s="615">
        <f t="shared" si="32"/>
        <v>45.900000000000006</v>
      </c>
      <c r="S67" s="616">
        <f t="shared" si="32"/>
        <v>45.900000000000006</v>
      </c>
      <c r="T67" s="616">
        <f t="shared" si="32"/>
        <v>14.6</v>
      </c>
      <c r="U67" s="616">
        <f t="shared" si="32"/>
        <v>46.1</v>
      </c>
      <c r="V67" s="617">
        <f t="shared" si="32"/>
        <v>45.9</v>
      </c>
      <c r="W67" s="449">
        <f t="shared" si="31"/>
        <v>875.19999999999993</v>
      </c>
      <c r="X67" s="664">
        <v>875.59999999999991</v>
      </c>
      <c r="Y67" s="646"/>
      <c r="Z67" s="651"/>
      <c r="AA67" s="651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3"/>
      <c r="AS67" s="3"/>
      <c r="AT67" s="3"/>
      <c r="AU67" s="3"/>
      <c r="AV67" s="2"/>
      <c r="AW67" s="2"/>
      <c r="AX67" s="2"/>
      <c r="AY67" s="2"/>
    </row>
    <row r="68" spans="1:51" ht="33.75" customHeight="1" x14ac:dyDescent="0.25">
      <c r="A68" s="192" t="s">
        <v>11</v>
      </c>
      <c r="B68" s="357">
        <v>159</v>
      </c>
      <c r="C68" s="358">
        <v>160</v>
      </c>
      <c r="D68" s="358">
        <v>159</v>
      </c>
      <c r="E68" s="358">
        <v>159</v>
      </c>
      <c r="F68" s="358">
        <v>159.5</v>
      </c>
      <c r="G68" s="624">
        <v>160</v>
      </c>
      <c r="H68" s="697">
        <v>158.5</v>
      </c>
      <c r="I68" s="698">
        <v>159.5</v>
      </c>
      <c r="J68" s="698">
        <v>160</v>
      </c>
      <c r="K68" s="698">
        <v>160</v>
      </c>
      <c r="L68" s="698">
        <v>158</v>
      </c>
      <c r="M68" s="357">
        <v>157</v>
      </c>
      <c r="N68" s="358">
        <v>159.5</v>
      </c>
      <c r="O68" s="358">
        <v>155.5</v>
      </c>
      <c r="P68" s="358">
        <v>159.5</v>
      </c>
      <c r="Q68" s="358">
        <v>159.5</v>
      </c>
      <c r="R68" s="357">
        <v>160</v>
      </c>
      <c r="S68" s="358">
        <v>160</v>
      </c>
      <c r="T68" s="358">
        <v>160.5</v>
      </c>
      <c r="U68" s="358">
        <v>160.5</v>
      </c>
      <c r="V68" s="624">
        <v>160</v>
      </c>
      <c r="W68" s="296">
        <f>+((W67/W69)/7)*1000</f>
        <v>159.27206551410373</v>
      </c>
      <c r="X68" s="145">
        <v>159.34485896269334</v>
      </c>
      <c r="Y68" s="648"/>
      <c r="Z68" s="665"/>
      <c r="AA68" s="522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3"/>
      <c r="AS68" s="3"/>
      <c r="AT68" s="3"/>
      <c r="AU68" s="3"/>
      <c r="AV68" s="2"/>
      <c r="AW68" s="2"/>
      <c r="AX68" s="2"/>
      <c r="AY68" s="2"/>
    </row>
    <row r="69" spans="1:51" ht="33.75" customHeight="1" x14ac:dyDescent="0.25">
      <c r="A69" s="193" t="s">
        <v>12</v>
      </c>
      <c r="B69" s="257">
        <v>47</v>
      </c>
      <c r="C69" s="275">
        <v>47</v>
      </c>
      <c r="D69" s="275">
        <v>11</v>
      </c>
      <c r="E69" s="275">
        <v>48</v>
      </c>
      <c r="F69" s="275">
        <v>48</v>
      </c>
      <c r="G69" s="276">
        <v>36</v>
      </c>
      <c r="H69" s="699">
        <v>48</v>
      </c>
      <c r="I69" s="700">
        <v>48</v>
      </c>
      <c r="J69" s="700">
        <v>12</v>
      </c>
      <c r="K69" s="700">
        <v>48</v>
      </c>
      <c r="L69" s="700">
        <v>48</v>
      </c>
      <c r="M69" s="257">
        <v>39</v>
      </c>
      <c r="N69" s="275">
        <v>39</v>
      </c>
      <c r="O69" s="275">
        <v>12</v>
      </c>
      <c r="P69" s="275">
        <v>38</v>
      </c>
      <c r="Q69" s="275">
        <v>39</v>
      </c>
      <c r="R69" s="257">
        <v>41</v>
      </c>
      <c r="S69" s="275">
        <v>41</v>
      </c>
      <c r="T69" s="275">
        <v>13</v>
      </c>
      <c r="U69" s="275">
        <v>41</v>
      </c>
      <c r="V69" s="276">
        <v>41</v>
      </c>
      <c r="W69" s="254">
        <f>SUM(B69:V69)</f>
        <v>785</v>
      </c>
      <c r="X69" s="145">
        <v>785</v>
      </c>
      <c r="Y69" s="649"/>
      <c r="Z69" s="665"/>
      <c r="AA69" s="522"/>
      <c r="AE69" s="59"/>
      <c r="AI69" s="3"/>
      <c r="AJ69" s="3"/>
      <c r="AK69" s="3"/>
      <c r="AL69" s="3"/>
      <c r="AM69" s="3"/>
      <c r="AN69" s="3"/>
    </row>
    <row r="70" spans="1:51" ht="33.75" customHeight="1" x14ac:dyDescent="0.25">
      <c r="A70" s="194" t="s">
        <v>13</v>
      </c>
      <c r="B70" s="30">
        <f t="shared" ref="B70:L70" si="33">((((B68*7)*B69)/1000)-B60-B61)/5</f>
        <v>7.5022000000000002</v>
      </c>
      <c r="C70" s="31">
        <f t="shared" si="33"/>
        <v>7.5280000000000005</v>
      </c>
      <c r="D70" s="31">
        <f t="shared" si="33"/>
        <v>1.7285999999999997</v>
      </c>
      <c r="E70" s="31">
        <f t="shared" si="33"/>
        <v>7.6447999999999992</v>
      </c>
      <c r="F70" s="31">
        <f t="shared" si="33"/>
        <v>7.678399999999999</v>
      </c>
      <c r="G70" s="32">
        <f>((((G68*7)*G69)/1000)-G60-G61)/5</f>
        <v>5.7440000000000007</v>
      </c>
      <c r="H70" s="701">
        <f>((((H68*7)*H69)/1000)-H60-H61)/5</f>
        <v>7.5711999999999993</v>
      </c>
      <c r="I70" s="702">
        <f t="shared" si="33"/>
        <v>7.638399999999999</v>
      </c>
      <c r="J70" s="702">
        <f t="shared" si="33"/>
        <v>1.8879999999999999</v>
      </c>
      <c r="K70" s="702">
        <f t="shared" si="33"/>
        <v>7.6719999999999988</v>
      </c>
      <c r="L70" s="702">
        <f t="shared" si="33"/>
        <v>7.5775999999999994</v>
      </c>
      <c r="M70" s="30">
        <f>((((M68*7)*M69)/1000)-M60-M61)/5</f>
        <v>6.0921999999999992</v>
      </c>
      <c r="N70" s="30">
        <f t="shared" ref="N70:V70" si="34">((((N68*7)*N69)/1000)-N60-N61)/5</f>
        <v>6.2686999999999999</v>
      </c>
      <c r="O70" s="30">
        <f t="shared" si="34"/>
        <v>1.8523999999999998</v>
      </c>
      <c r="P70" s="30">
        <f t="shared" si="34"/>
        <v>6.0853999999999999</v>
      </c>
      <c r="Q70" s="30">
        <f t="shared" si="34"/>
        <v>6.2686999999999999</v>
      </c>
      <c r="R70" s="30">
        <f t="shared" si="34"/>
        <v>6.5840000000000005</v>
      </c>
      <c r="S70" s="30">
        <f t="shared" si="34"/>
        <v>6.5840000000000005</v>
      </c>
      <c r="T70" s="30">
        <f t="shared" si="34"/>
        <v>2.1210999999999998</v>
      </c>
      <c r="U70" s="30">
        <f t="shared" si="34"/>
        <v>6.6126999999999994</v>
      </c>
      <c r="V70" s="30">
        <f t="shared" si="34"/>
        <v>6.5439999999999996</v>
      </c>
      <c r="W70" s="139">
        <f>((W67*1000)/W69)/7</f>
        <v>159.27206551410373</v>
      </c>
      <c r="X70" s="144">
        <v>159.34485896269334</v>
      </c>
      <c r="Y70" s="650"/>
      <c r="Z70" s="665"/>
      <c r="AA70" s="522"/>
      <c r="AI70" s="3"/>
      <c r="AJ70" s="3"/>
      <c r="AK70" s="3"/>
      <c r="AL70" s="3"/>
      <c r="AM70" s="3"/>
      <c r="AN70" s="3"/>
    </row>
    <row r="71" spans="1:51" ht="33.75" customHeight="1" x14ac:dyDescent="0.25">
      <c r="A71" s="185" t="s">
        <v>14</v>
      </c>
      <c r="B71" s="279">
        <f t="shared" ref="B71:V71" si="35">((B69*B68)*7)/1000</f>
        <v>52.311</v>
      </c>
      <c r="C71" s="280">
        <f t="shared" si="35"/>
        <v>52.64</v>
      </c>
      <c r="D71" s="280">
        <f t="shared" si="35"/>
        <v>12.243</v>
      </c>
      <c r="E71" s="280">
        <f t="shared" si="35"/>
        <v>53.423999999999999</v>
      </c>
      <c r="F71" s="280">
        <f t="shared" si="35"/>
        <v>53.591999999999999</v>
      </c>
      <c r="G71" s="282">
        <f t="shared" si="35"/>
        <v>40.32</v>
      </c>
      <c r="H71" s="465">
        <f t="shared" si="35"/>
        <v>53.256</v>
      </c>
      <c r="I71" s="459">
        <f>((I69*I68)*7)/1000</f>
        <v>53.591999999999999</v>
      </c>
      <c r="J71" s="459">
        <f t="shared" si="35"/>
        <v>13.44</v>
      </c>
      <c r="K71" s="459">
        <f t="shared" si="35"/>
        <v>53.76</v>
      </c>
      <c r="L71" s="459">
        <f t="shared" si="35"/>
        <v>53.088000000000001</v>
      </c>
      <c r="M71" s="279">
        <f t="shared" si="35"/>
        <v>42.860999999999997</v>
      </c>
      <c r="N71" s="280">
        <f t="shared" si="35"/>
        <v>43.543500000000002</v>
      </c>
      <c r="O71" s="280">
        <f t="shared" si="35"/>
        <v>13.061999999999999</v>
      </c>
      <c r="P71" s="280">
        <f t="shared" si="35"/>
        <v>42.427</v>
      </c>
      <c r="Q71" s="280">
        <f t="shared" si="35"/>
        <v>43.543500000000002</v>
      </c>
      <c r="R71" s="279">
        <f t="shared" si="35"/>
        <v>45.92</v>
      </c>
      <c r="S71" s="280">
        <f t="shared" si="35"/>
        <v>45.92</v>
      </c>
      <c r="T71" s="280">
        <f t="shared" si="35"/>
        <v>14.605499999999999</v>
      </c>
      <c r="U71" s="280">
        <f t="shared" si="35"/>
        <v>46.063499999999998</v>
      </c>
      <c r="V71" s="282">
        <f t="shared" si="35"/>
        <v>45.92</v>
      </c>
      <c r="W71" s="112"/>
      <c r="X71" s="651"/>
      <c r="Y71" s="666"/>
      <c r="Z71" s="666"/>
      <c r="AA71" s="666"/>
      <c r="AB71" s="41"/>
      <c r="AC71" s="41"/>
      <c r="AD71" s="41"/>
      <c r="AN71" s="3"/>
    </row>
    <row r="72" spans="1:51" ht="33.75" customHeight="1" thickBot="1" x14ac:dyDescent="0.3">
      <c r="A72" s="195" t="s">
        <v>15</v>
      </c>
      <c r="B72" s="37">
        <f t="shared" ref="B72:V72" si="36">+(B67/B69)/7*1000</f>
        <v>158.96656534954406</v>
      </c>
      <c r="C72" s="38">
        <f t="shared" si="36"/>
        <v>159.87841945288753</v>
      </c>
      <c r="D72" s="38">
        <f t="shared" si="36"/>
        <v>158.44155844155844</v>
      </c>
      <c r="E72" s="38">
        <f t="shared" si="36"/>
        <v>158.92857142857144</v>
      </c>
      <c r="F72" s="38">
        <f t="shared" si="36"/>
        <v>159.52380952380955</v>
      </c>
      <c r="G72" s="39">
        <f t="shared" si="36"/>
        <v>159.92063492063494</v>
      </c>
      <c r="H72" s="703">
        <f t="shared" si="36"/>
        <v>158.63095238095238</v>
      </c>
      <c r="I72" s="704">
        <f t="shared" si="36"/>
        <v>159.52380952380955</v>
      </c>
      <c r="J72" s="704">
        <f t="shared" si="36"/>
        <v>159.52380952380958</v>
      </c>
      <c r="K72" s="704">
        <f t="shared" si="36"/>
        <v>160.11904761904762</v>
      </c>
      <c r="L72" s="704">
        <f t="shared" si="36"/>
        <v>158.03571428571428</v>
      </c>
      <c r="M72" s="37">
        <f t="shared" si="36"/>
        <v>157.14285714285711</v>
      </c>
      <c r="N72" s="38">
        <f t="shared" si="36"/>
        <v>159.3406593406593</v>
      </c>
      <c r="O72" s="38">
        <f t="shared" si="36"/>
        <v>155.95238095238099</v>
      </c>
      <c r="P72" s="38">
        <f t="shared" si="36"/>
        <v>159.3984962406015</v>
      </c>
      <c r="Q72" s="38">
        <f t="shared" si="36"/>
        <v>158.60805860805857</v>
      </c>
      <c r="R72" s="37">
        <f t="shared" si="36"/>
        <v>159.93031358885017</v>
      </c>
      <c r="S72" s="38">
        <f t="shared" si="36"/>
        <v>159.93031358885017</v>
      </c>
      <c r="T72" s="38">
        <f t="shared" si="36"/>
        <v>160.43956043956047</v>
      </c>
      <c r="U72" s="38">
        <f t="shared" si="36"/>
        <v>160.62717770034845</v>
      </c>
      <c r="V72" s="39">
        <f t="shared" si="36"/>
        <v>159.93031358885014</v>
      </c>
      <c r="W72" s="40"/>
      <c r="X72" s="651"/>
      <c r="Y72" s="522"/>
      <c r="Z72" s="522"/>
      <c r="AA72" s="522"/>
      <c r="AN72" s="3"/>
    </row>
    <row r="73" spans="1:51" ht="33.75" customHeight="1" x14ac:dyDescent="0.25">
      <c r="B73" s="43">
        <f>B71-B67</f>
        <v>1.099999999999568E-2</v>
      </c>
      <c r="C73" s="43">
        <f t="shared" ref="C73:G74" si="37">C71-C67</f>
        <v>3.9999999999999147E-2</v>
      </c>
      <c r="D73" s="43">
        <f t="shared" si="37"/>
        <v>4.3000000000001037E-2</v>
      </c>
      <c r="E73" s="43">
        <f t="shared" si="37"/>
        <v>2.4000000000000909E-2</v>
      </c>
      <c r="F73" s="43">
        <f t="shared" si="37"/>
        <v>-8.0000000000026716E-3</v>
      </c>
      <c r="G73" s="43">
        <f t="shared" si="37"/>
        <v>1.9999999999996021E-2</v>
      </c>
      <c r="H73" s="143">
        <f>H71-H67</f>
        <v>-4.399999999999693E-2</v>
      </c>
      <c r="I73" s="143">
        <f t="shared" ref="I73:V74" si="38">I71-I67</f>
        <v>-8.0000000000026716E-3</v>
      </c>
      <c r="J73" s="143">
        <f t="shared" si="38"/>
        <v>3.9999999999997371E-2</v>
      </c>
      <c r="K73" s="143">
        <f t="shared" si="38"/>
        <v>-4.0000000000006253E-2</v>
      </c>
      <c r="L73" s="143">
        <f t="shared" si="38"/>
        <v>-1.2000000000000455E-2</v>
      </c>
      <c r="M73" s="43">
        <f>M71-M67</f>
        <v>-3.9000000000001478E-2</v>
      </c>
      <c r="N73" s="43">
        <f t="shared" ref="N73:Q73" si="39">N71-N67</f>
        <v>4.3500000000008754E-2</v>
      </c>
      <c r="O73" s="43">
        <f t="shared" si="39"/>
        <v>-3.8000000000002032E-2</v>
      </c>
      <c r="P73" s="43">
        <f t="shared" si="39"/>
        <v>2.6999999999993918E-2</v>
      </c>
      <c r="Q73" s="43">
        <f t="shared" si="39"/>
        <v>0.24350000000000449</v>
      </c>
      <c r="R73" s="43">
        <f>R71-R67</f>
        <v>1.9999999999996021E-2</v>
      </c>
      <c r="S73" s="43">
        <f t="shared" ref="S73:V73" si="40">S71-S67</f>
        <v>1.9999999999996021E-2</v>
      </c>
      <c r="T73" s="43">
        <f t="shared" si="40"/>
        <v>5.4999999999996163E-3</v>
      </c>
      <c r="U73" s="43">
        <f t="shared" si="40"/>
        <v>-3.6500000000003752E-2</v>
      </c>
      <c r="V73" s="43">
        <f t="shared" si="40"/>
        <v>2.0000000000003126E-2</v>
      </c>
      <c r="X73" s="144"/>
      <c r="Y73" s="522"/>
      <c r="Z73" s="522"/>
      <c r="AA73" s="522"/>
    </row>
    <row r="74" spans="1:51" ht="33.75" customHeight="1" x14ac:dyDescent="0.25">
      <c r="B74" s="42">
        <f t="shared" ref="B74:K74" si="41">B72-B68</f>
        <v>-3.3434650455944848E-2</v>
      </c>
      <c r="C74" s="42">
        <f t="shared" si="41"/>
        <v>-0.12158054711247246</v>
      </c>
      <c r="D74" s="42">
        <f t="shared" si="41"/>
        <v>-0.55844155844155807</v>
      </c>
      <c r="E74" s="42">
        <f t="shared" si="41"/>
        <v>-7.1428571428555188E-2</v>
      </c>
      <c r="F74" s="42">
        <f t="shared" si="41"/>
        <v>2.3809523809546818E-2</v>
      </c>
      <c r="G74" s="42">
        <f t="shared" si="37"/>
        <v>-7.936507936506132E-2</v>
      </c>
      <c r="H74" s="705">
        <f t="shared" si="41"/>
        <v>0.1309523809523796</v>
      </c>
      <c r="I74" s="705">
        <f t="shared" si="41"/>
        <v>2.3809523809546818E-2</v>
      </c>
      <c r="J74" s="705">
        <f>J72-J68</f>
        <v>-0.47619047619042476</v>
      </c>
      <c r="K74" s="705">
        <f t="shared" si="41"/>
        <v>0.1190476190476204</v>
      </c>
      <c r="L74" s="705">
        <f t="shared" si="38"/>
        <v>3.5714285714277594E-2</v>
      </c>
      <c r="M74" s="42">
        <f t="shared" si="38"/>
        <v>0.14285714285711038</v>
      </c>
      <c r="N74" s="42">
        <f t="shared" si="38"/>
        <v>-0.15934065934069963</v>
      </c>
      <c r="O74" s="42">
        <f t="shared" si="38"/>
        <v>0.45238095238099163</v>
      </c>
      <c r="P74" s="42">
        <f t="shared" si="38"/>
        <v>-0.1015037593984971</v>
      </c>
      <c r="Q74" s="42">
        <f t="shared" si="38"/>
        <v>-0.89194139194142963</v>
      </c>
      <c r="R74" s="42">
        <f t="shared" si="38"/>
        <v>-6.9686411149831429E-2</v>
      </c>
      <c r="S74" s="42">
        <f t="shared" si="38"/>
        <v>-6.9686411149831429E-2</v>
      </c>
      <c r="T74" s="42">
        <f t="shared" si="38"/>
        <v>-6.0439560439533579E-2</v>
      </c>
      <c r="U74" s="42">
        <f t="shared" si="38"/>
        <v>0.12717770034845444</v>
      </c>
      <c r="V74" s="42">
        <f t="shared" si="38"/>
        <v>-6.968641114985985E-2</v>
      </c>
      <c r="W74" s="45"/>
      <c r="X74" s="651"/>
      <c r="Y74" s="657"/>
      <c r="Z74" s="657"/>
      <c r="AA74" s="657"/>
      <c r="AB74" s="45"/>
      <c r="AC74" s="45"/>
      <c r="AD74" s="45"/>
      <c r="AE74" s="52"/>
    </row>
    <row r="75" spans="1:51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  <c r="W75" s="636"/>
    </row>
    <row r="76" spans="1:51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1" ht="33.75" customHeight="1" x14ac:dyDescent="0.25">
      <c r="A77" s="45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1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1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1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5">
    <mergeCell ref="B39:F39"/>
    <mergeCell ref="G39:G40"/>
    <mergeCell ref="M39:R39"/>
    <mergeCell ref="B58:F58"/>
    <mergeCell ref="H58:L58"/>
    <mergeCell ref="M58:Q58"/>
    <mergeCell ref="R58:V58"/>
    <mergeCell ref="A3:C3"/>
    <mergeCell ref="E9:G9"/>
    <mergeCell ref="W9:X9"/>
    <mergeCell ref="O11:P11"/>
    <mergeCell ref="B16:H16"/>
    <mergeCell ref="I16:O16"/>
    <mergeCell ref="P16:T16"/>
    <mergeCell ref="U16:Y16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1"/>
  <sheetViews>
    <sheetView workbookViewId="0"/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41</v>
      </c>
      <c r="P11" s="965"/>
      <c r="Q11" s="6"/>
      <c r="R11" s="6"/>
      <c r="S11" s="6"/>
      <c r="T11" s="1"/>
      <c r="U11" s="1"/>
      <c r="V11" s="1" t="s">
        <v>6</v>
      </c>
      <c r="W11" s="95">
        <v>45621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594"/>
      <c r="I17" s="386" t="s">
        <v>100</v>
      </c>
      <c r="J17" s="438">
        <v>1</v>
      </c>
      <c r="K17" s="438">
        <v>2</v>
      </c>
      <c r="L17" s="438">
        <v>3</v>
      </c>
      <c r="M17" s="438">
        <v>4</v>
      </c>
      <c r="N17" s="439">
        <v>5</v>
      </c>
      <c r="O17" s="594"/>
      <c r="P17" s="202">
        <v>1</v>
      </c>
      <c r="Q17" s="174">
        <v>2</v>
      </c>
      <c r="R17" s="174">
        <v>3</v>
      </c>
      <c r="S17" s="174">
        <v>4</v>
      </c>
      <c r="T17" s="203">
        <v>5</v>
      </c>
      <c r="U17" s="186">
        <v>1</v>
      </c>
      <c r="V17" s="174">
        <v>2</v>
      </c>
      <c r="W17" s="174">
        <v>3</v>
      </c>
      <c r="X17" s="174">
        <v>4</v>
      </c>
      <c r="Y17" s="175">
        <v>5</v>
      </c>
      <c r="Z17" s="126"/>
      <c r="AD17" s="2"/>
      <c r="AE17" s="15"/>
    </row>
    <row r="18" spans="1:40" ht="39.950000000000003" customHeight="1" x14ac:dyDescent="0.25">
      <c r="A18" s="171" t="s">
        <v>53</v>
      </c>
      <c r="B18" s="595">
        <v>317.2</v>
      </c>
      <c r="C18" s="596">
        <v>18.2</v>
      </c>
      <c r="D18" s="596">
        <v>18.5</v>
      </c>
      <c r="E18" s="596">
        <v>4.4000000000000004</v>
      </c>
      <c r="F18" s="596">
        <v>18.7</v>
      </c>
      <c r="G18" s="597">
        <v>18.7</v>
      </c>
      <c r="H18" s="506">
        <v>395.69999999999993</v>
      </c>
      <c r="I18" s="599">
        <v>319.39999999999998</v>
      </c>
      <c r="J18" s="596">
        <v>18.399999999999999</v>
      </c>
      <c r="K18" s="596">
        <v>18.7</v>
      </c>
      <c r="L18" s="596">
        <v>4.4000000000000004</v>
      </c>
      <c r="M18" s="596">
        <v>17.8</v>
      </c>
      <c r="N18" s="600">
        <v>17.600000000000001</v>
      </c>
      <c r="O18" s="506">
        <v>396.29999999999995</v>
      </c>
      <c r="P18" s="601">
        <v>77.599999999999994</v>
      </c>
      <c r="Q18" s="504">
        <v>77.2</v>
      </c>
      <c r="R18" s="596">
        <v>25.3</v>
      </c>
      <c r="S18" s="596">
        <v>77.8</v>
      </c>
      <c r="T18" s="600">
        <v>77.099999999999994</v>
      </c>
      <c r="U18" s="602">
        <v>80.3</v>
      </c>
      <c r="V18" s="596">
        <v>81.8</v>
      </c>
      <c r="W18" s="504">
        <v>25.6</v>
      </c>
      <c r="X18" s="504">
        <v>81.8</v>
      </c>
      <c r="Y18" s="600">
        <v>80.599999999999994</v>
      </c>
      <c r="Z18" s="209">
        <f>SUM(H18,O18,P18:Y18)</f>
        <v>1477.0999999999995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595">
        <v>316.8</v>
      </c>
      <c r="C19" s="596">
        <v>18.2</v>
      </c>
      <c r="D19" s="596">
        <v>18.5</v>
      </c>
      <c r="E19" s="596">
        <v>4.4000000000000004</v>
      </c>
      <c r="F19" s="596">
        <v>18.7</v>
      </c>
      <c r="G19" s="597">
        <v>18.7</v>
      </c>
      <c r="H19" s="635">
        <v>395.29999999999995</v>
      </c>
      <c r="I19" s="599">
        <v>319.3</v>
      </c>
      <c r="J19" s="596">
        <v>18.399999999999999</v>
      </c>
      <c r="K19" s="596">
        <v>18.7</v>
      </c>
      <c r="L19" s="596">
        <v>4.4000000000000004</v>
      </c>
      <c r="M19" s="596">
        <v>17.8</v>
      </c>
      <c r="N19" s="600">
        <v>17.600000000000001</v>
      </c>
      <c r="O19" s="635">
        <v>396.2</v>
      </c>
      <c r="P19" s="601">
        <v>77.599999999999994</v>
      </c>
      <c r="Q19" s="504">
        <v>77.2</v>
      </c>
      <c r="R19" s="596">
        <v>25.2</v>
      </c>
      <c r="S19" s="596">
        <v>77.8</v>
      </c>
      <c r="T19" s="600">
        <v>77.099999999999994</v>
      </c>
      <c r="U19" s="602">
        <v>80.3</v>
      </c>
      <c r="V19" s="596">
        <v>81.599999999999994</v>
      </c>
      <c r="W19" s="504">
        <v>25.3</v>
      </c>
      <c r="X19" s="504">
        <v>81.8</v>
      </c>
      <c r="Y19" s="600">
        <v>80.599999999999994</v>
      </c>
      <c r="Z19" s="209">
        <f>SUM(H19,O19,P19:Y19)</f>
        <v>1475.9999999999998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595">
        <v>316.60000000000002</v>
      </c>
      <c r="C20" s="596">
        <v>17.899999999999999</v>
      </c>
      <c r="D20" s="596">
        <v>18.2</v>
      </c>
      <c r="E20" s="596">
        <v>4.4000000000000004</v>
      </c>
      <c r="F20" s="596">
        <v>18.399999999999999</v>
      </c>
      <c r="G20" s="597">
        <v>18.399999999999999</v>
      </c>
      <c r="H20" s="635">
        <v>393.89999999999992</v>
      </c>
      <c r="I20" s="599">
        <v>319.2</v>
      </c>
      <c r="J20" s="596">
        <v>18.100000000000001</v>
      </c>
      <c r="K20" s="596">
        <v>18.399999999999999</v>
      </c>
      <c r="L20" s="596">
        <v>4.3</v>
      </c>
      <c r="M20" s="596">
        <v>17.5</v>
      </c>
      <c r="N20" s="600">
        <v>17.3</v>
      </c>
      <c r="O20" s="635">
        <v>394.8</v>
      </c>
      <c r="P20" s="601">
        <v>77.400000000000006</v>
      </c>
      <c r="Q20" s="504">
        <v>77.099999999999994</v>
      </c>
      <c r="R20" s="596">
        <v>25.1</v>
      </c>
      <c r="S20" s="596">
        <v>77.7</v>
      </c>
      <c r="T20" s="600">
        <v>77.099999999999994</v>
      </c>
      <c r="U20" s="602">
        <v>80.099999999999994</v>
      </c>
      <c r="V20" s="596">
        <v>81.3</v>
      </c>
      <c r="W20" s="504">
        <v>25.2</v>
      </c>
      <c r="X20" s="504">
        <v>81.5</v>
      </c>
      <c r="Y20" s="600">
        <v>80</v>
      </c>
      <c r="Z20" s="209">
        <f t="shared" ref="Z20:Z24" si="0">SUM(H20,O20,P20:Y20)</f>
        <v>1471.1999999999998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595">
        <v>316.60000000000002</v>
      </c>
      <c r="C21" s="596">
        <v>18.2</v>
      </c>
      <c r="D21" s="596">
        <v>18.5</v>
      </c>
      <c r="E21" s="596">
        <v>4.4000000000000004</v>
      </c>
      <c r="F21" s="596">
        <v>18.7</v>
      </c>
      <c r="G21" s="597">
        <v>18.7</v>
      </c>
      <c r="H21" s="635">
        <f t="shared" ref="H21:H22" si="1">SUM(B21:G21)</f>
        <v>395.09999999999997</v>
      </c>
      <c r="I21" s="599">
        <v>319.3</v>
      </c>
      <c r="J21" s="596">
        <v>18.399999999999999</v>
      </c>
      <c r="K21" s="596">
        <v>18.7</v>
      </c>
      <c r="L21" s="596">
        <v>4.4000000000000004</v>
      </c>
      <c r="M21" s="596">
        <v>17.8</v>
      </c>
      <c r="N21" s="600">
        <v>17.600000000000001</v>
      </c>
      <c r="O21" s="635">
        <f t="shared" ref="O21" si="2">SUM(I21:N21)</f>
        <v>396.2</v>
      </c>
      <c r="P21" s="601">
        <v>77.599999999999994</v>
      </c>
      <c r="Q21" s="504">
        <v>77.2</v>
      </c>
      <c r="R21" s="596">
        <v>25.2</v>
      </c>
      <c r="S21" s="596">
        <v>77.8</v>
      </c>
      <c r="T21" s="600">
        <v>77.099999999999994</v>
      </c>
      <c r="U21" s="602">
        <v>80.3</v>
      </c>
      <c r="V21" s="596">
        <v>81.599999999999994</v>
      </c>
      <c r="W21" s="504">
        <v>25.3</v>
      </c>
      <c r="X21" s="504">
        <v>81.8</v>
      </c>
      <c r="Y21" s="600">
        <v>80.599999999999994</v>
      </c>
      <c r="Z21" s="209">
        <f t="shared" si="0"/>
        <v>1475.7999999999997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595">
        <v>316.60000000000002</v>
      </c>
      <c r="C22" s="629">
        <v>17.899999999999999</v>
      </c>
      <c r="D22" s="629">
        <v>18.2</v>
      </c>
      <c r="E22" s="629">
        <v>4.4000000000000004</v>
      </c>
      <c r="F22" s="629">
        <v>18.399999999999999</v>
      </c>
      <c r="G22" s="630">
        <v>18.399999999999999</v>
      </c>
      <c r="H22" s="717">
        <f t="shared" si="1"/>
        <v>393.89999999999992</v>
      </c>
      <c r="I22" s="631">
        <v>319.2</v>
      </c>
      <c r="J22" s="629">
        <v>18.100000000000001</v>
      </c>
      <c r="K22" s="629">
        <v>18.399999999999999</v>
      </c>
      <c r="L22" s="629">
        <v>4.3</v>
      </c>
      <c r="M22" s="629">
        <v>17.5</v>
      </c>
      <c r="N22" s="632">
        <v>17.3</v>
      </c>
      <c r="O22" s="717">
        <f t="shared" ref="O22:O24" si="3">SUM(I22:N22)</f>
        <v>394.8</v>
      </c>
      <c r="P22" s="633">
        <v>76.599999999999994</v>
      </c>
      <c r="Q22" s="455">
        <v>76.8</v>
      </c>
      <c r="R22" s="629">
        <v>24.4</v>
      </c>
      <c r="S22" s="629">
        <v>77.7</v>
      </c>
      <c r="T22" s="632">
        <v>77.2</v>
      </c>
      <c r="U22" s="634">
        <v>79.599999999999994</v>
      </c>
      <c r="V22" s="629">
        <v>81.2</v>
      </c>
      <c r="W22" s="455">
        <v>25.2</v>
      </c>
      <c r="X22" s="455">
        <v>80.900000000000006</v>
      </c>
      <c r="Y22" s="632">
        <v>81.2</v>
      </c>
      <c r="Z22" s="209">
        <f t="shared" si="0"/>
        <v>1469.5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595">
        <v>316.60000000000002</v>
      </c>
      <c r="C23" s="629">
        <v>17.899999999999999</v>
      </c>
      <c r="D23" s="629">
        <v>18.2</v>
      </c>
      <c r="E23" s="629">
        <v>4.4000000000000004</v>
      </c>
      <c r="F23" s="629">
        <v>18.399999999999999</v>
      </c>
      <c r="G23" s="630">
        <v>18.399999999999999</v>
      </c>
      <c r="H23" s="717">
        <f>SUM(B23:G23)</f>
        <v>393.89999999999992</v>
      </c>
      <c r="I23" s="631">
        <v>319.2</v>
      </c>
      <c r="J23" s="629">
        <v>18.100000000000001</v>
      </c>
      <c r="K23" s="629">
        <v>18.399999999999999</v>
      </c>
      <c r="L23" s="629">
        <v>4.3</v>
      </c>
      <c r="M23" s="629">
        <v>17.5</v>
      </c>
      <c r="N23" s="632">
        <v>17.3</v>
      </c>
      <c r="O23" s="717">
        <f t="shared" si="3"/>
        <v>394.8</v>
      </c>
      <c r="P23" s="633">
        <v>77</v>
      </c>
      <c r="Q23" s="455">
        <v>77.099999999999994</v>
      </c>
      <c r="R23" s="629">
        <v>24.1</v>
      </c>
      <c r="S23" s="629">
        <v>77.7</v>
      </c>
      <c r="T23" s="632">
        <v>77.099999999999994</v>
      </c>
      <c r="U23" s="634">
        <v>79.599999999999994</v>
      </c>
      <c r="V23" s="629">
        <v>81.099999999999994</v>
      </c>
      <c r="W23" s="455">
        <v>25.1</v>
      </c>
      <c r="X23" s="455">
        <v>81</v>
      </c>
      <c r="Y23" s="632">
        <v>81.3</v>
      </c>
      <c r="Z23" s="209">
        <f t="shared" si="0"/>
        <v>1469.7999999999995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595">
        <v>316.60000000000002</v>
      </c>
      <c r="C24" s="596">
        <v>17.899999999999999</v>
      </c>
      <c r="D24" s="596">
        <v>18.2</v>
      </c>
      <c r="E24" s="596">
        <v>4.4000000000000004</v>
      </c>
      <c r="F24" s="596">
        <v>18.399999999999999</v>
      </c>
      <c r="G24" s="597">
        <v>18.399999999999999</v>
      </c>
      <c r="H24" s="598">
        <f>SUM(B24:G24)</f>
        <v>393.89999999999992</v>
      </c>
      <c r="I24" s="599">
        <v>319.2</v>
      </c>
      <c r="J24" s="596">
        <v>18.100000000000001</v>
      </c>
      <c r="K24" s="596">
        <v>18.399999999999999</v>
      </c>
      <c r="L24" s="596">
        <v>4.3</v>
      </c>
      <c r="M24" s="596">
        <v>17.5</v>
      </c>
      <c r="N24" s="600">
        <v>17.3</v>
      </c>
      <c r="O24" s="598">
        <f t="shared" si="3"/>
        <v>394.8</v>
      </c>
      <c r="P24" s="601">
        <v>77</v>
      </c>
      <c r="Q24" s="504">
        <v>77.099999999999994</v>
      </c>
      <c r="R24" s="596">
        <v>24.2</v>
      </c>
      <c r="S24" s="596">
        <v>77.7</v>
      </c>
      <c r="T24" s="600">
        <v>77.099999999999994</v>
      </c>
      <c r="U24" s="602">
        <v>79.599999999999994</v>
      </c>
      <c r="V24" s="596">
        <v>81.2</v>
      </c>
      <c r="W24" s="504">
        <v>25.2</v>
      </c>
      <c r="X24" s="504">
        <v>81</v>
      </c>
      <c r="Y24" s="600">
        <v>81.3</v>
      </c>
      <c r="Z24" s="412">
        <f t="shared" si="0"/>
        <v>1470.1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298">
        <f t="shared" ref="C25:H25" si="4">SUM(C18:C24)</f>
        <v>126.20000000000002</v>
      </c>
      <c r="D25" s="298">
        <f t="shared" si="4"/>
        <v>128.30000000000001</v>
      </c>
      <c r="E25" s="298">
        <f t="shared" si="4"/>
        <v>30.799999999999997</v>
      </c>
      <c r="F25" s="298">
        <f t="shared" si="4"/>
        <v>129.70000000000002</v>
      </c>
      <c r="G25" s="448">
        <f t="shared" si="4"/>
        <v>129.70000000000002</v>
      </c>
      <c r="H25" s="436">
        <f t="shared" si="4"/>
        <v>2761.7</v>
      </c>
      <c r="I25" s="297"/>
      <c r="J25" s="298">
        <f t="shared" ref="J25:N25" si="5">SUM(J18:J24)</f>
        <v>127.6</v>
      </c>
      <c r="K25" s="298">
        <f>SUM(K18:K24)</f>
        <v>129.70000000000002</v>
      </c>
      <c r="L25" s="298">
        <f t="shared" si="5"/>
        <v>30.400000000000002</v>
      </c>
      <c r="M25" s="298">
        <f t="shared" si="5"/>
        <v>123.4</v>
      </c>
      <c r="N25" s="299">
        <f t="shared" si="5"/>
        <v>121.99999999999999</v>
      </c>
      <c r="O25" s="436">
        <f>SUM(O18:O24)</f>
        <v>2767.9</v>
      </c>
      <c r="P25" s="297">
        <f t="shared" ref="P25:W25" si="6">SUM(P18:P24)</f>
        <v>540.79999999999995</v>
      </c>
      <c r="Q25" s="297">
        <f t="shared" si="6"/>
        <v>539.70000000000005</v>
      </c>
      <c r="R25" s="297">
        <f t="shared" si="6"/>
        <v>173.49999999999997</v>
      </c>
      <c r="S25" s="297">
        <f t="shared" si="6"/>
        <v>544.20000000000005</v>
      </c>
      <c r="T25" s="297">
        <f t="shared" si="6"/>
        <v>539.79999999999995</v>
      </c>
      <c r="U25" s="297">
        <f t="shared" si="6"/>
        <v>559.80000000000007</v>
      </c>
      <c r="V25" s="297">
        <f t="shared" si="6"/>
        <v>569.79999999999995</v>
      </c>
      <c r="W25" s="297">
        <f t="shared" si="6"/>
        <v>176.9</v>
      </c>
      <c r="X25" s="297">
        <f>SUM(X18:X24)</f>
        <v>569.79999999999995</v>
      </c>
      <c r="Y25" s="297">
        <f>SUM(Y18:Y24)</f>
        <v>565.59999999999991</v>
      </c>
      <c r="Z25" s="607">
        <f>SUM(Z18,Z19,Z20,Z21,Z22,Z23,Z24)</f>
        <v>10309.499999999998</v>
      </c>
      <c r="AA25" s="301"/>
    </row>
    <row r="26" spans="1:40" s="2" customFormat="1" ht="36.75" customHeight="1" x14ac:dyDescent="0.25">
      <c r="A26" s="192" t="s">
        <v>11</v>
      </c>
      <c r="B26" s="293"/>
      <c r="C26" s="603">
        <v>161.69999999999999</v>
      </c>
      <c r="D26" s="603">
        <v>161.69999999999999</v>
      </c>
      <c r="E26" s="603">
        <v>161.69999999999999</v>
      </c>
      <c r="F26" s="603">
        <v>161.69999999999999</v>
      </c>
      <c r="G26" s="603">
        <v>161.69999999999999</v>
      </c>
      <c r="H26" s="678"/>
      <c r="I26" s="604"/>
      <c r="J26" s="603">
        <v>161.69999999999999</v>
      </c>
      <c r="K26" s="603">
        <v>161.69999999999999</v>
      </c>
      <c r="L26" s="603">
        <v>160</v>
      </c>
      <c r="M26" s="603">
        <v>160</v>
      </c>
      <c r="N26" s="603">
        <v>160</v>
      </c>
      <c r="O26" s="678"/>
      <c r="P26" s="603">
        <v>160</v>
      </c>
      <c r="Q26" s="603">
        <v>160</v>
      </c>
      <c r="R26" s="603">
        <v>160</v>
      </c>
      <c r="S26" s="603">
        <v>160</v>
      </c>
      <c r="T26" s="603">
        <v>160</v>
      </c>
      <c r="U26" s="603">
        <v>160</v>
      </c>
      <c r="V26" s="603">
        <v>160</v>
      </c>
      <c r="W26" s="603">
        <v>160</v>
      </c>
      <c r="X26" s="603">
        <v>160</v>
      </c>
      <c r="Y26" s="603">
        <v>160.5</v>
      </c>
      <c r="Z26" s="605">
        <f>(((Z25*1000)/7)/Z27)</f>
        <v>161.18919933082128</v>
      </c>
    </row>
    <row r="27" spans="1:40" s="2" customFormat="1" ht="33" customHeight="1" x14ac:dyDescent="0.25">
      <c r="A27" s="193" t="s">
        <v>12</v>
      </c>
      <c r="B27" s="257"/>
      <c r="C27" s="27">
        <v>560</v>
      </c>
      <c r="D27" s="27">
        <v>574</v>
      </c>
      <c r="E27" s="27">
        <v>136</v>
      </c>
      <c r="F27" s="27">
        <v>578</v>
      </c>
      <c r="G27" s="183">
        <v>577</v>
      </c>
      <c r="H27" s="679"/>
      <c r="I27" s="26"/>
      <c r="J27" s="27">
        <v>570</v>
      </c>
      <c r="K27" s="27">
        <v>579</v>
      </c>
      <c r="L27" s="483">
        <v>138</v>
      </c>
      <c r="M27" s="27">
        <v>583</v>
      </c>
      <c r="N27" s="183">
        <v>577</v>
      </c>
      <c r="O27" s="679"/>
      <c r="P27" s="64">
        <v>483</v>
      </c>
      <c r="Q27" s="27">
        <v>482</v>
      </c>
      <c r="R27" s="27">
        <v>154</v>
      </c>
      <c r="S27" s="27">
        <v>486</v>
      </c>
      <c r="T27" s="623">
        <v>482</v>
      </c>
      <c r="U27" s="26">
        <v>500</v>
      </c>
      <c r="V27" s="27">
        <v>509</v>
      </c>
      <c r="W27" s="27">
        <v>156</v>
      </c>
      <c r="X27" s="27">
        <v>509</v>
      </c>
      <c r="Y27" s="28">
        <v>504</v>
      </c>
      <c r="Z27" s="29">
        <f>SUM(C27:Y27)</f>
        <v>9137</v>
      </c>
      <c r="AA27" s="402"/>
    </row>
    <row r="28" spans="1:40" s="2" customFormat="1" ht="33" customHeight="1" x14ac:dyDescent="0.25">
      <c r="A28" s="444" t="s">
        <v>13</v>
      </c>
      <c r="B28" s="445"/>
      <c r="C28" s="31">
        <f>(C33*C27)/1000</f>
        <v>17.751999999999992</v>
      </c>
      <c r="D28" s="31">
        <f>(D33*D27)/1000</f>
        <v>18.195799999999991</v>
      </c>
      <c r="E28" s="31">
        <f t="shared" ref="E28:F28" si="7">(E33*E27)/1000</f>
        <v>4.3111999999999986</v>
      </c>
      <c r="F28" s="31">
        <f t="shared" si="7"/>
        <v>18.322599999999994</v>
      </c>
      <c r="G28" s="163">
        <f>(G33*G27)/1000</f>
        <v>18.290899999999993</v>
      </c>
      <c r="H28" s="286"/>
      <c r="I28" s="30"/>
      <c r="J28" s="31">
        <f>(J33*J27)/1000</f>
        <v>18.068999999999992</v>
      </c>
      <c r="K28" s="31">
        <f t="shared" ref="K28:N28" si="8">(K33*K27)/1000</f>
        <v>18.354299999999991</v>
      </c>
      <c r="L28" s="31">
        <f t="shared" si="8"/>
        <v>4.1399999999999997</v>
      </c>
      <c r="M28" s="31">
        <f t="shared" si="8"/>
        <v>17.489999999999998</v>
      </c>
      <c r="N28" s="163">
        <f t="shared" si="8"/>
        <v>17.309999999999999</v>
      </c>
      <c r="O28" s="286"/>
      <c r="P28" s="65">
        <f>((((P26*7)*P27)/1000)-P18-P19)/5</f>
        <v>77.152000000000001</v>
      </c>
      <c r="Q28" s="31">
        <f t="shared" ref="Q28:Y28" si="9">((((Q26*7)*Q27)/1000)-Q18-Q19)/5</f>
        <v>77.088000000000008</v>
      </c>
      <c r="R28" s="31">
        <f>((((R26*7)*R27)/1000)-R18-R19)/5</f>
        <v>24.395999999999994</v>
      </c>
      <c r="S28" s="31">
        <f t="shared" si="9"/>
        <v>77.744</v>
      </c>
      <c r="T28" s="32">
        <f t="shared" si="9"/>
        <v>77.128</v>
      </c>
      <c r="U28" s="30">
        <f t="shared" si="9"/>
        <v>79.88</v>
      </c>
      <c r="V28" s="31">
        <f t="shared" si="9"/>
        <v>81.336000000000013</v>
      </c>
      <c r="W28" s="31">
        <f t="shared" si="9"/>
        <v>24.764000000000003</v>
      </c>
      <c r="X28" s="31">
        <f t="shared" si="9"/>
        <v>81.296000000000006</v>
      </c>
      <c r="Y28" s="32">
        <f t="shared" si="9"/>
        <v>81.008799999999994</v>
      </c>
      <c r="Z28" s="33"/>
    </row>
    <row r="29" spans="1:40" ht="33.75" customHeight="1" x14ac:dyDescent="0.25">
      <c r="A29" s="185" t="s">
        <v>14</v>
      </c>
      <c r="B29" s="34"/>
      <c r="C29" s="280">
        <f>((C27*C30)*7)/1000</f>
        <v>126.20000000000002</v>
      </c>
      <c r="D29" s="280">
        <f t="shared" ref="D29:G29" si="10">((D27*D30)*7)/1000</f>
        <v>128.30000000000001</v>
      </c>
      <c r="E29" s="280">
        <f>((E27*E30)*7)/1000</f>
        <v>30.8</v>
      </c>
      <c r="F29" s="280">
        <f t="shared" si="10"/>
        <v>129.69999999999999</v>
      </c>
      <c r="G29" s="281">
        <f t="shared" si="10"/>
        <v>129.70000000000002</v>
      </c>
      <c r="H29" s="680"/>
      <c r="I29" s="279"/>
      <c r="J29" s="280">
        <f>((J27*J30)*7)/1000</f>
        <v>127.6</v>
      </c>
      <c r="K29" s="280">
        <f t="shared" ref="K29:N29" si="11">((K27*K30)*7)/1000</f>
        <v>129.70000000000002</v>
      </c>
      <c r="L29" s="280">
        <f t="shared" si="11"/>
        <v>30.4</v>
      </c>
      <c r="M29" s="280">
        <f t="shared" si="11"/>
        <v>123.4</v>
      </c>
      <c r="N29" s="281">
        <f t="shared" si="11"/>
        <v>122</v>
      </c>
      <c r="O29" s="680"/>
      <c r="P29" s="325">
        <f t="shared" ref="P29:X29" si="12">((P27*P26)*7)/1000</f>
        <v>540.96</v>
      </c>
      <c r="Q29" s="280">
        <f t="shared" si="12"/>
        <v>539.84</v>
      </c>
      <c r="R29" s="280">
        <f t="shared" si="12"/>
        <v>172.48</v>
      </c>
      <c r="S29" s="280">
        <f t="shared" si="12"/>
        <v>544.32000000000005</v>
      </c>
      <c r="T29" s="282">
        <f t="shared" si="12"/>
        <v>539.84</v>
      </c>
      <c r="U29" s="279">
        <f t="shared" si="12"/>
        <v>560</v>
      </c>
      <c r="V29" s="280">
        <f t="shared" si="12"/>
        <v>570.08000000000004</v>
      </c>
      <c r="W29" s="280">
        <f t="shared" si="12"/>
        <v>174.72</v>
      </c>
      <c r="X29" s="280">
        <f t="shared" si="12"/>
        <v>570.08000000000004</v>
      </c>
      <c r="Y29" s="282">
        <f>((Y27*Y26)*7)/1000</f>
        <v>566.24400000000003</v>
      </c>
      <c r="Z29" s="36"/>
    </row>
    <row r="30" spans="1:40" ht="33.75" customHeight="1" thickBot="1" x14ac:dyDescent="0.3">
      <c r="A30" s="195" t="s">
        <v>15</v>
      </c>
      <c r="B30" s="423"/>
      <c r="C30" s="38">
        <f>+(C25/C27)/7*1000</f>
        <v>32.193877551020414</v>
      </c>
      <c r="D30" s="38">
        <f t="shared" ref="D30:X30" si="13">+(D25/D27)/7*1000</f>
        <v>31.931309109009458</v>
      </c>
      <c r="E30" s="38">
        <f t="shared" si="13"/>
        <v>32.352941176470587</v>
      </c>
      <c r="F30" s="38">
        <f t="shared" si="13"/>
        <v>32.056351952545725</v>
      </c>
      <c r="G30" s="207">
        <f t="shared" si="13"/>
        <v>32.111908888338704</v>
      </c>
      <c r="H30" s="262"/>
      <c r="I30" s="37"/>
      <c r="J30" s="38">
        <f t="shared" si="13"/>
        <v>31.979949874686714</v>
      </c>
      <c r="K30" s="38">
        <f t="shared" si="13"/>
        <v>32.000986923266723</v>
      </c>
      <c r="L30" s="38">
        <f t="shared" si="13"/>
        <v>31.469979296066256</v>
      </c>
      <c r="M30" s="38">
        <f t="shared" si="13"/>
        <v>30.237686841460427</v>
      </c>
      <c r="N30" s="207">
        <f t="shared" si="13"/>
        <v>30.205496410002471</v>
      </c>
      <c r="O30" s="262"/>
      <c r="P30" s="67">
        <f t="shared" si="13"/>
        <v>159.95267672286303</v>
      </c>
      <c r="Q30" s="38">
        <f t="shared" si="13"/>
        <v>159.95850622406641</v>
      </c>
      <c r="R30" s="38">
        <f t="shared" si="13"/>
        <v>160.94619666048234</v>
      </c>
      <c r="S30" s="38">
        <f t="shared" si="13"/>
        <v>159.96472663139329</v>
      </c>
      <c r="T30" s="39">
        <f t="shared" si="13"/>
        <v>159.9881446354475</v>
      </c>
      <c r="U30" s="37">
        <f t="shared" si="13"/>
        <v>159.94285714285718</v>
      </c>
      <c r="V30" s="38">
        <f t="shared" si="13"/>
        <v>159.92141453831039</v>
      </c>
      <c r="W30" s="38">
        <f t="shared" si="13"/>
        <v>161.99633699633699</v>
      </c>
      <c r="X30" s="38">
        <f t="shared" si="13"/>
        <v>159.92141453831039</v>
      </c>
      <c r="Y30" s="38">
        <f>+(Y25/Y27)/7*1000</f>
        <v>160.31746031746027</v>
      </c>
      <c r="Z30" s="40"/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4">D29-D25</f>
        <v>0</v>
      </c>
      <c r="E31" s="42">
        <f t="shared" si="14"/>
        <v>0</v>
      </c>
      <c r="F31" s="42">
        <f t="shared" si="14"/>
        <v>0</v>
      </c>
      <c r="G31" s="42">
        <f t="shared" si="14"/>
        <v>0</v>
      </c>
      <c r="H31" s="42"/>
      <c r="I31" s="42"/>
      <c r="J31" s="42">
        <f t="shared" si="14"/>
        <v>0</v>
      </c>
      <c r="K31" s="42">
        <f>K29-K25</f>
        <v>0</v>
      </c>
      <c r="L31" s="42">
        <f t="shared" si="14"/>
        <v>0</v>
      </c>
      <c r="M31" s="42">
        <f t="shared" si="14"/>
        <v>0</v>
      </c>
      <c r="N31" s="42">
        <f t="shared" si="14"/>
        <v>0</v>
      </c>
      <c r="O31" s="42"/>
      <c r="P31" s="42">
        <f>P29-P25</f>
        <v>0.16000000000008185</v>
      </c>
      <c r="Q31" s="42">
        <f>Q29-Q25</f>
        <v>0.13999999999998636</v>
      </c>
      <c r="R31" s="42">
        <f t="shared" si="14"/>
        <v>-1.0199999999999818</v>
      </c>
      <c r="S31" s="42">
        <f t="shared" si="14"/>
        <v>0.12000000000000455</v>
      </c>
      <c r="T31" s="42">
        <f t="shared" si="14"/>
        <v>4.0000000000077307E-2</v>
      </c>
      <c r="U31" s="42">
        <f>U29-U25</f>
        <v>0.19999999999993179</v>
      </c>
      <c r="V31" s="42">
        <f t="shared" si="14"/>
        <v>0.2800000000000864</v>
      </c>
      <c r="W31" s="42">
        <f t="shared" si="14"/>
        <v>-2.1800000000000068</v>
      </c>
      <c r="X31" s="42">
        <f t="shared" si="14"/>
        <v>0.2800000000000864</v>
      </c>
      <c r="Y31" s="42">
        <f>Y29-Y25</f>
        <v>0.64400000000011914</v>
      </c>
      <c r="Z31" s="48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0.49387755102042519</v>
      </c>
      <c r="D32" s="42">
        <f t="shared" ref="D32:G32" si="15">D30-D33</f>
        <v>0.23130910900946944</v>
      </c>
      <c r="E32" s="42">
        <f t="shared" si="15"/>
        <v>0.65294117647059835</v>
      </c>
      <c r="F32" s="42">
        <f t="shared" si="15"/>
        <v>0.35635195254573659</v>
      </c>
      <c r="G32" s="42">
        <f t="shared" si="15"/>
        <v>0.41190888833871497</v>
      </c>
      <c r="H32" s="42"/>
      <c r="I32" s="42"/>
      <c r="J32" s="42">
        <f t="shared" ref="J32:N32" si="16">J30-J33</f>
        <v>0.27994987468672505</v>
      </c>
      <c r="K32" s="42">
        <f t="shared" si="16"/>
        <v>0.30098692326673415</v>
      </c>
      <c r="L32" s="42">
        <f t="shared" si="16"/>
        <v>1.4699792960662563</v>
      </c>
      <c r="M32" s="42">
        <f t="shared" si="16"/>
        <v>0.23768684146042673</v>
      </c>
      <c r="N32" s="42">
        <f t="shared" si="16"/>
        <v>0.20549641000247121</v>
      </c>
      <c r="O32" s="42"/>
      <c r="P32" s="42">
        <f t="shared" si="14"/>
        <v>-4.7323277136968045E-2</v>
      </c>
      <c r="Q32" s="42">
        <f t="shared" si="14"/>
        <v>-4.1493775933588495E-2</v>
      </c>
      <c r="R32" s="42">
        <f t="shared" si="14"/>
        <v>0.94619666048234308</v>
      </c>
      <c r="S32" s="42">
        <f t="shared" si="14"/>
        <v>-3.527336860670971E-2</v>
      </c>
      <c r="T32" s="42">
        <f t="shared" si="14"/>
        <v>-1.1855364552502579E-2</v>
      </c>
      <c r="U32" s="42">
        <f t="shared" si="14"/>
        <v>-5.7142857142821413E-2</v>
      </c>
      <c r="V32" s="42">
        <f t="shared" si="14"/>
        <v>-7.8585461689613112E-2</v>
      </c>
      <c r="W32" s="42">
        <f t="shared" si="14"/>
        <v>1.9963369963369928</v>
      </c>
      <c r="X32" s="42">
        <f t="shared" si="14"/>
        <v>-7.8585461689613112E-2</v>
      </c>
      <c r="Y32" s="42">
        <f t="shared" si="14"/>
        <v>-0.1825396825397263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31.699999999999989</v>
      </c>
      <c r="D33" s="42">
        <f t="shared" ref="D33:G33" si="17">D26-$B$34</f>
        <v>31.699999999999989</v>
      </c>
      <c r="E33" s="42">
        <f t="shared" si="17"/>
        <v>31.699999999999989</v>
      </c>
      <c r="F33" s="42">
        <f t="shared" si="17"/>
        <v>31.699999999999989</v>
      </c>
      <c r="G33" s="42">
        <f t="shared" si="17"/>
        <v>31.699999999999989</v>
      </c>
      <c r="H33" s="42"/>
      <c r="I33" s="42"/>
      <c r="J33" s="42">
        <f>J26-$I$34</f>
        <v>31.699999999999989</v>
      </c>
      <c r="K33" s="42">
        <f t="shared" ref="K33:N33" si="18">K26-$I$34</f>
        <v>31.699999999999989</v>
      </c>
      <c r="L33" s="42">
        <f t="shared" si="18"/>
        <v>30</v>
      </c>
      <c r="M33" s="42">
        <f t="shared" si="18"/>
        <v>30</v>
      </c>
      <c r="N33" s="42">
        <f t="shared" si="18"/>
        <v>30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315.25</v>
      </c>
      <c r="D34" s="432">
        <f>SUM(C27:G27)</f>
        <v>2425</v>
      </c>
      <c r="E34" s="42"/>
      <c r="F34" s="42"/>
      <c r="G34" s="42"/>
      <c r="H34" s="42"/>
      <c r="I34" s="514">
        <v>130</v>
      </c>
      <c r="J34" s="431">
        <f>(I34*K34)/1000</f>
        <v>318.11</v>
      </c>
      <c r="K34" s="432">
        <f>SUM(J27:N27)</f>
        <v>2447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674" t="s">
        <v>9</v>
      </c>
      <c r="S39" s="645"/>
      <c r="U39" s="45"/>
      <c r="V39" s="45"/>
      <c r="W39" s="46"/>
      <c r="X39" s="3"/>
      <c r="Y39" s="45"/>
      <c r="Z39" s="45"/>
      <c r="AA39" s="45"/>
      <c r="AB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168">
        <v>5</v>
      </c>
      <c r="R40" s="236"/>
      <c r="S40" s="645"/>
      <c r="U40" s="47"/>
      <c r="X40" s="48"/>
      <c r="Y40" s="2"/>
      <c r="Z40" s="2"/>
      <c r="AA40" s="2"/>
      <c r="AB40" s="2"/>
    </row>
    <row r="41" spans="1:38" ht="33.75" customHeight="1" x14ac:dyDescent="0.25">
      <c r="A41" s="171" t="s">
        <v>32</v>
      </c>
      <c r="B41" s="142">
        <v>93.6</v>
      </c>
      <c r="C41" s="486">
        <v>92.2</v>
      </c>
      <c r="D41" s="486">
        <v>20.6</v>
      </c>
      <c r="E41" s="486">
        <v>93.2</v>
      </c>
      <c r="F41" s="537">
        <v>90.4</v>
      </c>
      <c r="G41" s="209">
        <f t="shared" ref="G41:G48" si="19">SUM(B41:F41)</f>
        <v>390</v>
      </c>
      <c r="H41" s="364"/>
      <c r="I41" s="364"/>
      <c r="J41" s="364"/>
      <c r="K41" s="364"/>
      <c r="L41" s="171" t="s">
        <v>53</v>
      </c>
      <c r="M41" s="18">
        <v>6.9</v>
      </c>
      <c r="N41" s="19">
        <v>7</v>
      </c>
      <c r="O41" s="19">
        <v>1.6</v>
      </c>
      <c r="P41" s="19">
        <v>7.1</v>
      </c>
      <c r="Q41" s="19">
        <v>7</v>
      </c>
      <c r="R41" s="375">
        <f t="shared" ref="R41:R48" si="20">SUM(M41:Q41)</f>
        <v>29.6</v>
      </c>
      <c r="S41" s="646"/>
      <c r="T41" s="675"/>
      <c r="U41" s="657"/>
      <c r="X41" s="48"/>
      <c r="Y41" s="2"/>
      <c r="Z41" s="2"/>
      <c r="AA41" s="2"/>
      <c r="AB41" s="2"/>
    </row>
    <row r="42" spans="1:38" ht="33.75" customHeight="1" x14ac:dyDescent="0.25">
      <c r="A42" s="171" t="s">
        <v>24</v>
      </c>
      <c r="B42" s="279">
        <v>92.8</v>
      </c>
      <c r="C42" s="280">
        <v>91.8</v>
      </c>
      <c r="D42" s="280">
        <v>20.100000000000001</v>
      </c>
      <c r="E42" s="280">
        <v>92.9</v>
      </c>
      <c r="F42" s="281">
        <v>90.4</v>
      </c>
      <c r="G42" s="209">
        <f t="shared" si="19"/>
        <v>388</v>
      </c>
      <c r="H42" s="364"/>
      <c r="I42" s="364"/>
      <c r="J42" s="364"/>
      <c r="K42" s="364"/>
      <c r="L42" s="171" t="s">
        <v>24</v>
      </c>
      <c r="M42" s="18">
        <v>6.9</v>
      </c>
      <c r="N42" s="19">
        <v>7</v>
      </c>
      <c r="O42" s="19">
        <v>1.6</v>
      </c>
      <c r="P42" s="19">
        <v>7.1</v>
      </c>
      <c r="Q42" s="19">
        <v>7</v>
      </c>
      <c r="R42" s="98">
        <f t="shared" si="20"/>
        <v>29.6</v>
      </c>
      <c r="S42" s="646"/>
      <c r="T42" s="647"/>
      <c r="U42" s="658"/>
      <c r="X42" s="48"/>
      <c r="Y42" s="2"/>
      <c r="Z42" s="2"/>
      <c r="AA42" s="2"/>
      <c r="AB42" s="2"/>
    </row>
    <row r="43" spans="1:38" ht="33.75" customHeight="1" x14ac:dyDescent="0.25">
      <c r="A43" s="171" t="s">
        <v>20</v>
      </c>
      <c r="B43" s="532">
        <v>92.8</v>
      </c>
      <c r="C43" s="431">
        <v>91.8</v>
      </c>
      <c r="D43" s="431">
        <v>20.100000000000001</v>
      </c>
      <c r="E43" s="431">
        <v>92.9</v>
      </c>
      <c r="F43" s="533">
        <v>90.4</v>
      </c>
      <c r="G43" s="209">
        <f t="shared" si="19"/>
        <v>388</v>
      </c>
      <c r="H43" s="364"/>
      <c r="I43" s="364"/>
      <c r="J43" s="364"/>
      <c r="K43" s="364"/>
      <c r="L43" s="171" t="s">
        <v>20</v>
      </c>
      <c r="M43" s="532">
        <v>6.9</v>
      </c>
      <c r="N43" s="711">
        <v>7</v>
      </c>
      <c r="O43" s="711">
        <v>1.6</v>
      </c>
      <c r="P43" s="711">
        <v>7.1</v>
      </c>
      <c r="Q43" s="711">
        <v>7</v>
      </c>
      <c r="R43" s="98">
        <f t="shared" si="20"/>
        <v>29.6</v>
      </c>
      <c r="S43" s="646"/>
      <c r="T43" s="647"/>
      <c r="U43" s="658"/>
      <c r="X43" s="48"/>
      <c r="Y43" s="2"/>
      <c r="Z43" s="2"/>
      <c r="AA43" s="2"/>
      <c r="AB43" s="2"/>
    </row>
    <row r="44" spans="1:38" ht="33.75" customHeight="1" x14ac:dyDescent="0.25">
      <c r="A44" s="171" t="s">
        <v>28</v>
      </c>
      <c r="B44" s="142">
        <v>92.5</v>
      </c>
      <c r="C44" s="486">
        <v>91.5</v>
      </c>
      <c r="D44" s="486">
        <v>20.2</v>
      </c>
      <c r="E44" s="486">
        <v>92.1</v>
      </c>
      <c r="F44" s="537">
        <v>91</v>
      </c>
      <c r="G44" s="209">
        <f t="shared" si="19"/>
        <v>387.29999999999995</v>
      </c>
      <c r="H44" s="651"/>
      <c r="I44" s="364"/>
      <c r="J44" s="364"/>
      <c r="K44" s="364"/>
      <c r="L44" s="171" t="s">
        <v>28</v>
      </c>
      <c r="M44" s="532">
        <v>7</v>
      </c>
      <c r="N44" s="711">
        <v>6.8</v>
      </c>
      <c r="O44" s="711">
        <v>1.2</v>
      </c>
      <c r="P44" s="711">
        <v>6.9</v>
      </c>
      <c r="Q44" s="711">
        <v>6.9</v>
      </c>
      <c r="R44" s="98">
        <f t="shared" si="20"/>
        <v>28.799999999999997</v>
      </c>
      <c r="S44" s="646"/>
      <c r="T44" s="647"/>
      <c r="U44" s="658"/>
      <c r="X44" s="48"/>
      <c r="Y44" s="2"/>
      <c r="Z44" s="2"/>
      <c r="AA44" s="2"/>
      <c r="AB44" s="2"/>
    </row>
    <row r="45" spans="1:38" ht="33.75" customHeight="1" x14ac:dyDescent="0.25">
      <c r="A45" s="171" t="s">
        <v>21</v>
      </c>
      <c r="B45" s="142">
        <v>92.3</v>
      </c>
      <c r="C45" s="486">
        <v>91.5</v>
      </c>
      <c r="D45" s="486">
        <v>20.2</v>
      </c>
      <c r="E45" s="486">
        <v>92.1</v>
      </c>
      <c r="F45" s="537">
        <v>91</v>
      </c>
      <c r="G45" s="209">
        <f t="shared" si="19"/>
        <v>387.1</v>
      </c>
      <c r="H45" s="651"/>
      <c r="I45" s="364"/>
      <c r="J45" s="364"/>
      <c r="K45" s="364"/>
      <c r="L45" s="171" t="s">
        <v>21</v>
      </c>
      <c r="M45" s="18">
        <v>7</v>
      </c>
      <c r="N45" s="180">
        <v>6.8</v>
      </c>
      <c r="O45" s="180">
        <v>1.2</v>
      </c>
      <c r="P45" s="180">
        <v>6.9</v>
      </c>
      <c r="Q45" s="180">
        <v>6.9</v>
      </c>
      <c r="R45" s="98">
        <f t="shared" si="20"/>
        <v>28.799999999999997</v>
      </c>
      <c r="S45" s="646"/>
      <c r="T45" s="647"/>
      <c r="U45" s="658"/>
      <c r="X45" s="48"/>
      <c r="Y45" s="2"/>
      <c r="Z45" s="2"/>
      <c r="AA45" s="2"/>
      <c r="AB45" s="2"/>
    </row>
    <row r="46" spans="1:38" ht="33.75" customHeight="1" x14ac:dyDescent="0.25">
      <c r="A46" s="171" t="s">
        <v>22</v>
      </c>
      <c r="B46" s="142">
        <v>92.3</v>
      </c>
      <c r="C46" s="486">
        <v>91.1</v>
      </c>
      <c r="D46" s="486">
        <v>20.2</v>
      </c>
      <c r="E46" s="486">
        <v>92.2</v>
      </c>
      <c r="F46" s="537">
        <v>90</v>
      </c>
      <c r="G46" s="209">
        <f t="shared" si="19"/>
        <v>385.79999999999995</v>
      </c>
      <c r="H46" s="651"/>
      <c r="I46" s="364"/>
      <c r="J46" s="364"/>
      <c r="K46" s="364"/>
      <c r="L46" s="171" t="s">
        <v>22</v>
      </c>
      <c r="M46" s="18">
        <v>7</v>
      </c>
      <c r="N46" s="180">
        <v>6.8</v>
      </c>
      <c r="O46" s="180">
        <v>1.3</v>
      </c>
      <c r="P46" s="180">
        <v>7</v>
      </c>
      <c r="Q46" s="180">
        <v>6.9</v>
      </c>
      <c r="R46" s="98">
        <f t="shared" si="20"/>
        <v>29</v>
      </c>
      <c r="S46" s="646"/>
      <c r="T46" s="647"/>
      <c r="U46" s="658"/>
      <c r="X46" s="48"/>
      <c r="Y46" s="2"/>
      <c r="Z46" s="2"/>
      <c r="AA46" s="2"/>
      <c r="AB46" s="2"/>
    </row>
    <row r="47" spans="1:38" ht="33.75" customHeight="1" thickBot="1" x14ac:dyDescent="0.3">
      <c r="A47" s="285" t="s">
        <v>23</v>
      </c>
      <c r="B47" s="142">
        <v>92.4</v>
      </c>
      <c r="C47" s="486">
        <v>91.1</v>
      </c>
      <c r="D47" s="486">
        <v>19.100000000000001</v>
      </c>
      <c r="E47" s="486">
        <v>92.2</v>
      </c>
      <c r="F47" s="537">
        <v>90.1</v>
      </c>
      <c r="G47" s="376">
        <f t="shared" si="19"/>
        <v>384.9</v>
      </c>
      <c r="H47" s="651"/>
      <c r="I47" s="364"/>
      <c r="J47" s="364"/>
      <c r="K47" s="364"/>
      <c r="L47" s="285" t="s">
        <v>23</v>
      </c>
      <c r="M47" s="130">
        <v>7</v>
      </c>
      <c r="N47" s="689">
        <v>6.8</v>
      </c>
      <c r="O47" s="689">
        <v>1.3</v>
      </c>
      <c r="P47" s="689">
        <v>7</v>
      </c>
      <c r="Q47" s="689">
        <v>7</v>
      </c>
      <c r="R47" s="372">
        <f t="shared" si="20"/>
        <v>29.1</v>
      </c>
      <c r="S47" s="646"/>
      <c r="T47" s="647"/>
      <c r="U47" s="658"/>
      <c r="X47" s="48"/>
      <c r="Y47" s="48"/>
      <c r="Z47" s="48"/>
      <c r="AA47" s="2"/>
      <c r="AB47" s="2"/>
      <c r="AC47" s="2"/>
      <c r="AD47" s="2"/>
    </row>
    <row r="48" spans="1:38" ht="33.75" customHeight="1" thickBot="1" x14ac:dyDescent="0.3">
      <c r="A48" s="290" t="s">
        <v>9</v>
      </c>
      <c r="B48" s="297">
        <f>SUM(B41:B47)</f>
        <v>648.69999999999993</v>
      </c>
      <c r="C48" s="298">
        <f t="shared" ref="C48:F48" si="21">SUM(C41:C47)</f>
        <v>641</v>
      </c>
      <c r="D48" s="298">
        <f t="shared" si="21"/>
        <v>140.5</v>
      </c>
      <c r="E48" s="298">
        <f t="shared" si="21"/>
        <v>647.60000000000014</v>
      </c>
      <c r="F48" s="448">
        <f t="shared" si="21"/>
        <v>633.30000000000007</v>
      </c>
      <c r="G48" s="729">
        <f t="shared" si="19"/>
        <v>2711.1000000000004</v>
      </c>
      <c r="H48" s="364"/>
      <c r="I48" s="364"/>
      <c r="J48" s="364"/>
      <c r="K48" s="364"/>
      <c r="L48" s="290" t="s">
        <v>9</v>
      </c>
      <c r="M48" s="687">
        <f>SUM(M41:M47)</f>
        <v>48.7</v>
      </c>
      <c r="N48" s="688">
        <f>SUM(N41:N47)</f>
        <v>48.199999999999996</v>
      </c>
      <c r="O48" s="688">
        <f>SUM(O41:O47)</f>
        <v>9.8000000000000025</v>
      </c>
      <c r="P48" s="688">
        <f t="shared" ref="P48:Q48" si="22">SUM(P41:P47)</f>
        <v>49.099999999999994</v>
      </c>
      <c r="Q48" s="688">
        <f t="shared" si="22"/>
        <v>48.699999999999996</v>
      </c>
      <c r="R48" s="607">
        <f t="shared" si="20"/>
        <v>204.5</v>
      </c>
      <c r="S48" s="647"/>
      <c r="T48" s="647"/>
      <c r="U48" s="658"/>
      <c r="X48" s="2"/>
      <c r="Y48" s="2"/>
      <c r="Z48" s="2"/>
      <c r="AA48" s="2"/>
      <c r="AB48" s="2"/>
      <c r="AC48" s="2"/>
      <c r="AD48" s="2"/>
    </row>
    <row r="49" spans="1:50" ht="33.75" customHeight="1" x14ac:dyDescent="0.25">
      <c r="A49" s="192" t="s">
        <v>11</v>
      </c>
      <c r="B49" s="293">
        <v>156.80000000000001</v>
      </c>
      <c r="C49" s="733">
        <v>156.80000000000001</v>
      </c>
      <c r="D49" s="293">
        <v>156.80000000000001</v>
      </c>
      <c r="E49" s="294">
        <v>156.80000000000001</v>
      </c>
      <c r="F49" s="734">
        <v>156.80000000000001</v>
      </c>
      <c r="G49" s="730">
        <f>+((G48/G50)/7)*1000</f>
        <v>157.31112916328189</v>
      </c>
      <c r="H49" s="609"/>
      <c r="I49" s="364"/>
      <c r="J49" s="364"/>
      <c r="K49" s="364"/>
      <c r="L49" s="273" t="s">
        <v>11</v>
      </c>
      <c r="M49" s="293">
        <v>158</v>
      </c>
      <c r="N49" s="294">
        <v>156.5</v>
      </c>
      <c r="O49" s="294">
        <v>155.5</v>
      </c>
      <c r="P49" s="294">
        <v>156</v>
      </c>
      <c r="Q49" s="294">
        <v>154.5</v>
      </c>
      <c r="R49" s="296">
        <f>+((R48/R50)/7)*1000</f>
        <v>156.22612681436209</v>
      </c>
      <c r="S49" s="648"/>
      <c r="T49" s="647"/>
      <c r="U49" s="658"/>
      <c r="V49" s="50"/>
    </row>
    <row r="50" spans="1:50" ht="33.75" customHeight="1" x14ac:dyDescent="0.25">
      <c r="A50" s="193" t="s">
        <v>12</v>
      </c>
      <c r="B50" s="26">
        <v>589</v>
      </c>
      <c r="C50" s="27">
        <v>583</v>
      </c>
      <c r="D50" s="27">
        <v>125</v>
      </c>
      <c r="E50" s="27">
        <v>590</v>
      </c>
      <c r="F50" s="183">
        <v>575</v>
      </c>
      <c r="G50" s="731">
        <f>SUM(B50:F50)</f>
        <v>2462</v>
      </c>
      <c r="H50" s="609"/>
      <c r="I50" s="364"/>
      <c r="J50" s="364"/>
      <c r="K50" s="364"/>
      <c r="L50" s="193" t="s">
        <v>12</v>
      </c>
      <c r="M50" s="257">
        <v>44</v>
      </c>
      <c r="N50" s="275">
        <v>44</v>
      </c>
      <c r="O50" s="275">
        <v>9</v>
      </c>
      <c r="P50" s="275">
        <v>45</v>
      </c>
      <c r="Q50" s="275">
        <v>45</v>
      </c>
      <c r="R50" s="254">
        <f>SUM(M50:Q50)</f>
        <v>187</v>
      </c>
      <c r="S50" s="649"/>
      <c r="T50" s="301"/>
      <c r="U50" s="52"/>
      <c r="V50" s="52"/>
    </row>
    <row r="51" spans="1:50" ht="33.75" customHeight="1" x14ac:dyDescent="0.25">
      <c r="A51" s="194" t="s">
        <v>13</v>
      </c>
      <c r="B51" s="30">
        <f>((((B49*7)*B50)/1000)-B41-B42)/5</f>
        <v>92.01728</v>
      </c>
      <c r="C51" s="31">
        <f t="shared" ref="C51:F51" si="23">((((C49*7)*C50)/1000)-C41-C42)/5</f>
        <v>91.180159999999987</v>
      </c>
      <c r="D51" s="31">
        <f>((((D49*7)*D50)/1000)-D41-D42)/5</f>
        <v>19.300000000000004</v>
      </c>
      <c r="E51" s="31">
        <f t="shared" si="23"/>
        <v>92.296800000000005</v>
      </c>
      <c r="F51" s="163">
        <f t="shared" si="23"/>
        <v>90.064000000000036</v>
      </c>
      <c r="G51" s="732">
        <f>((G48*1000)/G50)/7</f>
        <v>157.31112916328192</v>
      </c>
      <c r="H51" s="609"/>
      <c r="I51" s="364"/>
      <c r="J51" s="364"/>
      <c r="K51" s="364"/>
      <c r="L51" s="194" t="s">
        <v>13</v>
      </c>
      <c r="M51" s="30">
        <f>((((M49*7)*M50)/1000)-M41-M42)/5</f>
        <v>6.9728000000000012</v>
      </c>
      <c r="N51" s="31">
        <f t="shared" ref="N51:Q51" si="24">((((N49*7)*N50)/1000)-N41-N42)/5</f>
        <v>6.8403999999999998</v>
      </c>
      <c r="O51" s="31">
        <f t="shared" si="24"/>
        <v>1.3193000000000001</v>
      </c>
      <c r="P51" s="31">
        <f t="shared" si="24"/>
        <v>6.9879999999999995</v>
      </c>
      <c r="Q51" s="31">
        <f t="shared" si="24"/>
        <v>6.9334999999999996</v>
      </c>
      <c r="R51" s="274">
        <f>((R48*1000)/R50)/7</f>
        <v>156.22612681436209</v>
      </c>
      <c r="S51" s="650"/>
      <c r="T51" s="301"/>
      <c r="U51" s="52"/>
      <c r="V51" s="52"/>
    </row>
    <row r="52" spans="1:50" ht="33.75" customHeight="1" x14ac:dyDescent="0.25">
      <c r="A52" s="185" t="s">
        <v>14</v>
      </c>
      <c r="B52" s="279">
        <f>((B50*B49)*7)/1000</f>
        <v>646.48640000000012</v>
      </c>
      <c r="C52" s="280">
        <f>((C50*C49)*7)/1000</f>
        <v>639.9008</v>
      </c>
      <c r="D52" s="280">
        <f>((D50*D49)*7)/1000</f>
        <v>137.19999999999999</v>
      </c>
      <c r="E52" s="280">
        <f>((E50*E49)*7)/1000</f>
        <v>647.58399999999995</v>
      </c>
      <c r="F52" s="281">
        <f>((F50*F49)*7)/1000</f>
        <v>631.12</v>
      </c>
      <c r="G52" s="73"/>
      <c r="H52" s="609"/>
      <c r="I52" s="364"/>
      <c r="J52" s="364"/>
      <c r="K52" s="364"/>
      <c r="L52" s="185" t="s">
        <v>14</v>
      </c>
      <c r="M52" s="279">
        <f>((M50*M49)*7)/1000</f>
        <v>48.664000000000001</v>
      </c>
      <c r="N52" s="280">
        <f>((N50*N49)*7)/1000</f>
        <v>48.201999999999998</v>
      </c>
      <c r="O52" s="280">
        <f>((O50*O49)*7)/1000</f>
        <v>9.7965</v>
      </c>
      <c r="P52" s="280">
        <f t="shared" ref="P52:Q52" si="25">((P50*P49)*7)/1000</f>
        <v>49.14</v>
      </c>
      <c r="Q52" s="280">
        <f t="shared" si="25"/>
        <v>48.667499999999997</v>
      </c>
      <c r="R52" s="36"/>
      <c r="S52" s="522"/>
    </row>
    <row r="53" spans="1:50" ht="33.75" customHeight="1" thickBot="1" x14ac:dyDescent="0.3">
      <c r="A53" s="195" t="s">
        <v>15</v>
      </c>
      <c r="B53" s="37">
        <f>+(B48/B50)/7*1000</f>
        <v>157.33689061363083</v>
      </c>
      <c r="C53" s="38">
        <f t="shared" ref="C53:E53" si="26">+(C48/C50)/7*1000</f>
        <v>157.06934574859102</v>
      </c>
      <c r="D53" s="38">
        <f t="shared" si="26"/>
        <v>160.57142857142858</v>
      </c>
      <c r="E53" s="38">
        <f t="shared" si="26"/>
        <v>156.80387409200972</v>
      </c>
      <c r="F53" s="207">
        <f>+(F48/F50)/7*1000</f>
        <v>157.34161490683232</v>
      </c>
      <c r="G53" s="74"/>
      <c r="H53" s="609"/>
      <c r="I53" s="364"/>
      <c r="J53" s="364"/>
      <c r="K53" s="364"/>
      <c r="L53" s="195" t="s">
        <v>15</v>
      </c>
      <c r="M53" s="37">
        <f>+(M48/M50)/7*1000</f>
        <v>158.11688311688312</v>
      </c>
      <c r="N53" s="38">
        <f>+(N48/N50)/7*1000</f>
        <v>156.49350649350649</v>
      </c>
      <c r="O53" s="38">
        <f>+(O48/O50)/7*1000</f>
        <v>155.5555555555556</v>
      </c>
      <c r="P53" s="38">
        <f t="shared" ref="P53:Q53" si="27">+(P48/P50)/7*1000</f>
        <v>155.87301587301585</v>
      </c>
      <c r="Q53" s="38">
        <f t="shared" si="27"/>
        <v>154.60317460317461</v>
      </c>
      <c r="R53" s="259"/>
      <c r="S53" s="651"/>
      <c r="U53" s="42"/>
      <c r="V53" s="42"/>
    </row>
    <row r="54" spans="1:50" ht="33.75" customHeight="1" x14ac:dyDescent="0.25">
      <c r="A54" s="41"/>
      <c r="B54" s="43">
        <f>B52-B48</f>
        <v>-2.2135999999998148</v>
      </c>
      <c r="C54" s="43">
        <f t="shared" ref="C54:D55" si="28">C52-C48</f>
        <v>-1.0991999999999962</v>
      </c>
      <c r="D54" s="43">
        <f t="shared" si="28"/>
        <v>-3.3000000000000114</v>
      </c>
      <c r="E54" s="43">
        <f>E52-E48</f>
        <v>-1.6000000000190084E-2</v>
      </c>
      <c r="F54" s="43">
        <f>F52-F48</f>
        <v>-2.1800000000000637</v>
      </c>
      <c r="G54" s="41"/>
      <c r="H54" s="41"/>
      <c r="I54" s="41"/>
      <c r="J54" s="41"/>
      <c r="K54" s="41"/>
      <c r="L54" s="42"/>
      <c r="M54" s="42">
        <f>M52-M48</f>
        <v>-3.6000000000001364E-2</v>
      </c>
      <c r="N54" s="42">
        <f>N52-N48</f>
        <v>2.0000000000024443E-3</v>
      </c>
      <c r="O54" s="42">
        <f t="shared" ref="N54:Q55" si="29">O52-O48</f>
        <v>-3.5000000000025011E-3</v>
      </c>
      <c r="P54" s="42">
        <f t="shared" si="29"/>
        <v>4.0000000000006253E-2</v>
      </c>
      <c r="Q54" s="42">
        <f t="shared" si="29"/>
        <v>-3.2499999999998863E-2</v>
      </c>
      <c r="R54" s="42"/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0.53689061363081692</v>
      </c>
      <c r="C55" s="42">
        <f>C53-C49</f>
        <v>0.26934574859100735</v>
      </c>
      <c r="D55" s="42">
        <f t="shared" si="28"/>
        <v>3.7714285714285722</v>
      </c>
      <c r="E55" s="42">
        <f>E53-E49</f>
        <v>3.8740920097097842E-3</v>
      </c>
      <c r="F55" s="42">
        <f>F53-F49</f>
        <v>0.54161490683230795</v>
      </c>
      <c r="G55" s="41"/>
      <c r="H55" s="41"/>
      <c r="I55" s="41"/>
      <c r="J55" s="41"/>
      <c r="K55" s="42"/>
      <c r="L55" s="42"/>
      <c r="M55" s="42">
        <f>M53-M49</f>
        <v>0.11688311688311614</v>
      </c>
      <c r="N55" s="42">
        <f t="shared" si="29"/>
        <v>-6.4935064935127684E-3</v>
      </c>
      <c r="O55" s="42">
        <f>O53-O49</f>
        <v>5.5555555555599767E-2</v>
      </c>
      <c r="P55" s="42">
        <f>P53-P49</f>
        <v>-0.12698412698415495</v>
      </c>
      <c r="Q55" s="42">
        <f t="shared" si="29"/>
        <v>0.10317460317460814</v>
      </c>
      <c r="R55" s="42"/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283"/>
      <c r="N57" s="283"/>
      <c r="O57" s="283"/>
      <c r="P57" s="283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99" t="s">
        <v>30</v>
      </c>
      <c r="H58" s="1000"/>
      <c r="I58" s="1000"/>
      <c r="J58" s="1000"/>
      <c r="K58" s="1001"/>
      <c r="L58" s="973" t="s">
        <v>29</v>
      </c>
      <c r="M58" s="974"/>
      <c r="N58" s="974"/>
      <c r="O58" s="974"/>
      <c r="P58" s="991"/>
      <c r="Q58" s="973" t="s">
        <v>31</v>
      </c>
      <c r="R58" s="974"/>
      <c r="S58" s="974"/>
      <c r="T58" s="974"/>
      <c r="U58" s="991"/>
      <c r="V58" s="586" t="s">
        <v>9</v>
      </c>
      <c r="W58" s="661"/>
      <c r="X58" s="662"/>
      <c r="Y58" s="522"/>
      <c r="Z58" s="522"/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692">
        <v>1</v>
      </c>
      <c r="H59" s="693">
        <v>2</v>
      </c>
      <c r="I59" s="693">
        <v>3</v>
      </c>
      <c r="J59" s="693">
        <v>4</v>
      </c>
      <c r="K59" s="693">
        <v>5</v>
      </c>
      <c r="L59" s="188">
        <v>1</v>
      </c>
      <c r="M59" s="168">
        <v>2</v>
      </c>
      <c r="N59" s="168">
        <v>3</v>
      </c>
      <c r="O59" s="168">
        <v>4</v>
      </c>
      <c r="P59" s="414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126"/>
      <c r="W59" s="663"/>
      <c r="X59" s="645"/>
      <c r="Y59" s="657"/>
      <c r="Z59" s="657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25">
      <c r="A60" s="171" t="s">
        <v>53</v>
      </c>
      <c r="B60" s="447">
        <v>7.4</v>
      </c>
      <c r="C60" s="124">
        <v>7.5</v>
      </c>
      <c r="D60" s="124">
        <v>1.8</v>
      </c>
      <c r="E60" s="124">
        <v>7.6</v>
      </c>
      <c r="F60" s="123">
        <v>7.6</v>
      </c>
      <c r="G60" s="694">
        <v>7.7</v>
      </c>
      <c r="H60" s="415">
        <v>7.7</v>
      </c>
      <c r="I60" s="415">
        <v>2</v>
      </c>
      <c r="J60" s="415">
        <v>7.7</v>
      </c>
      <c r="K60" s="415">
        <v>7.6</v>
      </c>
      <c r="L60" s="130">
        <v>6.2</v>
      </c>
      <c r="M60" s="124">
        <v>6.1</v>
      </c>
      <c r="N60" s="124">
        <v>1.9</v>
      </c>
      <c r="O60" s="124">
        <v>6</v>
      </c>
      <c r="P60" s="132">
        <v>6.1</v>
      </c>
      <c r="Q60" s="123">
        <v>6.5</v>
      </c>
      <c r="R60" s="124">
        <v>6.5</v>
      </c>
      <c r="S60" s="124">
        <v>2</v>
      </c>
      <c r="T60" s="124">
        <v>6.5</v>
      </c>
      <c r="U60" s="132">
        <v>6.6</v>
      </c>
      <c r="V60" s="412">
        <f t="shared" ref="V60:V67" si="30">SUM(B60:U60)</f>
        <v>119</v>
      </c>
      <c r="W60" s="651"/>
      <c r="X60" s="646"/>
      <c r="Y60" s="657"/>
      <c r="Z60" s="657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25">
      <c r="A61" s="171" t="s">
        <v>24</v>
      </c>
      <c r="B61" s="447">
        <v>7.4</v>
      </c>
      <c r="C61" s="124">
        <v>7.5</v>
      </c>
      <c r="D61" s="124">
        <v>1.8</v>
      </c>
      <c r="E61" s="124">
        <v>7.6</v>
      </c>
      <c r="F61" s="123">
        <v>7.6</v>
      </c>
      <c r="G61" s="694">
        <v>7.7</v>
      </c>
      <c r="H61" s="415">
        <v>7.7</v>
      </c>
      <c r="I61" s="415">
        <v>2</v>
      </c>
      <c r="J61" s="415">
        <v>7.7</v>
      </c>
      <c r="K61" s="415">
        <v>7.6</v>
      </c>
      <c r="L61" s="18">
        <v>6.2</v>
      </c>
      <c r="M61" s="19">
        <v>6.1</v>
      </c>
      <c r="N61" s="19">
        <v>1.9</v>
      </c>
      <c r="O61" s="19">
        <v>6</v>
      </c>
      <c r="P61" s="20">
        <v>6.1</v>
      </c>
      <c r="Q61" s="123">
        <v>6.5</v>
      </c>
      <c r="R61" s="124">
        <v>6.5</v>
      </c>
      <c r="S61" s="124">
        <v>2</v>
      </c>
      <c r="T61" s="124">
        <v>6.5</v>
      </c>
      <c r="U61" s="132">
        <v>6.6</v>
      </c>
      <c r="V61" s="412">
        <f t="shared" si="30"/>
        <v>119</v>
      </c>
      <c r="W61" s="651"/>
      <c r="X61" s="646"/>
      <c r="Y61" s="651"/>
      <c r="Z61" s="651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25">
      <c r="A62" s="171" t="s">
        <v>20</v>
      </c>
      <c r="B62" s="706">
        <v>7.4</v>
      </c>
      <c r="C62" s="707">
        <v>7.5</v>
      </c>
      <c r="D62" s="707">
        <v>1.8</v>
      </c>
      <c r="E62" s="707">
        <v>7.6</v>
      </c>
      <c r="F62" s="708">
        <v>7.6</v>
      </c>
      <c r="G62" s="709">
        <v>7.7</v>
      </c>
      <c r="H62" s="629">
        <v>7.7</v>
      </c>
      <c r="I62" s="629">
        <v>2</v>
      </c>
      <c r="J62" s="629">
        <v>7.7</v>
      </c>
      <c r="K62" s="629">
        <v>7.6</v>
      </c>
      <c r="L62" s="710">
        <v>6.2</v>
      </c>
      <c r="M62" s="711">
        <v>6.1</v>
      </c>
      <c r="N62" s="711">
        <v>1.9</v>
      </c>
      <c r="O62" s="711">
        <v>6.1</v>
      </c>
      <c r="P62" s="712">
        <v>6.1</v>
      </c>
      <c r="Q62" s="708">
        <v>6.5</v>
      </c>
      <c r="R62" s="707">
        <v>6.5</v>
      </c>
      <c r="S62" s="707">
        <v>2.2000000000000002</v>
      </c>
      <c r="T62" s="707">
        <v>6.5</v>
      </c>
      <c r="U62" s="713">
        <v>6.6</v>
      </c>
      <c r="V62" s="412">
        <f t="shared" si="30"/>
        <v>119.3</v>
      </c>
      <c r="W62" s="651"/>
      <c r="X62" s="646"/>
      <c r="Y62" s="651"/>
      <c r="Z62" s="651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25">
      <c r="A63" s="171" t="s">
        <v>28</v>
      </c>
      <c r="B63" s="447">
        <v>7.4</v>
      </c>
      <c r="C63" s="124">
        <v>7.5</v>
      </c>
      <c r="D63" s="124">
        <v>1.7</v>
      </c>
      <c r="E63" s="124">
        <v>7.6</v>
      </c>
      <c r="F63" s="123">
        <v>7.7</v>
      </c>
      <c r="G63" s="694">
        <v>7.7</v>
      </c>
      <c r="H63" s="415">
        <v>7.7</v>
      </c>
      <c r="I63" s="415">
        <v>2</v>
      </c>
      <c r="J63" s="415">
        <v>7.7</v>
      </c>
      <c r="K63" s="415">
        <v>7.6</v>
      </c>
      <c r="L63" s="179">
        <v>6.2</v>
      </c>
      <c r="M63" s="180">
        <v>6.1</v>
      </c>
      <c r="N63" s="180">
        <v>1.9</v>
      </c>
      <c r="O63" s="180">
        <v>6.1</v>
      </c>
      <c r="P63" s="181">
        <v>6.1</v>
      </c>
      <c r="Q63" s="123">
        <v>6.5</v>
      </c>
      <c r="R63" s="124">
        <v>6.5</v>
      </c>
      <c r="S63" s="124">
        <v>2.2000000000000002</v>
      </c>
      <c r="T63" s="124">
        <v>6.5</v>
      </c>
      <c r="U63" s="132">
        <v>6.6</v>
      </c>
      <c r="V63" s="412">
        <f t="shared" si="30"/>
        <v>119.3</v>
      </c>
      <c r="W63" s="651"/>
      <c r="X63" s="646"/>
      <c r="Y63" s="651"/>
      <c r="Z63" s="651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25">
      <c r="A64" s="171" t="s">
        <v>21</v>
      </c>
      <c r="B64" s="447">
        <v>7.5</v>
      </c>
      <c r="C64" s="124">
        <v>7.5</v>
      </c>
      <c r="D64" s="124">
        <v>1.7</v>
      </c>
      <c r="E64" s="124">
        <v>7.6</v>
      </c>
      <c r="F64" s="123">
        <v>7.7</v>
      </c>
      <c r="G64" s="694">
        <v>7.5</v>
      </c>
      <c r="H64" s="415">
        <v>7.6</v>
      </c>
      <c r="I64" s="415">
        <v>1.8</v>
      </c>
      <c r="J64" s="415">
        <v>7.6</v>
      </c>
      <c r="K64" s="415">
        <v>7.5</v>
      </c>
      <c r="L64" s="179">
        <v>6</v>
      </c>
      <c r="M64" s="180">
        <v>6.4</v>
      </c>
      <c r="N64" s="180">
        <v>1.8</v>
      </c>
      <c r="O64" s="180">
        <v>6</v>
      </c>
      <c r="P64" s="181">
        <v>6.3</v>
      </c>
      <c r="Q64" s="123">
        <v>6.6</v>
      </c>
      <c r="R64" s="124">
        <v>6.6</v>
      </c>
      <c r="S64" s="124">
        <v>2.1</v>
      </c>
      <c r="T64" s="124">
        <v>6.6</v>
      </c>
      <c r="U64" s="132">
        <v>6.6</v>
      </c>
      <c r="V64" s="412">
        <f t="shared" si="30"/>
        <v>118.99999999999997</v>
      </c>
      <c r="W64" s="651"/>
      <c r="X64" s="646"/>
      <c r="Y64" s="651"/>
      <c r="Z64" s="651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25">
      <c r="A65" s="171" t="s">
        <v>22</v>
      </c>
      <c r="B65" s="447">
        <v>7.6</v>
      </c>
      <c r="C65" s="124">
        <v>7.5</v>
      </c>
      <c r="D65" s="124">
        <v>1.7</v>
      </c>
      <c r="E65" s="124">
        <v>7.6</v>
      </c>
      <c r="F65" s="123">
        <v>7.7</v>
      </c>
      <c r="G65" s="694">
        <v>7.5</v>
      </c>
      <c r="H65" s="415">
        <v>7.6</v>
      </c>
      <c r="I65" s="415">
        <v>1.8</v>
      </c>
      <c r="J65" s="415">
        <v>7.7</v>
      </c>
      <c r="K65" s="415">
        <v>7.6</v>
      </c>
      <c r="L65" s="179">
        <v>6</v>
      </c>
      <c r="M65" s="180">
        <v>6.3</v>
      </c>
      <c r="N65" s="180">
        <v>1.8</v>
      </c>
      <c r="O65" s="180">
        <v>6.1</v>
      </c>
      <c r="P65" s="181">
        <v>6.3</v>
      </c>
      <c r="Q65" s="123">
        <v>6.6</v>
      </c>
      <c r="R65" s="124">
        <v>6.6</v>
      </c>
      <c r="S65" s="124">
        <v>2.1</v>
      </c>
      <c r="T65" s="124">
        <v>6.6</v>
      </c>
      <c r="U65" s="132">
        <v>6.6</v>
      </c>
      <c r="V65" s="412">
        <f t="shared" si="30"/>
        <v>119.29999999999995</v>
      </c>
      <c r="W65" s="651"/>
      <c r="X65" s="646"/>
      <c r="Y65" s="651"/>
      <c r="Z65" s="651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3">
      <c r="A66" s="171" t="s">
        <v>23</v>
      </c>
      <c r="B66" s="447">
        <v>7.6</v>
      </c>
      <c r="C66" s="124">
        <v>7.6</v>
      </c>
      <c r="D66" s="124">
        <v>1.7</v>
      </c>
      <c r="E66" s="124">
        <v>7.8</v>
      </c>
      <c r="F66" s="123">
        <v>7.7</v>
      </c>
      <c r="G66" s="694">
        <v>7.5</v>
      </c>
      <c r="H66" s="415">
        <v>7.6</v>
      </c>
      <c r="I66" s="415">
        <v>1.8</v>
      </c>
      <c r="J66" s="415">
        <v>7.7</v>
      </c>
      <c r="K66" s="415">
        <v>7.6</v>
      </c>
      <c r="L66" s="681">
        <v>6.1</v>
      </c>
      <c r="M66" s="180">
        <v>6.4</v>
      </c>
      <c r="N66" s="682">
        <v>1.9</v>
      </c>
      <c r="O66" s="180">
        <v>6.1</v>
      </c>
      <c r="P66" s="181">
        <v>6.3</v>
      </c>
      <c r="Q66" s="123">
        <v>6.7</v>
      </c>
      <c r="R66" s="124">
        <v>6.7</v>
      </c>
      <c r="S66" s="124">
        <v>2</v>
      </c>
      <c r="T66" s="124">
        <v>6.9</v>
      </c>
      <c r="U66" s="132">
        <v>6.3</v>
      </c>
      <c r="V66" s="412">
        <f t="shared" si="30"/>
        <v>120</v>
      </c>
      <c r="W66" s="651"/>
      <c r="X66" s="646"/>
      <c r="Y66" s="651"/>
      <c r="Z66" s="651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297">
        <f t="shared" ref="B67:U67" si="31">SUM(B60:B66)</f>
        <v>52.300000000000004</v>
      </c>
      <c r="C67" s="298">
        <f t="shared" si="31"/>
        <v>52.6</v>
      </c>
      <c r="D67" s="298">
        <f t="shared" si="31"/>
        <v>12.2</v>
      </c>
      <c r="E67" s="298">
        <f t="shared" si="31"/>
        <v>53.4</v>
      </c>
      <c r="F67" s="448">
        <f t="shared" si="31"/>
        <v>53.6</v>
      </c>
      <c r="G67" s="719">
        <f t="shared" si="31"/>
        <v>53.3</v>
      </c>
      <c r="H67" s="696">
        <f t="shared" si="31"/>
        <v>53.6</v>
      </c>
      <c r="I67" s="696">
        <f t="shared" si="31"/>
        <v>13.400000000000002</v>
      </c>
      <c r="J67" s="696">
        <f t="shared" si="31"/>
        <v>53.800000000000004</v>
      </c>
      <c r="K67" s="720">
        <f t="shared" si="31"/>
        <v>53.1</v>
      </c>
      <c r="L67" s="618">
        <f t="shared" si="31"/>
        <v>42.9</v>
      </c>
      <c r="M67" s="616">
        <f t="shared" si="31"/>
        <v>43.499999999999993</v>
      </c>
      <c r="N67" s="616">
        <f t="shared" si="31"/>
        <v>13.100000000000001</v>
      </c>
      <c r="O67" s="616">
        <f t="shared" si="31"/>
        <v>42.400000000000006</v>
      </c>
      <c r="P67" s="616">
        <f t="shared" si="31"/>
        <v>43.3</v>
      </c>
      <c r="Q67" s="615">
        <f t="shared" si="31"/>
        <v>45.900000000000006</v>
      </c>
      <c r="R67" s="616">
        <f t="shared" si="31"/>
        <v>45.900000000000006</v>
      </c>
      <c r="S67" s="616">
        <f t="shared" si="31"/>
        <v>14.6</v>
      </c>
      <c r="T67" s="616">
        <f t="shared" si="31"/>
        <v>46.1</v>
      </c>
      <c r="U67" s="617">
        <f t="shared" si="31"/>
        <v>45.9</v>
      </c>
      <c r="V67" s="449">
        <f t="shared" si="30"/>
        <v>834.89999999999986</v>
      </c>
      <c r="W67" s="664"/>
      <c r="X67" s="646"/>
      <c r="Y67" s="651"/>
      <c r="Z67" s="651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159</v>
      </c>
      <c r="C68" s="358">
        <v>160</v>
      </c>
      <c r="D68" s="358">
        <v>159</v>
      </c>
      <c r="E68" s="358">
        <v>159</v>
      </c>
      <c r="F68" s="718">
        <v>159.5</v>
      </c>
      <c r="G68" s="721">
        <v>158.5</v>
      </c>
      <c r="H68" s="698">
        <v>159.5</v>
      </c>
      <c r="I68" s="698">
        <v>160</v>
      </c>
      <c r="J68" s="698">
        <v>160</v>
      </c>
      <c r="K68" s="722">
        <v>158</v>
      </c>
      <c r="L68" s="357">
        <v>157</v>
      </c>
      <c r="M68" s="358">
        <v>159.5</v>
      </c>
      <c r="N68" s="358">
        <v>155.5</v>
      </c>
      <c r="O68" s="358">
        <v>159.5</v>
      </c>
      <c r="P68" s="358">
        <v>159.5</v>
      </c>
      <c r="Q68" s="357">
        <v>160</v>
      </c>
      <c r="R68" s="358">
        <v>160</v>
      </c>
      <c r="S68" s="358">
        <v>160.5</v>
      </c>
      <c r="T68" s="358">
        <v>160.5</v>
      </c>
      <c r="U68" s="624">
        <v>160</v>
      </c>
      <c r="V68" s="296">
        <f>+((V67/V69)/7)*1000</f>
        <v>159.2408926187297</v>
      </c>
      <c r="W68" s="145"/>
      <c r="X68" s="648"/>
      <c r="Y68" s="665"/>
      <c r="Z68" s="522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47</v>
      </c>
      <c r="C69" s="275">
        <v>47</v>
      </c>
      <c r="D69" s="275">
        <v>11</v>
      </c>
      <c r="E69" s="275">
        <v>48</v>
      </c>
      <c r="F69" s="527">
        <v>48</v>
      </c>
      <c r="G69" s="723">
        <v>48</v>
      </c>
      <c r="H69" s="700">
        <v>48</v>
      </c>
      <c r="I69" s="700">
        <v>12</v>
      </c>
      <c r="J69" s="700">
        <v>48</v>
      </c>
      <c r="K69" s="724">
        <v>48</v>
      </c>
      <c r="L69" s="257">
        <v>39</v>
      </c>
      <c r="M69" s="275">
        <v>39</v>
      </c>
      <c r="N69" s="275">
        <v>12</v>
      </c>
      <c r="O69" s="275">
        <v>38</v>
      </c>
      <c r="P69" s="275">
        <v>39</v>
      </c>
      <c r="Q69" s="257">
        <v>41</v>
      </c>
      <c r="R69" s="275">
        <v>41</v>
      </c>
      <c r="S69" s="275">
        <v>13</v>
      </c>
      <c r="T69" s="275">
        <v>41</v>
      </c>
      <c r="U69" s="276">
        <v>41</v>
      </c>
      <c r="V69" s="254">
        <f>SUM(B69:U69)</f>
        <v>749</v>
      </c>
      <c r="W69" s="145"/>
      <c r="X69" s="649"/>
      <c r="Y69" s="665"/>
      <c r="Z69" s="522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 t="shared" ref="B70:K70" si="32">((((B68*7)*B69)/1000)-B60-B61)/5</f>
        <v>7.5022000000000002</v>
      </c>
      <c r="C70" s="31">
        <f t="shared" si="32"/>
        <v>7.5280000000000005</v>
      </c>
      <c r="D70" s="31">
        <f t="shared" si="32"/>
        <v>1.7285999999999997</v>
      </c>
      <c r="E70" s="31">
        <f t="shared" si="32"/>
        <v>7.6447999999999992</v>
      </c>
      <c r="F70" s="163">
        <f t="shared" si="32"/>
        <v>7.678399999999999</v>
      </c>
      <c r="G70" s="725">
        <f>((((G68*7)*G69)/1000)-G60-G61)/5</f>
        <v>7.5711999999999993</v>
      </c>
      <c r="H70" s="702">
        <f t="shared" si="32"/>
        <v>7.638399999999999</v>
      </c>
      <c r="I70" s="702">
        <f t="shared" si="32"/>
        <v>1.8879999999999999</v>
      </c>
      <c r="J70" s="702">
        <f t="shared" si="32"/>
        <v>7.6719999999999988</v>
      </c>
      <c r="K70" s="726">
        <f t="shared" si="32"/>
        <v>7.5775999999999994</v>
      </c>
      <c r="L70" s="30">
        <f>((((L68*7)*L69)/1000)-L60-L61)/5</f>
        <v>6.0921999999999992</v>
      </c>
      <c r="M70" s="30">
        <f t="shared" ref="M70:U70" si="33">((((M68*7)*M69)/1000)-M60-M61)/5</f>
        <v>6.2686999999999999</v>
      </c>
      <c r="N70" s="30">
        <f t="shared" si="33"/>
        <v>1.8523999999999998</v>
      </c>
      <c r="O70" s="30">
        <f t="shared" si="33"/>
        <v>6.0853999999999999</v>
      </c>
      <c r="P70" s="30">
        <f t="shared" si="33"/>
        <v>6.2686999999999999</v>
      </c>
      <c r="Q70" s="30">
        <f t="shared" si="33"/>
        <v>6.5840000000000005</v>
      </c>
      <c r="R70" s="30">
        <f t="shared" si="33"/>
        <v>6.5840000000000005</v>
      </c>
      <c r="S70" s="30">
        <f t="shared" si="33"/>
        <v>2.1210999999999998</v>
      </c>
      <c r="T70" s="30">
        <f t="shared" si="33"/>
        <v>6.6126999999999994</v>
      </c>
      <c r="U70" s="30">
        <f t="shared" si="33"/>
        <v>6.5439999999999996</v>
      </c>
      <c r="V70" s="139">
        <f>((V67*1000)/V69)/7</f>
        <v>159.2408926187297</v>
      </c>
      <c r="W70" s="144"/>
      <c r="X70" s="650"/>
      <c r="Y70" s="665"/>
      <c r="Z70" s="522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34">((B69*B68)*7)/1000</f>
        <v>52.311</v>
      </c>
      <c r="C71" s="280">
        <f t="shared" si="34"/>
        <v>52.64</v>
      </c>
      <c r="D71" s="280">
        <f t="shared" si="34"/>
        <v>12.243</v>
      </c>
      <c r="E71" s="280">
        <f t="shared" si="34"/>
        <v>53.423999999999999</v>
      </c>
      <c r="F71" s="281">
        <f t="shared" si="34"/>
        <v>53.591999999999999</v>
      </c>
      <c r="G71" s="464">
        <f t="shared" si="34"/>
        <v>53.256</v>
      </c>
      <c r="H71" s="459">
        <f>((H69*H68)*7)/1000</f>
        <v>53.591999999999999</v>
      </c>
      <c r="I71" s="459">
        <f t="shared" si="34"/>
        <v>13.44</v>
      </c>
      <c r="J71" s="459">
        <f t="shared" si="34"/>
        <v>53.76</v>
      </c>
      <c r="K71" s="460">
        <f t="shared" si="34"/>
        <v>53.088000000000001</v>
      </c>
      <c r="L71" s="279">
        <f t="shared" si="34"/>
        <v>42.860999999999997</v>
      </c>
      <c r="M71" s="280">
        <f t="shared" si="34"/>
        <v>43.543500000000002</v>
      </c>
      <c r="N71" s="280">
        <f t="shared" si="34"/>
        <v>13.061999999999999</v>
      </c>
      <c r="O71" s="280">
        <f t="shared" si="34"/>
        <v>42.427</v>
      </c>
      <c r="P71" s="280">
        <f t="shared" si="34"/>
        <v>43.543500000000002</v>
      </c>
      <c r="Q71" s="279">
        <f t="shared" si="34"/>
        <v>45.92</v>
      </c>
      <c r="R71" s="280">
        <f t="shared" si="34"/>
        <v>45.92</v>
      </c>
      <c r="S71" s="280">
        <f t="shared" si="34"/>
        <v>14.605499999999999</v>
      </c>
      <c r="T71" s="280">
        <f t="shared" si="34"/>
        <v>46.063499999999998</v>
      </c>
      <c r="U71" s="282">
        <f t="shared" si="34"/>
        <v>45.92</v>
      </c>
      <c r="V71" s="112"/>
      <c r="W71" s="651"/>
      <c r="X71" s="666"/>
      <c r="Y71" s="666"/>
      <c r="Z71" s="666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U72" si="35">+(B67/B69)/7*1000</f>
        <v>158.96656534954406</v>
      </c>
      <c r="C72" s="38">
        <f t="shared" si="35"/>
        <v>159.87841945288753</v>
      </c>
      <c r="D72" s="38">
        <f t="shared" si="35"/>
        <v>158.44155844155844</v>
      </c>
      <c r="E72" s="38">
        <f t="shared" si="35"/>
        <v>158.92857142857144</v>
      </c>
      <c r="F72" s="207">
        <f t="shared" si="35"/>
        <v>159.52380952380955</v>
      </c>
      <c r="G72" s="727">
        <f t="shared" si="35"/>
        <v>158.63095238095238</v>
      </c>
      <c r="H72" s="704">
        <f t="shared" si="35"/>
        <v>159.52380952380955</v>
      </c>
      <c r="I72" s="704">
        <f t="shared" si="35"/>
        <v>159.52380952380958</v>
      </c>
      <c r="J72" s="704">
        <f t="shared" si="35"/>
        <v>160.11904761904762</v>
      </c>
      <c r="K72" s="728">
        <f t="shared" si="35"/>
        <v>158.03571428571428</v>
      </c>
      <c r="L72" s="37">
        <f t="shared" si="35"/>
        <v>157.14285714285711</v>
      </c>
      <c r="M72" s="38">
        <f t="shared" si="35"/>
        <v>159.3406593406593</v>
      </c>
      <c r="N72" s="38">
        <f t="shared" si="35"/>
        <v>155.95238095238099</v>
      </c>
      <c r="O72" s="38">
        <f t="shared" si="35"/>
        <v>159.3984962406015</v>
      </c>
      <c r="P72" s="38">
        <f t="shared" si="35"/>
        <v>158.60805860805857</v>
      </c>
      <c r="Q72" s="37">
        <f t="shared" si="35"/>
        <v>159.93031358885017</v>
      </c>
      <c r="R72" s="38">
        <f t="shared" si="35"/>
        <v>159.93031358885017</v>
      </c>
      <c r="S72" s="38">
        <f t="shared" si="35"/>
        <v>160.43956043956047</v>
      </c>
      <c r="T72" s="38">
        <f t="shared" si="35"/>
        <v>160.62717770034845</v>
      </c>
      <c r="U72" s="39">
        <f t="shared" si="35"/>
        <v>159.93031358885014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43">
        <f>B71-B67</f>
        <v>1.099999999999568E-2</v>
      </c>
      <c r="C73" s="43">
        <f t="shared" ref="C73:F73" si="36">C71-C67</f>
        <v>3.9999999999999147E-2</v>
      </c>
      <c r="D73" s="43">
        <f t="shared" si="36"/>
        <v>4.3000000000001037E-2</v>
      </c>
      <c r="E73" s="43">
        <f t="shared" si="36"/>
        <v>2.4000000000000909E-2</v>
      </c>
      <c r="F73" s="43">
        <f t="shared" si="36"/>
        <v>-8.0000000000026716E-3</v>
      </c>
      <c r="G73" s="143">
        <f>G71-G67</f>
        <v>-4.399999999999693E-2</v>
      </c>
      <c r="H73" s="143">
        <f t="shared" ref="H73:U74" si="37">H71-H67</f>
        <v>-8.0000000000026716E-3</v>
      </c>
      <c r="I73" s="143">
        <f t="shared" si="37"/>
        <v>3.9999999999997371E-2</v>
      </c>
      <c r="J73" s="143">
        <f t="shared" si="37"/>
        <v>-4.0000000000006253E-2</v>
      </c>
      <c r="K73" s="143">
        <f t="shared" si="37"/>
        <v>-1.2000000000000455E-2</v>
      </c>
      <c r="L73" s="43">
        <f>L71-L67</f>
        <v>-3.9000000000001478E-2</v>
      </c>
      <c r="M73" s="43">
        <f t="shared" ref="M73:P73" si="38">M71-M67</f>
        <v>4.3500000000008754E-2</v>
      </c>
      <c r="N73" s="43">
        <f t="shared" si="38"/>
        <v>-3.8000000000002032E-2</v>
      </c>
      <c r="O73" s="43">
        <f t="shared" si="38"/>
        <v>2.6999999999993918E-2</v>
      </c>
      <c r="P73" s="43">
        <f t="shared" si="38"/>
        <v>0.24350000000000449</v>
      </c>
      <c r="Q73" s="43">
        <f>Q71-Q67</f>
        <v>1.9999999999996021E-2</v>
      </c>
      <c r="R73" s="43">
        <f t="shared" ref="R73:U73" si="39">R71-R67</f>
        <v>1.9999999999996021E-2</v>
      </c>
      <c r="S73" s="43">
        <f t="shared" si="39"/>
        <v>5.4999999999996163E-3</v>
      </c>
      <c r="T73" s="43">
        <f t="shared" si="39"/>
        <v>-3.6500000000003752E-2</v>
      </c>
      <c r="U73" s="43">
        <f t="shared" si="39"/>
        <v>2.0000000000003126E-2</v>
      </c>
      <c r="W73" s="144"/>
      <c r="X73" s="522"/>
      <c r="Y73" s="522"/>
      <c r="Z73" s="522"/>
    </row>
    <row r="74" spans="1:50" ht="33.75" customHeight="1" x14ac:dyDescent="0.25">
      <c r="B74" s="42">
        <f t="shared" ref="B74:J74" si="40">B72-B68</f>
        <v>-3.3434650455944848E-2</v>
      </c>
      <c r="C74" s="42">
        <f t="shared" si="40"/>
        <v>-0.12158054711247246</v>
      </c>
      <c r="D74" s="42">
        <f t="shared" si="40"/>
        <v>-0.55844155844155807</v>
      </c>
      <c r="E74" s="42">
        <f t="shared" si="40"/>
        <v>-7.1428571428555188E-2</v>
      </c>
      <c r="F74" s="42">
        <f t="shared" si="40"/>
        <v>2.3809523809546818E-2</v>
      </c>
      <c r="G74" s="705">
        <f t="shared" si="40"/>
        <v>0.1309523809523796</v>
      </c>
      <c r="H74" s="705">
        <f t="shared" si="40"/>
        <v>2.3809523809546818E-2</v>
      </c>
      <c r="I74" s="705">
        <f>I72-I68</f>
        <v>-0.47619047619042476</v>
      </c>
      <c r="J74" s="705">
        <f t="shared" si="40"/>
        <v>0.1190476190476204</v>
      </c>
      <c r="K74" s="705">
        <f t="shared" si="37"/>
        <v>3.5714285714277594E-2</v>
      </c>
      <c r="L74" s="42">
        <f t="shared" si="37"/>
        <v>0.14285714285711038</v>
      </c>
      <c r="M74" s="42">
        <f t="shared" si="37"/>
        <v>-0.15934065934069963</v>
      </c>
      <c r="N74" s="42">
        <f t="shared" si="37"/>
        <v>0.45238095238099163</v>
      </c>
      <c r="O74" s="42">
        <f t="shared" si="37"/>
        <v>-0.1015037593984971</v>
      </c>
      <c r="P74" s="42">
        <f t="shared" si="37"/>
        <v>-0.89194139194142963</v>
      </c>
      <c r="Q74" s="42">
        <f t="shared" si="37"/>
        <v>-6.9686411149831429E-2</v>
      </c>
      <c r="R74" s="42">
        <f t="shared" si="37"/>
        <v>-6.9686411149831429E-2</v>
      </c>
      <c r="S74" s="42">
        <f t="shared" si="37"/>
        <v>-6.0439560439533579E-2</v>
      </c>
      <c r="T74" s="42">
        <f t="shared" si="37"/>
        <v>0.12717770034845444</v>
      </c>
      <c r="U74" s="42">
        <f t="shared" si="37"/>
        <v>-6.968641114985985E-2</v>
      </c>
      <c r="V74" s="45"/>
      <c r="W74" s="651"/>
      <c r="X74" s="657"/>
      <c r="Y74" s="657"/>
      <c r="Z74" s="657"/>
      <c r="AA74" s="45"/>
      <c r="AB74" s="45"/>
      <c r="AC74" s="45"/>
      <c r="AD74" s="52"/>
    </row>
    <row r="75" spans="1:50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</row>
    <row r="76" spans="1:50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0" ht="33.75" customHeight="1" x14ac:dyDescent="0.25">
      <c r="A77" s="45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5">
    <mergeCell ref="Q58:U58"/>
    <mergeCell ref="M39:Q39"/>
    <mergeCell ref="A3:C3"/>
    <mergeCell ref="E9:G9"/>
    <mergeCell ref="W9:X9"/>
    <mergeCell ref="O11:P11"/>
    <mergeCell ref="B16:H16"/>
    <mergeCell ref="I16:O16"/>
    <mergeCell ref="P16:T16"/>
    <mergeCell ref="U16:Y16"/>
    <mergeCell ref="B39:F39"/>
    <mergeCell ref="G39:G40"/>
    <mergeCell ref="B58:F58"/>
    <mergeCell ref="G58:K58"/>
    <mergeCell ref="L58:P58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1"/>
  <sheetViews>
    <sheetView topLeftCell="A4" zoomScale="25" zoomScaleNormal="25" workbookViewId="0">
      <selection activeCell="B50" sqref="B50"/>
    </sheetView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42</v>
      </c>
      <c r="P11" s="965"/>
      <c r="Q11" s="6"/>
      <c r="R11" s="6"/>
      <c r="S11" s="6"/>
      <c r="T11" s="1"/>
      <c r="U11" s="1"/>
      <c r="V11" s="1" t="s">
        <v>6</v>
      </c>
      <c r="W11" s="95">
        <v>45629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594"/>
      <c r="I17" s="386" t="s">
        <v>100</v>
      </c>
      <c r="J17" s="438">
        <v>1</v>
      </c>
      <c r="K17" s="438">
        <v>2</v>
      </c>
      <c r="L17" s="438">
        <v>3</v>
      </c>
      <c r="M17" s="438">
        <v>4</v>
      </c>
      <c r="N17" s="439">
        <v>5</v>
      </c>
      <c r="O17" s="594"/>
      <c r="P17" s="202">
        <v>1</v>
      </c>
      <c r="Q17" s="174">
        <v>2</v>
      </c>
      <c r="R17" s="174">
        <v>3</v>
      </c>
      <c r="S17" s="174">
        <v>4</v>
      </c>
      <c r="T17" s="203">
        <v>5</v>
      </c>
      <c r="U17" s="186">
        <v>1</v>
      </c>
      <c r="V17" s="174">
        <v>2</v>
      </c>
      <c r="W17" s="174">
        <v>3</v>
      </c>
      <c r="X17" s="174">
        <v>4</v>
      </c>
      <c r="Y17" s="175">
        <v>5</v>
      </c>
      <c r="Z17" s="126"/>
      <c r="AD17" s="2"/>
      <c r="AE17" s="15"/>
    </row>
    <row r="18" spans="1:40" ht="39.950000000000003" customHeight="1" x14ac:dyDescent="0.25">
      <c r="A18" s="171" t="s">
        <v>53</v>
      </c>
      <c r="B18" s="595">
        <v>316.60000000000002</v>
      </c>
      <c r="C18" s="739">
        <v>17.899999999999999</v>
      </c>
      <c r="D18" s="739">
        <v>18.2</v>
      </c>
      <c r="E18" s="739">
        <v>4.4000000000000004</v>
      </c>
      <c r="F18" s="739">
        <v>18.399999999999999</v>
      </c>
      <c r="G18" s="744">
        <v>18.399999999999999</v>
      </c>
      <c r="H18" s="753">
        <f>+SUM(B18:G18)</f>
        <v>393.89999999999992</v>
      </c>
      <c r="I18" s="745">
        <v>319.2</v>
      </c>
      <c r="J18" s="739">
        <v>18.100000000000001</v>
      </c>
      <c r="K18" s="739">
        <v>18.399999999999999</v>
      </c>
      <c r="L18" s="739">
        <v>4.3</v>
      </c>
      <c r="M18" s="739">
        <v>17.5</v>
      </c>
      <c r="N18" s="746">
        <v>17.3</v>
      </c>
      <c r="O18" s="753">
        <f>+SUM(I18:N18)</f>
        <v>394.8</v>
      </c>
      <c r="P18" s="747">
        <v>77</v>
      </c>
      <c r="Q18" s="459">
        <v>77.099999999999994</v>
      </c>
      <c r="R18" s="739">
        <v>24.2</v>
      </c>
      <c r="S18" s="739">
        <v>77.7</v>
      </c>
      <c r="T18" s="746">
        <v>77.099999999999994</v>
      </c>
      <c r="U18" s="748">
        <v>79.599999999999994</v>
      </c>
      <c r="V18" s="739">
        <v>81.2</v>
      </c>
      <c r="W18" s="459">
        <v>25.2</v>
      </c>
      <c r="X18" s="459">
        <v>81</v>
      </c>
      <c r="Y18" s="746">
        <v>81.3</v>
      </c>
      <c r="Z18" s="638">
        <f>SUM(H18,O18,P18:Y18)</f>
        <v>1470.1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595">
        <v>316.60000000000002</v>
      </c>
      <c r="C19" s="739">
        <v>17.899999999999999</v>
      </c>
      <c r="D19" s="739">
        <v>18.2</v>
      </c>
      <c r="E19" s="739">
        <v>4.4000000000000004</v>
      </c>
      <c r="F19" s="739">
        <v>18.399999999999999</v>
      </c>
      <c r="G19" s="744">
        <v>18.399999999999999</v>
      </c>
      <c r="H19" s="753">
        <f t="shared" ref="H19:H24" si="0">+SUM(B19:G19)</f>
        <v>393.89999999999992</v>
      </c>
      <c r="I19" s="745">
        <v>319.2</v>
      </c>
      <c r="J19" s="739">
        <v>18.100000000000001</v>
      </c>
      <c r="K19" s="739">
        <v>18.399999999999999</v>
      </c>
      <c r="L19" s="739">
        <v>4.3</v>
      </c>
      <c r="M19" s="739">
        <v>17.5</v>
      </c>
      <c r="N19" s="746">
        <v>17.3</v>
      </c>
      <c r="O19" s="753">
        <f t="shared" ref="O19:O24" si="1">+SUM(I19:N19)</f>
        <v>394.8</v>
      </c>
      <c r="P19" s="747">
        <v>77</v>
      </c>
      <c r="Q19" s="459">
        <v>77.099999999999994</v>
      </c>
      <c r="R19" s="739">
        <v>24.2</v>
      </c>
      <c r="S19" s="739">
        <v>77.7</v>
      </c>
      <c r="T19" s="746">
        <v>77.099999999999994</v>
      </c>
      <c r="U19" s="748">
        <v>79.599999999999994</v>
      </c>
      <c r="V19" s="739">
        <v>81.2</v>
      </c>
      <c r="W19" s="459">
        <v>25.2</v>
      </c>
      <c r="X19" s="459">
        <v>81</v>
      </c>
      <c r="Y19" s="746">
        <v>81.3</v>
      </c>
      <c r="Z19" s="638">
        <f>SUM(H19,O19,P19:Y19)</f>
        <v>1470.1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743">
        <v>315.10000000000002</v>
      </c>
      <c r="C20" s="739">
        <v>17.399999999999999</v>
      </c>
      <c r="D20" s="739">
        <v>17.899999999999999</v>
      </c>
      <c r="E20" s="739">
        <v>4.2</v>
      </c>
      <c r="F20" s="739">
        <v>18</v>
      </c>
      <c r="G20" s="744">
        <v>18</v>
      </c>
      <c r="H20" s="506">
        <f t="shared" si="0"/>
        <v>390.59999999999997</v>
      </c>
      <c r="I20" s="745">
        <v>317.7</v>
      </c>
      <c r="J20" s="739">
        <v>17.7</v>
      </c>
      <c r="K20" s="739">
        <v>18</v>
      </c>
      <c r="L20" s="739">
        <v>4.3</v>
      </c>
      <c r="M20" s="739">
        <v>18.100000000000001</v>
      </c>
      <c r="N20" s="746">
        <v>17.899999999999999</v>
      </c>
      <c r="O20" s="506">
        <f t="shared" si="1"/>
        <v>393.7</v>
      </c>
      <c r="P20" s="747">
        <v>78.099999999999994</v>
      </c>
      <c r="Q20" s="459">
        <v>77.900000000000006</v>
      </c>
      <c r="R20" s="739">
        <v>25.1</v>
      </c>
      <c r="S20" s="739">
        <v>78.5</v>
      </c>
      <c r="T20" s="746">
        <v>77.900000000000006</v>
      </c>
      <c r="U20" s="748">
        <v>80.900000000000006</v>
      </c>
      <c r="V20" s="739">
        <v>82.3</v>
      </c>
      <c r="W20" s="459">
        <v>25.1</v>
      </c>
      <c r="X20" s="459">
        <v>82.2</v>
      </c>
      <c r="Y20" s="746">
        <v>81.2</v>
      </c>
      <c r="Z20" s="638">
        <f t="shared" ref="Z20:Z24" si="2">SUM(H20,O20,P20:Y20)</f>
        <v>1473.5000000000002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743">
        <v>315.10000000000002</v>
      </c>
      <c r="C21" s="739">
        <v>17.399999999999999</v>
      </c>
      <c r="D21" s="739">
        <v>17.899999999999999</v>
      </c>
      <c r="E21" s="739">
        <v>4.2</v>
      </c>
      <c r="F21" s="739">
        <v>18</v>
      </c>
      <c r="G21" s="744">
        <v>18</v>
      </c>
      <c r="H21" s="506">
        <f t="shared" si="0"/>
        <v>390.59999999999997</v>
      </c>
      <c r="I21" s="745">
        <v>317.7</v>
      </c>
      <c r="J21" s="739">
        <v>17.7</v>
      </c>
      <c r="K21" s="739">
        <v>18</v>
      </c>
      <c r="L21" s="739">
        <v>4.3</v>
      </c>
      <c r="M21" s="739">
        <v>18.100000000000001</v>
      </c>
      <c r="N21" s="746">
        <v>17.899999999999999</v>
      </c>
      <c r="O21" s="506">
        <f t="shared" si="1"/>
        <v>393.7</v>
      </c>
      <c r="P21" s="747">
        <v>78.099999999999994</v>
      </c>
      <c r="Q21" s="459">
        <v>77.8</v>
      </c>
      <c r="R21" s="739">
        <v>25.1</v>
      </c>
      <c r="S21" s="739">
        <v>78.5</v>
      </c>
      <c r="T21" s="746">
        <v>77.900000000000006</v>
      </c>
      <c r="U21" s="748">
        <v>80.900000000000006</v>
      </c>
      <c r="V21" s="739">
        <v>82.3</v>
      </c>
      <c r="W21" s="459">
        <v>25.1</v>
      </c>
      <c r="X21" s="459">
        <v>82.2</v>
      </c>
      <c r="Y21" s="746">
        <v>81.2</v>
      </c>
      <c r="Z21" s="638">
        <f t="shared" si="2"/>
        <v>1473.4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743">
        <v>315.10000000000002</v>
      </c>
      <c r="C22" s="739">
        <v>17.399999999999999</v>
      </c>
      <c r="D22" s="739">
        <v>17.899999999999999</v>
      </c>
      <c r="E22" s="739">
        <v>4.2</v>
      </c>
      <c r="F22" s="739">
        <v>18</v>
      </c>
      <c r="G22" s="744">
        <v>18</v>
      </c>
      <c r="H22" s="506">
        <f t="shared" si="0"/>
        <v>390.59999999999997</v>
      </c>
      <c r="I22" s="745">
        <v>317.7</v>
      </c>
      <c r="J22" s="739">
        <v>17.7</v>
      </c>
      <c r="K22" s="739">
        <v>18</v>
      </c>
      <c r="L22" s="739">
        <v>4.3</v>
      </c>
      <c r="M22" s="739">
        <v>18</v>
      </c>
      <c r="N22" s="746">
        <v>17.899999999999999</v>
      </c>
      <c r="O22" s="506">
        <f t="shared" si="1"/>
        <v>393.59999999999997</v>
      </c>
      <c r="P22" s="747">
        <v>78.099999999999994</v>
      </c>
      <c r="Q22" s="459">
        <v>77.900000000000006</v>
      </c>
      <c r="R22" s="739">
        <v>24.6</v>
      </c>
      <c r="S22" s="739">
        <v>78.5</v>
      </c>
      <c r="T22" s="746">
        <v>77.900000000000006</v>
      </c>
      <c r="U22" s="748">
        <v>80.900000000000006</v>
      </c>
      <c r="V22" s="739">
        <v>82.3</v>
      </c>
      <c r="W22" s="459">
        <v>24.4</v>
      </c>
      <c r="X22" s="459">
        <v>82.2</v>
      </c>
      <c r="Y22" s="746">
        <v>81.2</v>
      </c>
      <c r="Z22" s="638">
        <f t="shared" si="2"/>
        <v>1472.2000000000003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743">
        <v>315.10000000000002</v>
      </c>
      <c r="C23" s="739">
        <v>17.399999999999999</v>
      </c>
      <c r="D23" s="739">
        <v>17.899999999999999</v>
      </c>
      <c r="E23" s="739">
        <v>4.2</v>
      </c>
      <c r="F23" s="739">
        <v>18</v>
      </c>
      <c r="G23" s="744">
        <v>18</v>
      </c>
      <c r="H23" s="506">
        <f t="shared" si="0"/>
        <v>390.59999999999997</v>
      </c>
      <c r="I23" s="745">
        <v>317.7</v>
      </c>
      <c r="J23" s="739">
        <v>17.7</v>
      </c>
      <c r="K23" s="739">
        <v>18</v>
      </c>
      <c r="L23" s="739">
        <v>4.3</v>
      </c>
      <c r="M23" s="739">
        <v>18</v>
      </c>
      <c r="N23" s="746">
        <v>18.600000000000001</v>
      </c>
      <c r="O23" s="506">
        <f t="shared" si="1"/>
        <v>394.3</v>
      </c>
      <c r="P23" s="747">
        <v>78.2</v>
      </c>
      <c r="Q23" s="459">
        <v>77.900000000000006</v>
      </c>
      <c r="R23" s="739">
        <v>24.7</v>
      </c>
      <c r="S23" s="739">
        <v>78.599999999999994</v>
      </c>
      <c r="T23" s="746">
        <v>77.900000000000006</v>
      </c>
      <c r="U23" s="748">
        <v>81</v>
      </c>
      <c r="V23" s="739">
        <v>82.3</v>
      </c>
      <c r="W23" s="459">
        <v>24.4</v>
      </c>
      <c r="X23" s="459">
        <v>82.2</v>
      </c>
      <c r="Y23" s="746">
        <v>81.099999999999994</v>
      </c>
      <c r="Z23" s="638">
        <f t="shared" si="2"/>
        <v>1473.2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743">
        <v>315.10000000000002</v>
      </c>
      <c r="C24" s="739">
        <v>17.399999999999999</v>
      </c>
      <c r="D24" s="739">
        <v>17.899999999999999</v>
      </c>
      <c r="E24" s="739">
        <v>4.2</v>
      </c>
      <c r="F24" s="739">
        <v>18</v>
      </c>
      <c r="G24" s="744">
        <v>18</v>
      </c>
      <c r="H24" s="506">
        <f t="shared" si="0"/>
        <v>390.59999999999997</v>
      </c>
      <c r="I24" s="745">
        <v>317.7</v>
      </c>
      <c r="J24" s="739">
        <v>17.7</v>
      </c>
      <c r="K24" s="739">
        <v>18</v>
      </c>
      <c r="L24" s="739">
        <v>4.3</v>
      </c>
      <c r="M24" s="739">
        <v>18</v>
      </c>
      <c r="N24" s="746">
        <v>18.5</v>
      </c>
      <c r="O24" s="506">
        <f t="shared" si="1"/>
        <v>394.2</v>
      </c>
      <c r="P24" s="747">
        <v>77.099999999999994</v>
      </c>
      <c r="Q24" s="459">
        <v>77.900000000000006</v>
      </c>
      <c r="R24" s="739">
        <v>24.7</v>
      </c>
      <c r="S24" s="739">
        <v>78.599999999999994</v>
      </c>
      <c r="T24" s="746">
        <v>77.8</v>
      </c>
      <c r="U24" s="748">
        <v>79.900000000000006</v>
      </c>
      <c r="V24" s="739">
        <v>82.5</v>
      </c>
      <c r="W24" s="459">
        <v>24.3</v>
      </c>
      <c r="X24" s="459">
        <v>82.1</v>
      </c>
      <c r="Y24" s="746">
        <v>81.099999999999994</v>
      </c>
      <c r="Z24" s="412">
        <f t="shared" si="2"/>
        <v>1470.7999999999997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298">
        <f t="shared" ref="C25:G25" si="3">SUM(C18:C24)</f>
        <v>122.80000000000001</v>
      </c>
      <c r="D25" s="298">
        <f t="shared" si="3"/>
        <v>125.9</v>
      </c>
      <c r="E25" s="298">
        <f t="shared" si="3"/>
        <v>29.799999999999997</v>
      </c>
      <c r="F25" s="298">
        <f t="shared" si="3"/>
        <v>126.8</v>
      </c>
      <c r="G25" s="448">
        <f t="shared" si="3"/>
        <v>126.8</v>
      </c>
      <c r="H25" s="436"/>
      <c r="I25" s="297"/>
      <c r="J25" s="298">
        <f t="shared" ref="J25:N25" si="4">SUM(J18:J24)</f>
        <v>124.70000000000002</v>
      </c>
      <c r="K25" s="298">
        <f>SUM(K18:K24)</f>
        <v>126.8</v>
      </c>
      <c r="L25" s="298">
        <f t="shared" si="4"/>
        <v>30.1</v>
      </c>
      <c r="M25" s="298">
        <f t="shared" si="4"/>
        <v>125.2</v>
      </c>
      <c r="N25" s="299">
        <f t="shared" si="4"/>
        <v>125.4</v>
      </c>
      <c r="O25" s="436"/>
      <c r="P25" s="297">
        <f t="shared" ref="P25:W25" si="5">SUM(P18:P24)</f>
        <v>543.59999999999991</v>
      </c>
      <c r="Q25" s="297">
        <f t="shared" si="5"/>
        <v>543.59999999999991</v>
      </c>
      <c r="R25" s="297">
        <f t="shared" si="5"/>
        <v>172.59999999999997</v>
      </c>
      <c r="S25" s="297">
        <f t="shared" si="5"/>
        <v>548.1</v>
      </c>
      <c r="T25" s="297">
        <f t="shared" si="5"/>
        <v>543.59999999999991</v>
      </c>
      <c r="U25" s="297">
        <f t="shared" si="5"/>
        <v>562.79999999999995</v>
      </c>
      <c r="V25" s="297">
        <f t="shared" si="5"/>
        <v>574.1</v>
      </c>
      <c r="W25" s="297">
        <f t="shared" si="5"/>
        <v>173.70000000000002</v>
      </c>
      <c r="X25" s="297">
        <f>SUM(X18:X24)</f>
        <v>572.9</v>
      </c>
      <c r="Y25" s="297">
        <f>SUM(Y18:Y24)</f>
        <v>568.4</v>
      </c>
      <c r="Z25" s="607">
        <f>SUM(Z18,Z19,Z20,Z21,Z22,Z23,Z24)</f>
        <v>10303.300000000001</v>
      </c>
      <c r="AA25" s="301"/>
    </row>
    <row r="26" spans="1:40" s="2" customFormat="1" ht="36.75" customHeight="1" x14ac:dyDescent="0.25">
      <c r="A26" s="192" t="s">
        <v>11</v>
      </c>
      <c r="B26" s="293"/>
      <c r="C26" s="603">
        <v>161.11999999999992</v>
      </c>
      <c r="D26" s="603">
        <v>161.11999999999992</v>
      </c>
      <c r="E26" s="603">
        <v>161.11999999999992</v>
      </c>
      <c r="F26" s="603">
        <v>161.11999999999992</v>
      </c>
      <c r="G26" s="603">
        <v>161.11999999999992</v>
      </c>
      <c r="H26" s="678"/>
      <c r="I26" s="604"/>
      <c r="J26" s="603">
        <v>161.11999999999992</v>
      </c>
      <c r="K26" s="603">
        <v>161.11999999999992</v>
      </c>
      <c r="L26" s="603">
        <v>161.11999999999992</v>
      </c>
      <c r="M26" s="603">
        <v>161.11999999999992</v>
      </c>
      <c r="N26" s="603">
        <v>161.11999999999992</v>
      </c>
      <c r="O26" s="678"/>
      <c r="P26" s="603">
        <v>161.11999999999992</v>
      </c>
      <c r="Q26" s="603">
        <v>161.11999999999992</v>
      </c>
      <c r="R26" s="603">
        <v>161.11999999999992</v>
      </c>
      <c r="S26" s="603">
        <v>161.11999999999992</v>
      </c>
      <c r="T26" s="603">
        <v>161.11999999999992</v>
      </c>
      <c r="U26" s="603">
        <v>161.11999999999992</v>
      </c>
      <c r="V26" s="603">
        <v>161.11999999999992</v>
      </c>
      <c r="W26" s="603">
        <v>161.11999999999992</v>
      </c>
      <c r="X26" s="603">
        <v>161.11999999999992</v>
      </c>
      <c r="Y26" s="603">
        <v>161.11999999999992</v>
      </c>
      <c r="Z26" s="605">
        <f>(((Z25*1000)/7)/Z27)</f>
        <v>161.71171171171173</v>
      </c>
    </row>
    <row r="27" spans="1:40" s="2" customFormat="1" ht="33" customHeight="1" x14ac:dyDescent="0.25">
      <c r="A27" s="193" t="s">
        <v>12</v>
      </c>
      <c r="B27" s="257"/>
      <c r="C27" s="27">
        <v>557</v>
      </c>
      <c r="D27" s="27">
        <v>574</v>
      </c>
      <c r="E27" s="27">
        <v>135</v>
      </c>
      <c r="F27" s="27">
        <v>576</v>
      </c>
      <c r="G27" s="183">
        <v>575</v>
      </c>
      <c r="H27" s="679"/>
      <c r="I27" s="26"/>
      <c r="J27" s="27">
        <v>567</v>
      </c>
      <c r="K27" s="27">
        <v>579</v>
      </c>
      <c r="L27" s="483">
        <v>136</v>
      </c>
      <c r="M27" s="27">
        <v>579</v>
      </c>
      <c r="N27" s="183">
        <v>576</v>
      </c>
      <c r="O27" s="679"/>
      <c r="P27" s="64">
        <v>482</v>
      </c>
      <c r="Q27" s="27">
        <v>481</v>
      </c>
      <c r="R27" s="27">
        <v>147</v>
      </c>
      <c r="S27" s="27">
        <v>486</v>
      </c>
      <c r="T27" s="756">
        <v>482</v>
      </c>
      <c r="U27" s="26">
        <v>499</v>
      </c>
      <c r="V27" s="27">
        <v>509</v>
      </c>
      <c r="W27" s="27">
        <v>150</v>
      </c>
      <c r="X27" s="27">
        <v>508</v>
      </c>
      <c r="Y27" s="28">
        <v>504</v>
      </c>
      <c r="Z27" s="29">
        <f>SUM(C27:Y27)</f>
        <v>9102</v>
      </c>
      <c r="AA27" s="402"/>
    </row>
    <row r="28" spans="1:40" s="2" customFormat="1" ht="33" customHeight="1" x14ac:dyDescent="0.25">
      <c r="A28" s="444" t="s">
        <v>13</v>
      </c>
      <c r="B28" s="445"/>
      <c r="C28" s="31">
        <f>(C33*C27)/1000</f>
        <v>17.333839999999956</v>
      </c>
      <c r="D28" s="31">
        <f>(D33*D27)/1000</f>
        <v>17.862879999999954</v>
      </c>
      <c r="E28" s="31">
        <f t="shared" ref="E28:F28" si="6">(E33*E27)/1000</f>
        <v>4.2011999999999885</v>
      </c>
      <c r="F28" s="31">
        <f t="shared" si="6"/>
        <v>17.92511999999995</v>
      </c>
      <c r="G28" s="163">
        <f>(G33*G27)/1000</f>
        <v>17.893999999999952</v>
      </c>
      <c r="H28" s="286"/>
      <c r="I28" s="30"/>
      <c r="J28" s="31">
        <f>(J33*J27)/1000</f>
        <v>17.645039999999952</v>
      </c>
      <c r="K28" s="31">
        <f t="shared" ref="K28:N28" si="7">(K33*K27)/1000</f>
        <v>18.018479999999951</v>
      </c>
      <c r="L28" s="31">
        <f t="shared" si="7"/>
        <v>4.232319999999989</v>
      </c>
      <c r="M28" s="31">
        <f t="shared" si="7"/>
        <v>18.018479999999951</v>
      </c>
      <c r="N28" s="163">
        <f t="shared" si="7"/>
        <v>17.92511999999995</v>
      </c>
      <c r="O28" s="286"/>
      <c r="P28" s="65">
        <f>((((P26*7)*P27)/1000)-P18-P19)/5</f>
        <v>77.923775999999947</v>
      </c>
      <c r="Q28" s="31">
        <f t="shared" ref="Q28:Y28" si="8">((((Q26*7)*Q27)/1000)-Q18-Q19)/5</f>
        <v>77.658207999999917</v>
      </c>
      <c r="R28" s="31">
        <f>((((R26*7)*R27)/1000)-R18-R19)/5</f>
        <v>23.478495999999986</v>
      </c>
      <c r="S28" s="31">
        <f t="shared" si="8"/>
        <v>78.546047999999956</v>
      </c>
      <c r="T28" s="163">
        <f t="shared" si="8"/>
        <v>77.883775999999941</v>
      </c>
      <c r="U28" s="30">
        <f t="shared" si="8"/>
        <v>80.718431999999936</v>
      </c>
      <c r="V28" s="31">
        <f t="shared" si="8"/>
        <v>82.334111999999934</v>
      </c>
      <c r="W28" s="31">
        <f t="shared" si="8"/>
        <v>23.755199999999981</v>
      </c>
      <c r="X28" s="31">
        <f t="shared" si="8"/>
        <v>82.188543999999951</v>
      </c>
      <c r="Y28" s="32">
        <f t="shared" si="8"/>
        <v>81.166271999999935</v>
      </c>
      <c r="Z28" s="33"/>
    </row>
    <row r="29" spans="1:40" ht="33.75" customHeight="1" x14ac:dyDescent="0.25">
      <c r="A29" s="185" t="s">
        <v>14</v>
      </c>
      <c r="B29" s="34"/>
      <c r="C29" s="280">
        <f>((C27*C30)*7)/1000</f>
        <v>122.79999999999998</v>
      </c>
      <c r="D29" s="280">
        <f t="shared" ref="D29:G29" si="9">((D27*D30)*7)/1000</f>
        <v>125.9</v>
      </c>
      <c r="E29" s="280">
        <f>((E27*E30)*7)/1000</f>
        <v>29.8</v>
      </c>
      <c r="F29" s="280">
        <f t="shared" si="9"/>
        <v>126.8</v>
      </c>
      <c r="G29" s="281">
        <f t="shared" si="9"/>
        <v>126.79999999999997</v>
      </c>
      <c r="H29" s="680"/>
      <c r="I29" s="279"/>
      <c r="J29" s="280">
        <f>((J27*J30)*7)/1000</f>
        <v>124.70000000000003</v>
      </c>
      <c r="K29" s="280">
        <f t="shared" ref="K29:N29" si="10">((K27*K30)*7)/1000</f>
        <v>126.8</v>
      </c>
      <c r="L29" s="280">
        <f t="shared" si="10"/>
        <v>30.100000000000009</v>
      </c>
      <c r="M29" s="280">
        <f t="shared" si="10"/>
        <v>125.2</v>
      </c>
      <c r="N29" s="281">
        <f t="shared" si="10"/>
        <v>125.4</v>
      </c>
      <c r="O29" s="680"/>
      <c r="P29" s="325">
        <f t="shared" ref="P29:Y29" si="11">((P27*P26)*7)/1000</f>
        <v>543.61887999999976</v>
      </c>
      <c r="Q29" s="280">
        <f t="shared" si="11"/>
        <v>542.49103999999966</v>
      </c>
      <c r="R29" s="280">
        <f t="shared" si="11"/>
        <v>165.79247999999993</v>
      </c>
      <c r="S29" s="280">
        <f t="shared" si="11"/>
        <v>548.13023999999973</v>
      </c>
      <c r="T29" s="281">
        <f t="shared" si="11"/>
        <v>543.61887999999976</v>
      </c>
      <c r="U29" s="279">
        <f t="shared" si="11"/>
        <v>562.79215999999974</v>
      </c>
      <c r="V29" s="280">
        <f t="shared" si="11"/>
        <v>574.07055999999966</v>
      </c>
      <c r="W29" s="280">
        <f t="shared" si="11"/>
        <v>169.1759999999999</v>
      </c>
      <c r="X29" s="280">
        <f t="shared" si="11"/>
        <v>572.94271999999978</v>
      </c>
      <c r="Y29" s="282">
        <f t="shared" si="11"/>
        <v>568.43135999999959</v>
      </c>
      <c r="Z29" s="36"/>
    </row>
    <row r="30" spans="1:40" ht="33.75" customHeight="1" thickBot="1" x14ac:dyDescent="0.3">
      <c r="A30" s="195" t="s">
        <v>15</v>
      </c>
      <c r="B30" s="423"/>
      <c r="C30" s="38">
        <f>+(C25/C27)/7*1000</f>
        <v>31.495255193639395</v>
      </c>
      <c r="D30" s="38">
        <f t="shared" ref="D30:X30" si="12">+(D25/D27)/7*1000</f>
        <v>31.333997013439522</v>
      </c>
      <c r="E30" s="38">
        <f>+(E25/E27)/7*1000</f>
        <v>31.534391534391531</v>
      </c>
      <c r="F30" s="38">
        <f t="shared" si="12"/>
        <v>31.448412698412696</v>
      </c>
      <c r="G30" s="207">
        <f t="shared" si="12"/>
        <v>31.503105590062106</v>
      </c>
      <c r="H30" s="262"/>
      <c r="I30" s="37"/>
      <c r="J30" s="38">
        <f t="shared" si="12"/>
        <v>31.418493323255234</v>
      </c>
      <c r="K30" s="38">
        <f t="shared" si="12"/>
        <v>31.285467554897604</v>
      </c>
      <c r="L30" s="38">
        <f t="shared" si="12"/>
        <v>31.617647058823536</v>
      </c>
      <c r="M30" s="38">
        <f t="shared" si="12"/>
        <v>30.890698248211201</v>
      </c>
      <c r="N30" s="207">
        <f>+(N25/N27)/7*1000</f>
        <v>31.101190476190478</v>
      </c>
      <c r="O30" s="262"/>
      <c r="P30" s="67">
        <f t="shared" si="12"/>
        <v>161.11440426793121</v>
      </c>
      <c r="Q30" s="38">
        <f t="shared" si="12"/>
        <v>161.44936144936142</v>
      </c>
      <c r="R30" s="38">
        <f t="shared" si="12"/>
        <v>167.73566569484936</v>
      </c>
      <c r="S30" s="38">
        <f t="shared" si="12"/>
        <v>161.11111111111111</v>
      </c>
      <c r="T30" s="207">
        <f t="shared" si="12"/>
        <v>161.11440426793121</v>
      </c>
      <c r="U30" s="37">
        <f t="shared" si="12"/>
        <v>161.12224448897794</v>
      </c>
      <c r="V30" s="38">
        <f t="shared" si="12"/>
        <v>161.12826269997194</v>
      </c>
      <c r="W30" s="38">
        <f t="shared" si="12"/>
        <v>165.42857142857144</v>
      </c>
      <c r="X30" s="38">
        <f t="shared" si="12"/>
        <v>161.10798650168729</v>
      </c>
      <c r="Y30" s="39">
        <f>+(Y25/Y27)/7*1000</f>
        <v>161.11111111111111</v>
      </c>
      <c r="Z30" s="40"/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3">D29-D25</f>
        <v>0</v>
      </c>
      <c r="E31" s="42">
        <f t="shared" si="13"/>
        <v>0</v>
      </c>
      <c r="F31" s="42">
        <f t="shared" si="13"/>
        <v>0</v>
      </c>
      <c r="G31" s="42">
        <f t="shared" si="13"/>
        <v>0</v>
      </c>
      <c r="H31" s="42"/>
      <c r="I31" s="42"/>
      <c r="J31" s="42">
        <f t="shared" si="13"/>
        <v>0</v>
      </c>
      <c r="K31" s="42">
        <f>K29-K25</f>
        <v>0</v>
      </c>
      <c r="L31" s="42">
        <f t="shared" si="13"/>
        <v>0</v>
      </c>
      <c r="M31" s="42">
        <f t="shared" si="13"/>
        <v>0</v>
      </c>
      <c r="N31" s="42">
        <f t="shared" si="13"/>
        <v>0</v>
      </c>
      <c r="O31" s="42"/>
      <c r="P31" s="42">
        <f>P29-P25</f>
        <v>1.887999999985368E-2</v>
      </c>
      <c r="Q31" s="42">
        <f>Q29-Q25</f>
        <v>-1.108960000000252</v>
      </c>
      <c r="R31" s="42">
        <f t="shared" si="13"/>
        <v>-6.8075200000000393</v>
      </c>
      <c r="S31" s="42">
        <f t="shared" si="13"/>
        <v>3.0239999999707834E-2</v>
      </c>
      <c r="T31" s="42">
        <f t="shared" si="13"/>
        <v>1.887999999985368E-2</v>
      </c>
      <c r="U31" s="42">
        <f>U29-U25</f>
        <v>-7.8400000002147863E-3</v>
      </c>
      <c r="V31" s="42">
        <f t="shared" si="13"/>
        <v>-2.9440000000363398E-2</v>
      </c>
      <c r="W31" s="42">
        <f t="shared" si="13"/>
        <v>-4.5240000000001146</v>
      </c>
      <c r="X31" s="42">
        <f t="shared" si="13"/>
        <v>4.2719999999803804E-2</v>
      </c>
      <c r="Y31" s="42">
        <f>Y29-Y25</f>
        <v>3.135999999960859E-2</v>
      </c>
      <c r="Z31" s="48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0.37525519363947524</v>
      </c>
      <c r="D32" s="42">
        <f t="shared" ref="D32:G32" si="14">D30-D33</f>
        <v>0.21399701343960231</v>
      </c>
      <c r="E32" s="42">
        <f>E30-E33</f>
        <v>0.41439153439161203</v>
      </c>
      <c r="F32" s="42">
        <f t="shared" si="14"/>
        <v>0.32841269841277665</v>
      </c>
      <c r="G32" s="42">
        <f t="shared" si="14"/>
        <v>0.38310559006218625</v>
      </c>
      <c r="H32" s="42"/>
      <c r="I32" s="42"/>
      <c r="J32" s="42">
        <f t="shared" ref="J32:M32" si="15">J30-J33</f>
        <v>0.29849332325531464</v>
      </c>
      <c r="K32" s="42">
        <f t="shared" si="15"/>
        <v>0.16546755489768472</v>
      </c>
      <c r="L32" s="42">
        <f t="shared" si="15"/>
        <v>0.49764705882361682</v>
      </c>
      <c r="M32" s="42">
        <f t="shared" si="15"/>
        <v>-0.22930175178871792</v>
      </c>
      <c r="N32" s="42">
        <f>N30-N33</f>
        <v>-1.8809523809441231E-2</v>
      </c>
      <c r="O32" s="42"/>
      <c r="P32" s="42">
        <f>P30-P26</f>
        <v>-5.5957320687127776E-3</v>
      </c>
      <c r="Q32" s="42">
        <f t="shared" si="13"/>
        <v>0.32936144936149958</v>
      </c>
      <c r="R32" s="42">
        <f t="shared" si="13"/>
        <v>6.6156656948494401</v>
      </c>
      <c r="S32" s="42">
        <f t="shared" si="13"/>
        <v>-8.8888888888050133E-3</v>
      </c>
      <c r="T32" s="42">
        <f t="shared" si="13"/>
        <v>-5.5957320687127776E-3</v>
      </c>
      <c r="U32" s="42">
        <f t="shared" si="13"/>
        <v>2.2444889780217636E-3</v>
      </c>
      <c r="V32" s="42">
        <f t="shared" si="13"/>
        <v>8.2626999720218919E-3</v>
      </c>
      <c r="W32" s="42">
        <f t="shared" si="13"/>
        <v>4.3085714285715255</v>
      </c>
      <c r="X32" s="42">
        <f t="shared" si="13"/>
        <v>-1.2013498312626325E-2</v>
      </c>
      <c r="Y32" s="42">
        <f t="shared" si="13"/>
        <v>-8.8888888888050133E-3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31.119999999999919</v>
      </c>
      <c r="D33" s="42">
        <f t="shared" ref="D33:G33" si="16">D26-$B$34</f>
        <v>31.119999999999919</v>
      </c>
      <c r="E33" s="42">
        <f t="shared" si="16"/>
        <v>31.119999999999919</v>
      </c>
      <c r="F33" s="42">
        <f t="shared" si="16"/>
        <v>31.119999999999919</v>
      </c>
      <c r="G33" s="42">
        <f t="shared" si="16"/>
        <v>31.119999999999919</v>
      </c>
      <c r="H33" s="42"/>
      <c r="I33" s="42"/>
      <c r="J33" s="42">
        <f>J26-$I$34</f>
        <v>31.119999999999919</v>
      </c>
      <c r="K33" s="42">
        <f t="shared" ref="K33:L33" si="17">K26-$I$34</f>
        <v>31.119999999999919</v>
      </c>
      <c r="L33" s="42">
        <f t="shared" si="17"/>
        <v>31.119999999999919</v>
      </c>
      <c r="M33" s="42">
        <f>M26-$I$34</f>
        <v>31.119999999999919</v>
      </c>
      <c r="N33" s="42">
        <f>N26-$I$34</f>
        <v>31.119999999999919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314.20999999999998</v>
      </c>
      <c r="D34" s="432">
        <f>SUM(C27:G27)</f>
        <v>2417</v>
      </c>
      <c r="E34" s="42"/>
      <c r="F34" s="42"/>
      <c r="G34" s="42"/>
      <c r="H34" s="42"/>
      <c r="I34" s="514">
        <v>130</v>
      </c>
      <c r="J34" s="431">
        <f>(I34*K34)/1000</f>
        <v>316.81</v>
      </c>
      <c r="K34" s="432">
        <f>SUM(J27:N27)</f>
        <v>2437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674" t="s">
        <v>9</v>
      </c>
      <c r="S39" s="645"/>
      <c r="U39" s="45"/>
      <c r="V39" s="45"/>
      <c r="W39" s="46"/>
      <c r="X39" s="3"/>
      <c r="Y39" s="45"/>
      <c r="Z39" s="45"/>
      <c r="AA39" s="45"/>
      <c r="AB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168">
        <v>5</v>
      </c>
      <c r="R40" s="236"/>
      <c r="S40" s="645"/>
      <c r="U40" s="47"/>
      <c r="X40" s="48"/>
      <c r="Y40" s="2"/>
      <c r="Z40" s="2"/>
      <c r="AA40" s="2"/>
      <c r="AB40" s="2"/>
    </row>
    <row r="41" spans="1:38" ht="33.75" customHeight="1" x14ac:dyDescent="0.25">
      <c r="A41" s="171" t="s">
        <v>32</v>
      </c>
      <c r="B41" s="142">
        <v>92.4</v>
      </c>
      <c r="C41" s="486">
        <v>91.1</v>
      </c>
      <c r="D41" s="486">
        <v>19.100000000000001</v>
      </c>
      <c r="E41" s="486">
        <v>92.2</v>
      </c>
      <c r="F41" s="537">
        <v>90.1</v>
      </c>
      <c r="G41" s="638">
        <f t="shared" ref="G41:G48" si="18">SUM(B41:F41)</f>
        <v>384.9</v>
      </c>
      <c r="H41" s="364"/>
      <c r="I41" s="364"/>
      <c r="J41" s="364"/>
      <c r="K41" s="364"/>
      <c r="L41" s="171" t="s">
        <v>53</v>
      </c>
      <c r="M41" s="18">
        <v>7</v>
      </c>
      <c r="N41" s="19">
        <v>6.8</v>
      </c>
      <c r="O41" s="19">
        <v>1.3</v>
      </c>
      <c r="P41" s="19">
        <v>7</v>
      </c>
      <c r="Q41" s="19">
        <v>7</v>
      </c>
      <c r="R41" s="750">
        <f t="shared" ref="R41:R48" si="19">SUM(M41:Q41)</f>
        <v>29.1</v>
      </c>
      <c r="S41" s="646"/>
      <c r="T41" s="675"/>
      <c r="U41" s="657"/>
      <c r="X41" s="48"/>
      <c r="Y41" s="2"/>
      <c r="Z41" s="2"/>
      <c r="AA41" s="2"/>
      <c r="AB41" s="2"/>
    </row>
    <row r="42" spans="1:38" ht="33.75" customHeight="1" x14ac:dyDescent="0.25">
      <c r="A42" s="171" t="s">
        <v>24</v>
      </c>
      <c r="B42" s="279">
        <v>92.4</v>
      </c>
      <c r="C42" s="280">
        <v>91.1</v>
      </c>
      <c r="D42" s="280">
        <v>19.100000000000001</v>
      </c>
      <c r="E42" s="280">
        <v>92.2</v>
      </c>
      <c r="F42" s="281">
        <v>90.1</v>
      </c>
      <c r="G42" s="638">
        <f t="shared" si="18"/>
        <v>384.9</v>
      </c>
      <c r="H42" s="364"/>
      <c r="I42" s="364"/>
      <c r="J42" s="364"/>
      <c r="K42" s="364"/>
      <c r="L42" s="171" t="s">
        <v>24</v>
      </c>
      <c r="M42" s="18">
        <v>7</v>
      </c>
      <c r="N42" s="19">
        <v>6.8</v>
      </c>
      <c r="O42" s="19">
        <v>1.3</v>
      </c>
      <c r="P42" s="19">
        <v>7</v>
      </c>
      <c r="Q42" s="19">
        <v>7</v>
      </c>
      <c r="R42" s="752">
        <f t="shared" si="19"/>
        <v>29.1</v>
      </c>
      <c r="S42" s="646"/>
      <c r="T42" s="647"/>
      <c r="U42" s="658"/>
      <c r="X42" s="48"/>
      <c r="Y42" s="2"/>
      <c r="Z42" s="2"/>
      <c r="AA42" s="2"/>
      <c r="AB42" s="2"/>
    </row>
    <row r="43" spans="1:38" ht="33.75" customHeight="1" x14ac:dyDescent="0.25">
      <c r="A43" s="171" t="s">
        <v>20</v>
      </c>
      <c r="B43" s="279">
        <v>92.1</v>
      </c>
      <c r="C43" s="280">
        <v>90.9</v>
      </c>
      <c r="D43" s="280">
        <v>19.5</v>
      </c>
      <c r="E43" s="280">
        <v>91.9</v>
      </c>
      <c r="F43" s="281">
        <v>89.9</v>
      </c>
      <c r="G43" s="638">
        <f t="shared" si="18"/>
        <v>384.29999999999995</v>
      </c>
      <c r="H43" s="364"/>
      <c r="I43" s="364"/>
      <c r="J43" s="364"/>
      <c r="K43" s="364"/>
      <c r="L43" s="171" t="s">
        <v>20</v>
      </c>
      <c r="M43" s="18">
        <v>7</v>
      </c>
      <c r="N43" s="19">
        <v>6.8</v>
      </c>
      <c r="O43" s="19">
        <v>1.3</v>
      </c>
      <c r="P43" s="19">
        <v>7</v>
      </c>
      <c r="Q43" s="19">
        <v>7</v>
      </c>
      <c r="R43" s="752">
        <f t="shared" si="19"/>
        <v>29.1</v>
      </c>
      <c r="S43" s="646"/>
      <c r="T43" s="647"/>
      <c r="U43" s="658"/>
      <c r="X43" s="48"/>
      <c r="Y43" s="2"/>
      <c r="Z43" s="2"/>
      <c r="AA43" s="2"/>
      <c r="AB43" s="2"/>
    </row>
    <row r="44" spans="1:38" ht="33.75" customHeight="1" x14ac:dyDescent="0.25">
      <c r="A44" s="171" t="s">
        <v>28</v>
      </c>
      <c r="B44" s="279">
        <v>92.1</v>
      </c>
      <c r="C44" s="280">
        <v>90.8</v>
      </c>
      <c r="D44" s="280">
        <v>19.5</v>
      </c>
      <c r="E44" s="280">
        <v>91.9</v>
      </c>
      <c r="F44" s="281">
        <v>89.9</v>
      </c>
      <c r="G44" s="638">
        <f t="shared" si="18"/>
        <v>384.19999999999993</v>
      </c>
      <c r="H44" s="651"/>
      <c r="I44" s="364"/>
      <c r="J44" s="364"/>
      <c r="K44" s="364"/>
      <c r="L44" s="171" t="s">
        <v>28</v>
      </c>
      <c r="M44" s="279">
        <v>6.9</v>
      </c>
      <c r="N44" s="741">
        <v>6.9</v>
      </c>
      <c r="O44" s="741">
        <v>1.4</v>
      </c>
      <c r="P44" s="741">
        <v>7</v>
      </c>
      <c r="Q44" s="741">
        <v>6.9</v>
      </c>
      <c r="R44" s="752">
        <f t="shared" si="19"/>
        <v>29.1</v>
      </c>
      <c r="S44" s="646"/>
      <c r="T44" s="647"/>
      <c r="U44" s="658"/>
      <c r="X44" s="48"/>
      <c r="Y44" s="2"/>
      <c r="Z44" s="2"/>
      <c r="AA44" s="2"/>
      <c r="AB44" s="2"/>
    </row>
    <row r="45" spans="1:38" ht="33.75" customHeight="1" x14ac:dyDescent="0.25">
      <c r="A45" s="171" t="s">
        <v>21</v>
      </c>
      <c r="B45" s="279">
        <v>91.3</v>
      </c>
      <c r="C45" s="280">
        <v>90.8</v>
      </c>
      <c r="D45" s="280">
        <v>19.5</v>
      </c>
      <c r="E45" s="280">
        <v>91.9</v>
      </c>
      <c r="F45" s="281">
        <v>89.3</v>
      </c>
      <c r="G45" s="638">
        <f t="shared" si="18"/>
        <v>382.8</v>
      </c>
      <c r="H45" s="651"/>
      <c r="I45" s="364"/>
      <c r="J45" s="364"/>
      <c r="K45" s="364"/>
      <c r="L45" s="171" t="s">
        <v>21</v>
      </c>
      <c r="M45" s="279">
        <v>6.9</v>
      </c>
      <c r="N45" s="180">
        <v>6.9</v>
      </c>
      <c r="O45" s="741">
        <v>1.5</v>
      </c>
      <c r="P45" s="180">
        <v>7</v>
      </c>
      <c r="Q45" s="180">
        <v>6.9</v>
      </c>
      <c r="R45" s="752">
        <f t="shared" si="19"/>
        <v>29.200000000000003</v>
      </c>
      <c r="S45" s="646"/>
      <c r="T45" s="647"/>
      <c r="U45" s="658"/>
      <c r="X45" s="48"/>
      <c r="Y45" s="2"/>
      <c r="Z45" s="2"/>
      <c r="AA45" s="2"/>
      <c r="AB45" s="2"/>
    </row>
    <row r="46" spans="1:38" ht="33.75" customHeight="1" x14ac:dyDescent="0.25">
      <c r="A46" s="171" t="s">
        <v>22</v>
      </c>
      <c r="B46" s="279">
        <v>91.3</v>
      </c>
      <c r="C46" s="280">
        <v>90.8</v>
      </c>
      <c r="D46" s="280">
        <v>19.5</v>
      </c>
      <c r="E46" s="280">
        <v>91.9</v>
      </c>
      <c r="F46" s="281">
        <v>89.3</v>
      </c>
      <c r="G46" s="638">
        <f t="shared" si="18"/>
        <v>382.8</v>
      </c>
      <c r="H46" s="651"/>
      <c r="I46" s="364"/>
      <c r="J46" s="364"/>
      <c r="K46" s="364"/>
      <c r="L46" s="171" t="s">
        <v>22</v>
      </c>
      <c r="M46" s="279">
        <v>6.9</v>
      </c>
      <c r="N46" s="180">
        <v>7</v>
      </c>
      <c r="O46" s="741">
        <v>1.5</v>
      </c>
      <c r="P46" s="180">
        <v>7</v>
      </c>
      <c r="Q46" s="180">
        <v>6.9</v>
      </c>
      <c r="R46" s="752">
        <f t="shared" si="19"/>
        <v>29.299999999999997</v>
      </c>
      <c r="S46" s="646"/>
      <c r="T46" s="647"/>
      <c r="U46" s="658"/>
      <c r="X46" s="48"/>
      <c r="Y46" s="2"/>
      <c r="Z46" s="2"/>
      <c r="AA46" s="2"/>
      <c r="AB46" s="2"/>
    </row>
    <row r="47" spans="1:38" ht="33.75" customHeight="1" thickBot="1" x14ac:dyDescent="0.3">
      <c r="A47" s="285" t="s">
        <v>23</v>
      </c>
      <c r="B47" s="279">
        <v>90.3</v>
      </c>
      <c r="C47" s="280">
        <v>88.7</v>
      </c>
      <c r="D47" s="280">
        <v>17.399999999999999</v>
      </c>
      <c r="E47" s="280">
        <v>91</v>
      </c>
      <c r="F47" s="281">
        <v>87.9</v>
      </c>
      <c r="G47" s="376">
        <f t="shared" si="18"/>
        <v>375.29999999999995</v>
      </c>
      <c r="H47" s="651"/>
      <c r="I47" s="364"/>
      <c r="J47" s="364"/>
      <c r="K47" s="364"/>
      <c r="L47" s="285" t="s">
        <v>23</v>
      </c>
      <c r="M47" s="130">
        <v>7</v>
      </c>
      <c r="N47" s="689">
        <v>7</v>
      </c>
      <c r="O47" s="741">
        <v>1.5</v>
      </c>
      <c r="P47" s="689">
        <v>7.1</v>
      </c>
      <c r="Q47" s="689">
        <v>7</v>
      </c>
      <c r="R47" s="372">
        <f t="shared" si="19"/>
        <v>29.6</v>
      </c>
      <c r="S47" s="646"/>
      <c r="T47" s="647"/>
      <c r="U47" s="658"/>
      <c r="X47" s="48"/>
      <c r="Y47" s="48"/>
      <c r="Z47" s="48"/>
      <c r="AA47" s="2"/>
      <c r="AB47" s="2"/>
      <c r="AC47" s="2"/>
      <c r="AD47" s="2"/>
    </row>
    <row r="48" spans="1:38" ht="33.75" customHeight="1" thickBot="1" x14ac:dyDescent="0.3">
      <c r="A48" s="290" t="s">
        <v>9</v>
      </c>
      <c r="B48" s="297">
        <f>SUM(B41:B47)</f>
        <v>641.9</v>
      </c>
      <c r="C48" s="298">
        <f t="shared" ref="C48:F48" si="20">SUM(C41:C47)</f>
        <v>634.20000000000005</v>
      </c>
      <c r="D48" s="298">
        <f t="shared" si="20"/>
        <v>133.6</v>
      </c>
      <c r="E48" s="298">
        <f t="shared" si="20"/>
        <v>643</v>
      </c>
      <c r="F48" s="448">
        <f t="shared" si="20"/>
        <v>626.5</v>
      </c>
      <c r="G48" s="729">
        <f t="shared" si="18"/>
        <v>2679.2</v>
      </c>
      <c r="H48" s="364"/>
      <c r="I48" s="364"/>
      <c r="J48" s="364"/>
      <c r="K48" s="364"/>
      <c r="L48" s="290" t="s">
        <v>9</v>
      </c>
      <c r="M48" s="687">
        <f>SUM(M41:M47)</f>
        <v>48.699999999999996</v>
      </c>
      <c r="N48" s="688">
        <f>SUM(N41:N47)</f>
        <v>48.199999999999996</v>
      </c>
      <c r="O48" s="688">
        <f>SUM(O41:O47)</f>
        <v>9.8000000000000007</v>
      </c>
      <c r="P48" s="688">
        <f t="shared" ref="P48:Q48" si="21">SUM(P41:P47)</f>
        <v>49.1</v>
      </c>
      <c r="Q48" s="688">
        <f t="shared" si="21"/>
        <v>48.699999999999996</v>
      </c>
      <c r="R48" s="607">
        <f t="shared" si="19"/>
        <v>204.49999999999997</v>
      </c>
      <c r="S48" s="647"/>
      <c r="T48" s="647"/>
      <c r="U48" s="658"/>
      <c r="X48" s="2"/>
      <c r="Y48" s="2"/>
      <c r="Z48" s="2"/>
      <c r="AA48" s="2"/>
      <c r="AB48" s="2"/>
      <c r="AC48" s="2"/>
      <c r="AD48" s="2"/>
    </row>
    <row r="49" spans="1:50" ht="33.75" customHeight="1" x14ac:dyDescent="0.25">
      <c r="A49" s="192" t="s">
        <v>11</v>
      </c>
      <c r="B49" s="751">
        <v>156.48099999999994</v>
      </c>
      <c r="C49" s="751">
        <v>156.48099999999994</v>
      </c>
      <c r="D49" s="751">
        <v>156.48099999999994</v>
      </c>
      <c r="E49" s="751">
        <v>156.48099999999994</v>
      </c>
      <c r="F49" s="751">
        <v>156.48099999999994</v>
      </c>
      <c r="G49" s="730">
        <f>+((G48/G50)/7)*1000</f>
        <v>157.24850334546309</v>
      </c>
      <c r="H49" s="609"/>
      <c r="I49" s="364"/>
      <c r="J49" s="364"/>
      <c r="K49" s="364"/>
      <c r="L49" s="273" t="s">
        <v>11</v>
      </c>
      <c r="M49" s="293">
        <v>158</v>
      </c>
      <c r="N49" s="294">
        <v>156.5</v>
      </c>
      <c r="O49" s="294">
        <v>155.5</v>
      </c>
      <c r="P49" s="294">
        <v>156</v>
      </c>
      <c r="Q49" s="294">
        <v>154.5</v>
      </c>
      <c r="R49" s="296">
        <f>+((R48/R50)/7)*1000</f>
        <v>156.22612681436209</v>
      </c>
      <c r="S49" s="648"/>
      <c r="T49" s="647"/>
      <c r="U49" s="658"/>
      <c r="V49" s="50"/>
    </row>
    <row r="50" spans="1:50" ht="33.75" customHeight="1" x14ac:dyDescent="0.25">
      <c r="A50" s="193" t="s">
        <v>12</v>
      </c>
      <c r="B50" s="26">
        <v>583</v>
      </c>
      <c r="C50" s="27">
        <v>575</v>
      </c>
      <c r="D50" s="27">
        <v>120</v>
      </c>
      <c r="E50" s="27">
        <v>585</v>
      </c>
      <c r="F50" s="183">
        <v>571</v>
      </c>
      <c r="G50" s="731">
        <f>SUM(B50:F50)</f>
        <v>2434</v>
      </c>
      <c r="H50" s="609"/>
      <c r="I50" s="364"/>
      <c r="J50" s="364"/>
      <c r="K50" s="364"/>
      <c r="L50" s="193" t="s">
        <v>12</v>
      </c>
      <c r="M50" s="257">
        <v>44</v>
      </c>
      <c r="N50" s="275">
        <v>44</v>
      </c>
      <c r="O50" s="275">
        <v>9</v>
      </c>
      <c r="P50" s="275">
        <v>45</v>
      </c>
      <c r="Q50" s="275">
        <v>45</v>
      </c>
      <c r="R50" s="254">
        <f>SUM(M50:Q50)</f>
        <v>187</v>
      </c>
      <c r="S50" s="649"/>
      <c r="T50" s="301"/>
      <c r="U50" s="52"/>
      <c r="V50" s="52"/>
    </row>
    <row r="51" spans="1:50" ht="33.75" customHeight="1" x14ac:dyDescent="0.25">
      <c r="A51" s="194" t="s">
        <v>13</v>
      </c>
      <c r="B51" s="30">
        <f>((((B49*7)*B50)/1000)-B41-B42)/5</f>
        <v>90.75979219999995</v>
      </c>
      <c r="C51" s="31">
        <f t="shared" ref="C51:F51" si="22">((((C49*7)*C50)/1000)-C41-C42)/5</f>
        <v>89.527204999999938</v>
      </c>
      <c r="D51" s="31">
        <f>((((D49*7)*D50)/1000)-D41-D42)/5</f>
        <v>18.648807999999992</v>
      </c>
      <c r="E51" s="31">
        <f t="shared" si="22"/>
        <v>91.277938999999932</v>
      </c>
      <c r="F51" s="163">
        <f t="shared" si="22"/>
        <v>89.050911399999933</v>
      </c>
      <c r="G51" s="732">
        <f>((G48*1000)/G50)/7</f>
        <v>157.24850334546309</v>
      </c>
      <c r="H51" s="609"/>
      <c r="I51" s="364"/>
      <c r="J51" s="364"/>
      <c r="K51" s="364"/>
      <c r="L51" s="194" t="s">
        <v>13</v>
      </c>
      <c r="M51" s="30">
        <f>((((M49*7)*M50)/1000)-M41-M42)/5</f>
        <v>6.9328000000000003</v>
      </c>
      <c r="N51" s="31">
        <f t="shared" ref="N51:Q51" si="23">((((N49*7)*N50)/1000)-N41-N42)/5</f>
        <v>6.9204000000000008</v>
      </c>
      <c r="O51" s="31">
        <f t="shared" si="23"/>
        <v>1.4392999999999998</v>
      </c>
      <c r="P51" s="31">
        <f t="shared" si="23"/>
        <v>7.0280000000000005</v>
      </c>
      <c r="Q51" s="31">
        <f t="shared" si="23"/>
        <v>6.9334999999999996</v>
      </c>
      <c r="R51" s="274">
        <f>((R48*1000)/R50)/7</f>
        <v>156.22612681436209</v>
      </c>
      <c r="S51" s="650"/>
      <c r="T51" s="301"/>
      <c r="U51" s="52"/>
      <c r="V51" s="52"/>
    </row>
    <row r="52" spans="1:50" ht="33.75" customHeight="1" x14ac:dyDescent="0.25">
      <c r="A52" s="185" t="s">
        <v>14</v>
      </c>
      <c r="B52" s="279">
        <f>((B50*B49)*7)/1000</f>
        <v>638.5989609999998</v>
      </c>
      <c r="C52" s="280">
        <f>((C50*C49)*7)/1000</f>
        <v>629.83602499999984</v>
      </c>
      <c r="D52" s="280">
        <f>((D50*D49)*7)/1000</f>
        <v>131.44403999999994</v>
      </c>
      <c r="E52" s="280">
        <f>((E50*E49)*7)/1000</f>
        <v>640.78969499999971</v>
      </c>
      <c r="F52" s="281">
        <f>((F50*F49)*7)/1000</f>
        <v>625.4545569999998</v>
      </c>
      <c r="G52" s="73"/>
      <c r="H52" s="609"/>
      <c r="I52" s="364"/>
      <c r="J52" s="364"/>
      <c r="K52" s="364"/>
      <c r="L52" s="185" t="s">
        <v>14</v>
      </c>
      <c r="M52" s="279">
        <f>((M50*M49)*7)/1000</f>
        <v>48.664000000000001</v>
      </c>
      <c r="N52" s="280">
        <f>((N50*N49)*7)/1000</f>
        <v>48.201999999999998</v>
      </c>
      <c r="O52" s="280">
        <f>((O50*O49)*7)/1000</f>
        <v>9.7965</v>
      </c>
      <c r="P52" s="280">
        <f t="shared" ref="P52:Q52" si="24">((P50*P49)*7)/1000</f>
        <v>49.14</v>
      </c>
      <c r="Q52" s="280">
        <f t="shared" si="24"/>
        <v>48.667499999999997</v>
      </c>
      <c r="R52" s="36"/>
      <c r="S52" s="522"/>
    </row>
    <row r="53" spans="1:50" ht="33.75" customHeight="1" thickBot="1" x14ac:dyDescent="0.3">
      <c r="A53" s="195" t="s">
        <v>15</v>
      </c>
      <c r="B53" s="37">
        <f>+(B48/B50)/7*1000</f>
        <v>157.28987993138935</v>
      </c>
      <c r="C53" s="38">
        <f t="shared" ref="C53:E53" si="25">+(C48/C50)/7*1000</f>
        <v>157.56521739130437</v>
      </c>
      <c r="D53" s="38">
        <f t="shared" si="25"/>
        <v>159.04761904761904</v>
      </c>
      <c r="E53" s="38">
        <f t="shared" si="25"/>
        <v>157.02075702075706</v>
      </c>
      <c r="F53" s="207">
        <f>+(F48/F50)/7*1000</f>
        <v>156.74255691768826</v>
      </c>
      <c r="G53" s="74"/>
      <c r="H53" s="609"/>
      <c r="I53" s="364"/>
      <c r="J53" s="364"/>
      <c r="K53" s="364"/>
      <c r="L53" s="195" t="s">
        <v>15</v>
      </c>
      <c r="M53" s="37">
        <f>+(M48/M50)/7*1000</f>
        <v>158.11688311688309</v>
      </c>
      <c r="N53" s="38">
        <f>+(N48/N50)/7*1000</f>
        <v>156.49350649350649</v>
      </c>
      <c r="O53" s="38">
        <f>+(O48/O50)/7*1000</f>
        <v>155.5555555555556</v>
      </c>
      <c r="P53" s="38">
        <f t="shared" ref="P53:Q53" si="26">+(P48/P50)/7*1000</f>
        <v>155.87301587301587</v>
      </c>
      <c r="Q53" s="38">
        <f t="shared" si="26"/>
        <v>154.60317460317461</v>
      </c>
      <c r="R53" s="259"/>
      <c r="S53" s="651"/>
      <c r="U53" s="42"/>
      <c r="V53" s="42"/>
    </row>
    <row r="54" spans="1:50" ht="33.75" customHeight="1" x14ac:dyDescent="0.25">
      <c r="A54" s="41"/>
      <c r="B54" s="43">
        <f>B52-B48</f>
        <v>-3.3010390000001735</v>
      </c>
      <c r="C54" s="43">
        <f t="shared" ref="C54:D55" si="27">C52-C48</f>
        <v>-4.3639750000002095</v>
      </c>
      <c r="D54" s="43">
        <f t="shared" si="27"/>
        <v>-2.1559600000000501</v>
      </c>
      <c r="E54" s="43">
        <f>E52-E48</f>
        <v>-2.2103050000002895</v>
      </c>
      <c r="F54" s="43">
        <f>F52-F48</f>
        <v>-1.0454430000002048</v>
      </c>
      <c r="G54" s="41"/>
      <c r="H54" s="41"/>
      <c r="I54" s="41"/>
      <c r="J54" s="41"/>
      <c r="K54" s="41"/>
      <c r="L54" s="42"/>
      <c r="M54" s="42">
        <f>M52-M48</f>
        <v>-3.5999999999994259E-2</v>
      </c>
      <c r="N54" s="42">
        <f>N52-N48</f>
        <v>2.0000000000024443E-3</v>
      </c>
      <c r="O54" s="42">
        <f t="shared" ref="N54:Q55" si="28">O52-O48</f>
        <v>-3.5000000000007248E-3</v>
      </c>
      <c r="P54" s="42">
        <f t="shared" si="28"/>
        <v>3.9999999999999147E-2</v>
      </c>
      <c r="Q54" s="42">
        <f t="shared" si="28"/>
        <v>-3.2499999999998863E-2</v>
      </c>
      <c r="R54" s="42"/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0.80887993138941283</v>
      </c>
      <c r="C55" s="42">
        <f>C53-C49</f>
        <v>1.0842173913044348</v>
      </c>
      <c r="D55" s="42">
        <f t="shared" si="27"/>
        <v>2.5666190476190991</v>
      </c>
      <c r="E55" s="42">
        <f>E53-E49</f>
        <v>0.53975702075712206</v>
      </c>
      <c r="F55" s="42">
        <f>F53-F49</f>
        <v>0.26155691768832412</v>
      </c>
      <c r="G55" s="41"/>
      <c r="H55" s="41"/>
      <c r="I55" s="41"/>
      <c r="J55" s="41"/>
      <c r="K55" s="42"/>
      <c r="L55" s="42"/>
      <c r="M55" s="42">
        <f>M53-M49</f>
        <v>0.11688311688308772</v>
      </c>
      <c r="N55" s="42">
        <f t="shared" si="28"/>
        <v>-6.4935064935127684E-3</v>
      </c>
      <c r="O55" s="42">
        <f>O53-O49</f>
        <v>5.5555555555599767E-2</v>
      </c>
      <c r="P55" s="42">
        <f>P53-P49</f>
        <v>-0.12698412698412653</v>
      </c>
      <c r="Q55" s="42">
        <f t="shared" si="28"/>
        <v>0.10317460317460814</v>
      </c>
      <c r="R55" s="42"/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283"/>
      <c r="N57" s="283"/>
      <c r="O57" s="283"/>
      <c r="P57" s="283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99" t="s">
        <v>30</v>
      </c>
      <c r="H58" s="1000"/>
      <c r="I58" s="1000"/>
      <c r="J58" s="1000"/>
      <c r="K58" s="1001"/>
      <c r="L58" s="973" t="s">
        <v>29</v>
      </c>
      <c r="M58" s="974"/>
      <c r="N58" s="974"/>
      <c r="O58" s="974"/>
      <c r="P58" s="991"/>
      <c r="Q58" s="973" t="s">
        <v>31</v>
      </c>
      <c r="R58" s="974"/>
      <c r="S58" s="974"/>
      <c r="T58" s="974"/>
      <c r="U58" s="991"/>
      <c r="V58" s="586" t="s">
        <v>9</v>
      </c>
      <c r="W58" s="661"/>
      <c r="X58" s="662"/>
      <c r="Y58" s="522"/>
      <c r="Z58" s="522"/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692">
        <v>1</v>
      </c>
      <c r="H59" s="693">
        <v>2</v>
      </c>
      <c r="I59" s="693">
        <v>3</v>
      </c>
      <c r="J59" s="693">
        <v>4</v>
      </c>
      <c r="K59" s="693">
        <v>5</v>
      </c>
      <c r="L59" s="188">
        <v>1</v>
      </c>
      <c r="M59" s="168">
        <v>2</v>
      </c>
      <c r="N59" s="168">
        <v>3</v>
      </c>
      <c r="O59" s="168">
        <v>4</v>
      </c>
      <c r="P59" s="414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126"/>
      <c r="W59" s="663"/>
      <c r="X59" s="645"/>
      <c r="Y59" s="657"/>
      <c r="Z59" s="657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25">
      <c r="A60" s="171" t="s">
        <v>53</v>
      </c>
      <c r="B60" s="447">
        <v>7.6</v>
      </c>
      <c r="C60" s="124">
        <v>7.6</v>
      </c>
      <c r="D60" s="124">
        <v>1.7</v>
      </c>
      <c r="E60" s="124">
        <v>7.8</v>
      </c>
      <c r="F60" s="123">
        <v>7.7</v>
      </c>
      <c r="G60" s="694">
        <v>7.5</v>
      </c>
      <c r="H60" s="415">
        <v>7.6</v>
      </c>
      <c r="I60" s="415">
        <v>1.8</v>
      </c>
      <c r="J60" s="415">
        <v>7.7</v>
      </c>
      <c r="K60" s="415">
        <v>7.6</v>
      </c>
      <c r="L60" s="130">
        <v>6.1</v>
      </c>
      <c r="M60" s="124">
        <v>6.4</v>
      </c>
      <c r="N60" s="124">
        <v>1.9</v>
      </c>
      <c r="O60" s="124">
        <v>6.1</v>
      </c>
      <c r="P60" s="132">
        <v>6.3</v>
      </c>
      <c r="Q60" s="123">
        <v>6.7</v>
      </c>
      <c r="R60" s="124">
        <v>6.7</v>
      </c>
      <c r="S60" s="124">
        <v>2</v>
      </c>
      <c r="T60" s="124">
        <v>6.9</v>
      </c>
      <c r="U60" s="132">
        <v>6.3</v>
      </c>
      <c r="V60" s="749">
        <f t="shared" ref="V60:V67" si="29">SUM(B60:U60)</f>
        <v>120</v>
      </c>
      <c r="W60" s="651"/>
      <c r="X60" s="646"/>
      <c r="Y60" s="657"/>
      <c r="Z60" s="657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25">
      <c r="A61" s="171" t="s">
        <v>24</v>
      </c>
      <c r="B61" s="447">
        <v>7.6</v>
      </c>
      <c r="C61" s="124">
        <v>7.6</v>
      </c>
      <c r="D61" s="124">
        <v>1.7</v>
      </c>
      <c r="E61" s="124">
        <v>7.8</v>
      </c>
      <c r="F61" s="123">
        <v>7.7</v>
      </c>
      <c r="G61" s="694">
        <v>7.5</v>
      </c>
      <c r="H61" s="415">
        <v>7.6</v>
      </c>
      <c r="I61" s="415">
        <v>1.8</v>
      </c>
      <c r="J61" s="415">
        <v>7.7</v>
      </c>
      <c r="K61" s="415">
        <v>7.6</v>
      </c>
      <c r="L61" s="18">
        <v>6.1</v>
      </c>
      <c r="M61" s="19">
        <v>6.4</v>
      </c>
      <c r="N61" s="19">
        <v>1.9</v>
      </c>
      <c r="O61" s="19">
        <v>6.1</v>
      </c>
      <c r="P61" s="20">
        <v>6.3</v>
      </c>
      <c r="Q61" s="123">
        <v>6.7</v>
      </c>
      <c r="R61" s="124">
        <v>6.7</v>
      </c>
      <c r="S61" s="124">
        <v>2</v>
      </c>
      <c r="T61" s="124">
        <v>6.9</v>
      </c>
      <c r="U61" s="132">
        <v>6.3</v>
      </c>
      <c r="V61" s="749">
        <f t="shared" si="29"/>
        <v>120</v>
      </c>
      <c r="W61" s="651"/>
      <c r="X61" s="646"/>
      <c r="Y61" s="651"/>
      <c r="Z61" s="651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25">
      <c r="A62" s="171" t="s">
        <v>20</v>
      </c>
      <c r="B62" s="735">
        <v>7.6</v>
      </c>
      <c r="C62" s="736">
        <v>7.6</v>
      </c>
      <c r="D62" s="736">
        <v>1.7</v>
      </c>
      <c r="E62" s="124">
        <v>7.8</v>
      </c>
      <c r="F62" s="123">
        <v>7.7</v>
      </c>
      <c r="G62" s="694">
        <v>7.5</v>
      </c>
      <c r="H62" s="415">
        <v>7.6</v>
      </c>
      <c r="I62" s="415">
        <v>1.8</v>
      </c>
      <c r="J62" s="415">
        <v>7.7</v>
      </c>
      <c r="K62" s="415">
        <v>7.6</v>
      </c>
      <c r="L62" s="18">
        <v>6.1</v>
      </c>
      <c r="M62" s="19">
        <v>6.4</v>
      </c>
      <c r="N62" s="19">
        <v>1.9</v>
      </c>
      <c r="O62" s="19">
        <v>6.1</v>
      </c>
      <c r="P62" s="20">
        <v>6.3</v>
      </c>
      <c r="Q62" s="123">
        <v>6.7</v>
      </c>
      <c r="R62" s="124">
        <v>6.7</v>
      </c>
      <c r="S62" s="124">
        <v>2</v>
      </c>
      <c r="T62" s="124">
        <v>6.9</v>
      </c>
      <c r="U62" s="132">
        <v>6.3</v>
      </c>
      <c r="V62" s="749">
        <f t="shared" si="29"/>
        <v>120</v>
      </c>
      <c r="W62" s="651"/>
      <c r="X62" s="646"/>
      <c r="Y62" s="651"/>
      <c r="Z62" s="651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25">
      <c r="A63" s="171" t="s">
        <v>28</v>
      </c>
      <c r="B63" s="735">
        <v>7.3</v>
      </c>
      <c r="C63" s="736">
        <v>7.4</v>
      </c>
      <c r="D63" s="736">
        <v>1.7</v>
      </c>
      <c r="E63" s="736">
        <v>7.5</v>
      </c>
      <c r="F63" s="737">
        <v>7.6</v>
      </c>
      <c r="G63" s="738">
        <v>7.7</v>
      </c>
      <c r="H63" s="739">
        <v>7.7</v>
      </c>
      <c r="I63" s="739">
        <v>2</v>
      </c>
      <c r="J63" s="739">
        <v>7.6</v>
      </c>
      <c r="K63" s="415">
        <v>7.5</v>
      </c>
      <c r="L63" s="740">
        <v>6.1</v>
      </c>
      <c r="M63" s="741">
        <v>6</v>
      </c>
      <c r="N63" s="741">
        <v>1.8</v>
      </c>
      <c r="O63" s="741">
        <v>6</v>
      </c>
      <c r="P63" s="470">
        <v>6.1</v>
      </c>
      <c r="Q63" s="737">
        <v>6.4</v>
      </c>
      <c r="R63" s="736">
        <v>6.4</v>
      </c>
      <c r="S63" s="736">
        <v>2.1</v>
      </c>
      <c r="T63" s="736">
        <v>6.3</v>
      </c>
      <c r="U63" s="742">
        <v>6.7</v>
      </c>
      <c r="V63" s="749">
        <f t="shared" si="29"/>
        <v>117.89999999999999</v>
      </c>
      <c r="W63" s="651"/>
      <c r="X63" s="646"/>
      <c r="Y63" s="651"/>
      <c r="Z63" s="651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25">
      <c r="A64" s="171" t="s">
        <v>21</v>
      </c>
      <c r="B64" s="735">
        <v>7.4</v>
      </c>
      <c r="C64" s="736">
        <v>7.4</v>
      </c>
      <c r="D64" s="736">
        <v>1.8</v>
      </c>
      <c r="E64" s="736">
        <v>7.5</v>
      </c>
      <c r="F64" s="737">
        <v>7.6</v>
      </c>
      <c r="G64" s="738">
        <v>7.7</v>
      </c>
      <c r="H64" s="739">
        <v>7.7</v>
      </c>
      <c r="I64" s="739">
        <v>2</v>
      </c>
      <c r="J64" s="739">
        <v>7.7</v>
      </c>
      <c r="K64" s="415">
        <v>7.6</v>
      </c>
      <c r="L64" s="740">
        <v>6.1</v>
      </c>
      <c r="M64" s="741">
        <v>6.1</v>
      </c>
      <c r="N64" s="741">
        <v>1.8</v>
      </c>
      <c r="O64" s="741">
        <v>6</v>
      </c>
      <c r="P64" s="470">
        <v>6.1</v>
      </c>
      <c r="Q64" s="737">
        <v>6.4</v>
      </c>
      <c r="R64" s="736">
        <v>6.4</v>
      </c>
      <c r="S64" s="736">
        <v>2.1</v>
      </c>
      <c r="T64" s="736">
        <v>6.3</v>
      </c>
      <c r="U64" s="742">
        <v>6.7</v>
      </c>
      <c r="V64" s="749">
        <f t="shared" si="29"/>
        <v>118.39999999999999</v>
      </c>
      <c r="W64" s="651"/>
      <c r="X64" s="646"/>
      <c r="Y64" s="651"/>
      <c r="Z64" s="651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25">
      <c r="A65" s="171" t="s">
        <v>22</v>
      </c>
      <c r="B65" s="735">
        <v>7.4</v>
      </c>
      <c r="C65" s="736">
        <v>7.5</v>
      </c>
      <c r="D65" s="736">
        <v>1.8</v>
      </c>
      <c r="E65" s="736">
        <v>7.5</v>
      </c>
      <c r="F65" s="737">
        <v>7.6</v>
      </c>
      <c r="G65" s="738">
        <v>7.7</v>
      </c>
      <c r="H65" s="739">
        <v>7.7</v>
      </c>
      <c r="I65" s="739">
        <v>2</v>
      </c>
      <c r="J65" s="739">
        <v>7.7</v>
      </c>
      <c r="K65" s="415">
        <v>7.6</v>
      </c>
      <c r="L65" s="740">
        <v>6.2</v>
      </c>
      <c r="M65" s="741">
        <v>6.1</v>
      </c>
      <c r="N65" s="741">
        <v>1.9</v>
      </c>
      <c r="O65" s="741">
        <v>6</v>
      </c>
      <c r="P65" s="470">
        <v>6.2</v>
      </c>
      <c r="Q65" s="737">
        <v>6.5</v>
      </c>
      <c r="R65" s="736">
        <v>6.5</v>
      </c>
      <c r="S65" s="736">
        <v>2.2000000000000002</v>
      </c>
      <c r="T65" s="736">
        <v>6.4</v>
      </c>
      <c r="U65" s="742">
        <v>6.8</v>
      </c>
      <c r="V65" s="749">
        <f t="shared" si="29"/>
        <v>119.30000000000001</v>
      </c>
      <c r="W65" s="651"/>
      <c r="X65" s="646"/>
      <c r="Y65" s="651"/>
      <c r="Z65" s="651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3">
      <c r="A66" s="171" t="s">
        <v>23</v>
      </c>
      <c r="B66" s="735">
        <v>7.4</v>
      </c>
      <c r="C66" s="736">
        <v>7.5</v>
      </c>
      <c r="D66" s="736">
        <v>1.8</v>
      </c>
      <c r="E66" s="736">
        <v>7.5</v>
      </c>
      <c r="F66" s="737">
        <v>7.7</v>
      </c>
      <c r="G66" s="738">
        <v>6.5</v>
      </c>
      <c r="H66" s="739">
        <v>7.7</v>
      </c>
      <c r="I66" s="739">
        <v>2</v>
      </c>
      <c r="J66" s="739">
        <v>7.7</v>
      </c>
      <c r="K66" s="415">
        <v>7.6</v>
      </c>
      <c r="L66" s="740">
        <v>6.2</v>
      </c>
      <c r="M66" s="741">
        <v>6.1</v>
      </c>
      <c r="N66" s="741">
        <v>1.9</v>
      </c>
      <c r="O66" s="741">
        <v>6.1</v>
      </c>
      <c r="P66" s="470">
        <v>6.2</v>
      </c>
      <c r="Q66" s="737">
        <v>6.5</v>
      </c>
      <c r="R66" s="736">
        <v>6.5</v>
      </c>
      <c r="S66" s="736">
        <v>2.2000000000000002</v>
      </c>
      <c r="T66" s="736">
        <v>6.4</v>
      </c>
      <c r="U66" s="742">
        <v>6.8</v>
      </c>
      <c r="V66" s="412">
        <f t="shared" si="29"/>
        <v>118.30000000000001</v>
      </c>
      <c r="W66" s="651"/>
      <c r="X66" s="646"/>
      <c r="Y66" s="651"/>
      <c r="Z66" s="651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297">
        <f t="shared" ref="B67:U67" si="30">SUM(B60:B66)</f>
        <v>52.3</v>
      </c>
      <c r="C67" s="298">
        <f t="shared" si="30"/>
        <v>52.599999999999994</v>
      </c>
      <c r="D67" s="298">
        <f t="shared" si="30"/>
        <v>12.200000000000001</v>
      </c>
      <c r="E67" s="298">
        <f t="shared" si="30"/>
        <v>53.4</v>
      </c>
      <c r="F67" s="448">
        <f t="shared" si="30"/>
        <v>53.600000000000009</v>
      </c>
      <c r="G67" s="719">
        <f t="shared" si="30"/>
        <v>52.1</v>
      </c>
      <c r="H67" s="696">
        <f t="shared" si="30"/>
        <v>53.6</v>
      </c>
      <c r="I67" s="696">
        <f t="shared" si="30"/>
        <v>13.4</v>
      </c>
      <c r="J67" s="696">
        <f t="shared" si="30"/>
        <v>53.800000000000011</v>
      </c>
      <c r="K67" s="720">
        <f t="shared" si="30"/>
        <v>53.1</v>
      </c>
      <c r="L67" s="618">
        <f t="shared" si="30"/>
        <v>42.900000000000006</v>
      </c>
      <c r="M67" s="616">
        <f t="shared" si="30"/>
        <v>43.500000000000007</v>
      </c>
      <c r="N67" s="616">
        <f t="shared" si="30"/>
        <v>13.1</v>
      </c>
      <c r="O67" s="616">
        <f t="shared" si="30"/>
        <v>42.4</v>
      </c>
      <c r="P67" s="616">
        <f t="shared" si="30"/>
        <v>43.500000000000007</v>
      </c>
      <c r="Q67" s="615">
        <f t="shared" si="30"/>
        <v>45.9</v>
      </c>
      <c r="R67" s="616">
        <f t="shared" si="30"/>
        <v>45.9</v>
      </c>
      <c r="S67" s="616">
        <f t="shared" si="30"/>
        <v>14.599999999999998</v>
      </c>
      <c r="T67" s="616">
        <f t="shared" si="30"/>
        <v>46.1</v>
      </c>
      <c r="U67" s="617">
        <f t="shared" si="30"/>
        <v>45.899999999999991</v>
      </c>
      <c r="V67" s="449">
        <f t="shared" si="29"/>
        <v>833.90000000000009</v>
      </c>
      <c r="W67" s="664"/>
      <c r="X67" s="646"/>
      <c r="Y67" s="651"/>
      <c r="Z67" s="651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159</v>
      </c>
      <c r="C68" s="358">
        <v>160</v>
      </c>
      <c r="D68" s="358">
        <v>159</v>
      </c>
      <c r="E68" s="358">
        <v>159</v>
      </c>
      <c r="F68" s="718">
        <v>159.5</v>
      </c>
      <c r="G68" s="721">
        <v>158.5</v>
      </c>
      <c r="H68" s="698">
        <v>159.5</v>
      </c>
      <c r="I68" s="698">
        <v>160</v>
      </c>
      <c r="J68" s="698">
        <v>160</v>
      </c>
      <c r="K68" s="722">
        <v>158</v>
      </c>
      <c r="L68" s="357">
        <v>157</v>
      </c>
      <c r="M68" s="358">
        <v>159.5</v>
      </c>
      <c r="N68" s="358">
        <v>155.5</v>
      </c>
      <c r="O68" s="358">
        <v>159.5</v>
      </c>
      <c r="P68" s="358">
        <v>159.5</v>
      </c>
      <c r="Q68" s="357">
        <v>160</v>
      </c>
      <c r="R68" s="358">
        <v>160</v>
      </c>
      <c r="S68" s="358">
        <v>160.5</v>
      </c>
      <c r="T68" s="358">
        <v>160.5</v>
      </c>
      <c r="U68" s="624">
        <v>160</v>
      </c>
      <c r="V68" s="296">
        <f>+((V67/V69)/7)*1000</f>
        <v>159.26279602750193</v>
      </c>
      <c r="W68" s="145"/>
      <c r="X68" s="648"/>
      <c r="Y68" s="665"/>
      <c r="Z68" s="522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47</v>
      </c>
      <c r="C69" s="275">
        <v>47</v>
      </c>
      <c r="D69" s="275">
        <v>11</v>
      </c>
      <c r="E69" s="275">
        <v>48</v>
      </c>
      <c r="F69" s="527">
        <v>48</v>
      </c>
      <c r="G69" s="723">
        <v>47</v>
      </c>
      <c r="H69" s="700">
        <v>48</v>
      </c>
      <c r="I69" s="700">
        <v>12</v>
      </c>
      <c r="J69" s="700">
        <v>48</v>
      </c>
      <c r="K69" s="724">
        <v>48</v>
      </c>
      <c r="L69" s="257">
        <v>39</v>
      </c>
      <c r="M69" s="275">
        <v>39</v>
      </c>
      <c r="N69" s="275">
        <v>12</v>
      </c>
      <c r="O69" s="275">
        <v>38</v>
      </c>
      <c r="P69" s="275">
        <v>39</v>
      </c>
      <c r="Q69" s="257">
        <v>41</v>
      </c>
      <c r="R69" s="275">
        <v>41</v>
      </c>
      <c r="S69" s="275">
        <v>13</v>
      </c>
      <c r="T69" s="275">
        <v>41</v>
      </c>
      <c r="U69" s="276">
        <v>41</v>
      </c>
      <c r="V69" s="254">
        <f>SUM(B69:U69)</f>
        <v>748</v>
      </c>
      <c r="W69" s="145"/>
      <c r="X69" s="649"/>
      <c r="Y69" s="665"/>
      <c r="Z69" s="522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 t="shared" ref="B70:K70" si="31">((((B68*7)*B69)/1000)-B60-B61)/5</f>
        <v>7.4221999999999992</v>
      </c>
      <c r="C70" s="31">
        <f t="shared" si="31"/>
        <v>7.4879999999999995</v>
      </c>
      <c r="D70" s="31">
        <f t="shared" si="31"/>
        <v>1.7686000000000004</v>
      </c>
      <c r="E70" s="31">
        <f t="shared" si="31"/>
        <v>7.5648000000000009</v>
      </c>
      <c r="F70" s="163">
        <f t="shared" si="31"/>
        <v>7.638399999999999</v>
      </c>
      <c r="G70" s="725">
        <f>((((G68*7)*G69)/1000)-G60-G61)/5</f>
        <v>7.4293000000000005</v>
      </c>
      <c r="H70" s="702">
        <f t="shared" si="31"/>
        <v>7.678399999999999</v>
      </c>
      <c r="I70" s="702">
        <f t="shared" si="31"/>
        <v>1.9679999999999995</v>
      </c>
      <c r="J70" s="702">
        <f t="shared" si="31"/>
        <v>7.6719999999999988</v>
      </c>
      <c r="K70" s="726">
        <f t="shared" si="31"/>
        <v>7.5775999999999994</v>
      </c>
      <c r="L70" s="30">
        <f>((((L68*7)*L69)/1000)-L60-L61)/5</f>
        <v>6.1321999999999992</v>
      </c>
      <c r="M70" s="30">
        <f t="shared" ref="M70:U70" si="32">((((M68*7)*M69)/1000)-M60-M61)/5</f>
        <v>6.1487000000000007</v>
      </c>
      <c r="N70" s="30">
        <f t="shared" si="32"/>
        <v>1.8523999999999998</v>
      </c>
      <c r="O70" s="30">
        <f t="shared" si="32"/>
        <v>6.045399999999999</v>
      </c>
      <c r="P70" s="30">
        <f t="shared" si="32"/>
        <v>6.1887000000000008</v>
      </c>
      <c r="Q70" s="30">
        <f t="shared" si="32"/>
        <v>6.5039999999999996</v>
      </c>
      <c r="R70" s="30">
        <f t="shared" si="32"/>
        <v>6.5039999999999996</v>
      </c>
      <c r="S70" s="30">
        <f t="shared" si="32"/>
        <v>2.1210999999999998</v>
      </c>
      <c r="T70" s="30">
        <f t="shared" si="32"/>
        <v>6.4527000000000001</v>
      </c>
      <c r="U70" s="30">
        <f t="shared" si="32"/>
        <v>6.6640000000000015</v>
      </c>
      <c r="V70" s="139">
        <f>((V67*1000)/V69)/7</f>
        <v>159.26279602750193</v>
      </c>
      <c r="W70" s="144"/>
      <c r="X70" s="650"/>
      <c r="Y70" s="665"/>
      <c r="Z70" s="522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33">((B69*B68)*7)/1000</f>
        <v>52.311</v>
      </c>
      <c r="C71" s="280">
        <f t="shared" si="33"/>
        <v>52.64</v>
      </c>
      <c r="D71" s="280">
        <f t="shared" si="33"/>
        <v>12.243</v>
      </c>
      <c r="E71" s="280">
        <f t="shared" si="33"/>
        <v>53.423999999999999</v>
      </c>
      <c r="F71" s="281">
        <f t="shared" si="33"/>
        <v>53.591999999999999</v>
      </c>
      <c r="G71" s="464">
        <f t="shared" si="33"/>
        <v>52.146500000000003</v>
      </c>
      <c r="H71" s="459">
        <f>((H69*H68)*7)/1000</f>
        <v>53.591999999999999</v>
      </c>
      <c r="I71" s="459">
        <f t="shared" si="33"/>
        <v>13.44</v>
      </c>
      <c r="J71" s="459">
        <f t="shared" si="33"/>
        <v>53.76</v>
      </c>
      <c r="K71" s="460">
        <f t="shared" si="33"/>
        <v>53.088000000000001</v>
      </c>
      <c r="L71" s="279">
        <f t="shared" si="33"/>
        <v>42.860999999999997</v>
      </c>
      <c r="M71" s="280">
        <f t="shared" si="33"/>
        <v>43.543500000000002</v>
      </c>
      <c r="N71" s="280">
        <f t="shared" si="33"/>
        <v>13.061999999999999</v>
      </c>
      <c r="O71" s="280">
        <f t="shared" si="33"/>
        <v>42.427</v>
      </c>
      <c r="P71" s="280">
        <f t="shared" si="33"/>
        <v>43.543500000000002</v>
      </c>
      <c r="Q71" s="279">
        <f t="shared" si="33"/>
        <v>45.92</v>
      </c>
      <c r="R71" s="280">
        <f t="shared" si="33"/>
        <v>45.92</v>
      </c>
      <c r="S71" s="280">
        <f t="shared" si="33"/>
        <v>14.605499999999999</v>
      </c>
      <c r="T71" s="280">
        <f t="shared" si="33"/>
        <v>46.063499999999998</v>
      </c>
      <c r="U71" s="282">
        <f t="shared" si="33"/>
        <v>45.92</v>
      </c>
      <c r="V71" s="112"/>
      <c r="W71" s="651"/>
      <c r="X71" s="666"/>
      <c r="Y71" s="666"/>
      <c r="Z71" s="666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U72" si="34">+(B67/B69)/7*1000</f>
        <v>158.96656534954406</v>
      </c>
      <c r="C72" s="38">
        <f t="shared" si="34"/>
        <v>159.87841945288753</v>
      </c>
      <c r="D72" s="38">
        <f t="shared" si="34"/>
        <v>158.44155844155844</v>
      </c>
      <c r="E72" s="38">
        <f t="shared" si="34"/>
        <v>158.92857142857144</v>
      </c>
      <c r="F72" s="207">
        <f t="shared" si="34"/>
        <v>159.52380952380958</v>
      </c>
      <c r="G72" s="727">
        <f t="shared" si="34"/>
        <v>158.35866261398178</v>
      </c>
      <c r="H72" s="704">
        <f t="shared" si="34"/>
        <v>159.52380952380955</v>
      </c>
      <c r="I72" s="704">
        <f t="shared" si="34"/>
        <v>159.52380952380955</v>
      </c>
      <c r="J72" s="704">
        <f t="shared" si="34"/>
        <v>160.11904761904765</v>
      </c>
      <c r="K72" s="728">
        <f t="shared" si="34"/>
        <v>158.03571428571428</v>
      </c>
      <c r="L72" s="37">
        <f t="shared" si="34"/>
        <v>157.14285714285717</v>
      </c>
      <c r="M72" s="38">
        <f t="shared" si="34"/>
        <v>159.34065934065939</v>
      </c>
      <c r="N72" s="38">
        <f t="shared" si="34"/>
        <v>155.95238095238093</v>
      </c>
      <c r="O72" s="38">
        <f t="shared" si="34"/>
        <v>159.39849624060147</v>
      </c>
      <c r="P72" s="38">
        <f t="shared" si="34"/>
        <v>159.34065934065939</v>
      </c>
      <c r="Q72" s="37">
        <f t="shared" si="34"/>
        <v>159.93031358885014</v>
      </c>
      <c r="R72" s="38">
        <f t="shared" si="34"/>
        <v>159.93031358885014</v>
      </c>
      <c r="S72" s="38">
        <f t="shared" si="34"/>
        <v>160.43956043956041</v>
      </c>
      <c r="T72" s="38">
        <f t="shared" si="34"/>
        <v>160.62717770034845</v>
      </c>
      <c r="U72" s="39">
        <f t="shared" si="34"/>
        <v>159.93031358885014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43">
        <f>B71-B67</f>
        <v>1.1000000000002785E-2</v>
      </c>
      <c r="C73" s="43">
        <f t="shared" ref="C73:F73" si="35">C71-C67</f>
        <v>4.0000000000006253E-2</v>
      </c>
      <c r="D73" s="43">
        <f t="shared" si="35"/>
        <v>4.2999999999999261E-2</v>
      </c>
      <c r="E73" s="43">
        <f t="shared" si="35"/>
        <v>2.4000000000000909E-2</v>
      </c>
      <c r="F73" s="43">
        <f t="shared" si="35"/>
        <v>-8.0000000000097771E-3</v>
      </c>
      <c r="G73" s="143">
        <f>G71-G67</f>
        <v>4.6500000000001762E-2</v>
      </c>
      <c r="H73" s="143">
        <f t="shared" ref="H73:U74" si="36">H71-H67</f>
        <v>-8.0000000000026716E-3</v>
      </c>
      <c r="I73" s="143">
        <f t="shared" si="36"/>
        <v>3.9999999999999147E-2</v>
      </c>
      <c r="J73" s="143">
        <f t="shared" si="36"/>
        <v>-4.0000000000013358E-2</v>
      </c>
      <c r="K73" s="143">
        <f t="shared" si="36"/>
        <v>-1.2000000000000455E-2</v>
      </c>
      <c r="L73" s="43">
        <f>L71-L67</f>
        <v>-3.9000000000008583E-2</v>
      </c>
      <c r="M73" s="43">
        <f t="shared" ref="M73:P73" si="37">M71-M67</f>
        <v>4.3499999999994543E-2</v>
      </c>
      <c r="N73" s="43">
        <f t="shared" si="37"/>
        <v>-3.8000000000000256E-2</v>
      </c>
      <c r="O73" s="43">
        <f t="shared" si="37"/>
        <v>2.7000000000001023E-2</v>
      </c>
      <c r="P73" s="43">
        <f t="shared" si="37"/>
        <v>4.3499999999994543E-2</v>
      </c>
      <c r="Q73" s="43">
        <f>Q71-Q67</f>
        <v>2.0000000000003126E-2</v>
      </c>
      <c r="R73" s="43">
        <f t="shared" ref="R73:U73" si="38">R71-R67</f>
        <v>2.0000000000003126E-2</v>
      </c>
      <c r="S73" s="43">
        <f>S71-S67</f>
        <v>5.5000000000013927E-3</v>
      </c>
      <c r="T73" s="43">
        <f>T71-T67</f>
        <v>-3.6500000000003752E-2</v>
      </c>
      <c r="U73" s="43">
        <f t="shared" si="38"/>
        <v>2.0000000000010232E-2</v>
      </c>
      <c r="W73" s="144"/>
      <c r="X73" s="522"/>
      <c r="Y73" s="522"/>
      <c r="Z73" s="522"/>
    </row>
    <row r="74" spans="1:50" ht="33.75" customHeight="1" x14ac:dyDescent="0.25">
      <c r="B74" s="42">
        <f t="shared" ref="B74:J74" si="39">B72-B68</f>
        <v>-3.3434650455944848E-2</v>
      </c>
      <c r="C74" s="42">
        <f t="shared" si="39"/>
        <v>-0.12158054711247246</v>
      </c>
      <c r="D74" s="42">
        <f t="shared" si="39"/>
        <v>-0.55844155844155807</v>
      </c>
      <c r="E74" s="42">
        <f t="shared" si="39"/>
        <v>-7.1428571428555188E-2</v>
      </c>
      <c r="F74" s="42">
        <f t="shared" si="39"/>
        <v>2.3809523809575239E-2</v>
      </c>
      <c r="G74" s="705">
        <f t="shared" si="39"/>
        <v>-0.14133738601822188</v>
      </c>
      <c r="H74" s="705">
        <f t="shared" si="39"/>
        <v>2.3809523809546818E-2</v>
      </c>
      <c r="I74" s="705">
        <f>I72-I68</f>
        <v>-0.47619047619045318</v>
      </c>
      <c r="J74" s="705">
        <f t="shared" si="39"/>
        <v>0.11904761904764882</v>
      </c>
      <c r="K74" s="705">
        <f t="shared" si="36"/>
        <v>3.5714285714277594E-2</v>
      </c>
      <c r="L74" s="42">
        <f t="shared" si="36"/>
        <v>0.14285714285716722</v>
      </c>
      <c r="M74" s="42">
        <f t="shared" si="36"/>
        <v>-0.15934065934061437</v>
      </c>
      <c r="N74" s="42">
        <f t="shared" si="36"/>
        <v>0.45238095238093479</v>
      </c>
      <c r="O74" s="42">
        <f t="shared" si="36"/>
        <v>-0.10150375939852552</v>
      </c>
      <c r="P74" s="42">
        <f t="shared" si="36"/>
        <v>-0.15934065934061437</v>
      </c>
      <c r="Q74" s="42">
        <f t="shared" si="36"/>
        <v>-6.968641114985985E-2</v>
      </c>
      <c r="R74" s="42">
        <f t="shared" si="36"/>
        <v>-6.968641114985985E-2</v>
      </c>
      <c r="S74" s="42">
        <f t="shared" si="36"/>
        <v>-6.0439560439590423E-2</v>
      </c>
      <c r="T74" s="42">
        <f t="shared" si="36"/>
        <v>0.12717770034845444</v>
      </c>
      <c r="U74" s="42">
        <f t="shared" si="36"/>
        <v>-6.968641114985985E-2</v>
      </c>
      <c r="V74" s="45"/>
      <c r="W74" s="651"/>
      <c r="X74" s="657"/>
      <c r="Y74" s="657"/>
      <c r="Z74" s="657"/>
      <c r="AA74" s="45"/>
      <c r="AB74" s="45"/>
      <c r="AC74" s="45"/>
      <c r="AD74" s="52"/>
    </row>
    <row r="75" spans="1:50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</row>
    <row r="76" spans="1:50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0" ht="33.75" customHeight="1" x14ac:dyDescent="0.25">
      <c r="A77" s="45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5">
    <mergeCell ref="A3:C3"/>
    <mergeCell ref="E9:G9"/>
    <mergeCell ref="W9:X9"/>
    <mergeCell ref="O11:P11"/>
    <mergeCell ref="B16:H16"/>
    <mergeCell ref="I16:O16"/>
    <mergeCell ref="P16:T16"/>
    <mergeCell ref="U16:Y16"/>
    <mergeCell ref="B39:F39"/>
    <mergeCell ref="G39:G40"/>
    <mergeCell ref="M39:Q39"/>
    <mergeCell ref="B58:F58"/>
    <mergeCell ref="G58:K58"/>
    <mergeCell ref="L58:P58"/>
    <mergeCell ref="Q58:U58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1"/>
  <sheetViews>
    <sheetView topLeftCell="A16" zoomScale="25" zoomScaleNormal="25" workbookViewId="0">
      <selection activeCell="Q59" sqref="Q59"/>
    </sheetView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43</v>
      </c>
      <c r="P11" s="965"/>
      <c r="Q11" s="6"/>
      <c r="R11" s="6"/>
      <c r="S11" s="6"/>
      <c r="T11" s="1"/>
      <c r="U11" s="1"/>
      <c r="V11" s="1" t="s">
        <v>6</v>
      </c>
      <c r="W11" s="95">
        <v>45634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594"/>
      <c r="I17" s="386" t="s">
        <v>100</v>
      </c>
      <c r="J17" s="438">
        <v>1</v>
      </c>
      <c r="K17" s="438">
        <v>2</v>
      </c>
      <c r="L17" s="438">
        <v>3</v>
      </c>
      <c r="M17" s="438">
        <v>4</v>
      </c>
      <c r="N17" s="439">
        <v>5</v>
      </c>
      <c r="O17" s="594"/>
      <c r="P17" s="202">
        <v>1</v>
      </c>
      <c r="Q17" s="174">
        <v>2</v>
      </c>
      <c r="R17" s="174">
        <v>3</v>
      </c>
      <c r="S17" s="174">
        <v>4</v>
      </c>
      <c r="T17" s="203">
        <v>5</v>
      </c>
      <c r="U17" s="186">
        <v>1</v>
      </c>
      <c r="V17" s="174">
        <v>2</v>
      </c>
      <c r="W17" s="174">
        <v>3</v>
      </c>
      <c r="X17" s="174">
        <v>4</v>
      </c>
      <c r="Y17" s="175">
        <v>5</v>
      </c>
      <c r="Z17" s="126"/>
      <c r="AD17" s="2"/>
      <c r="AE17" s="15"/>
    </row>
    <row r="18" spans="1:40" ht="39.950000000000003" customHeight="1" x14ac:dyDescent="0.25">
      <c r="A18" s="171" t="s">
        <v>53</v>
      </c>
      <c r="B18" s="743">
        <v>315.10000000000002</v>
      </c>
      <c r="C18" s="739">
        <v>17.399999999999999</v>
      </c>
      <c r="D18" s="739">
        <v>17.899999999999999</v>
      </c>
      <c r="E18" s="739">
        <v>4.2</v>
      </c>
      <c r="F18" s="739">
        <v>18</v>
      </c>
      <c r="G18" s="744">
        <v>18</v>
      </c>
      <c r="H18" s="506">
        <f t="shared" ref="H18" si="0">+SUM(B18:G18)</f>
        <v>390.59999999999997</v>
      </c>
      <c r="I18" s="745">
        <v>317.7</v>
      </c>
      <c r="J18" s="739">
        <v>17.7</v>
      </c>
      <c r="K18" s="739">
        <v>18</v>
      </c>
      <c r="L18" s="739">
        <v>4.3</v>
      </c>
      <c r="M18" s="739">
        <v>18</v>
      </c>
      <c r="N18" s="746">
        <v>18.5</v>
      </c>
      <c r="O18" s="506">
        <f t="shared" ref="O18" si="1">+SUM(I18:N18)</f>
        <v>394.2</v>
      </c>
      <c r="P18" s="747">
        <v>77.099999999999994</v>
      </c>
      <c r="Q18" s="459">
        <v>77.900000000000006</v>
      </c>
      <c r="R18" s="739">
        <v>24.7</v>
      </c>
      <c r="S18" s="739">
        <v>78.599999999999994</v>
      </c>
      <c r="T18" s="746">
        <v>77.8</v>
      </c>
      <c r="U18" s="748">
        <v>79.900000000000006</v>
      </c>
      <c r="V18" s="739">
        <v>82.5</v>
      </c>
      <c r="W18" s="459">
        <v>24.3</v>
      </c>
      <c r="X18" s="459">
        <v>82.1</v>
      </c>
      <c r="Y18" s="746">
        <v>81.099999999999994</v>
      </c>
      <c r="Z18" s="638">
        <f>SUM(H18,O18,P18:Y18)</f>
        <v>1470.7999999999997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754">
        <v>316.60000000000002</v>
      </c>
      <c r="C19" s="629">
        <v>17.899999999999999</v>
      </c>
      <c r="D19" s="629">
        <v>18.2</v>
      </c>
      <c r="E19" s="629">
        <v>4.4000000000000004</v>
      </c>
      <c r="F19" s="629">
        <v>18.399999999999999</v>
      </c>
      <c r="G19" s="630">
        <v>18.399999999999999</v>
      </c>
      <c r="H19" s="717">
        <f t="shared" ref="H19:H24" si="2">+SUM(B19:G19)</f>
        <v>393.89999999999992</v>
      </c>
      <c r="I19" s="631">
        <v>319.2</v>
      </c>
      <c r="J19" s="629">
        <v>18.100000000000001</v>
      </c>
      <c r="K19" s="629">
        <v>18.399999999999999</v>
      </c>
      <c r="L19" s="629">
        <v>4.3</v>
      </c>
      <c r="M19" s="629">
        <v>17.5</v>
      </c>
      <c r="N19" s="632">
        <v>17.3</v>
      </c>
      <c r="O19" s="717">
        <f t="shared" ref="O19:O24" si="3">+SUM(I19:N19)</f>
        <v>394.8</v>
      </c>
      <c r="P19" s="633">
        <v>77</v>
      </c>
      <c r="Q19" s="455">
        <v>77.099999999999994</v>
      </c>
      <c r="R19" s="629">
        <v>24.2</v>
      </c>
      <c r="S19" s="629">
        <v>77.7</v>
      </c>
      <c r="T19" s="632">
        <v>77.099999999999994</v>
      </c>
      <c r="U19" s="634">
        <v>79.599999999999994</v>
      </c>
      <c r="V19" s="629">
        <v>81.2</v>
      </c>
      <c r="W19" s="455">
        <v>25.2</v>
      </c>
      <c r="X19" s="455">
        <v>81</v>
      </c>
      <c r="Y19" s="632">
        <v>81.3</v>
      </c>
      <c r="Z19" s="638">
        <f>SUM(H19,O19,P19:Y19)</f>
        <v>1470.1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754">
        <v>314.20999999999998</v>
      </c>
      <c r="C20" s="629">
        <v>17</v>
      </c>
      <c r="D20" s="629">
        <v>17.5</v>
      </c>
      <c r="E20" s="629">
        <v>4.0999999999999996</v>
      </c>
      <c r="F20" s="629">
        <v>17.600000000000001</v>
      </c>
      <c r="G20" s="630">
        <v>17.600000000000001</v>
      </c>
      <c r="H20" s="717">
        <f t="shared" si="2"/>
        <v>388.01000000000005</v>
      </c>
      <c r="I20" s="631">
        <v>316.8</v>
      </c>
      <c r="J20" s="629">
        <v>17.3</v>
      </c>
      <c r="K20" s="629">
        <v>17.7</v>
      </c>
      <c r="L20" s="629">
        <v>4.2</v>
      </c>
      <c r="M20" s="629">
        <v>17.7</v>
      </c>
      <c r="N20" s="632">
        <v>17.600000000000001</v>
      </c>
      <c r="O20" s="717">
        <f t="shared" si="3"/>
        <v>391.3</v>
      </c>
      <c r="P20" s="633">
        <v>77.599999999999994</v>
      </c>
      <c r="Q20" s="455">
        <v>77.3</v>
      </c>
      <c r="R20" s="629">
        <v>23.4</v>
      </c>
      <c r="S20" s="629">
        <v>78.2</v>
      </c>
      <c r="T20" s="632">
        <v>77.5</v>
      </c>
      <c r="U20" s="634">
        <v>80.3</v>
      </c>
      <c r="V20" s="629">
        <v>81.900000000000006</v>
      </c>
      <c r="W20" s="455">
        <v>23.6</v>
      </c>
      <c r="X20" s="455">
        <v>81.8</v>
      </c>
      <c r="Y20" s="632">
        <v>80.8</v>
      </c>
      <c r="Z20" s="638">
        <f t="shared" ref="Z20:Z24" si="4">SUM(H20,O20,P20:Y20)</f>
        <v>1461.7099999999998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754">
        <v>314.20999999999998</v>
      </c>
      <c r="C21" s="629">
        <v>16.899999999999999</v>
      </c>
      <c r="D21" s="629">
        <v>17.5</v>
      </c>
      <c r="E21" s="629">
        <v>4.0999999999999996</v>
      </c>
      <c r="F21" s="629">
        <v>17.600000000000001</v>
      </c>
      <c r="G21" s="630">
        <v>17.600000000000001</v>
      </c>
      <c r="H21" s="717">
        <f t="shared" si="2"/>
        <v>387.91</v>
      </c>
      <c r="I21" s="631">
        <v>316.8</v>
      </c>
      <c r="J21" s="629">
        <v>17.3</v>
      </c>
      <c r="K21" s="629">
        <v>17.7</v>
      </c>
      <c r="L21" s="629">
        <v>4.2</v>
      </c>
      <c r="M21" s="629">
        <v>17.7</v>
      </c>
      <c r="N21" s="632">
        <v>17.600000000000001</v>
      </c>
      <c r="O21" s="717">
        <f t="shared" si="3"/>
        <v>391.3</v>
      </c>
      <c r="P21" s="633">
        <v>77.599999999999994</v>
      </c>
      <c r="Q21" s="455">
        <v>77.3</v>
      </c>
      <c r="R21" s="629">
        <v>23.4</v>
      </c>
      <c r="S21" s="629">
        <v>78.2</v>
      </c>
      <c r="T21" s="632">
        <v>77.5</v>
      </c>
      <c r="U21" s="634">
        <v>80.3</v>
      </c>
      <c r="V21" s="629">
        <v>81.900000000000006</v>
      </c>
      <c r="W21" s="455">
        <v>23.6</v>
      </c>
      <c r="X21" s="455">
        <v>81.8</v>
      </c>
      <c r="Y21" s="632">
        <v>80.8</v>
      </c>
      <c r="Z21" s="638">
        <f t="shared" si="4"/>
        <v>1461.61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754">
        <v>314.20999999999998</v>
      </c>
      <c r="C22" s="629">
        <v>16.899999999999999</v>
      </c>
      <c r="D22" s="629">
        <v>17.5</v>
      </c>
      <c r="E22" s="629">
        <v>4.0999999999999996</v>
      </c>
      <c r="F22" s="629">
        <v>17.600000000000001</v>
      </c>
      <c r="G22" s="630">
        <v>17.600000000000001</v>
      </c>
      <c r="H22" s="717">
        <f t="shared" si="2"/>
        <v>387.91</v>
      </c>
      <c r="I22" s="631">
        <v>316.8</v>
      </c>
      <c r="J22" s="629">
        <v>17.3</v>
      </c>
      <c r="K22" s="629">
        <v>17.7</v>
      </c>
      <c r="L22" s="629">
        <v>4.2</v>
      </c>
      <c r="M22" s="629">
        <v>17.7</v>
      </c>
      <c r="N22" s="632">
        <v>17.600000000000001</v>
      </c>
      <c r="O22" s="717">
        <f t="shared" si="3"/>
        <v>391.3</v>
      </c>
      <c r="P22" s="633">
        <v>77.599999999999994</v>
      </c>
      <c r="Q22" s="455">
        <v>77.3</v>
      </c>
      <c r="R22" s="629">
        <v>23.4</v>
      </c>
      <c r="S22" s="629">
        <v>78.2</v>
      </c>
      <c r="T22" s="632">
        <v>77.5</v>
      </c>
      <c r="U22" s="634">
        <v>80.3</v>
      </c>
      <c r="V22" s="629">
        <v>81.900000000000006</v>
      </c>
      <c r="W22" s="455">
        <v>23.6</v>
      </c>
      <c r="X22" s="455">
        <v>81.8</v>
      </c>
      <c r="Y22" s="632">
        <v>80.8</v>
      </c>
      <c r="Z22" s="638">
        <f t="shared" si="4"/>
        <v>1461.61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743">
        <v>314.20999999999998</v>
      </c>
      <c r="C23" s="739">
        <v>16.899999999999999</v>
      </c>
      <c r="D23" s="739">
        <v>17.5</v>
      </c>
      <c r="E23" s="739">
        <v>4.0999999999999996</v>
      </c>
      <c r="F23" s="739">
        <v>17.600000000000001</v>
      </c>
      <c r="G23" s="744">
        <v>17.600000000000001</v>
      </c>
      <c r="H23" s="506">
        <f t="shared" si="2"/>
        <v>387.91</v>
      </c>
      <c r="I23" s="745">
        <v>316.8</v>
      </c>
      <c r="J23" s="739">
        <v>17.3</v>
      </c>
      <c r="K23" s="739">
        <v>17.7</v>
      </c>
      <c r="L23" s="739">
        <v>4.2</v>
      </c>
      <c r="M23" s="739">
        <v>17.7</v>
      </c>
      <c r="N23" s="746">
        <v>17.600000000000001</v>
      </c>
      <c r="O23" s="506">
        <f t="shared" si="3"/>
        <v>391.3</v>
      </c>
      <c r="P23" s="747">
        <v>76.8</v>
      </c>
      <c r="Q23" s="459">
        <v>76.8</v>
      </c>
      <c r="R23" s="739">
        <v>23</v>
      </c>
      <c r="S23" s="739">
        <v>77.599999999999994</v>
      </c>
      <c r="T23" s="746">
        <v>77.099999999999994</v>
      </c>
      <c r="U23" s="748">
        <v>80.400000000000006</v>
      </c>
      <c r="V23" s="739">
        <v>81.3</v>
      </c>
      <c r="W23" s="459">
        <v>22.4</v>
      </c>
      <c r="X23" s="459">
        <v>81</v>
      </c>
      <c r="Y23" s="746">
        <v>80.900000000000006</v>
      </c>
      <c r="Z23" s="638">
        <f t="shared" si="4"/>
        <v>1456.51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743">
        <v>314.20999999999998</v>
      </c>
      <c r="C24" s="739">
        <v>16.899999999999999</v>
      </c>
      <c r="D24" s="739">
        <v>17.5</v>
      </c>
      <c r="E24" s="739">
        <v>4.0999999999999996</v>
      </c>
      <c r="F24" s="739">
        <v>17.600000000000001</v>
      </c>
      <c r="G24" s="744">
        <v>17.600000000000001</v>
      </c>
      <c r="H24" s="506">
        <f t="shared" si="2"/>
        <v>387.91</v>
      </c>
      <c r="I24" s="745">
        <v>316.8</v>
      </c>
      <c r="J24" s="739">
        <v>17.3</v>
      </c>
      <c r="K24" s="739">
        <v>17.7</v>
      </c>
      <c r="L24" s="739">
        <v>4.2</v>
      </c>
      <c r="M24" s="739">
        <v>17.7</v>
      </c>
      <c r="N24" s="746">
        <v>17.600000000000001</v>
      </c>
      <c r="O24" s="506">
        <f t="shared" si="3"/>
        <v>391.3</v>
      </c>
      <c r="P24" s="747">
        <v>76.8</v>
      </c>
      <c r="Q24" s="459">
        <v>76.900000000000006</v>
      </c>
      <c r="R24" s="739">
        <v>22</v>
      </c>
      <c r="S24" s="739">
        <v>77.8</v>
      </c>
      <c r="T24" s="746">
        <v>77.3</v>
      </c>
      <c r="U24" s="748">
        <v>80.099999999999994</v>
      </c>
      <c r="V24" s="739">
        <v>81.400000000000006</v>
      </c>
      <c r="W24" s="459">
        <v>22.5</v>
      </c>
      <c r="X24" s="459">
        <v>81.5</v>
      </c>
      <c r="Y24" s="746">
        <v>80.8</v>
      </c>
      <c r="Z24" s="749">
        <f t="shared" si="4"/>
        <v>1456.31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298">
        <f t="shared" ref="C25:G25" si="5">SUM(C18:C24)</f>
        <v>119.9</v>
      </c>
      <c r="D25" s="298">
        <f t="shared" si="5"/>
        <v>123.6</v>
      </c>
      <c r="E25" s="298">
        <f t="shared" si="5"/>
        <v>29.1</v>
      </c>
      <c r="F25" s="298">
        <f t="shared" si="5"/>
        <v>124.39999999999998</v>
      </c>
      <c r="G25" s="448">
        <f t="shared" si="5"/>
        <v>124.39999999999998</v>
      </c>
      <c r="H25" s="436"/>
      <c r="I25" s="297"/>
      <c r="J25" s="298">
        <f t="shared" ref="J25:N25" si="6">SUM(J18:J24)</f>
        <v>122.29999999999998</v>
      </c>
      <c r="K25" s="298">
        <f>SUM(K18:K24)</f>
        <v>124.9</v>
      </c>
      <c r="L25" s="298">
        <f t="shared" si="6"/>
        <v>29.599999999999998</v>
      </c>
      <c r="M25" s="298">
        <f t="shared" si="6"/>
        <v>124.00000000000001</v>
      </c>
      <c r="N25" s="299">
        <f t="shared" si="6"/>
        <v>123.79999999999998</v>
      </c>
      <c r="O25" s="436"/>
      <c r="P25" s="297">
        <f t="shared" ref="P25:W25" si="7">SUM(P18:P24)</f>
        <v>540.5</v>
      </c>
      <c r="Q25" s="297">
        <f t="shared" si="7"/>
        <v>540.6</v>
      </c>
      <c r="R25" s="297">
        <f t="shared" si="7"/>
        <v>164.1</v>
      </c>
      <c r="S25" s="297">
        <f t="shared" si="7"/>
        <v>546.29999999999995</v>
      </c>
      <c r="T25" s="297">
        <f t="shared" si="7"/>
        <v>541.79999999999995</v>
      </c>
      <c r="U25" s="297">
        <f t="shared" si="7"/>
        <v>560.90000000000009</v>
      </c>
      <c r="V25" s="297">
        <f t="shared" si="7"/>
        <v>572.1</v>
      </c>
      <c r="W25" s="297">
        <f t="shared" si="7"/>
        <v>165.2</v>
      </c>
      <c r="X25" s="297">
        <f>SUM(X18:X24)</f>
        <v>571</v>
      </c>
      <c r="Y25" s="297">
        <f>SUM(Y18:Y24)</f>
        <v>566.5</v>
      </c>
      <c r="Z25" s="607">
        <f>SUM(Z18,Z19,Z20,Z21,Z22,Z23,Z24)</f>
        <v>10238.649999999998</v>
      </c>
      <c r="AA25" s="301"/>
    </row>
    <row r="26" spans="1:40" s="2" customFormat="1" ht="36.75" customHeight="1" x14ac:dyDescent="0.25">
      <c r="A26" s="192" t="s">
        <v>11</v>
      </c>
      <c r="B26" s="293"/>
      <c r="C26" s="603">
        <v>160.56999999999991</v>
      </c>
      <c r="D26" s="603">
        <v>160.56999999999991</v>
      </c>
      <c r="E26" s="603">
        <v>160.56999999999991</v>
      </c>
      <c r="F26" s="603">
        <v>160.56999999999991</v>
      </c>
      <c r="G26" s="603">
        <v>160.56999999999991</v>
      </c>
      <c r="H26" s="678"/>
      <c r="I26" s="604"/>
      <c r="J26" s="603">
        <v>160.56999999999991</v>
      </c>
      <c r="K26" s="603">
        <v>160.56999999999991</v>
      </c>
      <c r="L26" s="603">
        <v>160.56999999999991</v>
      </c>
      <c r="M26" s="603">
        <v>160.56999999999991</v>
      </c>
      <c r="N26" s="603">
        <v>160.56999999999991</v>
      </c>
      <c r="O26" s="678"/>
      <c r="P26" s="603">
        <v>160.56999999999991</v>
      </c>
      <c r="Q26" s="603">
        <v>160.56999999999991</v>
      </c>
      <c r="R26" s="603">
        <v>160.56999999999991</v>
      </c>
      <c r="S26" s="603">
        <v>160.56999999999991</v>
      </c>
      <c r="T26" s="603">
        <v>160.56999999999991</v>
      </c>
      <c r="U26" s="603">
        <v>160.56999999999991</v>
      </c>
      <c r="V26" s="603">
        <v>160.56999999999991</v>
      </c>
      <c r="W26" s="603">
        <v>160.56999999999991</v>
      </c>
      <c r="X26" s="603">
        <v>160.56999999999991</v>
      </c>
      <c r="Y26" s="603">
        <v>160.56999999999991</v>
      </c>
      <c r="Z26" s="605">
        <f>(((Z25*1000)/7)/Z27)</f>
        <v>161.05090131185702</v>
      </c>
    </row>
    <row r="27" spans="1:40" s="2" customFormat="1" ht="33" customHeight="1" x14ac:dyDescent="0.25">
      <c r="A27" s="193" t="s">
        <v>12</v>
      </c>
      <c r="B27" s="257"/>
      <c r="C27" s="27">
        <v>556</v>
      </c>
      <c r="D27" s="27">
        <v>571</v>
      </c>
      <c r="E27" s="27">
        <v>134</v>
      </c>
      <c r="F27" s="27">
        <v>574</v>
      </c>
      <c r="G27" s="183">
        <v>573</v>
      </c>
      <c r="H27" s="679"/>
      <c r="I27" s="26"/>
      <c r="J27" s="27">
        <v>566</v>
      </c>
      <c r="K27" s="27">
        <v>578</v>
      </c>
      <c r="L27" s="483">
        <v>135</v>
      </c>
      <c r="M27" s="27">
        <v>577</v>
      </c>
      <c r="N27" s="183">
        <v>575</v>
      </c>
      <c r="O27" s="679"/>
      <c r="P27" s="64">
        <v>481</v>
      </c>
      <c r="Q27" s="27">
        <v>481</v>
      </c>
      <c r="R27" s="27">
        <v>146</v>
      </c>
      <c r="S27" s="27">
        <v>486</v>
      </c>
      <c r="T27" s="623">
        <v>482</v>
      </c>
      <c r="U27" s="26">
        <v>499</v>
      </c>
      <c r="V27" s="27">
        <v>509</v>
      </c>
      <c r="W27" s="27">
        <v>147</v>
      </c>
      <c r="X27" s="27">
        <v>508</v>
      </c>
      <c r="Y27" s="28">
        <v>504</v>
      </c>
      <c r="Z27" s="29">
        <f>SUM(C27:Y27)</f>
        <v>9082</v>
      </c>
      <c r="AA27" s="402"/>
    </row>
    <row r="28" spans="1:40" s="2" customFormat="1" ht="33" customHeight="1" x14ac:dyDescent="0.25">
      <c r="A28" s="444" t="s">
        <v>13</v>
      </c>
      <c r="B28" s="445"/>
      <c r="C28" s="31">
        <f>(C33*C27)/1000</f>
        <v>16.996919999999946</v>
      </c>
      <c r="D28" s="31">
        <f>(D33*D27)/1000</f>
        <v>17.455469999999945</v>
      </c>
      <c r="E28" s="31">
        <f t="shared" ref="E28:F28" si="8">(E33*E27)/1000</f>
        <v>4.0963799999999875</v>
      </c>
      <c r="F28" s="31">
        <f t="shared" si="8"/>
        <v>17.547179999999944</v>
      </c>
      <c r="G28" s="163">
        <f>(G33*G27)/1000</f>
        <v>17.516609999999947</v>
      </c>
      <c r="H28" s="286"/>
      <c r="I28" s="30"/>
      <c r="J28" s="31">
        <f>(J33*J27)/1000</f>
        <v>17.302619999999948</v>
      </c>
      <c r="K28" s="31">
        <f t="shared" ref="K28:N28" si="9">(K33*K27)/1000</f>
        <v>17.669459999999948</v>
      </c>
      <c r="L28" s="31">
        <f t="shared" si="9"/>
        <v>4.1269499999999883</v>
      </c>
      <c r="M28" s="31">
        <f t="shared" si="9"/>
        <v>17.63888999999995</v>
      </c>
      <c r="N28" s="163">
        <f t="shared" si="9"/>
        <v>17.577749999999945</v>
      </c>
      <c r="O28" s="286"/>
      <c r="P28" s="65">
        <f>((((P26*7)*P27)/1000)-P18-P19)/5</f>
        <v>77.307837999999947</v>
      </c>
      <c r="Q28" s="31">
        <f t="shared" ref="Q28:Y28" si="10">((((Q26*7)*Q27)/1000)-Q18-Q19)/5</f>
        <v>77.127837999999954</v>
      </c>
      <c r="R28" s="31">
        <f>((((R26*7)*R27)/1000)-R18-R19)/5</f>
        <v>23.040507999999981</v>
      </c>
      <c r="S28" s="31">
        <f t="shared" si="10"/>
        <v>77.991827999999927</v>
      </c>
      <c r="T28" s="32">
        <f t="shared" si="10"/>
        <v>77.372635999999943</v>
      </c>
      <c r="U28" s="30">
        <f t="shared" si="10"/>
        <v>80.274201999999917</v>
      </c>
      <c r="V28" s="31">
        <f t="shared" si="10"/>
        <v>81.682181999999926</v>
      </c>
      <c r="W28" s="31">
        <f t="shared" si="10"/>
        <v>23.14530599999998</v>
      </c>
      <c r="X28" s="31">
        <f t="shared" si="10"/>
        <v>81.577383999999938</v>
      </c>
      <c r="Y28" s="32">
        <f t="shared" si="10"/>
        <v>80.818191999999925</v>
      </c>
      <c r="Z28" s="33"/>
    </row>
    <row r="29" spans="1:40" ht="33.75" customHeight="1" x14ac:dyDescent="0.25">
      <c r="A29" s="185" t="s">
        <v>14</v>
      </c>
      <c r="B29" s="34"/>
      <c r="C29" s="280">
        <f>((C27*C30)*7)/1000</f>
        <v>119.90000000000002</v>
      </c>
      <c r="D29" s="280">
        <f t="shared" ref="D29:G29" si="11">((D27*D30)*7)/1000</f>
        <v>123.59999999999998</v>
      </c>
      <c r="E29" s="280">
        <f>((E27*E30)*7)/1000</f>
        <v>29.1</v>
      </c>
      <c r="F29" s="280">
        <f t="shared" si="11"/>
        <v>124.39999999999996</v>
      </c>
      <c r="G29" s="281">
        <f t="shared" si="11"/>
        <v>124.39999999999996</v>
      </c>
      <c r="H29" s="680"/>
      <c r="I29" s="279"/>
      <c r="J29" s="280">
        <f>((J27*J30)*7)/1000</f>
        <v>122.29999999999998</v>
      </c>
      <c r="K29" s="280">
        <f t="shared" ref="K29:N29" si="12">((K27*K30)*7)/1000</f>
        <v>124.89999999999999</v>
      </c>
      <c r="L29" s="280">
        <f t="shared" si="12"/>
        <v>29.6</v>
      </c>
      <c r="M29" s="280">
        <f t="shared" si="12"/>
        <v>124.00000000000003</v>
      </c>
      <c r="N29" s="281">
        <f t="shared" si="12"/>
        <v>123.8</v>
      </c>
      <c r="O29" s="680"/>
      <c r="P29" s="325">
        <f t="shared" ref="P29:Y29" si="13">((P27*P26)*7)/1000</f>
        <v>540.63918999999976</v>
      </c>
      <c r="Q29" s="280">
        <f t="shared" si="13"/>
        <v>540.63918999999976</v>
      </c>
      <c r="R29" s="280">
        <f t="shared" si="13"/>
        <v>164.10253999999992</v>
      </c>
      <c r="S29" s="280">
        <f t="shared" si="13"/>
        <v>546.25913999999966</v>
      </c>
      <c r="T29" s="282">
        <f t="shared" si="13"/>
        <v>541.76317999999969</v>
      </c>
      <c r="U29" s="279">
        <f t="shared" si="13"/>
        <v>560.87100999999961</v>
      </c>
      <c r="V29" s="280">
        <f t="shared" si="13"/>
        <v>572.11090999999965</v>
      </c>
      <c r="W29" s="280">
        <f t="shared" si="13"/>
        <v>165.22652999999991</v>
      </c>
      <c r="X29" s="280">
        <f t="shared" si="13"/>
        <v>570.98691999999971</v>
      </c>
      <c r="Y29" s="282">
        <f t="shared" si="13"/>
        <v>566.49095999999975</v>
      </c>
      <c r="Z29" s="36"/>
    </row>
    <row r="30" spans="1:40" ht="33.75" customHeight="1" thickBot="1" x14ac:dyDescent="0.3">
      <c r="A30" s="195" t="s">
        <v>15</v>
      </c>
      <c r="B30" s="423"/>
      <c r="C30" s="38">
        <f>+(C25/C27)/7*1000</f>
        <v>30.806783144912643</v>
      </c>
      <c r="D30" s="38">
        <f t="shared" ref="D30:X30" si="14">+(D25/D27)/7*1000</f>
        <v>30.923192394295718</v>
      </c>
      <c r="E30" s="38">
        <f>+(E25/E27)/7*1000</f>
        <v>31.023454157782517</v>
      </c>
      <c r="F30" s="38">
        <f t="shared" si="14"/>
        <v>30.960676953708305</v>
      </c>
      <c r="G30" s="207">
        <f t="shared" si="14"/>
        <v>31.014709548740953</v>
      </c>
      <c r="H30" s="262"/>
      <c r="I30" s="37"/>
      <c r="J30" s="38">
        <f t="shared" si="14"/>
        <v>30.868248359414434</v>
      </c>
      <c r="K30" s="38">
        <f t="shared" si="14"/>
        <v>30.869995056846268</v>
      </c>
      <c r="L30" s="38">
        <f t="shared" si="14"/>
        <v>31.322751322751323</v>
      </c>
      <c r="M30" s="38">
        <f t="shared" si="14"/>
        <v>30.700668482297601</v>
      </c>
      <c r="N30" s="207">
        <f>+(N25/N27)/7*1000</f>
        <v>30.757763975155278</v>
      </c>
      <c r="O30" s="262"/>
      <c r="P30" s="67">
        <f t="shared" si="14"/>
        <v>160.52866052866051</v>
      </c>
      <c r="Q30" s="38">
        <f t="shared" si="14"/>
        <v>160.55836055836056</v>
      </c>
      <c r="R30" s="38">
        <f t="shared" si="14"/>
        <v>160.5675146771037</v>
      </c>
      <c r="S30" s="38">
        <f t="shared" si="14"/>
        <v>160.58201058201058</v>
      </c>
      <c r="T30" s="39">
        <f t="shared" si="14"/>
        <v>160.58091286307055</v>
      </c>
      <c r="U30" s="37">
        <f t="shared" si="14"/>
        <v>160.57829945605499</v>
      </c>
      <c r="V30" s="38">
        <f t="shared" si="14"/>
        <v>160.56693797361774</v>
      </c>
      <c r="W30" s="38">
        <f t="shared" si="14"/>
        <v>160.54421768707482</v>
      </c>
      <c r="X30" s="38">
        <f t="shared" si="14"/>
        <v>160.57367829021371</v>
      </c>
      <c r="Y30" s="38">
        <f>+(Y25/Y27)/7*1000</f>
        <v>160.57256235827663</v>
      </c>
      <c r="Z30" s="40"/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5">D29-D25</f>
        <v>0</v>
      </c>
      <c r="E31" s="42">
        <f t="shared" si="15"/>
        <v>0</v>
      </c>
      <c r="F31" s="42">
        <f t="shared" si="15"/>
        <v>0</v>
      </c>
      <c r="G31" s="42">
        <f t="shared" si="15"/>
        <v>0</v>
      </c>
      <c r="H31" s="42"/>
      <c r="I31" s="42"/>
      <c r="J31" s="42">
        <f t="shared" si="15"/>
        <v>0</v>
      </c>
      <c r="K31" s="42">
        <f>K29-K25</f>
        <v>0</v>
      </c>
      <c r="L31" s="42">
        <f t="shared" si="15"/>
        <v>0</v>
      </c>
      <c r="M31" s="42">
        <f t="shared" si="15"/>
        <v>0</v>
      </c>
      <c r="N31" s="42">
        <f t="shared" si="15"/>
        <v>0</v>
      </c>
      <c r="O31" s="42"/>
      <c r="P31" s="42">
        <f>P29-P25</f>
        <v>0.13918999999975767</v>
      </c>
      <c r="Q31" s="42">
        <f>Q29-Q25</f>
        <v>3.9189999999734937E-2</v>
      </c>
      <c r="R31" s="42">
        <f t="shared" si="15"/>
        <v>2.5399999999251577E-3</v>
      </c>
      <c r="S31" s="42">
        <f t="shared" si="15"/>
        <v>-4.0860000000293439E-2</v>
      </c>
      <c r="T31" s="42">
        <f t="shared" si="15"/>
        <v>-3.6820000000261643E-2</v>
      </c>
      <c r="U31" s="42">
        <f>U29-U25</f>
        <v>-2.8990000000476357E-2</v>
      </c>
      <c r="V31" s="42">
        <f t="shared" si="15"/>
        <v>1.0909999999626052E-2</v>
      </c>
      <c r="W31" s="42">
        <f t="shared" si="15"/>
        <v>2.6529999999922893E-2</v>
      </c>
      <c r="X31" s="42">
        <f t="shared" si="15"/>
        <v>-1.3080000000286418E-2</v>
      </c>
      <c r="Y31" s="42">
        <f>Y29-Y25</f>
        <v>-9.0400000002546221E-3</v>
      </c>
      <c r="Z31" s="48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0.23678314491273511</v>
      </c>
      <c r="D32" s="42">
        <f t="shared" ref="D32:G32" si="16">D30-D33</f>
        <v>0.35319239429581017</v>
      </c>
      <c r="E32" s="42">
        <f>E30-E33</f>
        <v>0.453454157782609</v>
      </c>
      <c r="F32" s="42">
        <f t="shared" si="16"/>
        <v>0.39067695370839672</v>
      </c>
      <c r="G32" s="42">
        <f t="shared" si="16"/>
        <v>0.44470954874104507</v>
      </c>
      <c r="H32" s="42"/>
      <c r="I32" s="42"/>
      <c r="J32" s="42">
        <f t="shared" ref="J32:M32" si="17">J30-J33</f>
        <v>0.29824835941452577</v>
      </c>
      <c r="K32" s="42">
        <f t="shared" si="17"/>
        <v>0.29999505684635963</v>
      </c>
      <c r="L32" s="42">
        <f t="shared" si="17"/>
        <v>0.75275132275141488</v>
      </c>
      <c r="M32" s="42">
        <f t="shared" si="17"/>
        <v>0.13066848229769334</v>
      </c>
      <c r="N32" s="42">
        <f>N30-N33</f>
        <v>0.18776397515537013</v>
      </c>
      <c r="O32" s="42"/>
      <c r="P32" s="42">
        <f>P30-P26</f>
        <v>-4.1339471339398415E-2</v>
      </c>
      <c r="Q32" s="42">
        <f t="shared" si="15"/>
        <v>-1.163944163934616E-2</v>
      </c>
      <c r="R32" s="42">
        <f t="shared" si="15"/>
        <v>-2.4853228962058438E-3</v>
      </c>
      <c r="S32" s="42">
        <f t="shared" si="15"/>
        <v>1.2010582010674398E-2</v>
      </c>
      <c r="T32" s="42">
        <f t="shared" si="15"/>
        <v>1.0912863070643652E-2</v>
      </c>
      <c r="U32" s="42">
        <f t="shared" si="15"/>
        <v>8.2994560550844199E-3</v>
      </c>
      <c r="V32" s="42">
        <f t="shared" si="15"/>
        <v>-3.0620263821674598E-3</v>
      </c>
      <c r="W32" s="42">
        <f t="shared" si="15"/>
        <v>-2.5782312925088036E-2</v>
      </c>
      <c r="X32" s="42">
        <f t="shared" si="15"/>
        <v>3.6782902137986184E-3</v>
      </c>
      <c r="Y32" s="42">
        <f t="shared" si="15"/>
        <v>2.5623582767195785E-3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30.569999999999908</v>
      </c>
      <c r="D33" s="42">
        <f t="shared" ref="D33:G33" si="18">D26-$B$34</f>
        <v>30.569999999999908</v>
      </c>
      <c r="E33" s="42">
        <f t="shared" si="18"/>
        <v>30.569999999999908</v>
      </c>
      <c r="F33" s="42">
        <f t="shared" si="18"/>
        <v>30.569999999999908</v>
      </c>
      <c r="G33" s="42">
        <f t="shared" si="18"/>
        <v>30.569999999999908</v>
      </c>
      <c r="H33" s="42"/>
      <c r="I33" s="42"/>
      <c r="J33" s="42">
        <f>J26-$I$34</f>
        <v>30.569999999999908</v>
      </c>
      <c r="K33" s="42">
        <f t="shared" ref="K33:L33" si="19">K26-$I$34</f>
        <v>30.569999999999908</v>
      </c>
      <c r="L33" s="42">
        <f t="shared" si="19"/>
        <v>30.569999999999908</v>
      </c>
      <c r="M33" s="42">
        <f>M26-$I$34</f>
        <v>30.569999999999908</v>
      </c>
      <c r="N33" s="42">
        <f>N26-$I$34</f>
        <v>30.569999999999908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313.04000000000002</v>
      </c>
      <c r="D34" s="432">
        <f>SUM(C27:G27)</f>
        <v>2408</v>
      </c>
      <c r="E34" s="42"/>
      <c r="F34" s="42"/>
      <c r="G34" s="42"/>
      <c r="H34" s="42"/>
      <c r="I34" s="514">
        <v>130</v>
      </c>
      <c r="J34" s="431">
        <f>(I34*K34)/1000</f>
        <v>316.02999999999997</v>
      </c>
      <c r="K34" s="432">
        <f>SUM(J27:N27)</f>
        <v>2431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674" t="s">
        <v>9</v>
      </c>
      <c r="S39" s="645"/>
      <c r="U39" s="45"/>
      <c r="V39" s="45"/>
      <c r="W39" s="46"/>
      <c r="X39" s="3"/>
      <c r="Y39" s="45"/>
      <c r="Z39" s="45"/>
      <c r="AA39" s="45"/>
      <c r="AB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168">
        <v>5</v>
      </c>
      <c r="R40" s="236"/>
      <c r="S40" s="645"/>
      <c r="U40" s="47"/>
      <c r="X40" s="48"/>
      <c r="Y40" s="2"/>
      <c r="Z40" s="2"/>
      <c r="AA40" s="2"/>
      <c r="AB40" s="2"/>
    </row>
    <row r="41" spans="1:38" ht="33.75" customHeight="1" x14ac:dyDescent="0.25">
      <c r="A41" s="171" t="s">
        <v>32</v>
      </c>
      <c r="B41" s="279">
        <v>90.3</v>
      </c>
      <c r="C41" s="280">
        <v>88.7</v>
      </c>
      <c r="D41" s="280">
        <v>17.399999999999999</v>
      </c>
      <c r="E41" s="280">
        <v>91</v>
      </c>
      <c r="F41" s="281">
        <v>87.9</v>
      </c>
      <c r="G41" s="638">
        <f t="shared" ref="G41:G48" si="20">SUM(B41:F41)</f>
        <v>375.29999999999995</v>
      </c>
      <c r="H41" s="364"/>
      <c r="I41" s="364"/>
      <c r="J41" s="364"/>
      <c r="K41" s="364"/>
      <c r="L41" s="171" t="s">
        <v>53</v>
      </c>
      <c r="M41" s="130">
        <v>7</v>
      </c>
      <c r="N41" s="689">
        <v>7</v>
      </c>
      <c r="O41" s="741">
        <v>1.5</v>
      </c>
      <c r="P41" s="689">
        <v>7.1</v>
      </c>
      <c r="Q41" s="689">
        <v>7</v>
      </c>
      <c r="R41" s="750">
        <f t="shared" ref="R41:R48" si="21">SUM(M41:Q41)</f>
        <v>29.6</v>
      </c>
      <c r="S41" s="646"/>
      <c r="T41" s="675"/>
      <c r="U41" s="657"/>
      <c r="X41" s="48"/>
      <c r="Y41" s="2"/>
      <c r="Z41" s="2"/>
      <c r="AA41" s="2"/>
      <c r="AB41" s="2"/>
    </row>
    <row r="42" spans="1:38" ht="33.75" customHeight="1" x14ac:dyDescent="0.25">
      <c r="A42" s="171" t="s">
        <v>24</v>
      </c>
      <c r="B42" s="532">
        <v>92.4</v>
      </c>
      <c r="C42" s="431">
        <v>91.1</v>
      </c>
      <c r="D42" s="431">
        <v>19.100000000000001</v>
      </c>
      <c r="E42" s="431">
        <v>92.2</v>
      </c>
      <c r="F42" s="533">
        <v>90.1</v>
      </c>
      <c r="G42" s="638">
        <f t="shared" si="20"/>
        <v>384.9</v>
      </c>
      <c r="H42" s="364"/>
      <c r="I42" s="364"/>
      <c r="J42" s="364"/>
      <c r="K42" s="364"/>
      <c r="L42" s="171" t="s">
        <v>24</v>
      </c>
      <c r="M42" s="532">
        <v>7</v>
      </c>
      <c r="N42" s="431">
        <v>6.8</v>
      </c>
      <c r="O42" s="431">
        <v>1.3</v>
      </c>
      <c r="P42" s="431">
        <v>7</v>
      </c>
      <c r="Q42" s="431">
        <v>7</v>
      </c>
      <c r="R42" s="752">
        <f t="shared" si="21"/>
        <v>29.1</v>
      </c>
      <c r="S42" s="646"/>
      <c r="T42" s="647"/>
      <c r="U42" s="658"/>
      <c r="X42" s="48"/>
      <c r="Y42" s="2"/>
      <c r="Z42" s="2"/>
      <c r="AA42" s="2"/>
      <c r="AB42" s="2"/>
    </row>
    <row r="43" spans="1:38" ht="33.75" customHeight="1" x14ac:dyDescent="0.25">
      <c r="A43" s="171" t="s">
        <v>20</v>
      </c>
      <c r="B43" s="532">
        <v>90.5</v>
      </c>
      <c r="C43" s="431">
        <v>89.3</v>
      </c>
      <c r="D43" s="431">
        <v>18.600000000000001</v>
      </c>
      <c r="E43" s="431">
        <v>91</v>
      </c>
      <c r="F43" s="533">
        <v>88.8</v>
      </c>
      <c r="G43" s="638">
        <f t="shared" si="20"/>
        <v>378.2</v>
      </c>
      <c r="H43" s="364"/>
      <c r="I43" s="364"/>
      <c r="J43" s="364"/>
      <c r="K43" s="364"/>
      <c r="L43" s="171" t="s">
        <v>20</v>
      </c>
      <c r="M43" s="532">
        <v>7</v>
      </c>
      <c r="N43" s="431">
        <v>6.8</v>
      </c>
      <c r="O43" s="431">
        <v>1.3</v>
      </c>
      <c r="P43" s="431">
        <v>7</v>
      </c>
      <c r="Q43" s="431">
        <v>7</v>
      </c>
      <c r="R43" s="752">
        <f t="shared" si="21"/>
        <v>29.1</v>
      </c>
      <c r="S43" s="646"/>
      <c r="T43" s="647"/>
      <c r="U43" s="658"/>
      <c r="X43" s="48"/>
      <c r="Y43" s="2"/>
      <c r="Z43" s="2"/>
      <c r="AA43" s="2"/>
      <c r="AB43" s="2"/>
    </row>
    <row r="44" spans="1:38" ht="33.75" customHeight="1" x14ac:dyDescent="0.25">
      <c r="A44" s="171" t="s">
        <v>28</v>
      </c>
      <c r="B44" s="532">
        <v>90.3</v>
      </c>
      <c r="C44" s="431">
        <v>89.3</v>
      </c>
      <c r="D44" s="431">
        <v>18.3</v>
      </c>
      <c r="E44" s="431">
        <v>90.7</v>
      </c>
      <c r="F44" s="533">
        <v>88.8</v>
      </c>
      <c r="G44" s="638">
        <f t="shared" si="20"/>
        <v>377.40000000000003</v>
      </c>
      <c r="H44" s="651"/>
      <c r="I44" s="364"/>
      <c r="J44" s="364"/>
      <c r="K44" s="364"/>
      <c r="L44" s="171" t="s">
        <v>28</v>
      </c>
      <c r="M44" s="532">
        <v>6.9</v>
      </c>
      <c r="N44" s="711">
        <v>6.9</v>
      </c>
      <c r="O44" s="711">
        <v>1.2</v>
      </c>
      <c r="P44" s="711">
        <v>7</v>
      </c>
      <c r="Q44" s="711">
        <v>6.9</v>
      </c>
      <c r="R44" s="752">
        <f t="shared" si="21"/>
        <v>28.9</v>
      </c>
      <c r="S44" s="646"/>
      <c r="T44" s="647"/>
      <c r="U44" s="658"/>
      <c r="X44" s="48"/>
      <c r="Y44" s="2"/>
      <c r="Z44" s="2"/>
      <c r="AA44" s="2"/>
      <c r="AB44" s="2"/>
    </row>
    <row r="45" spans="1:38" ht="33.75" customHeight="1" x14ac:dyDescent="0.25">
      <c r="A45" s="171" t="s">
        <v>21</v>
      </c>
      <c r="B45" s="532">
        <v>90.2</v>
      </c>
      <c r="C45" s="431">
        <v>89.3</v>
      </c>
      <c r="D45" s="431">
        <v>18.3</v>
      </c>
      <c r="E45" s="431">
        <v>90.7</v>
      </c>
      <c r="F45" s="533">
        <v>88.8</v>
      </c>
      <c r="G45" s="638">
        <f t="shared" si="20"/>
        <v>377.3</v>
      </c>
      <c r="H45" s="651"/>
      <c r="I45" s="364"/>
      <c r="J45" s="364"/>
      <c r="K45" s="364"/>
      <c r="L45" s="171" t="s">
        <v>21</v>
      </c>
      <c r="M45" s="532">
        <v>6.9</v>
      </c>
      <c r="N45" s="711">
        <v>6.9</v>
      </c>
      <c r="O45" s="711">
        <v>1.2</v>
      </c>
      <c r="P45" s="711">
        <v>7</v>
      </c>
      <c r="Q45" s="711">
        <v>6.9</v>
      </c>
      <c r="R45" s="752">
        <f t="shared" si="21"/>
        <v>28.9</v>
      </c>
      <c r="S45" s="646"/>
      <c r="T45" s="647"/>
      <c r="U45" s="658"/>
      <c r="X45" s="48"/>
      <c r="Y45" s="2"/>
      <c r="Z45" s="2"/>
      <c r="AA45" s="2"/>
      <c r="AB45" s="2"/>
    </row>
    <row r="46" spans="1:38" ht="33.75" customHeight="1" x14ac:dyDescent="0.25">
      <c r="A46" s="171" t="s">
        <v>22</v>
      </c>
      <c r="B46" s="279">
        <v>89</v>
      </c>
      <c r="C46" s="280">
        <v>89.9</v>
      </c>
      <c r="D46" s="280">
        <v>18.100000000000001</v>
      </c>
      <c r="E46" s="280">
        <v>90.3</v>
      </c>
      <c r="F46" s="281">
        <v>89.3</v>
      </c>
      <c r="G46" s="638">
        <f t="shared" si="20"/>
        <v>376.6</v>
      </c>
      <c r="H46" s="651"/>
      <c r="I46" s="364"/>
      <c r="J46" s="364"/>
      <c r="K46" s="364"/>
      <c r="L46" s="171" t="s">
        <v>22</v>
      </c>
      <c r="M46" s="279">
        <v>6.9</v>
      </c>
      <c r="N46" s="180">
        <v>6.9</v>
      </c>
      <c r="O46" s="741">
        <v>1.1000000000000001</v>
      </c>
      <c r="P46" s="180">
        <v>7</v>
      </c>
      <c r="Q46" s="180">
        <v>6.9</v>
      </c>
      <c r="R46" s="752">
        <f t="shared" si="21"/>
        <v>28.799999999999997</v>
      </c>
      <c r="S46" s="646"/>
      <c r="T46" s="647"/>
      <c r="U46" s="658"/>
      <c r="X46" s="48"/>
      <c r="Y46" s="2"/>
      <c r="Z46" s="2"/>
      <c r="AA46" s="2"/>
      <c r="AB46" s="2"/>
    </row>
    <row r="47" spans="1:38" ht="33.75" customHeight="1" thickBot="1" x14ac:dyDescent="0.3">
      <c r="A47" s="285" t="s">
        <v>23</v>
      </c>
      <c r="B47" s="279">
        <v>89.1</v>
      </c>
      <c r="C47" s="280">
        <v>89.9</v>
      </c>
      <c r="D47" s="280">
        <v>18.100000000000001</v>
      </c>
      <c r="E47" s="280">
        <v>90.3</v>
      </c>
      <c r="F47" s="281">
        <v>89.4</v>
      </c>
      <c r="G47" s="778">
        <f t="shared" si="20"/>
        <v>376.79999999999995</v>
      </c>
      <c r="H47" s="651"/>
      <c r="I47" s="364"/>
      <c r="J47" s="364"/>
      <c r="K47" s="364"/>
      <c r="L47" s="285" t="s">
        <v>23</v>
      </c>
      <c r="M47" s="130">
        <v>7</v>
      </c>
      <c r="N47" s="180">
        <v>6.9</v>
      </c>
      <c r="O47" s="741">
        <v>1.1000000000000001</v>
      </c>
      <c r="P47" s="689">
        <v>7</v>
      </c>
      <c r="Q47" s="689">
        <v>7</v>
      </c>
      <c r="R47" s="779">
        <f t="shared" si="21"/>
        <v>29</v>
      </c>
      <c r="S47" s="646"/>
      <c r="T47" s="647"/>
      <c r="U47" s="658"/>
      <c r="X47" s="48"/>
      <c r="Y47" s="48"/>
      <c r="Z47" s="48"/>
      <c r="AA47" s="2"/>
      <c r="AB47" s="2"/>
      <c r="AC47" s="2"/>
      <c r="AD47" s="2"/>
    </row>
    <row r="48" spans="1:38" ht="33.75" customHeight="1" thickBot="1" x14ac:dyDescent="0.3">
      <c r="A48" s="290" t="s">
        <v>9</v>
      </c>
      <c r="B48" s="297">
        <f>SUM(B41:B47)</f>
        <v>631.80000000000007</v>
      </c>
      <c r="C48" s="298">
        <f t="shared" ref="C48:F48" si="22">SUM(C41:C47)</f>
        <v>627.5</v>
      </c>
      <c r="D48" s="298">
        <f t="shared" si="22"/>
        <v>127.9</v>
      </c>
      <c r="E48" s="298">
        <f t="shared" si="22"/>
        <v>636.19999999999993</v>
      </c>
      <c r="F48" s="448">
        <f t="shared" si="22"/>
        <v>623.1</v>
      </c>
      <c r="G48" s="729">
        <f t="shared" si="20"/>
        <v>2646.5</v>
      </c>
      <c r="H48" s="364"/>
      <c r="I48" s="364"/>
      <c r="J48" s="364"/>
      <c r="K48" s="364"/>
      <c r="L48" s="290" t="s">
        <v>9</v>
      </c>
      <c r="M48" s="687">
        <f>SUM(M41:M47)</f>
        <v>48.699999999999996</v>
      </c>
      <c r="N48" s="688">
        <f>SUM(N41:N47)</f>
        <v>48.199999999999996</v>
      </c>
      <c r="O48" s="688">
        <f>SUM(O41:O47)</f>
        <v>8.6999999999999993</v>
      </c>
      <c r="P48" s="688">
        <f t="shared" ref="P48:Q48" si="23">SUM(P41:P47)</f>
        <v>49.1</v>
      </c>
      <c r="Q48" s="688">
        <f t="shared" si="23"/>
        <v>48.699999999999996</v>
      </c>
      <c r="R48" s="607">
        <f t="shared" si="21"/>
        <v>203.39999999999998</v>
      </c>
      <c r="S48" s="647"/>
      <c r="T48" s="647"/>
      <c r="U48" s="658"/>
      <c r="X48" s="2"/>
      <c r="Y48" s="2"/>
      <c r="Z48" s="2"/>
      <c r="AA48" s="2"/>
      <c r="AB48" s="2"/>
      <c r="AC48" s="2"/>
      <c r="AD48" s="2"/>
    </row>
    <row r="49" spans="1:50" ht="33.75" customHeight="1" x14ac:dyDescent="0.25">
      <c r="A49" s="192" t="s">
        <v>11</v>
      </c>
      <c r="B49" s="751">
        <v>156.16399999999993</v>
      </c>
      <c r="C49" s="751">
        <v>156.16399999999993</v>
      </c>
      <c r="D49" s="751">
        <v>156.16399999999993</v>
      </c>
      <c r="E49" s="751">
        <v>156.16399999999993</v>
      </c>
      <c r="F49" s="751">
        <v>156.16399999999993</v>
      </c>
      <c r="G49" s="730">
        <f>+((G48/G50)/7)*1000</f>
        <v>156.16333274325839</v>
      </c>
      <c r="H49" s="609"/>
      <c r="I49" s="364"/>
      <c r="J49" s="364"/>
      <c r="K49" s="364"/>
      <c r="L49" s="273" t="s">
        <v>11</v>
      </c>
      <c r="M49" s="293">
        <v>158</v>
      </c>
      <c r="N49" s="294">
        <v>156.5</v>
      </c>
      <c r="O49" s="294">
        <v>155.5</v>
      </c>
      <c r="P49" s="294">
        <v>156</v>
      </c>
      <c r="Q49" s="294">
        <v>154.5</v>
      </c>
      <c r="R49" s="296">
        <f>+((R48/R50)/7)*1000</f>
        <v>156.22119815668202</v>
      </c>
      <c r="S49" s="648"/>
      <c r="T49" s="647"/>
      <c r="U49" s="658"/>
      <c r="V49" s="50"/>
    </row>
    <row r="50" spans="1:50" ht="33.75" customHeight="1" x14ac:dyDescent="0.25">
      <c r="A50" s="193" t="s">
        <v>12</v>
      </c>
      <c r="B50" s="26">
        <v>578</v>
      </c>
      <c r="C50" s="27">
        <v>574</v>
      </c>
      <c r="D50" s="27">
        <v>117</v>
      </c>
      <c r="E50" s="27">
        <v>582</v>
      </c>
      <c r="F50" s="183">
        <v>570</v>
      </c>
      <c r="G50" s="731">
        <f>SUM(B50:F50)</f>
        <v>2421</v>
      </c>
      <c r="H50" s="609"/>
      <c r="I50" s="364"/>
      <c r="J50" s="364"/>
      <c r="K50" s="364"/>
      <c r="L50" s="193" t="s">
        <v>12</v>
      </c>
      <c r="M50" s="257">
        <v>44</v>
      </c>
      <c r="N50" s="275">
        <v>44</v>
      </c>
      <c r="O50" s="275">
        <v>8</v>
      </c>
      <c r="P50" s="275">
        <v>45</v>
      </c>
      <c r="Q50" s="275">
        <v>45</v>
      </c>
      <c r="R50" s="254">
        <f>SUM(M50:Q50)</f>
        <v>186</v>
      </c>
      <c r="S50" s="649"/>
      <c r="T50" s="301"/>
      <c r="U50" s="52"/>
      <c r="V50" s="52"/>
    </row>
    <row r="51" spans="1:50" ht="33.75" customHeight="1" x14ac:dyDescent="0.25">
      <c r="A51" s="194" t="s">
        <v>13</v>
      </c>
      <c r="B51" s="30">
        <f>((((B49*7)*B50)/1000)-B41-B42)/5</f>
        <v>89.827908799999932</v>
      </c>
      <c r="C51" s="31">
        <f t="shared" ref="C51:F51" si="24">((((C49*7)*C50)/1000)-C41-C42)/5</f>
        <v>89.533390399999917</v>
      </c>
      <c r="D51" s="31">
        <f>((((D49*7)*D50)/1000)-D41-D42)/5</f>
        <v>18.279663199999987</v>
      </c>
      <c r="E51" s="31">
        <f t="shared" si="24"/>
        <v>90.602427199999951</v>
      </c>
      <c r="F51" s="163">
        <f t="shared" si="24"/>
        <v>89.018871999999917</v>
      </c>
      <c r="G51" s="732">
        <f>((G48*1000)/G50)/7</f>
        <v>156.16333274325839</v>
      </c>
      <c r="H51" s="609"/>
      <c r="I51" s="364"/>
      <c r="J51" s="364"/>
      <c r="K51" s="364"/>
      <c r="L51" s="194" t="s">
        <v>13</v>
      </c>
      <c r="M51" s="30">
        <f>((((M49*7)*M50)/1000)-M41-M42)/5</f>
        <v>6.9328000000000003</v>
      </c>
      <c r="N51" s="31">
        <f t="shared" ref="N51:Q51" si="25">((((N49*7)*N50)/1000)-N41-N42)/5</f>
        <v>6.8803999999999998</v>
      </c>
      <c r="O51" s="31">
        <f t="shared" si="25"/>
        <v>1.1816</v>
      </c>
      <c r="P51" s="31">
        <f t="shared" si="25"/>
        <v>7.008</v>
      </c>
      <c r="Q51" s="31">
        <f t="shared" si="25"/>
        <v>6.9334999999999996</v>
      </c>
      <c r="R51" s="274">
        <f>((R48*1000)/R50)/7</f>
        <v>156.22119815668202</v>
      </c>
      <c r="S51" s="650"/>
      <c r="T51" s="301"/>
      <c r="U51" s="52"/>
      <c r="V51" s="52"/>
    </row>
    <row r="52" spans="1:50" ht="33.75" customHeight="1" x14ac:dyDescent="0.25">
      <c r="A52" s="185" t="s">
        <v>14</v>
      </c>
      <c r="B52" s="279">
        <f>((B50*B49)*7)/1000</f>
        <v>631.83954399999971</v>
      </c>
      <c r="C52" s="280">
        <f>((C50*C49)*7)/1000</f>
        <v>627.46695199999965</v>
      </c>
      <c r="D52" s="280">
        <f>((D50*D49)*7)/1000</f>
        <v>127.89831599999994</v>
      </c>
      <c r="E52" s="280">
        <f>((E50*E49)*7)/1000</f>
        <v>636.21213599999976</v>
      </c>
      <c r="F52" s="281">
        <f>((F50*F49)*7)/1000</f>
        <v>623.09435999999971</v>
      </c>
      <c r="G52" s="73"/>
      <c r="H52" s="609"/>
      <c r="I52" s="364"/>
      <c r="J52" s="364"/>
      <c r="K52" s="364"/>
      <c r="L52" s="185" t="s">
        <v>14</v>
      </c>
      <c r="M52" s="279">
        <f>((M50*M49)*7)/1000</f>
        <v>48.664000000000001</v>
      </c>
      <c r="N52" s="280">
        <f>((N50*N49)*7)/1000</f>
        <v>48.201999999999998</v>
      </c>
      <c r="O52" s="280">
        <f>((O50*O49)*7)/1000</f>
        <v>8.7080000000000002</v>
      </c>
      <c r="P52" s="280">
        <f t="shared" ref="P52:Q52" si="26">((P50*P49)*7)/1000</f>
        <v>49.14</v>
      </c>
      <c r="Q52" s="280">
        <f t="shared" si="26"/>
        <v>48.667499999999997</v>
      </c>
      <c r="R52" s="36"/>
      <c r="S52" s="522"/>
    </row>
    <row r="53" spans="1:50" ht="33.75" customHeight="1" thickBot="1" x14ac:dyDescent="0.3">
      <c r="A53" s="195" t="s">
        <v>15</v>
      </c>
      <c r="B53" s="37">
        <f>+(B48/B50)/7*1000</f>
        <v>156.15422639644098</v>
      </c>
      <c r="C53" s="38">
        <f t="shared" ref="C53:E53" si="27">+(C48/C50)/7*1000</f>
        <v>156.17222498755598</v>
      </c>
      <c r="D53" s="38">
        <f t="shared" si="27"/>
        <v>156.16605616605619</v>
      </c>
      <c r="E53" s="38">
        <f t="shared" si="27"/>
        <v>156.16102110947469</v>
      </c>
      <c r="F53" s="207">
        <f>+(F48/F50)/7*1000</f>
        <v>156.1654135338346</v>
      </c>
      <c r="G53" s="74"/>
      <c r="H53" s="609"/>
      <c r="I53" s="364"/>
      <c r="J53" s="364"/>
      <c r="K53" s="364"/>
      <c r="L53" s="195" t="s">
        <v>15</v>
      </c>
      <c r="M53" s="37">
        <f>+(M48/M50)/7*1000</f>
        <v>158.11688311688309</v>
      </c>
      <c r="N53" s="38">
        <f>+(N48/N50)/7*1000</f>
        <v>156.49350649350649</v>
      </c>
      <c r="O53" s="38">
        <f>+(O48/O50)/7*1000</f>
        <v>155.35714285714283</v>
      </c>
      <c r="P53" s="38">
        <f t="shared" ref="P53:Q53" si="28">+(P48/P50)/7*1000</f>
        <v>155.87301587301587</v>
      </c>
      <c r="Q53" s="38">
        <f t="shared" si="28"/>
        <v>154.60317460317461</v>
      </c>
      <c r="R53" s="259"/>
      <c r="S53" s="651"/>
      <c r="U53" s="42"/>
      <c r="V53" s="42"/>
    </row>
    <row r="54" spans="1:50" ht="33.75" customHeight="1" x14ac:dyDescent="0.25">
      <c r="A54" s="41"/>
      <c r="B54" s="43">
        <f>B52-B48</f>
        <v>3.9543999999636981E-2</v>
      </c>
      <c r="C54" s="43">
        <f t="shared" ref="C54:D55" si="29">C52-C48</f>
        <v>-3.304800000034902E-2</v>
      </c>
      <c r="D54" s="43">
        <f t="shared" si="29"/>
        <v>-1.6840000000684086E-3</v>
      </c>
      <c r="E54" s="43">
        <f>E52-E48</f>
        <v>1.2135999999827618E-2</v>
      </c>
      <c r="F54" s="43">
        <f>F52-F48</f>
        <v>-5.6400000003122841E-3</v>
      </c>
      <c r="G54" s="41"/>
      <c r="H54" s="41"/>
      <c r="I54" s="41"/>
      <c r="J54" s="41"/>
      <c r="K54" s="41"/>
      <c r="L54" s="42"/>
      <c r="M54" s="42">
        <f>M52-M48</f>
        <v>-3.5999999999994259E-2</v>
      </c>
      <c r="N54" s="42">
        <f>N52-N48</f>
        <v>2.0000000000024443E-3</v>
      </c>
      <c r="O54" s="42">
        <f t="shared" ref="N54:Q55" si="30">O52-O48</f>
        <v>8.0000000000008953E-3</v>
      </c>
      <c r="P54" s="42">
        <f t="shared" si="30"/>
        <v>3.9999999999999147E-2</v>
      </c>
      <c r="Q54" s="42">
        <f t="shared" si="30"/>
        <v>-3.2499999999998863E-2</v>
      </c>
      <c r="R54" s="42"/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-9.7736035589548464E-3</v>
      </c>
      <c r="C55" s="42">
        <f>C53-C49</f>
        <v>8.2249875560478358E-3</v>
      </c>
      <c r="D55" s="42">
        <f t="shared" si="29"/>
        <v>2.0561660562634643E-3</v>
      </c>
      <c r="E55" s="42">
        <f>E53-E49</f>
        <v>-2.9788905252416953E-3</v>
      </c>
      <c r="F55" s="42">
        <f>F53-F49</f>
        <v>1.4135338346648041E-3</v>
      </c>
      <c r="G55" s="41"/>
      <c r="H55" s="41"/>
      <c r="I55" s="41"/>
      <c r="J55" s="41"/>
      <c r="K55" s="42"/>
      <c r="L55" s="42"/>
      <c r="M55" s="42">
        <f>M53-M49</f>
        <v>0.11688311688308772</v>
      </c>
      <c r="N55" s="42">
        <f t="shared" si="30"/>
        <v>-6.4935064935127684E-3</v>
      </c>
      <c r="O55" s="42">
        <f>O53-O49</f>
        <v>-0.14285714285716722</v>
      </c>
      <c r="P55" s="42">
        <f>P53-P49</f>
        <v>-0.12698412698412653</v>
      </c>
      <c r="Q55" s="42">
        <f t="shared" si="30"/>
        <v>0.10317460317460814</v>
      </c>
      <c r="R55" s="42"/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283"/>
      <c r="N57" s="283"/>
      <c r="O57" s="283"/>
      <c r="P57" s="283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99" t="s">
        <v>30</v>
      </c>
      <c r="H58" s="1000"/>
      <c r="I58" s="1000"/>
      <c r="J58" s="1000"/>
      <c r="K58" s="1001"/>
      <c r="L58" s="973" t="s">
        <v>29</v>
      </c>
      <c r="M58" s="974"/>
      <c r="N58" s="974"/>
      <c r="O58" s="974"/>
      <c r="P58" s="991"/>
      <c r="Q58" s="973" t="s">
        <v>31</v>
      </c>
      <c r="R58" s="974"/>
      <c r="S58" s="974"/>
      <c r="T58" s="974"/>
      <c r="U58" s="991"/>
      <c r="V58" s="586" t="s">
        <v>9</v>
      </c>
      <c r="W58" s="661"/>
      <c r="X58" s="662"/>
      <c r="Y58" s="522"/>
      <c r="Z58" s="522"/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692">
        <v>1</v>
      </c>
      <c r="H59" s="693">
        <v>2</v>
      </c>
      <c r="I59" s="693">
        <v>3</v>
      </c>
      <c r="J59" s="693">
        <v>4</v>
      </c>
      <c r="K59" s="693">
        <v>5</v>
      </c>
      <c r="L59" s="188">
        <v>1</v>
      </c>
      <c r="M59" s="168">
        <v>2</v>
      </c>
      <c r="N59" s="168">
        <v>3</v>
      </c>
      <c r="O59" s="168">
        <v>4</v>
      </c>
      <c r="P59" s="414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126"/>
      <c r="W59" s="663"/>
      <c r="X59" s="645"/>
      <c r="Y59" s="657"/>
      <c r="Z59" s="657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25">
      <c r="A60" s="171" t="s">
        <v>53</v>
      </c>
      <c r="B60" s="447">
        <v>7.4</v>
      </c>
      <c r="C60" s="124">
        <v>7.5</v>
      </c>
      <c r="D60" s="124">
        <v>1.8</v>
      </c>
      <c r="E60" s="124">
        <v>7.5</v>
      </c>
      <c r="F60" s="123">
        <v>7.7</v>
      </c>
      <c r="G60" s="694">
        <v>6.5</v>
      </c>
      <c r="H60" s="415">
        <v>7.7</v>
      </c>
      <c r="I60" s="415">
        <v>2</v>
      </c>
      <c r="J60" s="415">
        <v>7.7</v>
      </c>
      <c r="K60" s="415">
        <v>7.6</v>
      </c>
      <c r="L60" s="130">
        <v>6.2</v>
      </c>
      <c r="M60" s="124">
        <v>6.1</v>
      </c>
      <c r="N60" s="124">
        <v>1.9</v>
      </c>
      <c r="O60" s="124">
        <v>6.1</v>
      </c>
      <c r="P60" s="132">
        <v>6.2</v>
      </c>
      <c r="Q60" s="123">
        <v>6.5</v>
      </c>
      <c r="R60" s="124">
        <v>6.5</v>
      </c>
      <c r="S60" s="124">
        <v>2.2000000000000002</v>
      </c>
      <c r="T60" s="124">
        <v>6.4</v>
      </c>
      <c r="U60" s="132">
        <v>6.8</v>
      </c>
      <c r="V60" s="749">
        <f t="shared" ref="V60:V67" si="31">SUM(B60:U60)</f>
        <v>118.30000000000001</v>
      </c>
      <c r="W60" s="651"/>
      <c r="X60" s="646"/>
      <c r="Y60" s="657"/>
      <c r="Z60" s="657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25">
      <c r="A61" s="171" t="s">
        <v>24</v>
      </c>
      <c r="B61" s="706">
        <v>7.6</v>
      </c>
      <c r="C61" s="707">
        <v>7.6</v>
      </c>
      <c r="D61" s="707">
        <v>1.7</v>
      </c>
      <c r="E61" s="707">
        <v>7.8</v>
      </c>
      <c r="F61" s="708">
        <v>7.7</v>
      </c>
      <c r="G61" s="709">
        <v>7.5</v>
      </c>
      <c r="H61" s="629">
        <v>7.6</v>
      </c>
      <c r="I61" s="629">
        <v>1.8</v>
      </c>
      <c r="J61" s="629">
        <v>7.7</v>
      </c>
      <c r="K61" s="629">
        <v>7.6</v>
      </c>
      <c r="L61" s="532">
        <v>6.1</v>
      </c>
      <c r="M61" s="431">
        <v>6.4</v>
      </c>
      <c r="N61" s="431">
        <v>1.9</v>
      </c>
      <c r="O61" s="431">
        <v>6.1</v>
      </c>
      <c r="P61" s="755">
        <v>6.3</v>
      </c>
      <c r="Q61" s="708">
        <v>6.7</v>
      </c>
      <c r="R61" s="707">
        <v>6.7</v>
      </c>
      <c r="S61" s="707">
        <v>2</v>
      </c>
      <c r="T61" s="707">
        <v>6.9</v>
      </c>
      <c r="U61" s="713">
        <v>6.3</v>
      </c>
      <c r="V61" s="749">
        <f t="shared" si="31"/>
        <v>120</v>
      </c>
      <c r="W61" s="651"/>
      <c r="X61" s="646"/>
      <c r="Y61" s="651"/>
      <c r="Z61" s="651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25">
      <c r="A62" s="171" t="s">
        <v>20</v>
      </c>
      <c r="B62" s="706">
        <v>7.6</v>
      </c>
      <c r="C62" s="707">
        <v>7.6</v>
      </c>
      <c r="D62" s="707">
        <v>1.7</v>
      </c>
      <c r="E62" s="707">
        <v>7.8</v>
      </c>
      <c r="F62" s="708">
        <v>7.7</v>
      </c>
      <c r="G62" s="709">
        <v>7.5</v>
      </c>
      <c r="H62" s="629">
        <v>7.6</v>
      </c>
      <c r="I62" s="629">
        <v>1.8</v>
      </c>
      <c r="J62" s="629">
        <v>7.7</v>
      </c>
      <c r="K62" s="629">
        <v>7.6</v>
      </c>
      <c r="L62" s="532">
        <v>6.1</v>
      </c>
      <c r="M62" s="431">
        <v>6.4</v>
      </c>
      <c r="N62" s="431">
        <v>1.9</v>
      </c>
      <c r="O62" s="431">
        <v>6.1</v>
      </c>
      <c r="P62" s="755">
        <v>6.3</v>
      </c>
      <c r="Q62" s="708">
        <v>6.7</v>
      </c>
      <c r="R62" s="707">
        <v>6.7</v>
      </c>
      <c r="S62" s="707">
        <v>2</v>
      </c>
      <c r="T62" s="707">
        <v>6.9</v>
      </c>
      <c r="U62" s="713">
        <v>6.3</v>
      </c>
      <c r="V62" s="749">
        <f t="shared" si="31"/>
        <v>120</v>
      </c>
      <c r="W62" s="651"/>
      <c r="X62" s="646"/>
      <c r="Y62" s="651"/>
      <c r="Z62" s="651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25">
      <c r="A63" s="171" t="s">
        <v>28</v>
      </c>
      <c r="B63" s="706">
        <v>7.3</v>
      </c>
      <c r="C63" s="707">
        <v>7.4</v>
      </c>
      <c r="D63" s="707">
        <v>1.7</v>
      </c>
      <c r="E63" s="707">
        <v>7.5</v>
      </c>
      <c r="F63" s="708">
        <v>7.6</v>
      </c>
      <c r="G63" s="709">
        <v>7.7</v>
      </c>
      <c r="H63" s="629">
        <v>7.7</v>
      </c>
      <c r="I63" s="629">
        <v>2</v>
      </c>
      <c r="J63" s="629">
        <v>7.6</v>
      </c>
      <c r="K63" s="629">
        <v>7.5</v>
      </c>
      <c r="L63" s="710">
        <v>6.1</v>
      </c>
      <c r="M63" s="711">
        <v>6</v>
      </c>
      <c r="N63" s="711">
        <v>1.8</v>
      </c>
      <c r="O63" s="711">
        <v>6</v>
      </c>
      <c r="P63" s="712">
        <v>6.1</v>
      </c>
      <c r="Q63" s="708">
        <v>6.4</v>
      </c>
      <c r="R63" s="707">
        <v>6.4</v>
      </c>
      <c r="S63" s="707">
        <v>2.1</v>
      </c>
      <c r="T63" s="707">
        <v>6.3</v>
      </c>
      <c r="U63" s="713">
        <v>6.7</v>
      </c>
      <c r="V63" s="749">
        <f t="shared" si="31"/>
        <v>117.89999999999999</v>
      </c>
      <c r="W63" s="651"/>
      <c r="X63" s="646"/>
      <c r="Y63" s="651"/>
      <c r="Z63" s="651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25">
      <c r="A64" s="171" t="s">
        <v>21</v>
      </c>
      <c r="B64" s="706">
        <v>7.4</v>
      </c>
      <c r="C64" s="707">
        <v>7.4</v>
      </c>
      <c r="D64" s="707">
        <v>1.8</v>
      </c>
      <c r="E64" s="707">
        <v>7.5</v>
      </c>
      <c r="F64" s="708">
        <v>7.6</v>
      </c>
      <c r="G64" s="709">
        <v>7.7</v>
      </c>
      <c r="H64" s="629">
        <v>7.7</v>
      </c>
      <c r="I64" s="629">
        <v>2</v>
      </c>
      <c r="J64" s="629">
        <v>7.7</v>
      </c>
      <c r="K64" s="629">
        <v>7.6</v>
      </c>
      <c r="L64" s="710">
        <v>6.1</v>
      </c>
      <c r="M64" s="711">
        <v>6.1</v>
      </c>
      <c r="N64" s="711">
        <v>1.8</v>
      </c>
      <c r="O64" s="711">
        <v>6</v>
      </c>
      <c r="P64" s="712">
        <v>6.1</v>
      </c>
      <c r="Q64" s="708">
        <v>6.4</v>
      </c>
      <c r="R64" s="707">
        <v>6.4</v>
      </c>
      <c r="S64" s="707">
        <v>2.1</v>
      </c>
      <c r="T64" s="707">
        <v>6.3</v>
      </c>
      <c r="U64" s="713">
        <v>6.7</v>
      </c>
      <c r="V64" s="749">
        <f t="shared" si="31"/>
        <v>118.39999999999999</v>
      </c>
      <c r="W64" s="651"/>
      <c r="X64" s="646"/>
      <c r="Y64" s="651"/>
      <c r="Z64" s="651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25">
      <c r="A65" s="171" t="s">
        <v>22</v>
      </c>
      <c r="B65" s="735">
        <v>7.5</v>
      </c>
      <c r="C65" s="736">
        <v>7.5</v>
      </c>
      <c r="D65" s="736">
        <v>1.8</v>
      </c>
      <c r="E65" s="736">
        <v>7.6</v>
      </c>
      <c r="F65" s="737">
        <v>7.6</v>
      </c>
      <c r="G65" s="738">
        <v>7.6</v>
      </c>
      <c r="H65" s="739">
        <v>7.7</v>
      </c>
      <c r="I65" s="739">
        <v>1.9</v>
      </c>
      <c r="J65" s="739">
        <v>7.7</v>
      </c>
      <c r="K65" s="415">
        <v>7.6</v>
      </c>
      <c r="L65" s="740">
        <v>6.2</v>
      </c>
      <c r="M65" s="741">
        <v>6.3</v>
      </c>
      <c r="N65" s="741">
        <v>1.9</v>
      </c>
      <c r="O65" s="741">
        <v>6</v>
      </c>
      <c r="P65" s="470">
        <v>6.2</v>
      </c>
      <c r="Q65" s="737">
        <v>6</v>
      </c>
      <c r="R65" s="736">
        <v>6.6</v>
      </c>
      <c r="S65" s="736">
        <v>2.1</v>
      </c>
      <c r="T65" s="736">
        <v>6.7</v>
      </c>
      <c r="U65" s="742">
        <v>6.5</v>
      </c>
      <c r="V65" s="749">
        <f t="shared" si="31"/>
        <v>119</v>
      </c>
      <c r="W65" s="651"/>
      <c r="X65" s="646"/>
      <c r="Y65" s="651"/>
      <c r="Z65" s="651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3">
      <c r="A66" s="171" t="s">
        <v>23</v>
      </c>
      <c r="B66" s="735">
        <v>7.5</v>
      </c>
      <c r="C66" s="736">
        <v>7.6</v>
      </c>
      <c r="D66" s="736">
        <v>1.7</v>
      </c>
      <c r="E66" s="736">
        <v>7.7</v>
      </c>
      <c r="F66" s="737">
        <v>7.7</v>
      </c>
      <c r="G66" s="738">
        <v>7.6</v>
      </c>
      <c r="H66" s="739">
        <v>7.6</v>
      </c>
      <c r="I66" s="739">
        <v>1.9</v>
      </c>
      <c r="J66" s="739">
        <v>7.7</v>
      </c>
      <c r="K66" s="415">
        <v>7.6</v>
      </c>
      <c r="L66" s="740">
        <v>6.1</v>
      </c>
      <c r="M66" s="741">
        <v>6.2</v>
      </c>
      <c r="N66" s="741">
        <v>1.9</v>
      </c>
      <c r="O66" s="741">
        <v>6.1</v>
      </c>
      <c r="P66" s="470">
        <v>6.3</v>
      </c>
      <c r="Q66" s="737">
        <v>6.1</v>
      </c>
      <c r="R66" s="736">
        <v>6.6</v>
      </c>
      <c r="S66" s="736">
        <v>2.1</v>
      </c>
      <c r="T66" s="736">
        <v>6.6</v>
      </c>
      <c r="U66" s="742">
        <v>6.6</v>
      </c>
      <c r="V66" s="749">
        <f t="shared" si="31"/>
        <v>119.19999999999997</v>
      </c>
      <c r="W66" s="651"/>
      <c r="X66" s="646"/>
      <c r="Y66" s="651"/>
      <c r="Z66" s="651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297">
        <f t="shared" ref="B67:U67" si="32">SUM(B60:B66)</f>
        <v>52.300000000000004</v>
      </c>
      <c r="C67" s="298">
        <f t="shared" si="32"/>
        <v>52.6</v>
      </c>
      <c r="D67" s="298">
        <f t="shared" si="32"/>
        <v>12.200000000000001</v>
      </c>
      <c r="E67" s="298">
        <f t="shared" si="32"/>
        <v>53.400000000000006</v>
      </c>
      <c r="F67" s="448">
        <f t="shared" si="32"/>
        <v>53.600000000000009</v>
      </c>
      <c r="G67" s="719">
        <f t="shared" si="32"/>
        <v>52.1</v>
      </c>
      <c r="H67" s="696">
        <f t="shared" si="32"/>
        <v>53.6</v>
      </c>
      <c r="I67" s="696">
        <f t="shared" si="32"/>
        <v>13.4</v>
      </c>
      <c r="J67" s="696">
        <f t="shared" si="32"/>
        <v>53.800000000000011</v>
      </c>
      <c r="K67" s="720">
        <f t="shared" si="32"/>
        <v>53.1</v>
      </c>
      <c r="L67" s="618">
        <f t="shared" si="32"/>
        <v>42.900000000000006</v>
      </c>
      <c r="M67" s="616">
        <f t="shared" si="32"/>
        <v>43.5</v>
      </c>
      <c r="N67" s="616">
        <f t="shared" si="32"/>
        <v>13.1</v>
      </c>
      <c r="O67" s="616">
        <f t="shared" si="32"/>
        <v>42.4</v>
      </c>
      <c r="P67" s="616">
        <f t="shared" si="32"/>
        <v>43.5</v>
      </c>
      <c r="Q67" s="615">
        <f t="shared" si="32"/>
        <v>44.8</v>
      </c>
      <c r="R67" s="616">
        <f t="shared" si="32"/>
        <v>45.9</v>
      </c>
      <c r="S67" s="616">
        <f t="shared" si="32"/>
        <v>14.6</v>
      </c>
      <c r="T67" s="616">
        <f t="shared" si="32"/>
        <v>46.100000000000009</v>
      </c>
      <c r="U67" s="617">
        <f t="shared" si="32"/>
        <v>45.9</v>
      </c>
      <c r="V67" s="449">
        <f t="shared" si="31"/>
        <v>832.80000000000007</v>
      </c>
      <c r="W67" s="664"/>
      <c r="X67" s="646"/>
      <c r="Y67" s="651"/>
      <c r="Z67" s="651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159</v>
      </c>
      <c r="C68" s="358">
        <v>160</v>
      </c>
      <c r="D68" s="358">
        <v>159</v>
      </c>
      <c r="E68" s="358">
        <v>159</v>
      </c>
      <c r="F68" s="718">
        <v>159.5</v>
      </c>
      <c r="G68" s="721">
        <v>158.5</v>
      </c>
      <c r="H68" s="698">
        <v>159.5</v>
      </c>
      <c r="I68" s="698">
        <v>160</v>
      </c>
      <c r="J68" s="698">
        <v>160</v>
      </c>
      <c r="K68" s="722">
        <v>158</v>
      </c>
      <c r="L68" s="357">
        <v>157</v>
      </c>
      <c r="M68" s="358">
        <v>159.5</v>
      </c>
      <c r="N68" s="358">
        <v>155.5</v>
      </c>
      <c r="O68" s="358">
        <v>159.5</v>
      </c>
      <c r="P68" s="358">
        <v>159.5</v>
      </c>
      <c r="Q68" s="357">
        <v>160</v>
      </c>
      <c r="R68" s="358">
        <v>160</v>
      </c>
      <c r="S68" s="358">
        <v>160.5</v>
      </c>
      <c r="T68" s="358">
        <v>160.5</v>
      </c>
      <c r="U68" s="624">
        <v>160</v>
      </c>
      <c r="V68" s="296">
        <f>+((V67/V69)/7)*1000</f>
        <v>159.26563396442916</v>
      </c>
      <c r="W68" s="145"/>
      <c r="X68" s="648"/>
      <c r="Y68" s="665"/>
      <c r="Z68" s="522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47</v>
      </c>
      <c r="C69" s="275">
        <v>47</v>
      </c>
      <c r="D69" s="275">
        <v>11</v>
      </c>
      <c r="E69" s="275">
        <v>48</v>
      </c>
      <c r="F69" s="527">
        <v>48</v>
      </c>
      <c r="G69" s="723">
        <v>47</v>
      </c>
      <c r="H69" s="700">
        <v>48</v>
      </c>
      <c r="I69" s="700">
        <v>12</v>
      </c>
      <c r="J69" s="700">
        <v>48</v>
      </c>
      <c r="K69" s="724">
        <v>48</v>
      </c>
      <c r="L69" s="257">
        <v>39</v>
      </c>
      <c r="M69" s="275">
        <v>39</v>
      </c>
      <c r="N69" s="275">
        <v>12</v>
      </c>
      <c r="O69" s="275">
        <v>38</v>
      </c>
      <c r="P69" s="275">
        <v>39</v>
      </c>
      <c r="Q69" s="257">
        <v>40</v>
      </c>
      <c r="R69" s="275">
        <v>41</v>
      </c>
      <c r="S69" s="275">
        <v>13</v>
      </c>
      <c r="T69" s="275">
        <v>41</v>
      </c>
      <c r="U69" s="276">
        <v>41</v>
      </c>
      <c r="V69" s="254">
        <f>SUM(B69:U69)</f>
        <v>747</v>
      </c>
      <c r="W69" s="145"/>
      <c r="X69" s="649"/>
      <c r="Y69" s="665"/>
      <c r="Z69" s="522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 t="shared" ref="B70:K70" si="33">((((B68*7)*B69)/1000)-B60-B61)/5</f>
        <v>7.4622000000000002</v>
      </c>
      <c r="C70" s="31">
        <f t="shared" si="33"/>
        <v>7.508</v>
      </c>
      <c r="D70" s="31">
        <f t="shared" si="33"/>
        <v>1.7486000000000002</v>
      </c>
      <c r="E70" s="31">
        <f t="shared" si="33"/>
        <v>7.6248000000000005</v>
      </c>
      <c r="F70" s="163">
        <f t="shared" si="33"/>
        <v>7.638399999999999</v>
      </c>
      <c r="G70" s="725">
        <f>((((G68*7)*G69)/1000)-G60-G61)/5</f>
        <v>7.6293000000000006</v>
      </c>
      <c r="H70" s="702">
        <f t="shared" si="33"/>
        <v>7.6583999999999985</v>
      </c>
      <c r="I70" s="702">
        <f t="shared" si="33"/>
        <v>1.9279999999999997</v>
      </c>
      <c r="J70" s="702">
        <f t="shared" si="33"/>
        <v>7.6719999999999988</v>
      </c>
      <c r="K70" s="726">
        <f t="shared" si="33"/>
        <v>7.5775999999999994</v>
      </c>
      <c r="L70" s="30">
        <f>((((L68*7)*L69)/1000)-L60-L61)/5</f>
        <v>6.1121999999999987</v>
      </c>
      <c r="M70" s="30">
        <f t="shared" ref="M70:U70" si="34">((((M68*7)*M69)/1000)-M60-M61)/5</f>
        <v>6.2087000000000003</v>
      </c>
      <c r="N70" s="30">
        <f t="shared" si="34"/>
        <v>1.8523999999999998</v>
      </c>
      <c r="O70" s="30">
        <f t="shared" si="34"/>
        <v>6.045399999999999</v>
      </c>
      <c r="P70" s="30">
        <f t="shared" si="34"/>
        <v>6.2086999999999994</v>
      </c>
      <c r="Q70" s="30">
        <f t="shared" si="34"/>
        <v>6.3199999999999994</v>
      </c>
      <c r="R70" s="30">
        <f t="shared" si="34"/>
        <v>6.5439999999999996</v>
      </c>
      <c r="S70" s="30">
        <f t="shared" si="34"/>
        <v>2.0811000000000002</v>
      </c>
      <c r="T70" s="30">
        <f t="shared" si="34"/>
        <v>6.5526999999999997</v>
      </c>
      <c r="U70" s="30">
        <f t="shared" si="34"/>
        <v>6.5640000000000018</v>
      </c>
      <c r="V70" s="139">
        <f>((V67*1000)/V69)/7</f>
        <v>159.26563396442916</v>
      </c>
      <c r="W70" s="144"/>
      <c r="X70" s="650"/>
      <c r="Y70" s="665"/>
      <c r="Z70" s="522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35">((B69*B68)*7)/1000</f>
        <v>52.311</v>
      </c>
      <c r="C71" s="280">
        <f t="shared" si="35"/>
        <v>52.64</v>
      </c>
      <c r="D71" s="280">
        <f t="shared" si="35"/>
        <v>12.243</v>
      </c>
      <c r="E71" s="280">
        <f t="shared" si="35"/>
        <v>53.423999999999999</v>
      </c>
      <c r="F71" s="281">
        <f t="shared" si="35"/>
        <v>53.591999999999999</v>
      </c>
      <c r="G71" s="464">
        <f t="shared" si="35"/>
        <v>52.146500000000003</v>
      </c>
      <c r="H71" s="459">
        <f>((H69*H68)*7)/1000</f>
        <v>53.591999999999999</v>
      </c>
      <c r="I71" s="459">
        <f t="shared" si="35"/>
        <v>13.44</v>
      </c>
      <c r="J71" s="459">
        <f t="shared" si="35"/>
        <v>53.76</v>
      </c>
      <c r="K71" s="460">
        <f t="shared" si="35"/>
        <v>53.088000000000001</v>
      </c>
      <c r="L71" s="279">
        <f t="shared" si="35"/>
        <v>42.860999999999997</v>
      </c>
      <c r="M71" s="280">
        <f t="shared" si="35"/>
        <v>43.543500000000002</v>
      </c>
      <c r="N71" s="280">
        <f t="shared" si="35"/>
        <v>13.061999999999999</v>
      </c>
      <c r="O71" s="280">
        <f t="shared" si="35"/>
        <v>42.427</v>
      </c>
      <c r="P71" s="280">
        <f t="shared" si="35"/>
        <v>43.543500000000002</v>
      </c>
      <c r="Q71" s="279">
        <f t="shared" si="35"/>
        <v>44.8</v>
      </c>
      <c r="R71" s="280">
        <f t="shared" si="35"/>
        <v>45.92</v>
      </c>
      <c r="S71" s="280">
        <f t="shared" si="35"/>
        <v>14.605499999999999</v>
      </c>
      <c r="T71" s="280">
        <f t="shared" si="35"/>
        <v>46.063499999999998</v>
      </c>
      <c r="U71" s="282">
        <f t="shared" si="35"/>
        <v>45.92</v>
      </c>
      <c r="V71" s="112"/>
      <c r="W71" s="651"/>
      <c r="X71" s="666"/>
      <c r="Y71" s="666"/>
      <c r="Z71" s="666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U72" si="36">+(B67/B69)/7*1000</f>
        <v>158.96656534954406</v>
      </c>
      <c r="C72" s="38">
        <f t="shared" si="36"/>
        <v>159.87841945288753</v>
      </c>
      <c r="D72" s="38">
        <f t="shared" si="36"/>
        <v>158.44155844155844</v>
      </c>
      <c r="E72" s="38">
        <f t="shared" si="36"/>
        <v>158.92857142857144</v>
      </c>
      <c r="F72" s="207">
        <f t="shared" si="36"/>
        <v>159.52380952380958</v>
      </c>
      <c r="G72" s="727">
        <f t="shared" si="36"/>
        <v>158.35866261398178</v>
      </c>
      <c r="H72" s="704">
        <f t="shared" si="36"/>
        <v>159.52380952380955</v>
      </c>
      <c r="I72" s="704">
        <f t="shared" si="36"/>
        <v>159.52380952380955</v>
      </c>
      <c r="J72" s="704">
        <f t="shared" si="36"/>
        <v>160.11904761904765</v>
      </c>
      <c r="K72" s="728">
        <f t="shared" si="36"/>
        <v>158.03571428571428</v>
      </c>
      <c r="L72" s="37">
        <f t="shared" si="36"/>
        <v>157.14285714285717</v>
      </c>
      <c r="M72" s="38">
        <f t="shared" si="36"/>
        <v>159.34065934065936</v>
      </c>
      <c r="N72" s="38">
        <f t="shared" si="36"/>
        <v>155.95238095238093</v>
      </c>
      <c r="O72" s="38">
        <f t="shared" si="36"/>
        <v>159.39849624060147</v>
      </c>
      <c r="P72" s="38">
        <f t="shared" si="36"/>
        <v>159.34065934065936</v>
      </c>
      <c r="Q72" s="37">
        <f t="shared" si="36"/>
        <v>159.99999999999997</v>
      </c>
      <c r="R72" s="38">
        <f t="shared" si="36"/>
        <v>159.93031358885014</v>
      </c>
      <c r="S72" s="38">
        <f t="shared" si="36"/>
        <v>160.43956043956047</v>
      </c>
      <c r="T72" s="38">
        <f t="shared" si="36"/>
        <v>160.62717770034845</v>
      </c>
      <c r="U72" s="39">
        <f t="shared" si="36"/>
        <v>159.93031358885014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43">
        <f>B71-B67</f>
        <v>1.099999999999568E-2</v>
      </c>
      <c r="C73" s="43">
        <f t="shared" ref="C73:F73" si="37">C71-C67</f>
        <v>3.9999999999999147E-2</v>
      </c>
      <c r="D73" s="43">
        <f t="shared" si="37"/>
        <v>4.2999999999999261E-2</v>
      </c>
      <c r="E73" s="43">
        <f t="shared" si="37"/>
        <v>2.3999999999993804E-2</v>
      </c>
      <c r="F73" s="43">
        <f t="shared" si="37"/>
        <v>-8.0000000000097771E-3</v>
      </c>
      <c r="G73" s="143">
        <f>G71-G67</f>
        <v>4.6500000000001762E-2</v>
      </c>
      <c r="H73" s="143">
        <f t="shared" ref="H73:U74" si="38">H71-H67</f>
        <v>-8.0000000000026716E-3</v>
      </c>
      <c r="I73" s="143">
        <f t="shared" si="38"/>
        <v>3.9999999999999147E-2</v>
      </c>
      <c r="J73" s="143">
        <f t="shared" si="38"/>
        <v>-4.0000000000013358E-2</v>
      </c>
      <c r="K73" s="143">
        <f t="shared" si="38"/>
        <v>-1.2000000000000455E-2</v>
      </c>
      <c r="L73" s="43">
        <f>L71-L67</f>
        <v>-3.9000000000008583E-2</v>
      </c>
      <c r="M73" s="43">
        <f t="shared" ref="M73:P73" si="39">M71-M67</f>
        <v>4.3500000000001648E-2</v>
      </c>
      <c r="N73" s="43">
        <f t="shared" si="39"/>
        <v>-3.8000000000000256E-2</v>
      </c>
      <c r="O73" s="43">
        <f t="shared" si="39"/>
        <v>2.7000000000001023E-2</v>
      </c>
      <c r="P73" s="43">
        <f t="shared" si="39"/>
        <v>4.3500000000001648E-2</v>
      </c>
      <c r="Q73" s="43">
        <f>Q71-Q67</f>
        <v>0</v>
      </c>
      <c r="R73" s="43">
        <f t="shared" ref="R73:U73" si="40">R71-R67</f>
        <v>2.0000000000003126E-2</v>
      </c>
      <c r="S73" s="43">
        <f>S71-S67</f>
        <v>5.4999999999996163E-3</v>
      </c>
      <c r="T73" s="43">
        <f>T71-T67</f>
        <v>-3.6500000000010857E-2</v>
      </c>
      <c r="U73" s="43">
        <f t="shared" si="40"/>
        <v>2.0000000000003126E-2</v>
      </c>
      <c r="W73" s="144"/>
      <c r="X73" s="522"/>
      <c r="Y73" s="522"/>
      <c r="Z73" s="522"/>
    </row>
    <row r="74" spans="1:50" ht="33.75" customHeight="1" x14ac:dyDescent="0.25">
      <c r="B74" s="42">
        <f t="shared" ref="B74:J74" si="41">B72-B68</f>
        <v>-3.3434650455944848E-2</v>
      </c>
      <c r="C74" s="42">
        <f t="shared" si="41"/>
        <v>-0.12158054711247246</v>
      </c>
      <c r="D74" s="42">
        <f t="shared" si="41"/>
        <v>-0.55844155844155807</v>
      </c>
      <c r="E74" s="42">
        <f t="shared" si="41"/>
        <v>-7.1428571428555188E-2</v>
      </c>
      <c r="F74" s="42">
        <f t="shared" si="41"/>
        <v>2.3809523809575239E-2</v>
      </c>
      <c r="G74" s="705">
        <f t="shared" si="41"/>
        <v>-0.14133738601822188</v>
      </c>
      <c r="H74" s="705">
        <f t="shared" si="41"/>
        <v>2.3809523809546818E-2</v>
      </c>
      <c r="I74" s="705">
        <f>I72-I68</f>
        <v>-0.47619047619045318</v>
      </c>
      <c r="J74" s="705">
        <f t="shared" si="41"/>
        <v>0.11904761904764882</v>
      </c>
      <c r="K74" s="705">
        <f t="shared" si="38"/>
        <v>3.5714285714277594E-2</v>
      </c>
      <c r="L74" s="42">
        <f t="shared" si="38"/>
        <v>0.14285714285716722</v>
      </c>
      <c r="M74" s="42">
        <f t="shared" si="38"/>
        <v>-0.15934065934064279</v>
      </c>
      <c r="N74" s="42">
        <f t="shared" si="38"/>
        <v>0.45238095238093479</v>
      </c>
      <c r="O74" s="42">
        <f t="shared" si="38"/>
        <v>-0.10150375939852552</v>
      </c>
      <c r="P74" s="42">
        <f t="shared" si="38"/>
        <v>-0.15934065934064279</v>
      </c>
      <c r="Q74" s="42">
        <f t="shared" si="38"/>
        <v>0</v>
      </c>
      <c r="R74" s="42">
        <f t="shared" si="38"/>
        <v>-6.968641114985985E-2</v>
      </c>
      <c r="S74" s="42">
        <f t="shared" si="38"/>
        <v>-6.0439560439533579E-2</v>
      </c>
      <c r="T74" s="42">
        <f t="shared" si="38"/>
        <v>0.12717770034845444</v>
      </c>
      <c r="U74" s="42">
        <f t="shared" si="38"/>
        <v>-6.968641114985985E-2</v>
      </c>
      <c r="V74" s="45"/>
      <c r="W74" s="651"/>
      <c r="X74" s="657"/>
      <c r="Y74" s="657"/>
      <c r="Z74" s="657"/>
      <c r="AA74" s="45"/>
      <c r="AB74" s="45"/>
      <c r="AC74" s="45"/>
      <c r="AD74" s="52"/>
    </row>
    <row r="75" spans="1:50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</row>
    <row r="76" spans="1:50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0" ht="33.75" customHeight="1" x14ac:dyDescent="0.25">
      <c r="A77" s="45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5">
    <mergeCell ref="B39:F39"/>
    <mergeCell ref="G39:G40"/>
    <mergeCell ref="M39:Q39"/>
    <mergeCell ref="B58:F58"/>
    <mergeCell ref="G58:K58"/>
    <mergeCell ref="L58:P58"/>
    <mergeCell ref="Q58:U58"/>
    <mergeCell ref="A3:C3"/>
    <mergeCell ref="E9:G9"/>
    <mergeCell ref="W9:X9"/>
    <mergeCell ref="O11:P11"/>
    <mergeCell ref="B16:H16"/>
    <mergeCell ref="I16:O16"/>
    <mergeCell ref="P16:T16"/>
    <mergeCell ref="U16:Y16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1"/>
  <sheetViews>
    <sheetView topLeftCell="A11" zoomScale="25" zoomScaleNormal="25" workbookViewId="0">
      <selection activeCell="C27" sqref="C27:G27"/>
    </sheetView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44</v>
      </c>
      <c r="P11" s="965"/>
      <c r="Q11" s="6"/>
      <c r="R11" s="6"/>
      <c r="S11" s="6"/>
      <c r="T11" s="1"/>
      <c r="U11" s="1"/>
      <c r="V11" s="1" t="s">
        <v>6</v>
      </c>
      <c r="W11" s="95">
        <v>45642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594"/>
      <c r="I17" s="386" t="s">
        <v>100</v>
      </c>
      <c r="J17" s="438">
        <v>1</v>
      </c>
      <c r="K17" s="438">
        <v>2</v>
      </c>
      <c r="L17" s="438">
        <v>3</v>
      </c>
      <c r="M17" s="438">
        <v>4</v>
      </c>
      <c r="N17" s="439">
        <v>5</v>
      </c>
      <c r="O17" s="594"/>
      <c r="P17" s="202">
        <v>1</v>
      </c>
      <c r="Q17" s="174">
        <v>2</v>
      </c>
      <c r="R17" s="174">
        <v>3</v>
      </c>
      <c r="S17" s="174">
        <v>4</v>
      </c>
      <c r="T17" s="203">
        <v>5</v>
      </c>
      <c r="U17" s="186">
        <v>1</v>
      </c>
      <c r="V17" s="174">
        <v>2</v>
      </c>
      <c r="W17" s="174">
        <v>3</v>
      </c>
      <c r="X17" s="174">
        <v>4</v>
      </c>
      <c r="Y17" s="175">
        <v>5</v>
      </c>
      <c r="Z17" s="126"/>
      <c r="AD17" s="2"/>
      <c r="AE17" s="15"/>
    </row>
    <row r="18" spans="1:40" ht="39.950000000000003" customHeight="1" x14ac:dyDescent="0.25">
      <c r="A18" s="171" t="s">
        <v>53</v>
      </c>
      <c r="B18" s="743">
        <v>314.20999999999998</v>
      </c>
      <c r="C18" s="739">
        <v>16.899999999999999</v>
      </c>
      <c r="D18" s="739">
        <v>17.5</v>
      </c>
      <c r="E18" s="739">
        <v>4.0999999999999996</v>
      </c>
      <c r="F18" s="739">
        <v>17.600000000000001</v>
      </c>
      <c r="G18" s="744">
        <v>17.600000000000001</v>
      </c>
      <c r="H18" s="506">
        <f>+SUM(B18:G18)</f>
        <v>387.91</v>
      </c>
      <c r="I18" s="745">
        <v>316.8</v>
      </c>
      <c r="J18" s="739">
        <v>17.3</v>
      </c>
      <c r="K18" s="739">
        <v>17.7</v>
      </c>
      <c r="L18" s="739">
        <v>4.2</v>
      </c>
      <c r="M18" s="739">
        <v>17.7</v>
      </c>
      <c r="N18" s="746">
        <v>17.600000000000001</v>
      </c>
      <c r="O18" s="506">
        <f>+SUM(I18:N18)</f>
        <v>391.3</v>
      </c>
      <c r="P18" s="747">
        <v>76.8</v>
      </c>
      <c r="Q18" s="459">
        <v>76.900000000000006</v>
      </c>
      <c r="R18" s="739">
        <v>22</v>
      </c>
      <c r="S18" s="739">
        <v>77.8</v>
      </c>
      <c r="T18" s="746">
        <v>77.3</v>
      </c>
      <c r="U18" s="748">
        <v>80.099999999999994</v>
      </c>
      <c r="V18" s="739">
        <v>81.400000000000006</v>
      </c>
      <c r="W18" s="459">
        <v>22.5</v>
      </c>
      <c r="X18" s="459">
        <v>81.5</v>
      </c>
      <c r="Y18" s="746">
        <v>80.8</v>
      </c>
      <c r="Z18" s="638">
        <f>SUM(H18,O18,P18:Y18)</f>
        <v>1456.31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743">
        <v>314.20999999999998</v>
      </c>
      <c r="C19" s="739">
        <v>16.899999999999999</v>
      </c>
      <c r="D19" s="739">
        <v>17.5</v>
      </c>
      <c r="E19" s="739">
        <v>4.0999999999999996</v>
      </c>
      <c r="F19" s="739">
        <v>17.600000000000001</v>
      </c>
      <c r="G19" s="744">
        <v>17.600000000000001</v>
      </c>
      <c r="H19" s="506">
        <f t="shared" ref="H19:H24" si="0">+SUM(B19:G19)</f>
        <v>387.91</v>
      </c>
      <c r="I19" s="745">
        <v>316.8</v>
      </c>
      <c r="J19" s="739">
        <v>17.3</v>
      </c>
      <c r="K19" s="739">
        <v>17.7</v>
      </c>
      <c r="L19" s="739">
        <v>4.2</v>
      </c>
      <c r="M19" s="739">
        <v>17.7</v>
      </c>
      <c r="N19" s="746">
        <v>17.600000000000001</v>
      </c>
      <c r="O19" s="506">
        <f t="shared" ref="O19:O24" si="1">+SUM(I19:N19)</f>
        <v>391.3</v>
      </c>
      <c r="P19" s="747">
        <v>76.8</v>
      </c>
      <c r="Q19" s="459">
        <v>76.900000000000006</v>
      </c>
      <c r="R19" s="739">
        <v>22</v>
      </c>
      <c r="S19" s="739">
        <v>77.8</v>
      </c>
      <c r="T19" s="746">
        <v>77.3</v>
      </c>
      <c r="U19" s="748">
        <v>80.099999999999994</v>
      </c>
      <c r="V19" s="739">
        <v>81.400000000000006</v>
      </c>
      <c r="W19" s="459">
        <v>22.5</v>
      </c>
      <c r="X19" s="459">
        <v>81.5</v>
      </c>
      <c r="Y19" s="746">
        <v>80.8</v>
      </c>
      <c r="Z19" s="638">
        <f>SUM(H19,O19,P19:Y19)</f>
        <v>1456.31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743">
        <v>312.7</v>
      </c>
      <c r="C20" s="739">
        <v>17</v>
      </c>
      <c r="D20" s="739">
        <v>17.5</v>
      </c>
      <c r="E20" s="739">
        <v>4.0999999999999996</v>
      </c>
      <c r="F20" s="739">
        <v>17.5</v>
      </c>
      <c r="G20" s="744">
        <v>17.5</v>
      </c>
      <c r="H20" s="506">
        <f t="shared" si="0"/>
        <v>386.3</v>
      </c>
      <c r="I20" s="745">
        <v>315.39999999999998</v>
      </c>
      <c r="J20" s="739">
        <v>17.3</v>
      </c>
      <c r="K20" s="739">
        <v>17.7</v>
      </c>
      <c r="L20" s="739">
        <v>4.0999999999999996</v>
      </c>
      <c r="M20" s="739">
        <v>17.600000000000001</v>
      </c>
      <c r="N20" s="746">
        <v>17.5</v>
      </c>
      <c r="O20" s="506">
        <f t="shared" si="1"/>
        <v>389.6</v>
      </c>
      <c r="P20" s="747">
        <v>77</v>
      </c>
      <c r="Q20" s="459">
        <v>77</v>
      </c>
      <c r="R20" s="739">
        <v>23.9</v>
      </c>
      <c r="S20" s="739">
        <v>77.7</v>
      </c>
      <c r="T20" s="746">
        <v>77</v>
      </c>
      <c r="U20" s="748">
        <v>79.5</v>
      </c>
      <c r="V20" s="739">
        <v>81.5</v>
      </c>
      <c r="W20" s="459">
        <v>23.5</v>
      </c>
      <c r="X20" s="459">
        <v>81.2</v>
      </c>
      <c r="Y20" s="746">
        <v>80.599999999999994</v>
      </c>
      <c r="Z20" s="638">
        <f t="shared" ref="Z20:Z24" si="2">SUM(H20,O20,P20:Y20)</f>
        <v>1454.8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743">
        <v>312.7</v>
      </c>
      <c r="C21" s="739">
        <v>17</v>
      </c>
      <c r="D21" s="739">
        <v>17.5</v>
      </c>
      <c r="E21" s="739">
        <v>4.0999999999999996</v>
      </c>
      <c r="F21" s="739">
        <v>17.5</v>
      </c>
      <c r="G21" s="744">
        <v>17.5</v>
      </c>
      <c r="H21" s="506">
        <f t="shared" si="0"/>
        <v>386.3</v>
      </c>
      <c r="I21" s="745">
        <v>315.39999999999998</v>
      </c>
      <c r="J21" s="739">
        <v>17.3</v>
      </c>
      <c r="K21" s="739">
        <v>17.7</v>
      </c>
      <c r="L21" s="739">
        <v>4.0999999999999996</v>
      </c>
      <c r="M21" s="739">
        <v>17.600000000000001</v>
      </c>
      <c r="N21" s="746">
        <v>17.5</v>
      </c>
      <c r="O21" s="506">
        <f t="shared" si="1"/>
        <v>389.6</v>
      </c>
      <c r="P21" s="747">
        <v>77</v>
      </c>
      <c r="Q21" s="459">
        <v>77</v>
      </c>
      <c r="R21" s="739">
        <v>23.4</v>
      </c>
      <c r="S21" s="739">
        <v>77.7</v>
      </c>
      <c r="T21" s="746">
        <v>77</v>
      </c>
      <c r="U21" s="748">
        <v>79.5</v>
      </c>
      <c r="V21" s="739">
        <v>81.5</v>
      </c>
      <c r="W21" s="459">
        <v>23.5</v>
      </c>
      <c r="X21" s="459">
        <v>81.2</v>
      </c>
      <c r="Y21" s="746">
        <v>80.599999999999994</v>
      </c>
      <c r="Z21" s="638">
        <f t="shared" si="2"/>
        <v>1454.3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743">
        <v>312.7</v>
      </c>
      <c r="C22" s="739">
        <v>17</v>
      </c>
      <c r="D22" s="739">
        <v>17.5</v>
      </c>
      <c r="E22" s="739">
        <v>4.0999999999999996</v>
      </c>
      <c r="F22" s="739">
        <v>17.5</v>
      </c>
      <c r="G22" s="744">
        <v>17.5</v>
      </c>
      <c r="H22" s="506">
        <f t="shared" si="0"/>
        <v>386.3</v>
      </c>
      <c r="I22" s="745">
        <v>315.39999999999998</v>
      </c>
      <c r="J22" s="739">
        <v>17.3</v>
      </c>
      <c r="K22" s="739">
        <v>17.7</v>
      </c>
      <c r="L22" s="739">
        <v>4.0999999999999996</v>
      </c>
      <c r="M22" s="739">
        <v>17.600000000000001</v>
      </c>
      <c r="N22" s="746">
        <v>17.5</v>
      </c>
      <c r="O22" s="506">
        <f t="shared" si="1"/>
        <v>389.6</v>
      </c>
      <c r="P22" s="747">
        <v>77</v>
      </c>
      <c r="Q22" s="459">
        <v>77</v>
      </c>
      <c r="R22" s="739">
        <v>23.4</v>
      </c>
      <c r="S22" s="739">
        <v>77.7</v>
      </c>
      <c r="T22" s="746">
        <v>77</v>
      </c>
      <c r="U22" s="748">
        <v>79.2</v>
      </c>
      <c r="V22" s="739">
        <v>81.5</v>
      </c>
      <c r="W22" s="459">
        <v>23.1</v>
      </c>
      <c r="X22" s="459">
        <v>81.2</v>
      </c>
      <c r="Y22" s="746">
        <v>80.599999999999994</v>
      </c>
      <c r="Z22" s="638">
        <f t="shared" si="2"/>
        <v>1453.6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743">
        <v>312.7</v>
      </c>
      <c r="C23" s="739">
        <v>17</v>
      </c>
      <c r="D23" s="739">
        <v>17.5</v>
      </c>
      <c r="E23" s="739">
        <v>4.0999999999999996</v>
      </c>
      <c r="F23" s="739">
        <v>17.5</v>
      </c>
      <c r="G23" s="744">
        <v>17.5</v>
      </c>
      <c r="H23" s="506">
        <f t="shared" si="0"/>
        <v>386.3</v>
      </c>
      <c r="I23" s="745">
        <v>315.39999999999998</v>
      </c>
      <c r="J23" s="739">
        <v>17.3</v>
      </c>
      <c r="K23" s="739">
        <v>17.7</v>
      </c>
      <c r="L23" s="739">
        <v>4.0999999999999996</v>
      </c>
      <c r="M23" s="739">
        <v>17.600000000000001</v>
      </c>
      <c r="N23" s="746">
        <v>17.5</v>
      </c>
      <c r="O23" s="506">
        <f t="shared" si="1"/>
        <v>389.6</v>
      </c>
      <c r="P23" s="747">
        <v>77</v>
      </c>
      <c r="Q23" s="459">
        <v>77</v>
      </c>
      <c r="R23" s="739">
        <v>23.3</v>
      </c>
      <c r="S23" s="739">
        <v>77.8</v>
      </c>
      <c r="T23" s="746">
        <v>77.099999999999994</v>
      </c>
      <c r="U23" s="748">
        <v>79.099999999999994</v>
      </c>
      <c r="V23" s="739">
        <v>81.400000000000006</v>
      </c>
      <c r="W23" s="459">
        <v>23.1</v>
      </c>
      <c r="X23" s="459">
        <v>80.599999999999994</v>
      </c>
      <c r="Y23" s="746">
        <v>80.599999999999994</v>
      </c>
      <c r="Z23" s="209">
        <f t="shared" si="2"/>
        <v>1452.8999999999996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743">
        <v>312.7</v>
      </c>
      <c r="C24" s="739">
        <v>17</v>
      </c>
      <c r="D24" s="739">
        <v>17.5</v>
      </c>
      <c r="E24" s="739">
        <v>4.0999999999999996</v>
      </c>
      <c r="F24" s="739">
        <v>17.5</v>
      </c>
      <c r="G24" s="744">
        <v>17.5</v>
      </c>
      <c r="H24" s="506">
        <f t="shared" si="0"/>
        <v>386.3</v>
      </c>
      <c r="I24" s="745">
        <v>315.39999999999998</v>
      </c>
      <c r="J24" s="739">
        <v>17.3</v>
      </c>
      <c r="K24" s="739">
        <v>17.7</v>
      </c>
      <c r="L24" s="739">
        <v>4.0999999999999996</v>
      </c>
      <c r="M24" s="739">
        <v>17.600000000000001</v>
      </c>
      <c r="N24" s="746">
        <v>17.5</v>
      </c>
      <c r="O24" s="506">
        <f t="shared" si="1"/>
        <v>389.6</v>
      </c>
      <c r="P24" s="747">
        <v>77.099999999999994</v>
      </c>
      <c r="Q24" s="459">
        <v>76.900000000000006</v>
      </c>
      <c r="R24" s="739">
        <v>23.3</v>
      </c>
      <c r="S24" s="739">
        <v>77.8</v>
      </c>
      <c r="T24" s="746">
        <v>77.099999999999994</v>
      </c>
      <c r="U24" s="748">
        <v>79.099999999999994</v>
      </c>
      <c r="V24" s="739">
        <v>81.400000000000006</v>
      </c>
      <c r="W24" s="459">
        <v>23.1</v>
      </c>
      <c r="X24" s="459">
        <v>80.599999999999994</v>
      </c>
      <c r="Y24" s="746">
        <v>80.5</v>
      </c>
      <c r="Z24" s="412">
        <f t="shared" si="2"/>
        <v>1452.7999999999997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298">
        <f t="shared" ref="C25:G25" si="3">SUM(C18:C24)</f>
        <v>118.8</v>
      </c>
      <c r="D25" s="298">
        <f t="shared" si="3"/>
        <v>122.5</v>
      </c>
      <c r="E25" s="298">
        <f t="shared" si="3"/>
        <v>28.700000000000003</v>
      </c>
      <c r="F25" s="298">
        <f t="shared" si="3"/>
        <v>122.7</v>
      </c>
      <c r="G25" s="448">
        <f t="shared" si="3"/>
        <v>122.7</v>
      </c>
      <c r="H25" s="436"/>
      <c r="I25" s="297"/>
      <c r="J25" s="298">
        <f t="shared" ref="J25:N25" si="4">SUM(J18:J24)</f>
        <v>121.1</v>
      </c>
      <c r="K25" s="298">
        <f>SUM(K18:K24)</f>
        <v>123.9</v>
      </c>
      <c r="L25" s="298">
        <f t="shared" si="4"/>
        <v>28.900000000000006</v>
      </c>
      <c r="M25" s="298">
        <f t="shared" si="4"/>
        <v>123.39999999999998</v>
      </c>
      <c r="N25" s="299">
        <f t="shared" si="4"/>
        <v>122.7</v>
      </c>
      <c r="O25" s="436"/>
      <c r="P25" s="297">
        <f t="shared" ref="P25:W25" si="5">SUM(P18:P24)</f>
        <v>538.70000000000005</v>
      </c>
      <c r="Q25" s="297">
        <f t="shared" si="5"/>
        <v>538.70000000000005</v>
      </c>
      <c r="R25" s="297">
        <f t="shared" si="5"/>
        <v>161.30000000000004</v>
      </c>
      <c r="S25" s="297">
        <f t="shared" si="5"/>
        <v>544.29999999999995</v>
      </c>
      <c r="T25" s="297">
        <f t="shared" si="5"/>
        <v>539.80000000000007</v>
      </c>
      <c r="U25" s="297">
        <f t="shared" si="5"/>
        <v>556.6</v>
      </c>
      <c r="V25" s="297">
        <f t="shared" si="5"/>
        <v>570.1</v>
      </c>
      <c r="W25" s="297">
        <f t="shared" si="5"/>
        <v>161.29999999999998</v>
      </c>
      <c r="X25" s="297">
        <f>SUM(X18:X24)</f>
        <v>567.79999999999995</v>
      </c>
      <c r="Y25" s="297">
        <f>SUM(Y18:Y24)</f>
        <v>564.5</v>
      </c>
      <c r="Z25" s="607">
        <f>SUM(Z18,Z19,Z20,Z21,Z22,Z23,Z24)</f>
        <v>10181.019999999999</v>
      </c>
      <c r="AA25" s="301"/>
    </row>
    <row r="26" spans="1:40" s="2" customFormat="1" ht="36.75" customHeight="1" x14ac:dyDescent="0.25">
      <c r="A26" s="192" t="s">
        <v>11</v>
      </c>
      <c r="B26" s="293"/>
      <c r="C26" s="603">
        <v>160</v>
      </c>
      <c r="D26" s="603">
        <v>160</v>
      </c>
      <c r="E26" s="603">
        <v>160</v>
      </c>
      <c r="F26" s="603">
        <v>160</v>
      </c>
      <c r="G26" s="603">
        <v>160</v>
      </c>
      <c r="H26" s="678"/>
      <c r="I26" s="604"/>
      <c r="J26" s="603">
        <v>160</v>
      </c>
      <c r="K26" s="603">
        <v>160</v>
      </c>
      <c r="L26" s="603">
        <v>160</v>
      </c>
      <c r="M26" s="603">
        <v>160</v>
      </c>
      <c r="N26" s="603">
        <v>160</v>
      </c>
      <c r="O26" s="678"/>
      <c r="P26" s="603">
        <v>160</v>
      </c>
      <c r="Q26" s="603">
        <v>160</v>
      </c>
      <c r="R26" s="603">
        <v>160</v>
      </c>
      <c r="S26" s="603">
        <v>160</v>
      </c>
      <c r="T26" s="603">
        <v>160</v>
      </c>
      <c r="U26" s="603">
        <v>160</v>
      </c>
      <c r="V26" s="603">
        <v>160</v>
      </c>
      <c r="W26" s="603">
        <v>160</v>
      </c>
      <c r="X26" s="603">
        <v>160</v>
      </c>
      <c r="Y26" s="603">
        <v>160</v>
      </c>
      <c r="Z26" s="605">
        <f>(((Z25*1000)/7)/Z27)</f>
        <v>160.81727427813229</v>
      </c>
    </row>
    <row r="27" spans="1:40" s="2" customFormat="1" ht="33" customHeight="1" x14ac:dyDescent="0.25">
      <c r="A27" s="193" t="s">
        <v>12</v>
      </c>
      <c r="B27" s="257"/>
      <c r="C27" s="27">
        <v>553</v>
      </c>
      <c r="D27" s="27">
        <v>571</v>
      </c>
      <c r="E27" s="27">
        <v>123</v>
      </c>
      <c r="F27" s="27">
        <v>572</v>
      </c>
      <c r="G27" s="183">
        <v>571</v>
      </c>
      <c r="H27" s="679"/>
      <c r="I27" s="26"/>
      <c r="J27" s="27">
        <v>563</v>
      </c>
      <c r="K27" s="27">
        <v>577</v>
      </c>
      <c r="L27" s="483">
        <v>132</v>
      </c>
      <c r="M27" s="27">
        <v>575</v>
      </c>
      <c r="N27" s="183">
        <v>572</v>
      </c>
      <c r="O27" s="679"/>
      <c r="P27" s="64">
        <v>481</v>
      </c>
      <c r="Q27" s="27">
        <v>481</v>
      </c>
      <c r="R27" s="27">
        <v>144</v>
      </c>
      <c r="S27" s="27">
        <v>486</v>
      </c>
      <c r="T27" s="623">
        <v>482</v>
      </c>
      <c r="U27" s="26">
        <v>497</v>
      </c>
      <c r="V27" s="27">
        <v>509</v>
      </c>
      <c r="W27" s="27">
        <v>144</v>
      </c>
      <c r="X27" s="27">
        <v>507</v>
      </c>
      <c r="Y27" s="28">
        <v>504</v>
      </c>
      <c r="Z27" s="29">
        <f>SUM(C27:Y27)</f>
        <v>9044</v>
      </c>
      <c r="AA27" s="402"/>
    </row>
    <row r="28" spans="1:40" s="2" customFormat="1" ht="33" customHeight="1" x14ac:dyDescent="0.25">
      <c r="A28" s="444" t="s">
        <v>13</v>
      </c>
      <c r="B28" s="445"/>
      <c r="C28" s="31">
        <f>(C33*C27)/1000</f>
        <v>16.59</v>
      </c>
      <c r="D28" s="31">
        <f>(D33*D27)/1000</f>
        <v>17.13</v>
      </c>
      <c r="E28" s="31">
        <f t="shared" ref="E28:F28" si="6">(E33*E27)/1000</f>
        <v>3.69</v>
      </c>
      <c r="F28" s="31">
        <f t="shared" si="6"/>
        <v>17.16</v>
      </c>
      <c r="G28" s="163">
        <f>(G33*G27)/1000</f>
        <v>17.13</v>
      </c>
      <c r="H28" s="286"/>
      <c r="I28" s="30"/>
      <c r="J28" s="31">
        <f>(J33*J27)/1000</f>
        <v>16.89</v>
      </c>
      <c r="K28" s="31">
        <f t="shared" ref="K28:N28" si="7">(K33*K27)/1000</f>
        <v>17.309999999999999</v>
      </c>
      <c r="L28" s="31">
        <f t="shared" si="7"/>
        <v>3.96</v>
      </c>
      <c r="M28" s="31">
        <f t="shared" si="7"/>
        <v>17.25</v>
      </c>
      <c r="N28" s="163">
        <f t="shared" si="7"/>
        <v>17.16</v>
      </c>
      <c r="O28" s="286"/>
      <c r="P28" s="65">
        <f>((((P26*7)*P27)/1000)-P18-P19)/5</f>
        <v>77.024000000000001</v>
      </c>
      <c r="Q28" s="31">
        <f t="shared" ref="Q28:Y28" si="8">((((Q26*7)*Q27)/1000)-Q18-Q19)/5</f>
        <v>76.984000000000009</v>
      </c>
      <c r="R28" s="31">
        <f>((((R26*7)*R27)/1000)-R18-R19)/5</f>
        <v>23.456</v>
      </c>
      <c r="S28" s="31">
        <f t="shared" si="8"/>
        <v>77.744</v>
      </c>
      <c r="T28" s="32">
        <f t="shared" si="8"/>
        <v>77.048000000000002</v>
      </c>
      <c r="U28" s="30">
        <f t="shared" si="8"/>
        <v>79.287999999999982</v>
      </c>
      <c r="V28" s="31">
        <f t="shared" si="8"/>
        <v>81.456000000000017</v>
      </c>
      <c r="W28" s="31">
        <f t="shared" si="8"/>
        <v>23.256</v>
      </c>
      <c r="X28" s="31">
        <f t="shared" si="8"/>
        <v>80.968000000000004</v>
      </c>
      <c r="Y28" s="32">
        <f t="shared" si="8"/>
        <v>80.575999999999993</v>
      </c>
      <c r="Z28" s="33"/>
    </row>
    <row r="29" spans="1:40" ht="33.75" customHeight="1" x14ac:dyDescent="0.25">
      <c r="A29" s="185" t="s">
        <v>14</v>
      </c>
      <c r="B29" s="34"/>
      <c r="C29" s="280">
        <f>((C27*C30)*7)/1000</f>
        <v>118.79999999999998</v>
      </c>
      <c r="D29" s="280">
        <f t="shared" ref="D29:G29" si="9">((D27*D30)*7)/1000</f>
        <v>122.5</v>
      </c>
      <c r="E29" s="280">
        <f>((E27*E30)*7)/1000</f>
        <v>28.700000000000006</v>
      </c>
      <c r="F29" s="280">
        <f t="shared" si="9"/>
        <v>122.7</v>
      </c>
      <c r="G29" s="281">
        <f t="shared" si="9"/>
        <v>122.70000000000002</v>
      </c>
      <c r="H29" s="680"/>
      <c r="I29" s="279"/>
      <c r="J29" s="280">
        <f>((J27*J30)*7)/1000</f>
        <v>121.1</v>
      </c>
      <c r="K29" s="280">
        <f t="shared" ref="K29:N29" si="10">((K27*K30)*7)/1000</f>
        <v>123.9</v>
      </c>
      <c r="L29" s="280">
        <f t="shared" si="10"/>
        <v>28.900000000000006</v>
      </c>
      <c r="M29" s="280">
        <f t="shared" si="10"/>
        <v>123.4</v>
      </c>
      <c r="N29" s="281">
        <f t="shared" si="10"/>
        <v>122.7</v>
      </c>
      <c r="O29" s="680"/>
      <c r="P29" s="325">
        <f t="shared" ref="P29:Y29" si="11">((P27*P26)*7)/1000</f>
        <v>538.72</v>
      </c>
      <c r="Q29" s="280">
        <f t="shared" si="11"/>
        <v>538.72</v>
      </c>
      <c r="R29" s="280">
        <f t="shared" si="11"/>
        <v>161.28</v>
      </c>
      <c r="S29" s="280">
        <f t="shared" si="11"/>
        <v>544.32000000000005</v>
      </c>
      <c r="T29" s="282">
        <f t="shared" si="11"/>
        <v>539.84</v>
      </c>
      <c r="U29" s="279">
        <f t="shared" si="11"/>
        <v>556.64</v>
      </c>
      <c r="V29" s="280">
        <f t="shared" si="11"/>
        <v>570.08000000000004</v>
      </c>
      <c r="W29" s="280">
        <f t="shared" si="11"/>
        <v>161.28</v>
      </c>
      <c r="X29" s="280">
        <f t="shared" si="11"/>
        <v>567.84</v>
      </c>
      <c r="Y29" s="282">
        <f t="shared" si="11"/>
        <v>564.48</v>
      </c>
      <c r="Z29" s="36"/>
    </row>
    <row r="30" spans="1:40" ht="33.75" customHeight="1" thickBot="1" x14ac:dyDescent="0.3">
      <c r="A30" s="195" t="s">
        <v>15</v>
      </c>
      <c r="B30" s="423"/>
      <c r="C30" s="38">
        <f>+(C25/C27)/7*1000</f>
        <v>30.689744252131231</v>
      </c>
      <c r="D30" s="38">
        <f t="shared" ref="D30:X30" si="12">+(D25/D27)/7*1000</f>
        <v>30.64798598949212</v>
      </c>
      <c r="E30" s="38">
        <f>+(E25/E27)/7*1000</f>
        <v>33.333333333333343</v>
      </c>
      <c r="F30" s="38">
        <f t="shared" si="12"/>
        <v>30.644355644355642</v>
      </c>
      <c r="G30" s="207">
        <f t="shared" si="12"/>
        <v>30.69802351763823</v>
      </c>
      <c r="H30" s="262"/>
      <c r="I30" s="37"/>
      <c r="J30" s="38">
        <f t="shared" si="12"/>
        <v>30.728241563055061</v>
      </c>
      <c r="K30" s="38">
        <f t="shared" si="12"/>
        <v>30.675909878682845</v>
      </c>
      <c r="L30" s="38">
        <f t="shared" si="12"/>
        <v>31.277056277056285</v>
      </c>
      <c r="M30" s="38">
        <f t="shared" si="12"/>
        <v>30.658385093167698</v>
      </c>
      <c r="N30" s="207">
        <f>+(N25/N27)/7*1000</f>
        <v>30.644355644355642</v>
      </c>
      <c r="O30" s="262"/>
      <c r="P30" s="67">
        <f t="shared" si="12"/>
        <v>159.99405999406</v>
      </c>
      <c r="Q30" s="38">
        <f t="shared" si="12"/>
        <v>159.99405999406</v>
      </c>
      <c r="R30" s="38">
        <f t="shared" si="12"/>
        <v>160.01984126984132</v>
      </c>
      <c r="S30" s="38">
        <f t="shared" si="12"/>
        <v>159.99412110523221</v>
      </c>
      <c r="T30" s="39">
        <f t="shared" si="12"/>
        <v>159.98814463544758</v>
      </c>
      <c r="U30" s="37">
        <f t="shared" si="12"/>
        <v>159.98850244323083</v>
      </c>
      <c r="V30" s="38">
        <f t="shared" si="12"/>
        <v>160.00561324726357</v>
      </c>
      <c r="W30" s="38">
        <f t="shared" si="12"/>
        <v>160.01984126984127</v>
      </c>
      <c r="X30" s="38">
        <f t="shared" si="12"/>
        <v>159.98872921949842</v>
      </c>
      <c r="Y30" s="38">
        <f>+(Y25/Y27)/7*1000</f>
        <v>160.00566893424036</v>
      </c>
      <c r="Z30" s="40"/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3">D29-D25</f>
        <v>0</v>
      </c>
      <c r="E31" s="42">
        <f t="shared" si="13"/>
        <v>0</v>
      </c>
      <c r="F31" s="42">
        <f t="shared" si="13"/>
        <v>0</v>
      </c>
      <c r="G31" s="42">
        <f t="shared" si="13"/>
        <v>0</v>
      </c>
      <c r="H31" s="42"/>
      <c r="I31" s="42"/>
      <c r="J31" s="42">
        <f t="shared" si="13"/>
        <v>0</v>
      </c>
      <c r="K31" s="42">
        <f>K29-K25</f>
        <v>0</v>
      </c>
      <c r="L31" s="42">
        <f t="shared" si="13"/>
        <v>0</v>
      </c>
      <c r="M31" s="42">
        <f t="shared" si="13"/>
        <v>0</v>
      </c>
      <c r="N31" s="42">
        <f t="shared" si="13"/>
        <v>0</v>
      </c>
      <c r="O31" s="42"/>
      <c r="P31" s="42">
        <f>P29-P25</f>
        <v>1.999999999998181E-2</v>
      </c>
      <c r="Q31" s="42">
        <f>Q29-Q25</f>
        <v>1.999999999998181E-2</v>
      </c>
      <c r="R31" s="42">
        <f t="shared" si="13"/>
        <v>-2.0000000000038654E-2</v>
      </c>
      <c r="S31" s="42">
        <f t="shared" si="13"/>
        <v>2.0000000000095497E-2</v>
      </c>
      <c r="T31" s="42">
        <f t="shared" si="13"/>
        <v>3.999999999996362E-2</v>
      </c>
      <c r="U31" s="42">
        <f>U29-U25</f>
        <v>3.999999999996362E-2</v>
      </c>
      <c r="V31" s="42">
        <f t="shared" si="13"/>
        <v>-1.999999999998181E-2</v>
      </c>
      <c r="W31" s="42">
        <f t="shared" si="13"/>
        <v>-1.999999999998181E-2</v>
      </c>
      <c r="X31" s="42">
        <f t="shared" si="13"/>
        <v>4.0000000000077307E-2</v>
      </c>
      <c r="Y31" s="42">
        <f>Y29-Y25</f>
        <v>-1.999999999998181E-2</v>
      </c>
      <c r="Z31" s="48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0.6897442521312307</v>
      </c>
      <c r="D32" s="42">
        <f t="shared" ref="D32:G32" si="14">D30-D33</f>
        <v>0.6479859894921205</v>
      </c>
      <c r="E32" s="42">
        <f>E30-E33</f>
        <v>3.3333333333333428</v>
      </c>
      <c r="F32" s="42">
        <f t="shared" si="14"/>
        <v>0.64435564435564174</v>
      </c>
      <c r="G32" s="42">
        <f t="shared" si="14"/>
        <v>0.69802351763823012</v>
      </c>
      <c r="H32" s="42"/>
      <c r="I32" s="42"/>
      <c r="J32" s="42">
        <f t="shared" ref="J32:M32" si="15">J30-J33</f>
        <v>0.72824156305506094</v>
      </c>
      <c r="K32" s="42">
        <f t="shared" si="15"/>
        <v>0.67590987868284458</v>
      </c>
      <c r="L32" s="42">
        <f t="shared" si="15"/>
        <v>1.2770562770562854</v>
      </c>
      <c r="M32" s="42">
        <f t="shared" si="15"/>
        <v>0.65838509316769844</v>
      </c>
      <c r="N32" s="42">
        <f>N30-N33</f>
        <v>0.64435564435564174</v>
      </c>
      <c r="O32" s="42"/>
      <c r="P32" s="42">
        <f>P30-P26</f>
        <v>-5.9400059400047667E-3</v>
      </c>
      <c r="Q32" s="42">
        <f t="shared" si="13"/>
        <v>-5.9400059400047667E-3</v>
      </c>
      <c r="R32" s="42">
        <f t="shared" si="13"/>
        <v>1.9841269841322173E-2</v>
      </c>
      <c r="S32" s="42">
        <f t="shared" si="13"/>
        <v>-5.8788947677896886E-3</v>
      </c>
      <c r="T32" s="42">
        <f t="shared" si="13"/>
        <v>-1.1855364552417313E-2</v>
      </c>
      <c r="U32" s="42">
        <f t="shared" si="13"/>
        <v>-1.1497556769171524E-2</v>
      </c>
      <c r="V32" s="42">
        <f t="shared" si="13"/>
        <v>5.6132472635681552E-3</v>
      </c>
      <c r="W32" s="42">
        <f t="shared" si="13"/>
        <v>1.984126984126533E-2</v>
      </c>
      <c r="X32" s="42">
        <f t="shared" si="13"/>
        <v>-1.1270780501575928E-2</v>
      </c>
      <c r="Y32" s="42">
        <f t="shared" si="13"/>
        <v>5.6689342403615228E-3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30</v>
      </c>
      <c r="D33" s="42">
        <f t="shared" ref="D33:G33" si="16">D26-$B$34</f>
        <v>30</v>
      </c>
      <c r="E33" s="42">
        <f t="shared" si="16"/>
        <v>30</v>
      </c>
      <c r="F33" s="42">
        <f t="shared" si="16"/>
        <v>30</v>
      </c>
      <c r="G33" s="42">
        <f t="shared" si="16"/>
        <v>30</v>
      </c>
      <c r="H33" s="42"/>
      <c r="I33" s="42"/>
      <c r="J33" s="42">
        <f>J26-$I$34</f>
        <v>30</v>
      </c>
      <c r="K33" s="42">
        <f t="shared" ref="K33:L33" si="17">K26-$I$34</f>
        <v>30</v>
      </c>
      <c r="L33" s="42">
        <f t="shared" si="17"/>
        <v>30</v>
      </c>
      <c r="M33" s="42">
        <f>M26-$I$34</f>
        <v>30</v>
      </c>
      <c r="N33" s="42">
        <f>N26-$I$34</f>
        <v>30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310.7</v>
      </c>
      <c r="D34" s="432">
        <f>SUM(C27:G27)</f>
        <v>2390</v>
      </c>
      <c r="E34" s="42"/>
      <c r="F34" s="42"/>
      <c r="G34" s="42"/>
      <c r="H34" s="42"/>
      <c r="I34" s="514">
        <v>130</v>
      </c>
      <c r="J34" s="431">
        <f>(I34*K34)/1000</f>
        <v>314.47000000000003</v>
      </c>
      <c r="K34" s="432">
        <f>SUM(J27:N27)</f>
        <v>2419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1002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674" t="s">
        <v>9</v>
      </c>
      <c r="S39" s="645"/>
      <c r="U39" s="45"/>
      <c r="V39" s="45"/>
      <c r="W39" s="46"/>
      <c r="X39" s="3"/>
      <c r="Y39" s="45"/>
      <c r="Z39" s="45"/>
      <c r="AA39" s="45"/>
      <c r="AB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1003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168">
        <v>5</v>
      </c>
      <c r="R40" s="236"/>
      <c r="S40" s="645"/>
      <c r="U40" s="47"/>
      <c r="X40" s="48"/>
      <c r="Y40" s="2"/>
      <c r="Z40" s="2"/>
      <c r="AA40" s="2"/>
      <c r="AB40" s="2"/>
    </row>
    <row r="41" spans="1:38" ht="33.75" customHeight="1" x14ac:dyDescent="0.25">
      <c r="A41" s="171" t="s">
        <v>32</v>
      </c>
      <c r="B41" s="279">
        <v>89.1</v>
      </c>
      <c r="C41" s="280">
        <v>89.9</v>
      </c>
      <c r="D41" s="280">
        <v>18.100000000000001</v>
      </c>
      <c r="E41" s="280">
        <v>90.3</v>
      </c>
      <c r="F41" s="281">
        <v>89.4</v>
      </c>
      <c r="G41" s="638">
        <f t="shared" ref="G41:G48" si="18">SUM(B41:F41)</f>
        <v>376.79999999999995</v>
      </c>
      <c r="H41" s="364"/>
      <c r="I41" s="364"/>
      <c r="J41" s="364"/>
      <c r="K41" s="364"/>
      <c r="L41" s="171" t="s">
        <v>53</v>
      </c>
      <c r="M41" s="745">
        <v>7</v>
      </c>
      <c r="N41" s="767">
        <v>6.9</v>
      </c>
      <c r="O41" s="741">
        <v>1.1000000000000001</v>
      </c>
      <c r="P41" s="767">
        <v>7</v>
      </c>
      <c r="Q41" s="767">
        <v>7</v>
      </c>
      <c r="R41" s="750">
        <f t="shared" ref="R41:R48" si="19">SUM(M41:Q41)</f>
        <v>29</v>
      </c>
      <c r="S41" s="646"/>
      <c r="T41" s="675"/>
      <c r="U41" s="657"/>
      <c r="X41" s="48"/>
      <c r="Y41" s="2"/>
      <c r="Z41" s="2"/>
      <c r="AA41" s="2"/>
      <c r="AB41" s="2"/>
    </row>
    <row r="42" spans="1:38" ht="33.75" customHeight="1" x14ac:dyDescent="0.25">
      <c r="A42" s="171" t="s">
        <v>24</v>
      </c>
      <c r="B42" s="279">
        <v>89.1</v>
      </c>
      <c r="C42" s="280">
        <v>89.9</v>
      </c>
      <c r="D42" s="280">
        <v>18.100000000000001</v>
      </c>
      <c r="E42" s="280">
        <v>90.3</v>
      </c>
      <c r="F42" s="281">
        <v>89.4</v>
      </c>
      <c r="G42" s="638">
        <f t="shared" si="18"/>
        <v>376.79999999999995</v>
      </c>
      <c r="H42" s="364"/>
      <c r="I42" s="364"/>
      <c r="J42" s="364"/>
      <c r="K42" s="364"/>
      <c r="L42" s="171" t="s">
        <v>24</v>
      </c>
      <c r="M42" s="279">
        <v>7</v>
      </c>
      <c r="N42" s="280">
        <v>6.9</v>
      </c>
      <c r="O42" s="280">
        <v>1.1000000000000001</v>
      </c>
      <c r="P42" s="280">
        <v>7</v>
      </c>
      <c r="Q42" s="280">
        <v>7</v>
      </c>
      <c r="R42" s="752">
        <f t="shared" si="19"/>
        <v>29</v>
      </c>
      <c r="S42" s="646"/>
      <c r="T42" s="647"/>
      <c r="U42" s="658"/>
      <c r="X42" s="48"/>
      <c r="Y42" s="2"/>
      <c r="Z42" s="2"/>
      <c r="AA42" s="2"/>
      <c r="AB42" s="2"/>
    </row>
    <row r="43" spans="1:38" ht="33.75" customHeight="1" x14ac:dyDescent="0.25">
      <c r="A43" s="171" t="s">
        <v>20</v>
      </c>
      <c r="B43" s="279">
        <v>89.8</v>
      </c>
      <c r="C43" s="280">
        <v>89.3</v>
      </c>
      <c r="D43" s="280">
        <v>18</v>
      </c>
      <c r="E43" s="280">
        <v>90.5</v>
      </c>
      <c r="F43" s="281">
        <v>88.6</v>
      </c>
      <c r="G43" s="638">
        <f t="shared" si="18"/>
        <v>376.20000000000005</v>
      </c>
      <c r="H43" s="364"/>
      <c r="I43" s="364"/>
      <c r="J43" s="364"/>
      <c r="K43" s="364"/>
      <c r="L43" s="171" t="s">
        <v>20</v>
      </c>
      <c r="M43" s="279">
        <v>6.9</v>
      </c>
      <c r="N43" s="280">
        <v>6.9</v>
      </c>
      <c r="O43" s="280">
        <v>1.3</v>
      </c>
      <c r="P43" s="280">
        <v>7</v>
      </c>
      <c r="Q43" s="280">
        <v>6.9</v>
      </c>
      <c r="R43" s="752">
        <f t="shared" si="19"/>
        <v>29</v>
      </c>
      <c r="S43" s="646"/>
      <c r="T43" s="647"/>
      <c r="U43" s="658"/>
      <c r="X43" s="48"/>
      <c r="Y43" s="2"/>
      <c r="Z43" s="2"/>
      <c r="AA43" s="2"/>
      <c r="AB43" s="2"/>
    </row>
    <row r="44" spans="1:38" ht="33.75" customHeight="1" x14ac:dyDescent="0.25">
      <c r="A44" s="171" t="s">
        <v>28</v>
      </c>
      <c r="B44" s="279">
        <v>89.5</v>
      </c>
      <c r="C44" s="280">
        <v>89.3</v>
      </c>
      <c r="D44" s="280">
        <v>17.8</v>
      </c>
      <c r="E44" s="280">
        <v>90.2</v>
      </c>
      <c r="F44" s="281">
        <v>88.6</v>
      </c>
      <c r="G44" s="638">
        <f t="shared" si="18"/>
        <v>375.4</v>
      </c>
      <c r="H44" s="651"/>
      <c r="I44" s="364"/>
      <c r="J44" s="364"/>
      <c r="K44" s="364"/>
      <c r="L44" s="171" t="s">
        <v>28</v>
      </c>
      <c r="M44" s="279">
        <v>6.9</v>
      </c>
      <c r="N44" s="280">
        <v>6.9</v>
      </c>
      <c r="O44" s="280">
        <v>1.3</v>
      </c>
      <c r="P44" s="280">
        <v>7</v>
      </c>
      <c r="Q44" s="280">
        <v>6.9</v>
      </c>
      <c r="R44" s="752">
        <f t="shared" si="19"/>
        <v>29</v>
      </c>
      <c r="S44" s="646"/>
      <c r="T44" s="647"/>
      <c r="U44" s="658"/>
      <c r="X44" s="48"/>
      <c r="Y44" s="2"/>
      <c r="Z44" s="2"/>
      <c r="AA44" s="2"/>
      <c r="AB44" s="2"/>
    </row>
    <row r="45" spans="1:38" ht="33.75" customHeight="1" x14ac:dyDescent="0.25">
      <c r="A45" s="171" t="s">
        <v>21</v>
      </c>
      <c r="B45" s="279">
        <v>89.5</v>
      </c>
      <c r="C45" s="280">
        <v>88.9</v>
      </c>
      <c r="D45" s="280">
        <v>17.8</v>
      </c>
      <c r="E45" s="280">
        <v>90.1</v>
      </c>
      <c r="F45" s="281">
        <v>88.6</v>
      </c>
      <c r="G45" s="638">
        <f t="shared" si="18"/>
        <v>374.9</v>
      </c>
      <c r="H45" s="651"/>
      <c r="I45" s="364"/>
      <c r="J45" s="364"/>
      <c r="K45" s="364"/>
      <c r="L45" s="171" t="s">
        <v>21</v>
      </c>
      <c r="M45" s="279">
        <v>6.9</v>
      </c>
      <c r="N45" s="280">
        <v>6.9</v>
      </c>
      <c r="O45" s="280">
        <v>1.3</v>
      </c>
      <c r="P45" s="280">
        <v>7</v>
      </c>
      <c r="Q45" s="280">
        <v>6.9</v>
      </c>
      <c r="R45" s="752">
        <f t="shared" si="19"/>
        <v>29</v>
      </c>
      <c r="S45" s="646"/>
      <c r="T45" s="647"/>
      <c r="U45" s="658"/>
      <c r="X45" s="48"/>
      <c r="Y45" s="2"/>
      <c r="Z45" s="2"/>
      <c r="AA45" s="2"/>
      <c r="AB45" s="2"/>
    </row>
    <row r="46" spans="1:38" ht="33.75" customHeight="1" x14ac:dyDescent="0.25">
      <c r="A46" s="171" t="s">
        <v>22</v>
      </c>
      <c r="B46" s="279">
        <v>88.5</v>
      </c>
      <c r="C46" s="280">
        <v>88.9</v>
      </c>
      <c r="D46" s="280">
        <v>17.8</v>
      </c>
      <c r="E46" s="280">
        <v>90.1</v>
      </c>
      <c r="F46" s="281">
        <v>88.1</v>
      </c>
      <c r="G46" s="209">
        <f t="shared" si="18"/>
        <v>373.4</v>
      </c>
      <c r="H46" s="651"/>
      <c r="I46" s="364"/>
      <c r="J46" s="364"/>
      <c r="K46" s="364"/>
      <c r="L46" s="171" t="s">
        <v>22</v>
      </c>
      <c r="M46" s="279">
        <v>7</v>
      </c>
      <c r="N46" s="280">
        <v>6.9</v>
      </c>
      <c r="O46" s="280">
        <v>1.3</v>
      </c>
      <c r="P46" s="280">
        <v>7</v>
      </c>
      <c r="Q46" s="280">
        <v>7</v>
      </c>
      <c r="R46" s="98">
        <f t="shared" si="19"/>
        <v>29.200000000000003</v>
      </c>
      <c r="S46" s="646"/>
      <c r="T46" s="647"/>
      <c r="U46" s="658"/>
      <c r="X46" s="48"/>
      <c r="Y46" s="2"/>
      <c r="Z46" s="2"/>
      <c r="AA46" s="2"/>
      <c r="AB46" s="2"/>
    </row>
    <row r="47" spans="1:38" ht="33.75" customHeight="1" thickBot="1" x14ac:dyDescent="0.3">
      <c r="A47" s="285" t="s">
        <v>23</v>
      </c>
      <c r="B47" s="279">
        <v>88.5</v>
      </c>
      <c r="C47" s="280">
        <v>88.9</v>
      </c>
      <c r="D47" s="280">
        <v>17.899999999999999</v>
      </c>
      <c r="E47" s="280">
        <v>90.1</v>
      </c>
      <c r="F47" s="281">
        <v>88</v>
      </c>
      <c r="G47" s="376">
        <f t="shared" si="18"/>
        <v>373.4</v>
      </c>
      <c r="H47" s="651"/>
      <c r="I47" s="364"/>
      <c r="J47" s="364"/>
      <c r="K47" s="364"/>
      <c r="L47" s="285" t="s">
        <v>23</v>
      </c>
      <c r="M47" s="279">
        <v>7</v>
      </c>
      <c r="N47" s="280">
        <v>6.8</v>
      </c>
      <c r="O47" s="280">
        <v>1.3</v>
      </c>
      <c r="P47" s="280">
        <v>7.1</v>
      </c>
      <c r="Q47" s="280">
        <v>7</v>
      </c>
      <c r="R47" s="372">
        <f t="shared" si="19"/>
        <v>29.200000000000003</v>
      </c>
      <c r="S47" s="646"/>
      <c r="T47" s="647"/>
      <c r="U47" s="658"/>
      <c r="X47" s="48"/>
      <c r="Y47" s="48"/>
      <c r="Z47" s="48"/>
      <c r="AA47" s="2"/>
      <c r="AB47" s="2"/>
      <c r="AC47" s="2"/>
      <c r="AD47" s="2"/>
    </row>
    <row r="48" spans="1:38" ht="33.75" customHeight="1" thickBot="1" x14ac:dyDescent="0.3">
      <c r="A48" s="290" t="s">
        <v>9</v>
      </c>
      <c r="B48" s="297">
        <f>SUM(B41:B47)</f>
        <v>624</v>
      </c>
      <c r="C48" s="298">
        <f t="shared" ref="C48:F48" si="20">SUM(C41:C47)</f>
        <v>625.1</v>
      </c>
      <c r="D48" s="298">
        <f t="shared" si="20"/>
        <v>125.5</v>
      </c>
      <c r="E48" s="298">
        <f t="shared" si="20"/>
        <v>631.6</v>
      </c>
      <c r="F48" s="448">
        <f t="shared" si="20"/>
        <v>620.70000000000005</v>
      </c>
      <c r="G48" s="729">
        <f t="shared" si="18"/>
        <v>2626.8999999999996</v>
      </c>
      <c r="H48" s="364"/>
      <c r="I48" s="364"/>
      <c r="J48" s="364"/>
      <c r="K48" s="364"/>
      <c r="L48" s="290" t="s">
        <v>9</v>
      </c>
      <c r="M48" s="687">
        <f>SUM(M41:M47)</f>
        <v>48.699999999999996</v>
      </c>
      <c r="N48" s="688">
        <f>SUM(N41:N47)</f>
        <v>48.199999999999996</v>
      </c>
      <c r="O48" s="688">
        <f>SUM(O41:O47)</f>
        <v>8.6999999999999993</v>
      </c>
      <c r="P48" s="688">
        <f t="shared" ref="P48:Q48" si="21">SUM(P41:P47)</f>
        <v>49.1</v>
      </c>
      <c r="Q48" s="688">
        <f t="shared" si="21"/>
        <v>48.699999999999996</v>
      </c>
      <c r="R48" s="607">
        <f t="shared" si="19"/>
        <v>203.39999999999998</v>
      </c>
      <c r="S48" s="647"/>
      <c r="T48" s="647"/>
      <c r="U48" s="658"/>
      <c r="X48" s="2"/>
      <c r="Y48" s="2"/>
      <c r="Z48" s="2"/>
      <c r="AA48" s="2"/>
      <c r="AB48" s="2"/>
      <c r="AC48" s="2"/>
      <c r="AD48" s="2"/>
    </row>
    <row r="49" spans="1:50" ht="33.75" customHeight="1" x14ac:dyDescent="0.25">
      <c r="A49" s="192" t="s">
        <v>11</v>
      </c>
      <c r="B49" s="751">
        <v>155.84699999999992</v>
      </c>
      <c r="C49" s="751">
        <v>155.84699999999992</v>
      </c>
      <c r="D49" s="751">
        <v>155.84699999999992</v>
      </c>
      <c r="E49" s="751">
        <v>155.84699999999992</v>
      </c>
      <c r="F49" s="751">
        <v>155.84699999999992</v>
      </c>
      <c r="G49" s="730">
        <f>+((G48/G50)/7)*1000</f>
        <v>155.84361651637397</v>
      </c>
      <c r="H49" s="609"/>
      <c r="I49" s="364"/>
      <c r="J49" s="364"/>
      <c r="K49" s="364"/>
      <c r="L49" s="273" t="s">
        <v>11</v>
      </c>
      <c r="M49" s="293">
        <v>158</v>
      </c>
      <c r="N49" s="294">
        <v>156.5</v>
      </c>
      <c r="O49" s="294">
        <v>155.5</v>
      </c>
      <c r="P49" s="294">
        <v>156</v>
      </c>
      <c r="Q49" s="294">
        <v>154.5</v>
      </c>
      <c r="R49" s="296">
        <f>+((R48/R50)/7)*1000</f>
        <v>156.22119815668202</v>
      </c>
      <c r="S49" s="648"/>
      <c r="T49" s="647"/>
      <c r="U49" s="658"/>
      <c r="V49" s="50"/>
    </row>
    <row r="50" spans="1:50" ht="33.75" customHeight="1" x14ac:dyDescent="0.25">
      <c r="A50" s="193" t="s">
        <v>12</v>
      </c>
      <c r="B50" s="26">
        <v>572</v>
      </c>
      <c r="C50" s="27">
        <v>573</v>
      </c>
      <c r="D50" s="27">
        <v>115</v>
      </c>
      <c r="E50" s="27">
        <v>579</v>
      </c>
      <c r="F50" s="183">
        <v>569</v>
      </c>
      <c r="G50" s="731">
        <f>SUM(B50:F50)</f>
        <v>2408</v>
      </c>
      <c r="H50" s="609"/>
      <c r="I50" s="364"/>
      <c r="J50" s="364"/>
      <c r="K50" s="364"/>
      <c r="L50" s="193" t="s">
        <v>12</v>
      </c>
      <c r="M50" s="257">
        <v>44</v>
      </c>
      <c r="N50" s="275">
        <v>44</v>
      </c>
      <c r="O50" s="275">
        <v>8</v>
      </c>
      <c r="P50" s="275">
        <v>45</v>
      </c>
      <c r="Q50" s="275">
        <v>45</v>
      </c>
      <c r="R50" s="254">
        <f>SUM(M50:Q50)</f>
        <v>186</v>
      </c>
      <c r="S50" s="649"/>
      <c r="T50" s="301"/>
      <c r="U50" s="52"/>
      <c r="V50" s="52"/>
    </row>
    <row r="51" spans="1:50" ht="33.75" customHeight="1" x14ac:dyDescent="0.25">
      <c r="A51" s="194" t="s">
        <v>13</v>
      </c>
      <c r="B51" s="30">
        <f>((((B49*7)*B50)/1000)-B41-B42)/5</f>
        <v>89.162277599999925</v>
      </c>
      <c r="C51" s="31">
        <f t="shared" ref="C51:F51" si="22">((((C49*7)*C50)/1000)-C41-C42)/5</f>
        <v>89.060463399999961</v>
      </c>
      <c r="D51" s="31">
        <f>((((D49*7)*D50)/1000)-D41-D42)/5</f>
        <v>17.851366999999989</v>
      </c>
      <c r="E51" s="31">
        <f t="shared" si="22"/>
        <v>90.209578199999953</v>
      </c>
      <c r="F51" s="163">
        <f t="shared" si="22"/>
        <v>88.387720199999947</v>
      </c>
      <c r="G51" s="732">
        <f>((G48*1000)/G50)/7</f>
        <v>155.84361651637397</v>
      </c>
      <c r="H51" s="609"/>
      <c r="I51" s="364"/>
      <c r="J51" s="364"/>
      <c r="K51" s="364"/>
      <c r="L51" s="194" t="s">
        <v>13</v>
      </c>
      <c r="M51" s="30">
        <f>((((M49*7)*M50)/1000)-M41-M42)/5</f>
        <v>6.9328000000000003</v>
      </c>
      <c r="N51" s="31">
        <f t="shared" ref="N51:Q51" si="23">((((N49*7)*N50)/1000)-N41-N42)/5</f>
        <v>6.8803999999999998</v>
      </c>
      <c r="O51" s="31">
        <f t="shared" si="23"/>
        <v>1.3016000000000001</v>
      </c>
      <c r="P51" s="31">
        <f t="shared" si="23"/>
        <v>7.0280000000000005</v>
      </c>
      <c r="Q51" s="31">
        <f t="shared" si="23"/>
        <v>6.9334999999999996</v>
      </c>
      <c r="R51" s="274">
        <f>((R48*1000)/R50)/7</f>
        <v>156.22119815668202</v>
      </c>
      <c r="S51" s="650"/>
      <c r="T51" s="301"/>
      <c r="U51" s="52"/>
      <c r="V51" s="52"/>
    </row>
    <row r="52" spans="1:50" ht="33.75" customHeight="1" x14ac:dyDescent="0.25">
      <c r="A52" s="185" t="s">
        <v>14</v>
      </c>
      <c r="B52" s="279">
        <f>((B50*B49)*7)/1000</f>
        <v>624.01138799999967</v>
      </c>
      <c r="C52" s="280">
        <f>((C50*C49)*7)/1000</f>
        <v>625.10231699999974</v>
      </c>
      <c r="D52" s="280">
        <f>((D50*D49)*7)/1000</f>
        <v>125.45683499999993</v>
      </c>
      <c r="E52" s="280">
        <f>((E50*E49)*7)/1000</f>
        <v>631.64789099999973</v>
      </c>
      <c r="F52" s="281">
        <f>((F50*F49)*7)/1000</f>
        <v>620.73860099999968</v>
      </c>
      <c r="G52" s="73"/>
      <c r="H52" s="609"/>
      <c r="I52" s="364"/>
      <c r="J52" s="364"/>
      <c r="K52" s="364"/>
      <c r="L52" s="185" t="s">
        <v>14</v>
      </c>
      <c r="M52" s="279">
        <f>((M50*M49)*7)/1000</f>
        <v>48.664000000000001</v>
      </c>
      <c r="N52" s="280">
        <f>((N50*N49)*7)/1000</f>
        <v>48.201999999999998</v>
      </c>
      <c r="O52" s="280">
        <f>((O50*O49)*7)/1000</f>
        <v>8.7080000000000002</v>
      </c>
      <c r="P52" s="280">
        <f t="shared" ref="P52:Q52" si="24">((P50*P49)*7)/1000</f>
        <v>49.14</v>
      </c>
      <c r="Q52" s="280">
        <f t="shared" si="24"/>
        <v>48.667499999999997</v>
      </c>
      <c r="R52" s="36"/>
      <c r="S52" s="522"/>
    </row>
    <row r="53" spans="1:50" ht="33.75" customHeight="1" thickBot="1" x14ac:dyDescent="0.3">
      <c r="A53" s="195" t="s">
        <v>15</v>
      </c>
      <c r="B53" s="37">
        <f>+(B48/B50)/7*1000</f>
        <v>155.84415584415584</v>
      </c>
      <c r="C53" s="38">
        <f t="shared" ref="C53:E53" si="25">+(C48/C50)/7*1000</f>
        <v>155.84642233856894</v>
      </c>
      <c r="D53" s="38">
        <f t="shared" si="25"/>
        <v>155.90062111801242</v>
      </c>
      <c r="E53" s="38">
        <f t="shared" si="25"/>
        <v>155.83518381445845</v>
      </c>
      <c r="F53" s="207">
        <f>+(F48/F50)/7*1000</f>
        <v>155.83730856138592</v>
      </c>
      <c r="G53" s="74"/>
      <c r="H53" s="609"/>
      <c r="I53" s="364"/>
      <c r="J53" s="364"/>
      <c r="K53" s="364"/>
      <c r="L53" s="195" t="s">
        <v>15</v>
      </c>
      <c r="M53" s="37">
        <f>+(M48/M50)/7*1000</f>
        <v>158.11688311688309</v>
      </c>
      <c r="N53" s="38">
        <f>+(N48/N50)/7*1000</f>
        <v>156.49350649350649</v>
      </c>
      <c r="O53" s="38">
        <f>+(O48/O50)/7*1000</f>
        <v>155.35714285714283</v>
      </c>
      <c r="P53" s="38">
        <f t="shared" ref="P53:Q53" si="26">+(P48/P50)/7*1000</f>
        <v>155.87301587301587</v>
      </c>
      <c r="Q53" s="38">
        <f t="shared" si="26"/>
        <v>154.60317460317461</v>
      </c>
      <c r="R53" s="259"/>
      <c r="S53" s="651"/>
      <c r="U53" s="42"/>
      <c r="V53" s="42"/>
    </row>
    <row r="54" spans="1:50" ht="33.75" customHeight="1" x14ac:dyDescent="0.25">
      <c r="A54" s="41"/>
      <c r="B54" s="43">
        <f>B52-B48</f>
        <v>1.1387999999669773E-2</v>
      </c>
      <c r="C54" s="43">
        <f t="shared" ref="C54:D55" si="27">C52-C48</f>
        <v>2.3169999997207924E-3</v>
      </c>
      <c r="D54" s="43">
        <f t="shared" si="27"/>
        <v>-4.3165000000072951E-2</v>
      </c>
      <c r="E54" s="43">
        <f>E52-E48</f>
        <v>4.7890999999708583E-2</v>
      </c>
      <c r="F54" s="43">
        <f>F52-F48</f>
        <v>3.8600999999630403E-2</v>
      </c>
      <c r="G54" s="41"/>
      <c r="H54" s="41"/>
      <c r="I54" s="41"/>
      <c r="J54" s="41"/>
      <c r="K54" s="41"/>
      <c r="L54" s="42"/>
      <c r="M54" s="42">
        <f>M52-M48</f>
        <v>-3.5999999999994259E-2</v>
      </c>
      <c r="N54" s="42">
        <f>N52-N48</f>
        <v>2.0000000000024443E-3</v>
      </c>
      <c r="O54" s="42">
        <f t="shared" ref="N54:Q55" si="28">O52-O48</f>
        <v>8.0000000000008953E-3</v>
      </c>
      <c r="P54" s="42">
        <f t="shared" si="28"/>
        <v>3.9999999999999147E-2</v>
      </c>
      <c r="Q54" s="42">
        <f t="shared" si="28"/>
        <v>-3.2499999999998863E-2</v>
      </c>
      <c r="R54" s="42"/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-2.8441558440874815E-3</v>
      </c>
      <c r="C55" s="42">
        <f>C53-C49</f>
        <v>-5.7766143098092471E-4</v>
      </c>
      <c r="D55" s="42">
        <f t="shared" si="27"/>
        <v>5.3621118012500801E-2</v>
      </c>
      <c r="E55" s="42">
        <f>E53-E49</f>
        <v>-1.1816185541476898E-2</v>
      </c>
      <c r="F55" s="42">
        <f>F53-F49</f>
        <v>-9.6914386139985709E-3</v>
      </c>
      <c r="G55" s="41"/>
      <c r="H55" s="41"/>
      <c r="I55" s="41"/>
      <c r="J55" s="41"/>
      <c r="K55" s="42"/>
      <c r="L55" s="42"/>
      <c r="M55" s="42">
        <f>M53-M49</f>
        <v>0.11688311688308772</v>
      </c>
      <c r="N55" s="42">
        <f t="shared" si="28"/>
        <v>-6.4935064935127684E-3</v>
      </c>
      <c r="O55" s="42">
        <f>O53-O49</f>
        <v>-0.14285714285716722</v>
      </c>
      <c r="P55" s="42">
        <f>P53-P49</f>
        <v>-0.12698412698412653</v>
      </c>
      <c r="Q55" s="42">
        <f t="shared" si="28"/>
        <v>0.10317460317460814</v>
      </c>
      <c r="R55" s="42"/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283"/>
      <c r="N57" s="283"/>
      <c r="O57" s="283"/>
      <c r="P57" s="283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99" t="s">
        <v>30</v>
      </c>
      <c r="H58" s="1000"/>
      <c r="I58" s="1000"/>
      <c r="J58" s="1000"/>
      <c r="K58" s="1001"/>
      <c r="L58" s="973" t="s">
        <v>29</v>
      </c>
      <c r="M58" s="974"/>
      <c r="N58" s="974"/>
      <c r="O58" s="974"/>
      <c r="P58" s="991"/>
      <c r="Q58" s="973" t="s">
        <v>31</v>
      </c>
      <c r="R58" s="974"/>
      <c r="S58" s="974"/>
      <c r="T58" s="974"/>
      <c r="U58" s="991"/>
      <c r="V58" s="586" t="s">
        <v>9</v>
      </c>
      <c r="W58" s="661"/>
      <c r="X58" s="662"/>
      <c r="Y58" s="522"/>
      <c r="Z58" s="522"/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692">
        <v>1</v>
      </c>
      <c r="H59" s="693">
        <v>2</v>
      </c>
      <c r="I59" s="693">
        <v>3</v>
      </c>
      <c r="J59" s="693">
        <v>4</v>
      </c>
      <c r="K59" s="693">
        <v>5</v>
      </c>
      <c r="L59" s="188">
        <v>1</v>
      </c>
      <c r="M59" s="168">
        <v>2</v>
      </c>
      <c r="N59" s="168">
        <v>3</v>
      </c>
      <c r="O59" s="168">
        <v>4</v>
      </c>
      <c r="P59" s="414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126"/>
      <c r="W59" s="663"/>
      <c r="X59" s="645"/>
      <c r="Y59" s="657"/>
      <c r="Z59" s="657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25">
      <c r="A60" s="171" t="s">
        <v>53</v>
      </c>
      <c r="B60" s="735">
        <v>7.5</v>
      </c>
      <c r="C60" s="736">
        <v>7.6</v>
      </c>
      <c r="D60" s="736">
        <v>1.7</v>
      </c>
      <c r="E60" s="736">
        <v>7.7</v>
      </c>
      <c r="F60" s="737">
        <v>7.7</v>
      </c>
      <c r="G60" s="738">
        <v>7.6</v>
      </c>
      <c r="H60" s="739">
        <v>7.6</v>
      </c>
      <c r="I60" s="739">
        <v>1.9</v>
      </c>
      <c r="J60" s="739">
        <v>7.7</v>
      </c>
      <c r="K60" s="739">
        <v>7.6</v>
      </c>
      <c r="L60" s="745">
        <v>6.1</v>
      </c>
      <c r="M60" s="736">
        <v>6.2</v>
      </c>
      <c r="N60" s="736">
        <v>1.9</v>
      </c>
      <c r="O60" s="736">
        <v>6.1</v>
      </c>
      <c r="P60" s="742">
        <v>6.3</v>
      </c>
      <c r="Q60" s="737">
        <v>6.1</v>
      </c>
      <c r="R60" s="736">
        <v>6.6</v>
      </c>
      <c r="S60" s="736">
        <v>2.1</v>
      </c>
      <c r="T60" s="736">
        <v>6.6</v>
      </c>
      <c r="U60" s="742">
        <v>6.6</v>
      </c>
      <c r="V60" s="749">
        <f t="shared" ref="V60:V67" si="29">SUM(B60:U60)</f>
        <v>119.19999999999997</v>
      </c>
      <c r="W60" s="651"/>
      <c r="X60" s="646"/>
      <c r="Y60" s="657"/>
      <c r="Z60" s="657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25">
      <c r="A61" s="171" t="s">
        <v>24</v>
      </c>
      <c r="B61" s="735">
        <v>7.5</v>
      </c>
      <c r="C61" s="736">
        <v>7.6</v>
      </c>
      <c r="D61" s="736">
        <v>1.7</v>
      </c>
      <c r="E61" s="736">
        <v>7.7</v>
      </c>
      <c r="F61" s="737">
        <v>7.7</v>
      </c>
      <c r="G61" s="738">
        <v>7.6</v>
      </c>
      <c r="H61" s="739">
        <v>7.6</v>
      </c>
      <c r="I61" s="739">
        <v>1.9</v>
      </c>
      <c r="J61" s="739">
        <v>7.7</v>
      </c>
      <c r="K61" s="739">
        <v>7.6</v>
      </c>
      <c r="L61" s="279">
        <v>6.1</v>
      </c>
      <c r="M61" s="280">
        <v>6.2</v>
      </c>
      <c r="N61" s="280">
        <v>1.9</v>
      </c>
      <c r="O61" s="280">
        <v>6.1</v>
      </c>
      <c r="P61" s="282">
        <v>6.3</v>
      </c>
      <c r="Q61" s="737">
        <v>6.1</v>
      </c>
      <c r="R61" s="736">
        <v>6.6</v>
      </c>
      <c r="S61" s="736">
        <v>2.1</v>
      </c>
      <c r="T61" s="736">
        <v>6.6</v>
      </c>
      <c r="U61" s="742">
        <v>6.6</v>
      </c>
      <c r="V61" s="749">
        <f t="shared" si="29"/>
        <v>119.19999999999997</v>
      </c>
      <c r="W61" s="651"/>
      <c r="X61" s="646"/>
      <c r="Y61" s="651"/>
      <c r="Z61" s="651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25">
      <c r="A62" s="171" t="s">
        <v>20</v>
      </c>
      <c r="B62" s="735">
        <v>7.5</v>
      </c>
      <c r="C62" s="736">
        <v>7.5</v>
      </c>
      <c r="D62" s="736">
        <v>1.8</v>
      </c>
      <c r="E62" s="736">
        <v>7.6</v>
      </c>
      <c r="F62" s="737">
        <v>7.5</v>
      </c>
      <c r="G62" s="738">
        <v>7.4</v>
      </c>
      <c r="H62" s="739">
        <v>7.7</v>
      </c>
      <c r="I62" s="739">
        <v>1.9</v>
      </c>
      <c r="J62" s="739">
        <v>7.7</v>
      </c>
      <c r="K62" s="739">
        <v>7.6</v>
      </c>
      <c r="L62" s="279">
        <v>6.1</v>
      </c>
      <c r="M62" s="280">
        <v>6.2</v>
      </c>
      <c r="N62" s="280">
        <v>1.9</v>
      </c>
      <c r="O62" s="280">
        <v>6</v>
      </c>
      <c r="P62" s="282">
        <v>6.2</v>
      </c>
      <c r="Q62" s="737">
        <v>6.5</v>
      </c>
      <c r="R62" s="736">
        <v>6.5</v>
      </c>
      <c r="S62" s="736">
        <v>2.1</v>
      </c>
      <c r="T62" s="736">
        <v>6.6</v>
      </c>
      <c r="U62" s="742">
        <v>6.5</v>
      </c>
      <c r="V62" s="749">
        <f t="shared" si="29"/>
        <v>118.8</v>
      </c>
      <c r="W62" s="651"/>
      <c r="X62" s="646"/>
      <c r="Y62" s="651"/>
      <c r="Z62" s="651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25">
      <c r="A63" s="171" t="s">
        <v>28</v>
      </c>
      <c r="B63" s="735">
        <v>7.5</v>
      </c>
      <c r="C63" s="736">
        <v>7.5</v>
      </c>
      <c r="D63" s="736">
        <v>1.8</v>
      </c>
      <c r="E63" s="736">
        <v>7.6</v>
      </c>
      <c r="F63" s="737">
        <v>7.4</v>
      </c>
      <c r="G63" s="738">
        <v>7.4</v>
      </c>
      <c r="H63" s="739">
        <v>7.7</v>
      </c>
      <c r="I63" s="739">
        <v>1.9</v>
      </c>
      <c r="J63" s="739">
        <v>7.7</v>
      </c>
      <c r="K63" s="739">
        <v>7.6</v>
      </c>
      <c r="L63" s="279">
        <v>6.1</v>
      </c>
      <c r="M63" s="280">
        <v>6.2</v>
      </c>
      <c r="N63" s="280">
        <v>1.9</v>
      </c>
      <c r="O63" s="280">
        <v>6</v>
      </c>
      <c r="P63" s="282">
        <v>6.2</v>
      </c>
      <c r="Q63" s="737">
        <v>6.5</v>
      </c>
      <c r="R63" s="736">
        <v>6.5</v>
      </c>
      <c r="S63" s="736">
        <v>2.1</v>
      </c>
      <c r="T63" s="736">
        <v>6.6</v>
      </c>
      <c r="U63" s="742">
        <v>6.5</v>
      </c>
      <c r="V63" s="749">
        <f t="shared" si="29"/>
        <v>118.69999999999999</v>
      </c>
      <c r="W63" s="651"/>
      <c r="X63" s="646"/>
      <c r="Y63" s="651"/>
      <c r="Z63" s="651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25">
      <c r="A64" s="171" t="s">
        <v>21</v>
      </c>
      <c r="B64" s="735">
        <v>7.5</v>
      </c>
      <c r="C64" s="736">
        <v>7.5</v>
      </c>
      <c r="D64" s="736">
        <v>1.4</v>
      </c>
      <c r="E64" s="736">
        <v>7.6</v>
      </c>
      <c r="F64" s="737">
        <v>7.4</v>
      </c>
      <c r="G64" s="738">
        <v>7.4</v>
      </c>
      <c r="H64" s="739">
        <v>7.7</v>
      </c>
      <c r="I64" s="739">
        <v>1.9</v>
      </c>
      <c r="J64" s="739">
        <v>7.7</v>
      </c>
      <c r="K64" s="739">
        <v>7.6</v>
      </c>
      <c r="L64" s="279">
        <v>6.1</v>
      </c>
      <c r="M64" s="280">
        <v>6.2</v>
      </c>
      <c r="N64" s="280">
        <v>1.9</v>
      </c>
      <c r="O64" s="280">
        <v>6</v>
      </c>
      <c r="P64" s="282">
        <v>6.2</v>
      </c>
      <c r="Q64" s="737">
        <v>6.5</v>
      </c>
      <c r="R64" s="736">
        <v>6.5</v>
      </c>
      <c r="S64" s="736">
        <v>2.1</v>
      </c>
      <c r="T64" s="736">
        <v>6.6</v>
      </c>
      <c r="U64" s="742">
        <v>6.5</v>
      </c>
      <c r="V64" s="749">
        <f t="shared" si="29"/>
        <v>118.3</v>
      </c>
      <c r="W64" s="651"/>
      <c r="X64" s="646"/>
      <c r="Y64" s="651"/>
      <c r="Z64" s="651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25">
      <c r="A65" s="171" t="s">
        <v>22</v>
      </c>
      <c r="B65" s="735">
        <v>7.4</v>
      </c>
      <c r="C65" s="736">
        <v>7.5</v>
      </c>
      <c r="D65" s="736">
        <v>1.4</v>
      </c>
      <c r="E65" s="736">
        <v>7.6</v>
      </c>
      <c r="F65" s="737">
        <v>7.4</v>
      </c>
      <c r="G65" s="738">
        <v>7.4</v>
      </c>
      <c r="H65" s="739">
        <v>7.7</v>
      </c>
      <c r="I65" s="739">
        <v>1.9</v>
      </c>
      <c r="J65" s="739">
        <v>7.7</v>
      </c>
      <c r="K65" s="739">
        <v>7.6</v>
      </c>
      <c r="L65" s="279">
        <v>6.2</v>
      </c>
      <c r="M65" s="280">
        <v>6.2</v>
      </c>
      <c r="N65" s="280">
        <v>1.8</v>
      </c>
      <c r="O65" s="280">
        <v>6.1</v>
      </c>
      <c r="P65" s="282">
        <v>6.2</v>
      </c>
      <c r="Q65" s="737">
        <v>6.5</v>
      </c>
      <c r="R65" s="736">
        <v>6.6</v>
      </c>
      <c r="S65" s="736">
        <v>2.1</v>
      </c>
      <c r="T65" s="736">
        <v>6.6</v>
      </c>
      <c r="U65" s="742">
        <v>6.6</v>
      </c>
      <c r="V65" s="412">
        <f t="shared" si="29"/>
        <v>118.49999999999997</v>
      </c>
      <c r="W65" s="651"/>
      <c r="X65" s="646"/>
      <c r="Y65" s="651"/>
      <c r="Z65" s="651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3">
      <c r="A66" s="171" t="s">
        <v>23</v>
      </c>
      <c r="B66" s="735">
        <v>7.4</v>
      </c>
      <c r="C66" s="736">
        <v>7.4</v>
      </c>
      <c r="D66" s="736">
        <v>1.3</v>
      </c>
      <c r="E66" s="736">
        <v>7.6</v>
      </c>
      <c r="F66" s="737">
        <v>7.4</v>
      </c>
      <c r="G66" s="738">
        <v>7.3</v>
      </c>
      <c r="H66" s="739">
        <v>7.6</v>
      </c>
      <c r="I66" s="739">
        <v>2</v>
      </c>
      <c r="J66" s="739">
        <v>7.6</v>
      </c>
      <c r="K66" s="739">
        <v>7.5</v>
      </c>
      <c r="L66" s="279">
        <v>6.2</v>
      </c>
      <c r="M66" s="280">
        <v>6.3</v>
      </c>
      <c r="N66" s="280">
        <v>1.8</v>
      </c>
      <c r="O66" s="280">
        <v>6.1</v>
      </c>
      <c r="P66" s="282">
        <v>6.1</v>
      </c>
      <c r="Q66" s="737">
        <v>6.6</v>
      </c>
      <c r="R66" s="736">
        <v>6.6</v>
      </c>
      <c r="S66" s="736">
        <v>2</v>
      </c>
      <c r="T66" s="736">
        <v>6.5</v>
      </c>
      <c r="U66" s="742">
        <v>6.6</v>
      </c>
      <c r="V66" s="412">
        <f t="shared" si="29"/>
        <v>117.89999999999996</v>
      </c>
      <c r="W66" s="651"/>
      <c r="X66" s="646"/>
      <c r="Y66" s="651"/>
      <c r="Z66" s="651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297">
        <f t="shared" ref="B67:U67" si="30">SUM(B60:B66)</f>
        <v>52.3</v>
      </c>
      <c r="C67" s="298">
        <f t="shared" si="30"/>
        <v>52.6</v>
      </c>
      <c r="D67" s="298">
        <f t="shared" si="30"/>
        <v>11.100000000000001</v>
      </c>
      <c r="E67" s="298">
        <f t="shared" si="30"/>
        <v>53.400000000000006</v>
      </c>
      <c r="F67" s="448">
        <f t="shared" si="30"/>
        <v>52.499999999999993</v>
      </c>
      <c r="G67" s="719">
        <f t="shared" si="30"/>
        <v>52.099999999999994</v>
      </c>
      <c r="H67" s="696">
        <f t="shared" si="30"/>
        <v>53.6</v>
      </c>
      <c r="I67" s="696">
        <f t="shared" si="30"/>
        <v>13.4</v>
      </c>
      <c r="J67" s="696">
        <f t="shared" si="30"/>
        <v>53.800000000000004</v>
      </c>
      <c r="K67" s="720">
        <f t="shared" si="30"/>
        <v>53.1</v>
      </c>
      <c r="L67" s="618">
        <f t="shared" si="30"/>
        <v>42.900000000000006</v>
      </c>
      <c r="M67" s="616">
        <f t="shared" si="30"/>
        <v>43.5</v>
      </c>
      <c r="N67" s="616">
        <f t="shared" si="30"/>
        <v>13.100000000000001</v>
      </c>
      <c r="O67" s="616">
        <f t="shared" si="30"/>
        <v>42.4</v>
      </c>
      <c r="P67" s="616">
        <f t="shared" si="30"/>
        <v>43.5</v>
      </c>
      <c r="Q67" s="615">
        <f t="shared" si="30"/>
        <v>44.800000000000004</v>
      </c>
      <c r="R67" s="616">
        <f t="shared" si="30"/>
        <v>45.900000000000006</v>
      </c>
      <c r="S67" s="616">
        <f t="shared" si="30"/>
        <v>14.6</v>
      </c>
      <c r="T67" s="616">
        <f t="shared" si="30"/>
        <v>46.1</v>
      </c>
      <c r="U67" s="617">
        <f t="shared" si="30"/>
        <v>45.900000000000006</v>
      </c>
      <c r="V67" s="449">
        <f t="shared" si="29"/>
        <v>830.6</v>
      </c>
      <c r="W67" s="664"/>
      <c r="X67" s="646"/>
      <c r="Y67" s="651"/>
      <c r="Z67" s="651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159</v>
      </c>
      <c r="C68" s="358">
        <v>160</v>
      </c>
      <c r="D68" s="358">
        <v>159</v>
      </c>
      <c r="E68" s="358">
        <v>159</v>
      </c>
      <c r="F68" s="718">
        <v>159.5</v>
      </c>
      <c r="G68" s="721">
        <v>158.5</v>
      </c>
      <c r="H68" s="698">
        <v>159.5</v>
      </c>
      <c r="I68" s="698">
        <v>160</v>
      </c>
      <c r="J68" s="698">
        <v>160</v>
      </c>
      <c r="K68" s="722">
        <v>158</v>
      </c>
      <c r="L68" s="357">
        <v>157</v>
      </c>
      <c r="M68" s="358">
        <v>159.5</v>
      </c>
      <c r="N68" s="358">
        <v>155.5</v>
      </c>
      <c r="O68" s="358">
        <v>159.5</v>
      </c>
      <c r="P68" s="358">
        <v>159.5</v>
      </c>
      <c r="Q68" s="357">
        <v>160</v>
      </c>
      <c r="R68" s="358">
        <v>160</v>
      </c>
      <c r="S68" s="358">
        <v>160.5</v>
      </c>
      <c r="T68" s="358">
        <v>160.5</v>
      </c>
      <c r="U68" s="624">
        <v>160</v>
      </c>
      <c r="V68" s="296">
        <f>+((V67/V69)/7)*1000</f>
        <v>159.27133269415151</v>
      </c>
      <c r="W68" s="145"/>
      <c r="X68" s="648"/>
      <c r="Y68" s="665"/>
      <c r="Z68" s="522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47</v>
      </c>
      <c r="C69" s="275">
        <v>47</v>
      </c>
      <c r="D69" s="275">
        <v>10</v>
      </c>
      <c r="E69" s="275">
        <v>48</v>
      </c>
      <c r="F69" s="527">
        <v>47</v>
      </c>
      <c r="G69" s="723">
        <v>47</v>
      </c>
      <c r="H69" s="700">
        <v>48</v>
      </c>
      <c r="I69" s="700">
        <v>12</v>
      </c>
      <c r="J69" s="700">
        <v>48</v>
      </c>
      <c r="K69" s="724">
        <v>48</v>
      </c>
      <c r="L69" s="257">
        <v>39</v>
      </c>
      <c r="M69" s="275">
        <v>39</v>
      </c>
      <c r="N69" s="275">
        <v>12</v>
      </c>
      <c r="O69" s="275">
        <v>38</v>
      </c>
      <c r="P69" s="275">
        <v>39</v>
      </c>
      <c r="Q69" s="257">
        <v>40</v>
      </c>
      <c r="R69" s="275">
        <v>41</v>
      </c>
      <c r="S69" s="275">
        <v>13</v>
      </c>
      <c r="T69" s="275">
        <v>41</v>
      </c>
      <c r="U69" s="276">
        <v>41</v>
      </c>
      <c r="V69" s="254">
        <f>SUM(B69:U69)</f>
        <v>745</v>
      </c>
      <c r="W69" s="145"/>
      <c r="X69" s="649"/>
      <c r="Y69" s="665"/>
      <c r="Z69" s="522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 t="shared" ref="B70:K70" si="31">((((B68*7)*B69)/1000)-B60-B61)/5</f>
        <v>7.4622000000000002</v>
      </c>
      <c r="C70" s="31">
        <f t="shared" si="31"/>
        <v>7.4879999999999995</v>
      </c>
      <c r="D70" s="31">
        <f t="shared" si="31"/>
        <v>1.5460000000000003</v>
      </c>
      <c r="E70" s="31">
        <f t="shared" si="31"/>
        <v>7.6047999999999991</v>
      </c>
      <c r="F70" s="163">
        <f t="shared" si="31"/>
        <v>7.415099999999998</v>
      </c>
      <c r="G70" s="725">
        <f>((((G68*7)*G69)/1000)-G60-G61)/5</f>
        <v>7.3893000000000004</v>
      </c>
      <c r="H70" s="702">
        <f t="shared" si="31"/>
        <v>7.678399999999999</v>
      </c>
      <c r="I70" s="702">
        <f t="shared" si="31"/>
        <v>1.9279999999999997</v>
      </c>
      <c r="J70" s="702">
        <f t="shared" si="31"/>
        <v>7.6719999999999988</v>
      </c>
      <c r="K70" s="726">
        <f t="shared" si="31"/>
        <v>7.5775999999999994</v>
      </c>
      <c r="L70" s="30">
        <f>((((L68*7)*L69)/1000)-L60-L61)/5</f>
        <v>6.1321999999999992</v>
      </c>
      <c r="M70" s="30">
        <f t="shared" ref="M70:U70" si="32">((((M68*7)*M69)/1000)-M60-M61)/5</f>
        <v>6.2286999999999999</v>
      </c>
      <c r="N70" s="30">
        <f t="shared" si="32"/>
        <v>1.8523999999999998</v>
      </c>
      <c r="O70" s="30">
        <f t="shared" si="32"/>
        <v>6.045399999999999</v>
      </c>
      <c r="P70" s="30">
        <f t="shared" si="32"/>
        <v>6.1887000000000008</v>
      </c>
      <c r="Q70" s="30">
        <f t="shared" si="32"/>
        <v>6.5199999999999987</v>
      </c>
      <c r="R70" s="30">
        <f t="shared" si="32"/>
        <v>6.5439999999999996</v>
      </c>
      <c r="S70" s="30">
        <f t="shared" si="32"/>
        <v>2.0811000000000002</v>
      </c>
      <c r="T70" s="30">
        <f t="shared" si="32"/>
        <v>6.5726999999999993</v>
      </c>
      <c r="U70" s="30">
        <f t="shared" si="32"/>
        <v>6.5439999999999996</v>
      </c>
      <c r="V70" s="139">
        <f>((V67*1000)/V69)/7</f>
        <v>159.27133269415148</v>
      </c>
      <c r="W70" s="144"/>
      <c r="X70" s="650"/>
      <c r="Y70" s="665"/>
      <c r="Z70" s="522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33">((B69*B68)*7)/1000</f>
        <v>52.311</v>
      </c>
      <c r="C71" s="280">
        <f t="shared" si="33"/>
        <v>52.64</v>
      </c>
      <c r="D71" s="280">
        <f t="shared" si="33"/>
        <v>11.13</v>
      </c>
      <c r="E71" s="280">
        <f t="shared" si="33"/>
        <v>53.423999999999999</v>
      </c>
      <c r="F71" s="281">
        <f t="shared" si="33"/>
        <v>52.475499999999997</v>
      </c>
      <c r="G71" s="464">
        <f t="shared" si="33"/>
        <v>52.146500000000003</v>
      </c>
      <c r="H71" s="459">
        <f>((H69*H68)*7)/1000</f>
        <v>53.591999999999999</v>
      </c>
      <c r="I71" s="459">
        <f t="shared" si="33"/>
        <v>13.44</v>
      </c>
      <c r="J71" s="459">
        <f t="shared" si="33"/>
        <v>53.76</v>
      </c>
      <c r="K71" s="460">
        <f t="shared" si="33"/>
        <v>53.088000000000001</v>
      </c>
      <c r="L71" s="279">
        <f t="shared" si="33"/>
        <v>42.860999999999997</v>
      </c>
      <c r="M71" s="280">
        <f t="shared" si="33"/>
        <v>43.543500000000002</v>
      </c>
      <c r="N71" s="280">
        <f t="shared" si="33"/>
        <v>13.061999999999999</v>
      </c>
      <c r="O71" s="280">
        <f t="shared" si="33"/>
        <v>42.427</v>
      </c>
      <c r="P71" s="280">
        <f t="shared" si="33"/>
        <v>43.543500000000002</v>
      </c>
      <c r="Q71" s="279">
        <f t="shared" si="33"/>
        <v>44.8</v>
      </c>
      <c r="R71" s="280">
        <f t="shared" si="33"/>
        <v>45.92</v>
      </c>
      <c r="S71" s="280">
        <f t="shared" si="33"/>
        <v>14.605499999999999</v>
      </c>
      <c r="T71" s="280">
        <f t="shared" si="33"/>
        <v>46.063499999999998</v>
      </c>
      <c r="U71" s="282">
        <f t="shared" si="33"/>
        <v>45.92</v>
      </c>
      <c r="V71" s="112"/>
      <c r="W71" s="651"/>
      <c r="X71" s="666"/>
      <c r="Y71" s="666"/>
      <c r="Z71" s="666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U72" si="34">+(B67/B69)/7*1000</f>
        <v>158.96656534954406</v>
      </c>
      <c r="C72" s="38">
        <f t="shared" si="34"/>
        <v>159.87841945288753</v>
      </c>
      <c r="D72" s="38">
        <f t="shared" si="34"/>
        <v>158.57142857142858</v>
      </c>
      <c r="E72" s="38">
        <f t="shared" si="34"/>
        <v>158.92857142857144</v>
      </c>
      <c r="F72" s="207">
        <f t="shared" si="34"/>
        <v>159.57446808510636</v>
      </c>
      <c r="G72" s="727">
        <f t="shared" si="34"/>
        <v>158.35866261398175</v>
      </c>
      <c r="H72" s="704">
        <f t="shared" si="34"/>
        <v>159.52380952380955</v>
      </c>
      <c r="I72" s="704">
        <f t="shared" si="34"/>
        <v>159.52380952380955</v>
      </c>
      <c r="J72" s="704">
        <f t="shared" si="34"/>
        <v>160.11904761904762</v>
      </c>
      <c r="K72" s="728">
        <f t="shared" si="34"/>
        <v>158.03571428571428</v>
      </c>
      <c r="L72" s="37">
        <f t="shared" si="34"/>
        <v>157.14285714285717</v>
      </c>
      <c r="M72" s="38">
        <f t="shared" si="34"/>
        <v>159.34065934065936</v>
      </c>
      <c r="N72" s="38">
        <f t="shared" si="34"/>
        <v>155.95238095238099</v>
      </c>
      <c r="O72" s="38">
        <f t="shared" si="34"/>
        <v>159.39849624060147</v>
      </c>
      <c r="P72" s="38">
        <f t="shared" si="34"/>
        <v>159.34065934065936</v>
      </c>
      <c r="Q72" s="37">
        <f t="shared" si="34"/>
        <v>160</v>
      </c>
      <c r="R72" s="38">
        <f t="shared" si="34"/>
        <v>159.93031358885017</v>
      </c>
      <c r="S72" s="38">
        <f t="shared" si="34"/>
        <v>160.43956043956047</v>
      </c>
      <c r="T72" s="38">
        <f t="shared" si="34"/>
        <v>160.62717770034845</v>
      </c>
      <c r="U72" s="39">
        <f t="shared" si="34"/>
        <v>159.93031358885017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43">
        <f>B71-B67</f>
        <v>1.1000000000002785E-2</v>
      </c>
      <c r="C73" s="43">
        <f t="shared" ref="C73:F73" si="35">C71-C67</f>
        <v>3.9999999999999147E-2</v>
      </c>
      <c r="D73" s="43">
        <f t="shared" si="35"/>
        <v>2.9999999999999361E-2</v>
      </c>
      <c r="E73" s="43">
        <f t="shared" si="35"/>
        <v>2.3999999999993804E-2</v>
      </c>
      <c r="F73" s="43">
        <f t="shared" si="35"/>
        <v>-2.4499999999996191E-2</v>
      </c>
      <c r="G73" s="143">
        <f>G71-G67</f>
        <v>4.6500000000008868E-2</v>
      </c>
      <c r="H73" s="143">
        <f t="shared" ref="H73:U74" si="36">H71-H67</f>
        <v>-8.0000000000026716E-3</v>
      </c>
      <c r="I73" s="143">
        <f t="shared" si="36"/>
        <v>3.9999999999999147E-2</v>
      </c>
      <c r="J73" s="143">
        <f t="shared" si="36"/>
        <v>-4.0000000000006253E-2</v>
      </c>
      <c r="K73" s="143">
        <f t="shared" si="36"/>
        <v>-1.2000000000000455E-2</v>
      </c>
      <c r="L73" s="43">
        <f>L71-L67</f>
        <v>-3.9000000000008583E-2</v>
      </c>
      <c r="M73" s="43">
        <f t="shared" ref="M73:P73" si="37">M71-M67</f>
        <v>4.3500000000001648E-2</v>
      </c>
      <c r="N73" s="43">
        <f t="shared" si="37"/>
        <v>-3.8000000000002032E-2</v>
      </c>
      <c r="O73" s="43">
        <f t="shared" si="37"/>
        <v>2.7000000000001023E-2</v>
      </c>
      <c r="P73" s="43">
        <f t="shared" si="37"/>
        <v>4.3500000000001648E-2</v>
      </c>
      <c r="Q73" s="43">
        <f>Q71-Q67</f>
        <v>0</v>
      </c>
      <c r="R73" s="43">
        <f t="shared" ref="R73:U73" si="38">R71-R67</f>
        <v>1.9999999999996021E-2</v>
      </c>
      <c r="S73" s="43">
        <f>S71-S67</f>
        <v>5.4999999999996163E-3</v>
      </c>
      <c r="T73" s="43">
        <f>T71-T67</f>
        <v>-3.6500000000003752E-2</v>
      </c>
      <c r="U73" s="43">
        <f t="shared" si="38"/>
        <v>1.9999999999996021E-2</v>
      </c>
      <c r="W73" s="144"/>
      <c r="X73" s="522"/>
      <c r="Y73" s="522"/>
      <c r="Z73" s="522"/>
    </row>
    <row r="74" spans="1:50" ht="33.75" customHeight="1" x14ac:dyDescent="0.25">
      <c r="B74" s="42">
        <f t="shared" ref="B74:J74" si="39">B72-B68</f>
        <v>-3.3434650455944848E-2</v>
      </c>
      <c r="C74" s="42">
        <f t="shared" si="39"/>
        <v>-0.12158054711247246</v>
      </c>
      <c r="D74" s="42">
        <f t="shared" si="39"/>
        <v>-0.42857142857141639</v>
      </c>
      <c r="E74" s="42">
        <f t="shared" si="39"/>
        <v>-7.1428571428555188E-2</v>
      </c>
      <c r="F74" s="42">
        <f t="shared" si="39"/>
        <v>7.4468085106360604E-2</v>
      </c>
      <c r="G74" s="705">
        <f t="shared" si="39"/>
        <v>-0.1413373860182503</v>
      </c>
      <c r="H74" s="705">
        <f t="shared" si="39"/>
        <v>2.3809523809546818E-2</v>
      </c>
      <c r="I74" s="705">
        <f>I72-I68</f>
        <v>-0.47619047619045318</v>
      </c>
      <c r="J74" s="705">
        <f t="shared" si="39"/>
        <v>0.1190476190476204</v>
      </c>
      <c r="K74" s="705">
        <f t="shared" si="36"/>
        <v>3.5714285714277594E-2</v>
      </c>
      <c r="L74" s="42">
        <f t="shared" si="36"/>
        <v>0.14285714285716722</v>
      </c>
      <c r="M74" s="42">
        <f t="shared" si="36"/>
        <v>-0.15934065934064279</v>
      </c>
      <c r="N74" s="42">
        <f t="shared" si="36"/>
        <v>0.45238095238099163</v>
      </c>
      <c r="O74" s="42">
        <f t="shared" si="36"/>
        <v>-0.10150375939852552</v>
      </c>
      <c r="P74" s="42">
        <f t="shared" si="36"/>
        <v>-0.15934065934064279</v>
      </c>
      <c r="Q74" s="42">
        <f t="shared" si="36"/>
        <v>0</v>
      </c>
      <c r="R74" s="42">
        <f t="shared" si="36"/>
        <v>-6.9686411149831429E-2</v>
      </c>
      <c r="S74" s="42">
        <f t="shared" si="36"/>
        <v>-6.0439560439533579E-2</v>
      </c>
      <c r="T74" s="42">
        <f t="shared" si="36"/>
        <v>0.12717770034845444</v>
      </c>
      <c r="U74" s="42">
        <f t="shared" si="36"/>
        <v>-6.9686411149831429E-2</v>
      </c>
      <c r="V74" s="45"/>
      <c r="W74" s="651"/>
      <c r="X74" s="657"/>
      <c r="Y74" s="657"/>
      <c r="Z74" s="657"/>
      <c r="AA74" s="45"/>
      <c r="AB74" s="45"/>
      <c r="AC74" s="45"/>
      <c r="AD74" s="52"/>
    </row>
    <row r="75" spans="1:50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</row>
    <row r="76" spans="1:50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0" ht="33.75" customHeight="1" x14ac:dyDescent="0.25">
      <c r="A77" s="45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5">
    <mergeCell ref="A3:C3"/>
    <mergeCell ref="E9:G9"/>
    <mergeCell ref="W9:X9"/>
    <mergeCell ref="O11:P11"/>
    <mergeCell ref="B16:H16"/>
    <mergeCell ref="I16:O16"/>
    <mergeCell ref="P16:T16"/>
    <mergeCell ref="U16:Y16"/>
    <mergeCell ref="B39:F39"/>
    <mergeCell ref="G39:G40"/>
    <mergeCell ref="M39:Q39"/>
    <mergeCell ref="B58:F58"/>
    <mergeCell ref="G58:K58"/>
    <mergeCell ref="L58:P58"/>
    <mergeCell ref="Q58:U58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1"/>
  <sheetViews>
    <sheetView topLeftCell="A13" zoomScale="26" zoomScaleNormal="24" workbookViewId="0">
      <selection activeCell="C27" sqref="C27:G27"/>
    </sheetView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44</v>
      </c>
      <c r="P11" s="965"/>
      <c r="Q11" s="6"/>
      <c r="R11" s="6"/>
      <c r="S11" s="6"/>
      <c r="T11" s="1"/>
      <c r="U11" s="1"/>
      <c r="V11" s="1" t="s">
        <v>6</v>
      </c>
      <c r="W11" s="95">
        <v>45649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594"/>
      <c r="I17" s="386" t="s">
        <v>100</v>
      </c>
      <c r="J17" s="438">
        <v>1</v>
      </c>
      <c r="K17" s="438">
        <v>2</v>
      </c>
      <c r="L17" s="438">
        <v>3</v>
      </c>
      <c r="M17" s="438">
        <v>4</v>
      </c>
      <c r="N17" s="439">
        <v>5</v>
      </c>
      <c r="O17" s="594"/>
      <c r="P17" s="202">
        <v>1</v>
      </c>
      <c r="Q17" s="174">
        <v>2</v>
      </c>
      <c r="R17" s="174">
        <v>3</v>
      </c>
      <c r="S17" s="174">
        <v>4</v>
      </c>
      <c r="T17" s="203">
        <v>5</v>
      </c>
      <c r="U17" s="186">
        <v>1</v>
      </c>
      <c r="V17" s="174">
        <v>2</v>
      </c>
      <c r="W17" s="174">
        <v>3</v>
      </c>
      <c r="X17" s="174">
        <v>4</v>
      </c>
      <c r="Y17" s="175">
        <v>5</v>
      </c>
      <c r="Z17" s="126"/>
      <c r="AD17" s="2"/>
      <c r="AE17" s="15"/>
    </row>
    <row r="18" spans="1:40" ht="39.950000000000003" customHeight="1" x14ac:dyDescent="0.25">
      <c r="A18" s="171" t="s">
        <v>53</v>
      </c>
      <c r="B18" s="743">
        <v>310.8</v>
      </c>
      <c r="C18" s="739">
        <v>16.3</v>
      </c>
      <c r="D18" s="739">
        <v>16.8</v>
      </c>
      <c r="E18" s="739">
        <v>3.6</v>
      </c>
      <c r="F18" s="739">
        <v>16.899999999999999</v>
      </c>
      <c r="G18" s="744">
        <v>16.8</v>
      </c>
      <c r="H18" s="506">
        <f>+SUM(B18:G18)</f>
        <v>381.20000000000005</v>
      </c>
      <c r="I18" s="745">
        <v>314</v>
      </c>
      <c r="J18" s="739">
        <v>16.600000000000001</v>
      </c>
      <c r="K18" s="739">
        <v>16.899999999999999</v>
      </c>
      <c r="L18" s="739">
        <v>3.8</v>
      </c>
      <c r="M18" s="739">
        <v>16.899999999999999</v>
      </c>
      <c r="N18" s="746">
        <v>16.899999999999999</v>
      </c>
      <c r="O18" s="506">
        <f>+SUM(I18:N18)</f>
        <v>385.09999999999997</v>
      </c>
      <c r="P18" s="747">
        <v>76.7</v>
      </c>
      <c r="Q18" s="459">
        <v>76.7</v>
      </c>
      <c r="R18" s="739">
        <v>23</v>
      </c>
      <c r="S18" s="739">
        <v>77.5</v>
      </c>
      <c r="T18" s="746">
        <v>76.8</v>
      </c>
      <c r="U18" s="748">
        <v>79.099999999999994</v>
      </c>
      <c r="V18" s="739">
        <v>81.2</v>
      </c>
      <c r="W18" s="459">
        <v>22.6</v>
      </c>
      <c r="X18" s="459">
        <v>80.900000000000006</v>
      </c>
      <c r="Y18" s="746">
        <v>80.400000000000006</v>
      </c>
      <c r="Z18" s="638">
        <f>SUM(H18,O18,P18:Y18)</f>
        <v>1441.2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743">
        <v>310.8</v>
      </c>
      <c r="C19" s="739">
        <v>16.3</v>
      </c>
      <c r="D19" s="739">
        <v>16.8</v>
      </c>
      <c r="E19" s="739">
        <v>3.6</v>
      </c>
      <c r="F19" s="739">
        <v>16.899999999999999</v>
      </c>
      <c r="G19" s="744">
        <v>16.8</v>
      </c>
      <c r="H19" s="506">
        <f t="shared" ref="H19:H24" si="0">+SUM(B19:G19)</f>
        <v>381.20000000000005</v>
      </c>
      <c r="I19" s="745">
        <v>314</v>
      </c>
      <c r="J19" s="739">
        <v>16.600000000000001</v>
      </c>
      <c r="K19" s="739">
        <v>16.899999999999999</v>
      </c>
      <c r="L19" s="739">
        <v>3.8</v>
      </c>
      <c r="M19" s="739">
        <v>16.899999999999999</v>
      </c>
      <c r="N19" s="746">
        <v>16.899999999999999</v>
      </c>
      <c r="O19" s="506">
        <f t="shared" ref="O19:O24" si="1">+SUM(I19:N19)</f>
        <v>385.09999999999997</v>
      </c>
      <c r="P19" s="747">
        <v>76.7</v>
      </c>
      <c r="Q19" s="459">
        <v>76.7</v>
      </c>
      <c r="R19" s="739">
        <v>23</v>
      </c>
      <c r="S19" s="739">
        <v>77.5</v>
      </c>
      <c r="T19" s="746">
        <v>76.7</v>
      </c>
      <c r="U19" s="748">
        <v>79.099999999999994</v>
      </c>
      <c r="V19" s="739">
        <v>81.2</v>
      </c>
      <c r="W19" s="459">
        <v>22.6</v>
      </c>
      <c r="X19" s="459">
        <v>80.900000000000006</v>
      </c>
      <c r="Y19" s="746">
        <v>80.400000000000006</v>
      </c>
      <c r="Z19" s="638">
        <f>SUM(H19,O19,P19:Y19)</f>
        <v>1441.1000000000001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743">
        <v>310.8</v>
      </c>
      <c r="C20" s="739">
        <v>16.3</v>
      </c>
      <c r="D20" s="739">
        <v>16.8</v>
      </c>
      <c r="E20" s="739">
        <v>3.6</v>
      </c>
      <c r="F20" s="739">
        <v>16.899999999999999</v>
      </c>
      <c r="G20" s="744">
        <v>16.8</v>
      </c>
      <c r="H20" s="753">
        <f t="shared" si="0"/>
        <v>381.20000000000005</v>
      </c>
      <c r="I20" s="745">
        <v>314</v>
      </c>
      <c r="J20" s="739">
        <v>16.600000000000001</v>
      </c>
      <c r="K20" s="739">
        <v>16.899999999999999</v>
      </c>
      <c r="L20" s="739">
        <v>3.8</v>
      </c>
      <c r="M20" s="739">
        <v>16.899999999999999</v>
      </c>
      <c r="N20" s="746">
        <v>16.899999999999999</v>
      </c>
      <c r="O20" s="753">
        <f t="shared" si="1"/>
        <v>385.09999999999997</v>
      </c>
      <c r="P20" s="747">
        <v>76.7</v>
      </c>
      <c r="Q20" s="459">
        <v>76.7</v>
      </c>
      <c r="R20" s="739">
        <v>22.8</v>
      </c>
      <c r="S20" s="739">
        <v>77.5</v>
      </c>
      <c r="T20" s="746">
        <v>76.7</v>
      </c>
      <c r="U20" s="748">
        <v>79.099999999999994</v>
      </c>
      <c r="V20" s="739">
        <v>81.2</v>
      </c>
      <c r="W20" s="459">
        <v>22.6</v>
      </c>
      <c r="X20" s="459">
        <v>80.900000000000006</v>
      </c>
      <c r="Y20" s="746">
        <v>80.400000000000006</v>
      </c>
      <c r="Z20" s="638">
        <f t="shared" ref="Z20:Z24" si="2">SUM(H20,O20,P20:Y20)</f>
        <v>1440.9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743">
        <v>310.8</v>
      </c>
      <c r="C21" s="739">
        <v>16.3</v>
      </c>
      <c r="D21" s="739">
        <v>16.8</v>
      </c>
      <c r="E21" s="739">
        <v>3.6</v>
      </c>
      <c r="F21" s="739">
        <v>16.899999999999999</v>
      </c>
      <c r="G21" s="744">
        <v>16.8</v>
      </c>
      <c r="H21" s="753">
        <f t="shared" si="0"/>
        <v>381.20000000000005</v>
      </c>
      <c r="I21" s="745">
        <v>314</v>
      </c>
      <c r="J21" s="739">
        <v>16.600000000000001</v>
      </c>
      <c r="K21" s="739">
        <v>16.899999999999999</v>
      </c>
      <c r="L21" s="739">
        <v>3.8</v>
      </c>
      <c r="M21" s="739">
        <v>16.899999999999999</v>
      </c>
      <c r="N21" s="746">
        <v>16.899999999999999</v>
      </c>
      <c r="O21" s="753">
        <f t="shared" si="1"/>
        <v>385.09999999999997</v>
      </c>
      <c r="P21" s="747">
        <v>76.7</v>
      </c>
      <c r="Q21" s="459">
        <v>76.7</v>
      </c>
      <c r="R21" s="739">
        <v>22.4</v>
      </c>
      <c r="S21" s="739">
        <v>77.5</v>
      </c>
      <c r="T21" s="746">
        <v>76.7</v>
      </c>
      <c r="U21" s="748">
        <v>79.099999999999994</v>
      </c>
      <c r="V21" s="739">
        <v>81.2</v>
      </c>
      <c r="W21" s="459">
        <v>22.6</v>
      </c>
      <c r="X21" s="459">
        <v>80.900000000000006</v>
      </c>
      <c r="Y21" s="746">
        <v>80.400000000000006</v>
      </c>
      <c r="Z21" s="638">
        <f t="shared" si="2"/>
        <v>1440.5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743">
        <v>310.8</v>
      </c>
      <c r="C22" s="739">
        <v>16.3</v>
      </c>
      <c r="D22" s="739">
        <v>16.8</v>
      </c>
      <c r="E22" s="739">
        <v>3.6</v>
      </c>
      <c r="F22" s="739">
        <v>16.899999999999999</v>
      </c>
      <c r="G22" s="744">
        <v>16.8</v>
      </c>
      <c r="H22" s="506">
        <f t="shared" si="0"/>
        <v>381.20000000000005</v>
      </c>
      <c r="I22" s="745">
        <v>314</v>
      </c>
      <c r="J22" s="739">
        <v>16.600000000000001</v>
      </c>
      <c r="K22" s="739">
        <v>16.899999999999999</v>
      </c>
      <c r="L22" s="739">
        <v>3.8</v>
      </c>
      <c r="M22" s="739">
        <v>16.899999999999999</v>
      </c>
      <c r="N22" s="746">
        <v>16.899999999999999</v>
      </c>
      <c r="O22" s="506">
        <f t="shared" si="1"/>
        <v>385.09999999999997</v>
      </c>
      <c r="P22" s="747">
        <v>76.7</v>
      </c>
      <c r="Q22" s="459">
        <v>76.7</v>
      </c>
      <c r="R22" s="739">
        <v>22.4</v>
      </c>
      <c r="S22" s="739">
        <v>77.5</v>
      </c>
      <c r="T22" s="746">
        <v>76.7</v>
      </c>
      <c r="U22" s="748">
        <v>79.099999999999994</v>
      </c>
      <c r="V22" s="739">
        <v>81.2</v>
      </c>
      <c r="W22" s="459">
        <v>22.7</v>
      </c>
      <c r="X22" s="459">
        <v>80.8</v>
      </c>
      <c r="Y22" s="746">
        <v>80.400000000000006</v>
      </c>
      <c r="Z22" s="638">
        <f t="shared" si="2"/>
        <v>1440.5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743">
        <v>310.8</v>
      </c>
      <c r="C23" s="739">
        <v>16.3</v>
      </c>
      <c r="D23" s="739">
        <v>16.8</v>
      </c>
      <c r="E23" s="739">
        <v>3.6</v>
      </c>
      <c r="F23" s="739">
        <v>16.899999999999999</v>
      </c>
      <c r="G23" s="744">
        <v>16.8</v>
      </c>
      <c r="H23" s="506">
        <f t="shared" si="0"/>
        <v>381.20000000000005</v>
      </c>
      <c r="I23" s="745">
        <v>314</v>
      </c>
      <c r="J23" s="739">
        <v>16.600000000000001</v>
      </c>
      <c r="K23" s="739">
        <v>16.899999999999999</v>
      </c>
      <c r="L23" s="739">
        <v>3.8</v>
      </c>
      <c r="M23" s="739">
        <v>16.899999999999999</v>
      </c>
      <c r="N23" s="746">
        <v>16.899999999999999</v>
      </c>
      <c r="O23" s="506">
        <f t="shared" si="1"/>
        <v>385.09999999999997</v>
      </c>
      <c r="P23" s="747">
        <v>76.7</v>
      </c>
      <c r="Q23" s="459">
        <v>76.7</v>
      </c>
      <c r="R23" s="739">
        <v>22.4</v>
      </c>
      <c r="S23" s="739">
        <v>77.5</v>
      </c>
      <c r="T23" s="746">
        <v>76.7</v>
      </c>
      <c r="U23" s="748">
        <v>79.099999999999994</v>
      </c>
      <c r="V23" s="739">
        <v>81.099999999999994</v>
      </c>
      <c r="W23" s="459">
        <v>22.7</v>
      </c>
      <c r="X23" s="459">
        <v>80.2</v>
      </c>
      <c r="Y23" s="746">
        <v>80.3</v>
      </c>
      <c r="Z23" s="638">
        <f t="shared" si="2"/>
        <v>1439.6999999999998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743">
        <v>310.8</v>
      </c>
      <c r="C24" s="739">
        <v>16.3</v>
      </c>
      <c r="D24" s="739">
        <v>16.8</v>
      </c>
      <c r="E24" s="739">
        <v>3.6</v>
      </c>
      <c r="F24" s="739">
        <v>16.899999999999999</v>
      </c>
      <c r="G24" s="744">
        <v>16.8</v>
      </c>
      <c r="H24" s="506">
        <f t="shared" si="0"/>
        <v>381.20000000000005</v>
      </c>
      <c r="I24" s="745">
        <v>314</v>
      </c>
      <c r="J24" s="739">
        <v>16.600000000000001</v>
      </c>
      <c r="K24" s="739">
        <v>16.899999999999999</v>
      </c>
      <c r="L24" s="739">
        <v>3.8</v>
      </c>
      <c r="M24" s="739">
        <v>16.899999999999999</v>
      </c>
      <c r="N24" s="746">
        <v>16.899999999999999</v>
      </c>
      <c r="O24" s="506">
        <f t="shared" si="1"/>
        <v>385.09999999999997</v>
      </c>
      <c r="P24" s="747">
        <v>76.7</v>
      </c>
      <c r="Q24" s="459">
        <v>76.7</v>
      </c>
      <c r="R24" s="739">
        <v>22.5</v>
      </c>
      <c r="S24" s="739">
        <v>77.5</v>
      </c>
      <c r="T24" s="746">
        <v>76.599999999999994</v>
      </c>
      <c r="U24" s="748">
        <v>79.099999999999994</v>
      </c>
      <c r="V24" s="739">
        <v>81.099999999999994</v>
      </c>
      <c r="W24" s="459">
        <v>22.7</v>
      </c>
      <c r="X24" s="459">
        <v>80.2</v>
      </c>
      <c r="Y24" s="746">
        <v>80.3</v>
      </c>
      <c r="Z24" s="412">
        <f t="shared" si="2"/>
        <v>1439.6999999999998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298">
        <f t="shared" ref="C25:G25" si="3">SUM(C18:C24)</f>
        <v>114.1</v>
      </c>
      <c r="D25" s="298">
        <f t="shared" si="3"/>
        <v>117.6</v>
      </c>
      <c r="E25" s="298">
        <f t="shared" si="3"/>
        <v>25.200000000000003</v>
      </c>
      <c r="F25" s="298">
        <f t="shared" si="3"/>
        <v>118.30000000000001</v>
      </c>
      <c r="G25" s="448">
        <f t="shared" si="3"/>
        <v>117.6</v>
      </c>
      <c r="H25" s="436"/>
      <c r="I25" s="297"/>
      <c r="J25" s="298">
        <f t="shared" ref="J25:N25" si="4">SUM(J18:J24)</f>
        <v>116.19999999999999</v>
      </c>
      <c r="K25" s="298">
        <f>SUM(K18:K24)</f>
        <v>118.30000000000001</v>
      </c>
      <c r="L25" s="298">
        <f t="shared" si="4"/>
        <v>26.6</v>
      </c>
      <c r="M25" s="298">
        <f t="shared" si="4"/>
        <v>118.30000000000001</v>
      </c>
      <c r="N25" s="299">
        <f t="shared" si="4"/>
        <v>118.30000000000001</v>
      </c>
      <c r="O25" s="436"/>
      <c r="P25" s="297">
        <f t="shared" ref="P25:W25" si="5">SUM(P18:P24)</f>
        <v>536.9</v>
      </c>
      <c r="Q25" s="297">
        <f t="shared" si="5"/>
        <v>536.9</v>
      </c>
      <c r="R25" s="297">
        <f t="shared" si="5"/>
        <v>158.5</v>
      </c>
      <c r="S25" s="297">
        <f t="shared" si="5"/>
        <v>542.5</v>
      </c>
      <c r="T25" s="297">
        <f t="shared" si="5"/>
        <v>536.9</v>
      </c>
      <c r="U25" s="297">
        <f t="shared" si="5"/>
        <v>553.70000000000005</v>
      </c>
      <c r="V25" s="297">
        <f t="shared" si="5"/>
        <v>568.20000000000005</v>
      </c>
      <c r="W25" s="297">
        <f t="shared" si="5"/>
        <v>158.5</v>
      </c>
      <c r="X25" s="297">
        <f>SUM(X18:X24)</f>
        <v>564.80000000000007</v>
      </c>
      <c r="Y25" s="297">
        <f>SUM(Y18:Y24)</f>
        <v>562.6</v>
      </c>
      <c r="Z25" s="607">
        <f>SUM(Z18,Z19,Z20,Z21,Z22,Z23,Z24)</f>
        <v>10083.600000000002</v>
      </c>
      <c r="AA25" s="301"/>
    </row>
    <row r="26" spans="1:40" s="2" customFormat="1" ht="36.75" customHeight="1" x14ac:dyDescent="0.25">
      <c r="A26" s="192" t="s">
        <v>11</v>
      </c>
      <c r="B26" s="293"/>
      <c r="C26" s="603">
        <v>159.46999999999989</v>
      </c>
      <c r="D26" s="603">
        <v>159.46999999999989</v>
      </c>
      <c r="E26" s="603">
        <v>159.46999999999989</v>
      </c>
      <c r="F26" s="603">
        <v>159.46999999999989</v>
      </c>
      <c r="G26" s="603">
        <v>159.46999999999989</v>
      </c>
      <c r="H26" s="678"/>
      <c r="I26" s="604"/>
      <c r="J26" s="603">
        <v>159.46999999999989</v>
      </c>
      <c r="K26" s="603">
        <v>159.46999999999989</v>
      </c>
      <c r="L26" s="603">
        <v>159.46999999999989</v>
      </c>
      <c r="M26" s="603">
        <v>159.46999999999989</v>
      </c>
      <c r="N26" s="603">
        <v>159.46999999999989</v>
      </c>
      <c r="O26" s="678"/>
      <c r="P26" s="603">
        <v>159.46999999999989</v>
      </c>
      <c r="Q26" s="603">
        <v>159.46999999999989</v>
      </c>
      <c r="R26" s="603">
        <v>159.46999999999989</v>
      </c>
      <c r="S26" s="603">
        <v>159.46999999999989</v>
      </c>
      <c r="T26" s="603">
        <v>159.46999999999989</v>
      </c>
      <c r="U26" s="603">
        <v>159.46999999999989</v>
      </c>
      <c r="V26" s="603">
        <v>159.46999999999989</v>
      </c>
      <c r="W26" s="603">
        <v>159.46999999999989</v>
      </c>
      <c r="X26" s="603">
        <v>159.46999999999989</v>
      </c>
      <c r="Y26" s="603">
        <v>159.46999999999989</v>
      </c>
      <c r="Z26" s="605">
        <f>(((Z25*1000)/7)/Z27)</f>
        <v>159.95050918435331</v>
      </c>
    </row>
    <row r="27" spans="1:40" s="2" customFormat="1" ht="33" customHeight="1" x14ac:dyDescent="0.25">
      <c r="A27" s="193" t="s">
        <v>12</v>
      </c>
      <c r="B27" s="257"/>
      <c r="C27" s="27">
        <v>550</v>
      </c>
      <c r="D27" s="27">
        <v>571</v>
      </c>
      <c r="E27" s="27">
        <v>119</v>
      </c>
      <c r="F27" s="27">
        <v>571</v>
      </c>
      <c r="G27" s="183">
        <v>571</v>
      </c>
      <c r="H27" s="679"/>
      <c r="I27" s="26"/>
      <c r="J27" s="27">
        <v>560</v>
      </c>
      <c r="K27" s="27">
        <v>572</v>
      </c>
      <c r="L27" s="483">
        <v>124</v>
      </c>
      <c r="M27" s="27">
        <v>573</v>
      </c>
      <c r="N27" s="183">
        <v>571</v>
      </c>
      <c r="O27" s="679"/>
      <c r="P27" s="64">
        <v>481</v>
      </c>
      <c r="Q27" s="27">
        <v>481</v>
      </c>
      <c r="R27" s="27">
        <v>141</v>
      </c>
      <c r="S27" s="27">
        <v>483</v>
      </c>
      <c r="T27" s="623">
        <v>481</v>
      </c>
      <c r="U27" s="26">
        <v>496</v>
      </c>
      <c r="V27" s="27">
        <v>509</v>
      </c>
      <c r="W27" s="27">
        <v>142</v>
      </c>
      <c r="X27" s="27">
        <v>506</v>
      </c>
      <c r="Y27" s="28">
        <v>504</v>
      </c>
      <c r="Z27" s="29">
        <f>SUM(C27:Y27)</f>
        <v>9006</v>
      </c>
      <c r="AA27" s="402"/>
    </row>
    <row r="28" spans="1:40" s="2" customFormat="1" ht="33" customHeight="1" x14ac:dyDescent="0.25">
      <c r="A28" s="444" t="s">
        <v>13</v>
      </c>
      <c r="B28" s="445"/>
      <c r="C28" s="31">
        <f>(C33*C27)/1000</f>
        <v>16.208499999999937</v>
      </c>
      <c r="D28" s="31">
        <f>(D33*D27)/1000</f>
        <v>16.827369999999934</v>
      </c>
      <c r="E28" s="31">
        <f t="shared" ref="E28:F28" si="6">(E33*E27)/1000</f>
        <v>3.5069299999999863</v>
      </c>
      <c r="F28" s="31">
        <f t="shared" si="6"/>
        <v>16.827369999999934</v>
      </c>
      <c r="G28" s="163">
        <f>(G33*G27)/1000</f>
        <v>16.827369999999934</v>
      </c>
      <c r="H28" s="286"/>
      <c r="I28" s="30"/>
      <c r="J28" s="31">
        <f>(J33*J27)/1000</f>
        <v>16.503199999999936</v>
      </c>
      <c r="K28" s="31">
        <f t="shared" ref="K28:N28" si="7">(K33*K27)/1000</f>
        <v>16.856839999999934</v>
      </c>
      <c r="L28" s="31">
        <f t="shared" si="7"/>
        <v>3.6542799999999858</v>
      </c>
      <c r="M28" s="31">
        <f t="shared" si="7"/>
        <v>16.886309999999934</v>
      </c>
      <c r="N28" s="163">
        <f t="shared" si="7"/>
        <v>16.827369999999934</v>
      </c>
      <c r="O28" s="286"/>
      <c r="P28" s="65">
        <f>((((P26*7)*P27)/1000)-P18-P19)/5</f>
        <v>76.707097999999931</v>
      </c>
      <c r="Q28" s="31">
        <f t="shared" ref="Q28" si="8">((((Q26*7)*Q27)/1000)-Q18-Q19)/5</f>
        <v>76.707097999999931</v>
      </c>
      <c r="R28" s="31">
        <f>((((R26*7)*R27)/1000))/7</f>
        <v>22.485269999999986</v>
      </c>
      <c r="S28" s="31">
        <f t="shared" ref="S28:Y28" si="9">((((S26*7)*S27)/1000))/7</f>
        <v>77.024009999999947</v>
      </c>
      <c r="T28" s="31">
        <f t="shared" si="9"/>
        <v>76.705069999999949</v>
      </c>
      <c r="U28" s="31">
        <f t="shared" si="9"/>
        <v>79.097119999999947</v>
      </c>
      <c r="V28" s="31">
        <f t="shared" si="9"/>
        <v>81.170229999999947</v>
      </c>
      <c r="W28" s="31">
        <f t="shared" si="9"/>
        <v>22.644739999999985</v>
      </c>
      <c r="X28" s="31">
        <f t="shared" si="9"/>
        <v>80.691819999999936</v>
      </c>
      <c r="Y28" s="31">
        <f t="shared" si="9"/>
        <v>80.372879999999967</v>
      </c>
      <c r="Z28" s="33"/>
    </row>
    <row r="29" spans="1:40" ht="33.75" customHeight="1" x14ac:dyDescent="0.25">
      <c r="A29" s="185" t="s">
        <v>14</v>
      </c>
      <c r="B29" s="34"/>
      <c r="C29" s="280">
        <f>((C27*C30)*7)/1000</f>
        <v>114.09999999999998</v>
      </c>
      <c r="D29" s="280">
        <f t="shared" ref="D29:G29" si="10">((D27*D30)*7)/1000</f>
        <v>117.6</v>
      </c>
      <c r="E29" s="280">
        <f>((E27*E30)*7)/1000</f>
        <v>25.200000000000003</v>
      </c>
      <c r="F29" s="280">
        <f t="shared" si="10"/>
        <v>118.3</v>
      </c>
      <c r="G29" s="281">
        <f t="shared" si="10"/>
        <v>117.6</v>
      </c>
      <c r="H29" s="680"/>
      <c r="I29" s="279"/>
      <c r="J29" s="280">
        <f>((J27*J30)*7)/1000</f>
        <v>116.2</v>
      </c>
      <c r="K29" s="280">
        <f t="shared" ref="K29:N29" si="11">((K27*K30)*7)/1000</f>
        <v>118.3</v>
      </c>
      <c r="L29" s="280">
        <f t="shared" si="11"/>
        <v>26.600000000000005</v>
      </c>
      <c r="M29" s="280">
        <f t="shared" si="11"/>
        <v>118.3</v>
      </c>
      <c r="N29" s="281">
        <f t="shared" si="11"/>
        <v>118.3</v>
      </c>
      <c r="O29" s="680"/>
      <c r="P29" s="325">
        <f t="shared" ref="P29:Y29" si="12">((P27*P26)*7)/1000</f>
        <v>536.93548999999962</v>
      </c>
      <c r="Q29" s="280">
        <f t="shared" si="12"/>
        <v>536.93548999999962</v>
      </c>
      <c r="R29" s="280">
        <f t="shared" si="12"/>
        <v>157.39688999999987</v>
      </c>
      <c r="S29" s="280">
        <f t="shared" si="12"/>
        <v>539.1680699999996</v>
      </c>
      <c r="T29" s="282">
        <f t="shared" si="12"/>
        <v>536.93548999999962</v>
      </c>
      <c r="U29" s="279">
        <f t="shared" si="12"/>
        <v>553.67983999999967</v>
      </c>
      <c r="V29" s="280">
        <f t="shared" si="12"/>
        <v>568.19160999999951</v>
      </c>
      <c r="W29" s="280">
        <f t="shared" si="12"/>
        <v>158.51317999999986</v>
      </c>
      <c r="X29" s="280">
        <f t="shared" si="12"/>
        <v>564.84273999999959</v>
      </c>
      <c r="Y29" s="282">
        <f t="shared" si="12"/>
        <v>562.61015999999972</v>
      </c>
      <c r="Z29" s="36"/>
    </row>
    <row r="30" spans="1:40" ht="33.75" customHeight="1" thickBot="1" x14ac:dyDescent="0.3">
      <c r="A30" s="195" t="s">
        <v>15</v>
      </c>
      <c r="B30" s="423"/>
      <c r="C30" s="38">
        <f>+(C25/C27)/7*1000</f>
        <v>29.636363636363633</v>
      </c>
      <c r="D30" s="38">
        <f t="shared" ref="D30:X30" si="13">+(D25/D27)/7*1000</f>
        <v>29.422066549912437</v>
      </c>
      <c r="E30" s="38">
        <f>+(E25/E27)/7*1000</f>
        <v>30.252100840336137</v>
      </c>
      <c r="F30" s="38">
        <f t="shared" si="13"/>
        <v>29.597197898423818</v>
      </c>
      <c r="G30" s="207">
        <f t="shared" si="13"/>
        <v>29.422066549912437</v>
      </c>
      <c r="H30" s="262"/>
      <c r="I30" s="37"/>
      <c r="J30" s="38">
        <f t="shared" si="13"/>
        <v>29.642857142857142</v>
      </c>
      <c r="K30" s="38">
        <f t="shared" si="13"/>
        <v>29.545454545454547</v>
      </c>
      <c r="L30" s="38">
        <f t="shared" si="13"/>
        <v>30.645161290322584</v>
      </c>
      <c r="M30" s="38">
        <f t="shared" si="13"/>
        <v>29.493891797556721</v>
      </c>
      <c r="N30" s="207">
        <f>+(N25/N27)/7*1000</f>
        <v>29.597197898423818</v>
      </c>
      <c r="O30" s="262"/>
      <c r="P30" s="67">
        <f t="shared" si="13"/>
        <v>159.45945945945945</v>
      </c>
      <c r="Q30" s="38">
        <f t="shared" si="13"/>
        <v>159.45945945945945</v>
      </c>
      <c r="R30" s="38">
        <f t="shared" si="13"/>
        <v>160.58763931104355</v>
      </c>
      <c r="S30" s="38">
        <f t="shared" si="13"/>
        <v>160.45548654244308</v>
      </c>
      <c r="T30" s="39">
        <f t="shared" si="13"/>
        <v>159.45945945945945</v>
      </c>
      <c r="U30" s="37">
        <f t="shared" si="13"/>
        <v>159.47580645161293</v>
      </c>
      <c r="V30" s="38">
        <f t="shared" si="13"/>
        <v>159.47235475722707</v>
      </c>
      <c r="W30" s="38">
        <f t="shared" si="13"/>
        <v>159.45674044265593</v>
      </c>
      <c r="X30" s="38">
        <f t="shared" si="13"/>
        <v>159.45793337097689</v>
      </c>
      <c r="Y30" s="38">
        <f>+(Y25/Y27)/7*1000</f>
        <v>159.4671201814059</v>
      </c>
      <c r="Z30" s="40"/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4">D29-D25</f>
        <v>0</v>
      </c>
      <c r="E31" s="42">
        <f t="shared" si="14"/>
        <v>0</v>
      </c>
      <c r="F31" s="42">
        <f t="shared" si="14"/>
        <v>0</v>
      </c>
      <c r="G31" s="42">
        <f t="shared" si="14"/>
        <v>0</v>
      </c>
      <c r="H31" s="42"/>
      <c r="I31" s="42"/>
      <c r="J31" s="42">
        <f t="shared" si="14"/>
        <v>0</v>
      </c>
      <c r="K31" s="42">
        <f>K29-K25</f>
        <v>0</v>
      </c>
      <c r="L31" s="42">
        <f t="shared" si="14"/>
        <v>0</v>
      </c>
      <c r="M31" s="42">
        <f t="shared" si="14"/>
        <v>0</v>
      </c>
      <c r="N31" s="42">
        <f t="shared" si="14"/>
        <v>0</v>
      </c>
      <c r="O31" s="42"/>
      <c r="P31" s="42">
        <f>P29-P25</f>
        <v>3.5489999999640531E-2</v>
      </c>
      <c r="Q31" s="42">
        <f>Q29-Q25</f>
        <v>3.5489999999640531E-2</v>
      </c>
      <c r="R31" s="42">
        <f t="shared" si="14"/>
        <v>-1.1031100000001288</v>
      </c>
      <c r="S31" s="42">
        <f t="shared" si="14"/>
        <v>-3.3319300000003977</v>
      </c>
      <c r="T31" s="42">
        <f t="shared" si="14"/>
        <v>3.5489999999640531E-2</v>
      </c>
      <c r="U31" s="42">
        <f>U29-U25</f>
        <v>-2.0160000000373657E-2</v>
      </c>
      <c r="V31" s="42">
        <f t="shared" si="14"/>
        <v>-8.3900000005314723E-3</v>
      </c>
      <c r="W31" s="42">
        <f t="shared" si="14"/>
        <v>1.3179999999863412E-2</v>
      </c>
      <c r="X31" s="42">
        <f t="shared" si="14"/>
        <v>4.2739999999525935E-2</v>
      </c>
      <c r="Y31" s="42">
        <f>Y29-Y25</f>
        <v>1.0159999999700631E-2</v>
      </c>
      <c r="Z31" s="48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0.16636363636374796</v>
      </c>
      <c r="D32" s="42">
        <f t="shared" ref="D32:G32" si="15">D30-D33</f>
        <v>-4.7933450087448648E-2</v>
      </c>
      <c r="E32" s="42">
        <f>E30-E33</f>
        <v>0.78210084033625193</v>
      </c>
      <c r="F32" s="42">
        <f t="shared" si="15"/>
        <v>0.12719789842393325</v>
      </c>
      <c r="G32" s="42">
        <f t="shared" si="15"/>
        <v>-4.7933450087448648E-2</v>
      </c>
      <c r="H32" s="42"/>
      <c r="I32" s="42"/>
      <c r="J32" s="42">
        <f t="shared" ref="J32:M32" si="16">J30-J33</f>
        <v>0.17285714285725717</v>
      </c>
      <c r="K32" s="42">
        <f t="shared" si="16"/>
        <v>7.545454545466157E-2</v>
      </c>
      <c r="L32" s="42">
        <f t="shared" si="16"/>
        <v>1.1751612903226984</v>
      </c>
      <c r="M32" s="42">
        <f t="shared" si="16"/>
        <v>2.389179755683557E-2</v>
      </c>
      <c r="N32" s="42">
        <f>N30-N33</f>
        <v>0.12719789842393325</v>
      </c>
      <c r="O32" s="42"/>
      <c r="P32" s="42">
        <f>P30-P26</f>
        <v>-1.054054054043263E-2</v>
      </c>
      <c r="Q32" s="42">
        <f t="shared" si="14"/>
        <v>-1.054054054043263E-2</v>
      </c>
      <c r="R32" s="42">
        <f t="shared" si="14"/>
        <v>1.1176393110436607</v>
      </c>
      <c r="S32" s="42">
        <f t="shared" si="14"/>
        <v>0.98548654244319778</v>
      </c>
      <c r="T32" s="42">
        <f t="shared" si="14"/>
        <v>-1.054054054043263E-2</v>
      </c>
      <c r="U32" s="42">
        <f t="shared" si="14"/>
        <v>5.8064516130400534E-3</v>
      </c>
      <c r="V32" s="42">
        <f t="shared" si="14"/>
        <v>2.3547572271809258E-3</v>
      </c>
      <c r="W32" s="42">
        <f t="shared" si="14"/>
        <v>-1.325955734395734E-2</v>
      </c>
      <c r="X32" s="42">
        <f t="shared" si="14"/>
        <v>-1.2066629022996267E-2</v>
      </c>
      <c r="Y32" s="42">
        <f t="shared" si="14"/>
        <v>-2.8798185939820087E-3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29.469999999999885</v>
      </c>
      <c r="D33" s="42">
        <f t="shared" ref="D33:G33" si="17">D26-$B$34</f>
        <v>29.469999999999885</v>
      </c>
      <c r="E33" s="42">
        <f>E26-$B$34</f>
        <v>29.469999999999885</v>
      </c>
      <c r="F33" s="42">
        <f t="shared" si="17"/>
        <v>29.469999999999885</v>
      </c>
      <c r="G33" s="42">
        <f t="shared" si="17"/>
        <v>29.469999999999885</v>
      </c>
      <c r="H33" s="42"/>
      <c r="I33" s="42"/>
      <c r="J33" s="42">
        <f>J26-$I$34</f>
        <v>29.469999999999885</v>
      </c>
      <c r="K33" s="42">
        <f t="shared" ref="K33:L33" si="18">K26-$I$34</f>
        <v>29.469999999999885</v>
      </c>
      <c r="L33" s="42">
        <f t="shared" si="18"/>
        <v>29.469999999999885</v>
      </c>
      <c r="M33" s="42">
        <f>M26-$I$34</f>
        <v>29.469999999999885</v>
      </c>
      <c r="N33" s="42">
        <f>N26-$I$34</f>
        <v>29.469999999999885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309.66000000000003</v>
      </c>
      <c r="D34" s="432">
        <f>SUM(C27:G27)</f>
        <v>2382</v>
      </c>
      <c r="E34" s="42"/>
      <c r="F34" s="42"/>
      <c r="G34" s="42"/>
      <c r="H34" s="42"/>
      <c r="I34" s="514">
        <v>130</v>
      </c>
      <c r="J34" s="431">
        <f>(I34*K34)/1000</f>
        <v>312</v>
      </c>
      <c r="K34" s="432">
        <f>SUM(J27:N27)</f>
        <v>2400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1002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674" t="s">
        <v>9</v>
      </c>
      <c r="S39" s="645"/>
      <c r="U39" s="45"/>
      <c r="V39" s="45"/>
      <c r="W39" s="46"/>
      <c r="X39" s="3"/>
      <c r="Y39" s="45"/>
      <c r="Z39" s="45"/>
      <c r="AA39" s="45"/>
      <c r="AB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1003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168">
        <v>5</v>
      </c>
      <c r="R40" s="236"/>
      <c r="S40" s="645"/>
      <c r="U40" s="47"/>
      <c r="X40" s="48"/>
      <c r="Y40" s="2"/>
      <c r="Z40" s="2"/>
      <c r="AA40" s="2"/>
      <c r="AB40" s="2"/>
    </row>
    <row r="41" spans="1:38" ht="33.75" customHeight="1" x14ac:dyDescent="0.25">
      <c r="A41" s="171" t="s">
        <v>32</v>
      </c>
      <c r="B41" s="279">
        <v>88.7</v>
      </c>
      <c r="C41" s="280">
        <v>89</v>
      </c>
      <c r="D41" s="280">
        <v>17.7</v>
      </c>
      <c r="E41" s="280">
        <v>89.9</v>
      </c>
      <c r="F41" s="281">
        <v>88.4</v>
      </c>
      <c r="G41" s="638">
        <f t="shared" ref="G41:G48" si="19">SUM(B41:F41)</f>
        <v>373.69999999999993</v>
      </c>
      <c r="H41" s="364"/>
      <c r="I41" s="364"/>
      <c r="J41" s="364"/>
      <c r="K41" s="364"/>
      <c r="L41" s="171" t="s">
        <v>53</v>
      </c>
      <c r="M41" s="745">
        <v>7</v>
      </c>
      <c r="N41" s="767">
        <v>6.9</v>
      </c>
      <c r="O41" s="741">
        <v>1.1000000000000001</v>
      </c>
      <c r="P41" s="767">
        <v>7</v>
      </c>
      <c r="Q41" s="767">
        <v>7</v>
      </c>
      <c r="R41" s="750">
        <f t="shared" ref="R41:R48" si="20">SUM(M41:Q41)</f>
        <v>29</v>
      </c>
      <c r="S41" s="646"/>
      <c r="T41" s="675"/>
      <c r="U41" s="657"/>
      <c r="X41" s="48"/>
      <c r="Y41" s="2"/>
      <c r="Z41" s="2"/>
      <c r="AA41" s="2"/>
      <c r="AB41" s="2"/>
    </row>
    <row r="42" spans="1:38" ht="33.75" customHeight="1" x14ac:dyDescent="0.25">
      <c r="A42" s="171" t="s">
        <v>24</v>
      </c>
      <c r="B42" s="279">
        <v>88.3</v>
      </c>
      <c r="C42" s="280">
        <v>88.6</v>
      </c>
      <c r="D42" s="280">
        <v>17.7</v>
      </c>
      <c r="E42" s="280">
        <v>89.9</v>
      </c>
      <c r="F42" s="281">
        <v>88.4</v>
      </c>
      <c r="G42" s="638">
        <f t="shared" si="19"/>
        <v>372.9</v>
      </c>
      <c r="H42" s="364"/>
      <c r="I42" s="364"/>
      <c r="J42" s="364"/>
      <c r="K42" s="364"/>
      <c r="L42" s="171" t="s">
        <v>24</v>
      </c>
      <c r="M42" s="279">
        <v>7</v>
      </c>
      <c r="N42" s="280">
        <v>6.9</v>
      </c>
      <c r="O42" s="280">
        <v>1.1000000000000001</v>
      </c>
      <c r="P42" s="280">
        <v>7</v>
      </c>
      <c r="Q42" s="280">
        <v>7</v>
      </c>
      <c r="R42" s="752">
        <f t="shared" si="20"/>
        <v>29</v>
      </c>
      <c r="S42" s="646"/>
      <c r="T42" s="647"/>
      <c r="U42" s="658"/>
      <c r="X42" s="48"/>
      <c r="Y42" s="2"/>
      <c r="Z42" s="2"/>
      <c r="AA42" s="2"/>
      <c r="AB42" s="2"/>
    </row>
    <row r="43" spans="1:38" ht="33.75" customHeight="1" x14ac:dyDescent="0.25">
      <c r="A43" s="171" t="s">
        <v>20</v>
      </c>
      <c r="B43" s="279">
        <v>88.3</v>
      </c>
      <c r="C43" s="280">
        <v>88.6</v>
      </c>
      <c r="D43" s="280">
        <v>17.600000000000001</v>
      </c>
      <c r="E43" s="280">
        <v>89.9</v>
      </c>
      <c r="F43" s="281">
        <v>88.1</v>
      </c>
      <c r="G43" s="638">
        <f t="shared" si="19"/>
        <v>372.5</v>
      </c>
      <c r="H43" s="364"/>
      <c r="I43" s="364"/>
      <c r="J43" s="364"/>
      <c r="K43" s="364"/>
      <c r="L43" s="171" t="s">
        <v>20</v>
      </c>
      <c r="M43" s="279">
        <v>6.9</v>
      </c>
      <c r="N43" s="280">
        <v>6.9</v>
      </c>
      <c r="O43" s="280">
        <v>1.3</v>
      </c>
      <c r="P43" s="280">
        <v>7</v>
      </c>
      <c r="Q43" s="280">
        <v>6.9</v>
      </c>
      <c r="R43" s="752">
        <f t="shared" si="20"/>
        <v>29</v>
      </c>
      <c r="S43" s="646"/>
      <c r="T43" s="647"/>
      <c r="U43" s="658"/>
      <c r="X43" s="48"/>
      <c r="Y43" s="2"/>
      <c r="Z43" s="2"/>
      <c r="AA43" s="2"/>
      <c r="AB43" s="2"/>
    </row>
    <row r="44" spans="1:38" ht="33.75" customHeight="1" x14ac:dyDescent="0.25">
      <c r="A44" s="171" t="s">
        <v>28</v>
      </c>
      <c r="B44" s="532">
        <v>88.3</v>
      </c>
      <c r="C44" s="431">
        <v>88.6</v>
      </c>
      <c r="D44" s="431">
        <v>17.5</v>
      </c>
      <c r="E44" s="431">
        <v>89.9</v>
      </c>
      <c r="F44" s="533">
        <v>88.1</v>
      </c>
      <c r="G44" s="638">
        <f t="shared" si="19"/>
        <v>372.4</v>
      </c>
      <c r="H44" s="651"/>
      <c r="I44" s="364"/>
      <c r="J44" s="364"/>
      <c r="K44" s="364"/>
      <c r="L44" s="171" t="s">
        <v>28</v>
      </c>
      <c r="M44" s="532">
        <v>6.9</v>
      </c>
      <c r="N44" s="431">
        <v>6.9</v>
      </c>
      <c r="O44" s="431">
        <v>1.3</v>
      </c>
      <c r="P44" s="431">
        <v>7</v>
      </c>
      <c r="Q44" s="431">
        <v>6.9</v>
      </c>
      <c r="R44" s="752">
        <f t="shared" si="20"/>
        <v>29</v>
      </c>
      <c r="S44" s="646"/>
      <c r="T44" s="647"/>
      <c r="U44" s="658"/>
      <c r="X44" s="48"/>
      <c r="Y44" s="2"/>
      <c r="Z44" s="2"/>
      <c r="AA44" s="2"/>
      <c r="AB44" s="2"/>
    </row>
    <row r="45" spans="1:38" ht="33.75" customHeight="1" x14ac:dyDescent="0.25">
      <c r="A45" s="171" t="s">
        <v>21</v>
      </c>
      <c r="B45" s="279">
        <v>87.9</v>
      </c>
      <c r="C45" s="280">
        <v>87.9</v>
      </c>
      <c r="D45" s="280">
        <v>17.5</v>
      </c>
      <c r="E45" s="280">
        <v>89.6</v>
      </c>
      <c r="F45" s="281">
        <v>87.8</v>
      </c>
      <c r="G45" s="638">
        <f t="shared" si="19"/>
        <v>370.7</v>
      </c>
      <c r="H45" s="651"/>
      <c r="I45" s="364"/>
      <c r="J45" s="364"/>
      <c r="K45" s="364"/>
      <c r="L45" s="171" t="s">
        <v>21</v>
      </c>
      <c r="M45" s="279">
        <v>6.9</v>
      </c>
      <c r="N45" s="280">
        <v>6.9</v>
      </c>
      <c r="O45" s="280">
        <v>1.3</v>
      </c>
      <c r="P45" s="280">
        <v>7</v>
      </c>
      <c r="Q45" s="280">
        <v>6.9</v>
      </c>
      <c r="R45" s="752">
        <f t="shared" si="20"/>
        <v>29</v>
      </c>
      <c r="S45" s="646"/>
      <c r="T45" s="647"/>
      <c r="U45" s="658"/>
      <c r="X45" s="48"/>
      <c r="Y45" s="2"/>
      <c r="Z45" s="2"/>
      <c r="AA45" s="2"/>
      <c r="AB45" s="2"/>
    </row>
    <row r="46" spans="1:38" ht="33.75" customHeight="1" x14ac:dyDescent="0.25">
      <c r="A46" s="171" t="s">
        <v>22</v>
      </c>
      <c r="B46" s="279">
        <v>87.4</v>
      </c>
      <c r="C46" s="280">
        <v>86.8</v>
      </c>
      <c r="D46" s="280">
        <v>17.5</v>
      </c>
      <c r="E46" s="280">
        <v>89.5</v>
      </c>
      <c r="F46" s="281">
        <v>87.2</v>
      </c>
      <c r="G46" s="638">
        <f t="shared" si="19"/>
        <v>368.4</v>
      </c>
      <c r="H46" s="651"/>
      <c r="I46" s="364"/>
      <c r="J46" s="364"/>
      <c r="K46" s="364"/>
      <c r="L46" s="171" t="s">
        <v>22</v>
      </c>
      <c r="M46" s="279">
        <v>7</v>
      </c>
      <c r="N46" s="280">
        <v>6.9</v>
      </c>
      <c r="O46" s="280">
        <v>1.3</v>
      </c>
      <c r="P46" s="280">
        <v>7</v>
      </c>
      <c r="Q46" s="280">
        <v>7</v>
      </c>
      <c r="R46" s="752">
        <f t="shared" si="20"/>
        <v>29.200000000000003</v>
      </c>
      <c r="S46" s="646"/>
      <c r="T46" s="647"/>
      <c r="U46" s="658"/>
      <c r="X46" s="48"/>
      <c r="Y46" s="2"/>
      <c r="Z46" s="2"/>
      <c r="AA46" s="2"/>
      <c r="AB46" s="2"/>
    </row>
    <row r="47" spans="1:38" ht="33.75" customHeight="1" thickBot="1" x14ac:dyDescent="0.3">
      <c r="A47" s="285" t="s">
        <v>23</v>
      </c>
      <c r="B47" s="279">
        <v>87.3</v>
      </c>
      <c r="C47" s="280">
        <v>86.7</v>
      </c>
      <c r="D47" s="280">
        <v>17.5</v>
      </c>
      <c r="E47" s="280">
        <v>89.5</v>
      </c>
      <c r="F47" s="281">
        <v>87.1</v>
      </c>
      <c r="G47" s="376">
        <f t="shared" si="19"/>
        <v>368.1</v>
      </c>
      <c r="H47" s="651"/>
      <c r="I47" s="364"/>
      <c r="J47" s="364"/>
      <c r="K47" s="364"/>
      <c r="L47" s="285" t="s">
        <v>23</v>
      </c>
      <c r="M47" s="279">
        <v>7</v>
      </c>
      <c r="N47" s="280">
        <v>6.8</v>
      </c>
      <c r="O47" s="280">
        <v>1.3</v>
      </c>
      <c r="P47" s="280">
        <v>7.1</v>
      </c>
      <c r="Q47" s="280">
        <v>7</v>
      </c>
      <c r="R47" s="372">
        <f t="shared" si="20"/>
        <v>29.200000000000003</v>
      </c>
      <c r="S47" s="646"/>
      <c r="T47" s="647"/>
      <c r="U47" s="658"/>
      <c r="X47" s="48"/>
      <c r="Y47" s="48"/>
      <c r="Z47" s="48"/>
      <c r="AA47" s="2"/>
      <c r="AB47" s="2"/>
      <c r="AC47" s="2"/>
      <c r="AD47" s="2"/>
    </row>
    <row r="48" spans="1:38" ht="33.75" customHeight="1" thickBot="1" x14ac:dyDescent="0.3">
      <c r="A48" s="290" t="s">
        <v>9</v>
      </c>
      <c r="B48" s="297">
        <f>SUM(B41:B47)</f>
        <v>616.19999999999993</v>
      </c>
      <c r="C48" s="298">
        <f t="shared" ref="C48:F48" si="21">SUM(C41:C47)</f>
        <v>616.19999999999993</v>
      </c>
      <c r="D48" s="298">
        <f t="shared" si="21"/>
        <v>123</v>
      </c>
      <c r="E48" s="298">
        <f t="shared" si="21"/>
        <v>628.20000000000005</v>
      </c>
      <c r="F48" s="448">
        <f t="shared" si="21"/>
        <v>615.1</v>
      </c>
      <c r="G48" s="729">
        <f t="shared" si="19"/>
        <v>2598.6999999999998</v>
      </c>
      <c r="H48" s="364"/>
      <c r="I48" s="364"/>
      <c r="J48" s="364"/>
      <c r="K48" s="364"/>
      <c r="L48" s="290" t="s">
        <v>9</v>
      </c>
      <c r="M48" s="687">
        <f>SUM(M41:M47)</f>
        <v>48.699999999999996</v>
      </c>
      <c r="N48" s="688">
        <f>SUM(N41:N47)</f>
        <v>48.199999999999996</v>
      </c>
      <c r="O48" s="688">
        <f>SUM(O41:O47)</f>
        <v>8.6999999999999993</v>
      </c>
      <c r="P48" s="688">
        <f t="shared" ref="P48:Q48" si="22">SUM(P41:P47)</f>
        <v>49.1</v>
      </c>
      <c r="Q48" s="688">
        <f t="shared" si="22"/>
        <v>48.699999999999996</v>
      </c>
      <c r="R48" s="607">
        <f t="shared" si="20"/>
        <v>203.39999999999998</v>
      </c>
      <c r="S48" s="647"/>
      <c r="T48" s="647"/>
      <c r="U48" s="658"/>
      <c r="X48" s="2"/>
      <c r="Y48" s="2"/>
      <c r="Z48" s="2"/>
      <c r="AA48" s="2"/>
      <c r="AB48" s="2"/>
      <c r="AC48" s="2"/>
      <c r="AD48" s="2"/>
    </row>
    <row r="49" spans="1:50" ht="33.75" customHeight="1" x14ac:dyDescent="0.25">
      <c r="A49" s="192" t="s">
        <v>11</v>
      </c>
      <c r="B49" s="751">
        <v>155.52999999999992</v>
      </c>
      <c r="C49" s="751">
        <v>155.52999999999992</v>
      </c>
      <c r="D49" s="751">
        <v>155.52999999999992</v>
      </c>
      <c r="E49" s="751">
        <v>155.52999999999992</v>
      </c>
      <c r="F49" s="751">
        <v>155.52999999999992</v>
      </c>
      <c r="G49" s="730">
        <f>+((G48/G50)/7)*1000</f>
        <v>155.91888162236756</v>
      </c>
      <c r="H49" s="609"/>
      <c r="I49" s="364"/>
      <c r="J49" s="364"/>
      <c r="K49" s="364"/>
      <c r="L49" s="273" t="s">
        <v>11</v>
      </c>
      <c r="M49" s="293">
        <v>158</v>
      </c>
      <c r="N49" s="294">
        <v>156.5</v>
      </c>
      <c r="O49" s="294">
        <v>155.5</v>
      </c>
      <c r="P49" s="294">
        <v>156</v>
      </c>
      <c r="Q49" s="294">
        <v>154.5</v>
      </c>
      <c r="R49" s="296">
        <f>+((R48/R50)/7)*1000</f>
        <v>156.22119815668202</v>
      </c>
      <c r="S49" s="648"/>
      <c r="T49" s="647"/>
      <c r="U49" s="658"/>
      <c r="V49" s="50"/>
    </row>
    <row r="50" spans="1:50" ht="33.75" customHeight="1" x14ac:dyDescent="0.25">
      <c r="A50" s="193" t="s">
        <v>12</v>
      </c>
      <c r="B50" s="26">
        <v>564</v>
      </c>
      <c r="C50" s="27">
        <v>564</v>
      </c>
      <c r="D50" s="27">
        <v>112</v>
      </c>
      <c r="E50" s="27">
        <v>577</v>
      </c>
      <c r="F50" s="183">
        <v>564</v>
      </c>
      <c r="G50" s="731">
        <f>SUM(B50:F50)</f>
        <v>2381</v>
      </c>
      <c r="H50" s="609"/>
      <c r="I50" s="364"/>
      <c r="J50" s="364"/>
      <c r="K50" s="364"/>
      <c r="L50" s="193" t="s">
        <v>12</v>
      </c>
      <c r="M50" s="257">
        <v>44</v>
      </c>
      <c r="N50" s="275">
        <v>44</v>
      </c>
      <c r="O50" s="275">
        <v>8</v>
      </c>
      <c r="P50" s="275">
        <v>45</v>
      </c>
      <c r="Q50" s="275">
        <v>45</v>
      </c>
      <c r="R50" s="254">
        <f>SUM(M50:Q50)</f>
        <v>186</v>
      </c>
      <c r="S50" s="649"/>
      <c r="T50" s="301"/>
      <c r="U50" s="52"/>
      <c r="V50" s="52"/>
    </row>
    <row r="51" spans="1:50" ht="33.75" customHeight="1" x14ac:dyDescent="0.25">
      <c r="A51" s="194" t="s">
        <v>13</v>
      </c>
      <c r="B51" s="30">
        <f>((((B49*7)*B50)/1000))/7</f>
        <v>87.71891999999994</v>
      </c>
      <c r="C51" s="30">
        <f t="shared" ref="C51:F51" si="23">((((C49*7)*C50)/1000))/7</f>
        <v>87.71891999999994</v>
      </c>
      <c r="D51" s="30">
        <f t="shared" si="23"/>
        <v>17.41935999999999</v>
      </c>
      <c r="E51" s="30">
        <f t="shared" si="23"/>
        <v>89.740809999999939</v>
      </c>
      <c r="F51" s="30">
        <f t="shared" si="23"/>
        <v>87.71891999999994</v>
      </c>
      <c r="G51" s="732">
        <f>((G48*1000)/G50)/7</f>
        <v>155.91888162236754</v>
      </c>
      <c r="H51" s="609"/>
      <c r="I51" s="364"/>
      <c r="J51" s="364"/>
      <c r="K51" s="364"/>
      <c r="L51" s="194" t="s">
        <v>13</v>
      </c>
      <c r="M51" s="30">
        <f>((((M49*7)*M50)/1000)-M41-M42)/5</f>
        <v>6.9328000000000003</v>
      </c>
      <c r="N51" s="31">
        <f t="shared" ref="N51:Q51" si="24">((((N49*7)*N50)/1000)-N41-N42)/5</f>
        <v>6.8803999999999998</v>
      </c>
      <c r="O51" s="31">
        <f t="shared" si="24"/>
        <v>1.3016000000000001</v>
      </c>
      <c r="P51" s="31">
        <f t="shared" si="24"/>
        <v>7.0280000000000005</v>
      </c>
      <c r="Q51" s="31">
        <f t="shared" si="24"/>
        <v>6.9334999999999996</v>
      </c>
      <c r="R51" s="274">
        <f>((R48*1000)/R50)/7</f>
        <v>156.22119815668202</v>
      </c>
      <c r="S51" s="650"/>
      <c r="T51" s="301"/>
      <c r="U51" s="52"/>
      <c r="V51" s="52"/>
    </row>
    <row r="52" spans="1:50" ht="33.75" customHeight="1" x14ac:dyDescent="0.25">
      <c r="A52" s="185" t="s">
        <v>14</v>
      </c>
      <c r="B52" s="279">
        <f>((B50*B49)*7)/1000</f>
        <v>614.03243999999972</v>
      </c>
      <c r="C52" s="280">
        <f>((C50*C49)*7)/1000</f>
        <v>614.03243999999972</v>
      </c>
      <c r="D52" s="280">
        <f>((D50*D49)*7)/1000</f>
        <v>121.93551999999993</v>
      </c>
      <c r="E52" s="280">
        <f>((E50*E49)*7)/1000</f>
        <v>628.18566999999973</v>
      </c>
      <c r="F52" s="281">
        <f>((F50*F49)*7)/1000</f>
        <v>614.03243999999972</v>
      </c>
      <c r="G52" s="73"/>
      <c r="H52" s="609"/>
      <c r="I52" s="364"/>
      <c r="J52" s="364"/>
      <c r="K52" s="364"/>
      <c r="L52" s="185" t="s">
        <v>14</v>
      </c>
      <c r="M52" s="279">
        <f>((M50*M49)*7)/1000</f>
        <v>48.664000000000001</v>
      </c>
      <c r="N52" s="280">
        <f>((N50*N49)*7)/1000</f>
        <v>48.201999999999998</v>
      </c>
      <c r="O52" s="280">
        <f>((O50*O49)*7)/1000</f>
        <v>8.7080000000000002</v>
      </c>
      <c r="P52" s="280">
        <f t="shared" ref="P52" si="25">((P50*P49)*7)/1000</f>
        <v>49.14</v>
      </c>
      <c r="Q52" s="280">
        <f>((Q50*Q49)*7)/1000</f>
        <v>48.667499999999997</v>
      </c>
      <c r="R52" s="36"/>
      <c r="S52" s="522"/>
    </row>
    <row r="53" spans="1:50" ht="33.75" customHeight="1" thickBot="1" x14ac:dyDescent="0.3">
      <c r="A53" s="195" t="s">
        <v>15</v>
      </c>
      <c r="B53" s="37">
        <f>+(B48/B50)/7*1000</f>
        <v>156.07902735562308</v>
      </c>
      <c r="C53" s="38">
        <f t="shared" ref="C53:E53" si="26">+(C48/C50)/7*1000</f>
        <v>156.07902735562308</v>
      </c>
      <c r="D53" s="38">
        <f t="shared" si="26"/>
        <v>156.88775510204084</v>
      </c>
      <c r="E53" s="38">
        <f t="shared" si="26"/>
        <v>155.53354790789803</v>
      </c>
      <c r="F53" s="207">
        <f>+(F48/F50)/7*1000</f>
        <v>155.80040526849041</v>
      </c>
      <c r="G53" s="74"/>
      <c r="H53" s="609"/>
      <c r="I53" s="364"/>
      <c r="J53" s="364"/>
      <c r="K53" s="364"/>
      <c r="L53" s="195" t="s">
        <v>15</v>
      </c>
      <c r="M53" s="37">
        <f>+(M48/M50)/7*1000</f>
        <v>158.11688311688309</v>
      </c>
      <c r="N53" s="38">
        <f>+(N48/N50)/7*1000</f>
        <v>156.49350649350649</v>
      </c>
      <c r="O53" s="38">
        <f>+(O48/O50)/7*1000</f>
        <v>155.35714285714283</v>
      </c>
      <c r="P53" s="38">
        <f t="shared" ref="P53:Q53" si="27">+(P48/P50)/7*1000</f>
        <v>155.87301587301587</v>
      </c>
      <c r="Q53" s="38">
        <f t="shared" si="27"/>
        <v>154.60317460317461</v>
      </c>
      <c r="R53" s="259"/>
      <c r="S53" s="651"/>
      <c r="U53" s="42"/>
      <c r="V53" s="42"/>
    </row>
    <row r="54" spans="1:50" ht="33.75" customHeight="1" x14ac:dyDescent="0.25">
      <c r="A54" s="41"/>
      <c r="B54" s="43">
        <f>B52-B48</f>
        <v>-2.1675600000002078</v>
      </c>
      <c r="C54" s="43">
        <f t="shared" ref="C54:D55" si="28">C52-C48</f>
        <v>-2.1675600000002078</v>
      </c>
      <c r="D54" s="43">
        <f t="shared" si="28"/>
        <v>-1.0644800000000743</v>
      </c>
      <c r="E54" s="43">
        <f>E52-E48</f>
        <v>-1.4330000000313703E-2</v>
      </c>
      <c r="F54" s="43">
        <f>F52-F48</f>
        <v>-1.0675600000002987</v>
      </c>
      <c r="G54" s="41"/>
      <c r="H54" s="41"/>
      <c r="I54" s="41"/>
      <c r="J54" s="41"/>
      <c r="K54" s="41"/>
      <c r="L54" s="42"/>
      <c r="M54" s="42">
        <f>M52-M48</f>
        <v>-3.5999999999994259E-2</v>
      </c>
      <c r="N54" s="42">
        <f>N52-N48</f>
        <v>2.0000000000024443E-3</v>
      </c>
      <c r="O54" s="42">
        <f t="shared" ref="N54:Q55" si="29">O52-O48</f>
        <v>8.0000000000008953E-3</v>
      </c>
      <c r="P54" s="42">
        <f t="shared" si="29"/>
        <v>3.9999999999999147E-2</v>
      </c>
      <c r="Q54" s="42">
        <f t="shared" si="29"/>
        <v>-3.2499999999998863E-2</v>
      </c>
      <c r="R54" s="42"/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0.54902735562316707</v>
      </c>
      <c r="C55" s="42">
        <f>C53-C49</f>
        <v>0.54902735562316707</v>
      </c>
      <c r="D55" s="42">
        <f t="shared" si="28"/>
        <v>1.357755102040926</v>
      </c>
      <c r="E55" s="42">
        <f>E53-E49</f>
        <v>3.54790789810977E-3</v>
      </c>
      <c r="F55" s="42">
        <f>F53-F49</f>
        <v>0.27040526849049229</v>
      </c>
      <c r="G55" s="41"/>
      <c r="H55" s="41"/>
      <c r="I55" s="41"/>
      <c r="J55" s="41"/>
      <c r="K55" s="42"/>
      <c r="L55" s="42"/>
      <c r="M55" s="42">
        <f>M53-M49</f>
        <v>0.11688311688308772</v>
      </c>
      <c r="N55" s="42">
        <f t="shared" si="29"/>
        <v>-6.4935064935127684E-3</v>
      </c>
      <c r="O55" s="42">
        <f>O53-O49</f>
        <v>-0.14285714285716722</v>
      </c>
      <c r="P55" s="42">
        <f>P53-P49</f>
        <v>-0.12698412698412653</v>
      </c>
      <c r="Q55" s="42">
        <f t="shared" si="29"/>
        <v>0.10317460317460814</v>
      </c>
      <c r="R55" s="42"/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283"/>
      <c r="N57" s="283"/>
      <c r="O57" s="283"/>
      <c r="P57" s="283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99" t="s">
        <v>30</v>
      </c>
      <c r="H58" s="1000"/>
      <c r="I58" s="1000"/>
      <c r="J58" s="1000"/>
      <c r="K58" s="1001"/>
      <c r="L58" s="973" t="s">
        <v>29</v>
      </c>
      <c r="M58" s="974"/>
      <c r="N58" s="974"/>
      <c r="O58" s="974"/>
      <c r="P58" s="991"/>
      <c r="Q58" s="973" t="s">
        <v>31</v>
      </c>
      <c r="R58" s="974"/>
      <c r="S58" s="974"/>
      <c r="T58" s="974"/>
      <c r="U58" s="991"/>
      <c r="V58" s="586" t="s">
        <v>9</v>
      </c>
      <c r="W58" s="661"/>
      <c r="X58" s="662"/>
      <c r="Y58" s="522"/>
      <c r="Z58" s="522"/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692">
        <v>1</v>
      </c>
      <c r="H59" s="693">
        <v>2</v>
      </c>
      <c r="I59" s="693">
        <v>3</v>
      </c>
      <c r="J59" s="693">
        <v>4</v>
      </c>
      <c r="K59" s="693">
        <v>5</v>
      </c>
      <c r="L59" s="188">
        <v>1</v>
      </c>
      <c r="M59" s="168">
        <v>2</v>
      </c>
      <c r="N59" s="168">
        <v>3</v>
      </c>
      <c r="O59" s="168">
        <v>4</v>
      </c>
      <c r="P59" s="414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126"/>
      <c r="W59" s="663"/>
      <c r="X59" s="645"/>
      <c r="Y59" s="657"/>
      <c r="Z59" s="657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25">
      <c r="A60" s="171" t="s">
        <v>53</v>
      </c>
      <c r="B60" s="735">
        <v>7.5</v>
      </c>
      <c r="C60" s="736">
        <v>7.6</v>
      </c>
      <c r="D60" s="736">
        <v>1.7</v>
      </c>
      <c r="E60" s="736">
        <v>7.7</v>
      </c>
      <c r="F60" s="737">
        <v>7.7</v>
      </c>
      <c r="G60" s="738">
        <v>7.6</v>
      </c>
      <c r="H60" s="739">
        <v>7.6</v>
      </c>
      <c r="I60" s="739">
        <v>1.9</v>
      </c>
      <c r="J60" s="739">
        <v>7.7</v>
      </c>
      <c r="K60" s="739">
        <v>7.6</v>
      </c>
      <c r="L60" s="745">
        <v>6.1</v>
      </c>
      <c r="M60" s="736">
        <v>6.2</v>
      </c>
      <c r="N60" s="736">
        <v>1.9</v>
      </c>
      <c r="O60" s="736">
        <v>6.1</v>
      </c>
      <c r="P60" s="742">
        <v>6.3</v>
      </c>
      <c r="Q60" s="737">
        <v>6.1</v>
      </c>
      <c r="R60" s="736">
        <v>6.6</v>
      </c>
      <c r="S60" s="736">
        <v>2.1</v>
      </c>
      <c r="T60" s="736">
        <v>6.6</v>
      </c>
      <c r="U60" s="742">
        <v>6.6</v>
      </c>
      <c r="V60" s="749">
        <f t="shared" ref="V60:V67" si="30">SUM(B60:U60)</f>
        <v>119.19999999999997</v>
      </c>
      <c r="W60" s="651"/>
      <c r="X60" s="646"/>
      <c r="Y60" s="657"/>
      <c r="Z60" s="657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25">
      <c r="A61" s="171" t="s">
        <v>24</v>
      </c>
      <c r="B61" s="735">
        <v>7.5</v>
      </c>
      <c r="C61" s="736">
        <v>7.6</v>
      </c>
      <c r="D61" s="736">
        <v>1.7</v>
      </c>
      <c r="E61" s="736">
        <v>7.7</v>
      </c>
      <c r="F61" s="737">
        <v>7.7</v>
      </c>
      <c r="G61" s="738">
        <v>7.6</v>
      </c>
      <c r="H61" s="739">
        <v>7.6</v>
      </c>
      <c r="I61" s="739">
        <v>1.9</v>
      </c>
      <c r="J61" s="739">
        <v>7.7</v>
      </c>
      <c r="K61" s="739">
        <v>7.6</v>
      </c>
      <c r="L61" s="279">
        <v>6.1</v>
      </c>
      <c r="M61" s="280">
        <v>6.2</v>
      </c>
      <c r="N61" s="280">
        <v>1.9</v>
      </c>
      <c r="O61" s="280">
        <v>6.1</v>
      </c>
      <c r="P61" s="282">
        <v>6.3</v>
      </c>
      <c r="Q61" s="737">
        <v>6.1</v>
      </c>
      <c r="R61" s="736">
        <v>6.6</v>
      </c>
      <c r="S61" s="736">
        <v>2.1</v>
      </c>
      <c r="T61" s="736">
        <v>6.6</v>
      </c>
      <c r="U61" s="742">
        <v>6.6</v>
      </c>
      <c r="V61" s="749">
        <f t="shared" si="30"/>
        <v>119.19999999999997</v>
      </c>
      <c r="W61" s="651"/>
      <c r="X61" s="646"/>
      <c r="Y61" s="651"/>
      <c r="Z61" s="651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25">
      <c r="A62" s="171" t="s">
        <v>20</v>
      </c>
      <c r="B62" s="735">
        <v>7.5</v>
      </c>
      <c r="C62" s="736">
        <v>7.5</v>
      </c>
      <c r="D62" s="736">
        <v>1.8</v>
      </c>
      <c r="E62" s="736">
        <v>7.6</v>
      </c>
      <c r="F62" s="737">
        <v>7.5</v>
      </c>
      <c r="G62" s="738">
        <v>7.4</v>
      </c>
      <c r="H62" s="739">
        <v>7.7</v>
      </c>
      <c r="I62" s="739">
        <v>1.9</v>
      </c>
      <c r="J62" s="739">
        <v>7.7</v>
      </c>
      <c r="K62" s="739">
        <v>7.6</v>
      </c>
      <c r="L62" s="279">
        <v>6.1</v>
      </c>
      <c r="M62" s="280">
        <v>6.2</v>
      </c>
      <c r="N62" s="280">
        <v>1.9</v>
      </c>
      <c r="O62" s="280">
        <v>6</v>
      </c>
      <c r="P62" s="282">
        <v>6.2</v>
      </c>
      <c r="Q62" s="737">
        <v>6.5</v>
      </c>
      <c r="R62" s="736">
        <v>6.5</v>
      </c>
      <c r="S62" s="736">
        <v>2.1</v>
      </c>
      <c r="T62" s="736">
        <v>6.6</v>
      </c>
      <c r="U62" s="742">
        <v>6.5</v>
      </c>
      <c r="V62" s="749">
        <f t="shared" si="30"/>
        <v>118.8</v>
      </c>
      <c r="W62" s="651"/>
      <c r="X62" s="646"/>
      <c r="Y62" s="651"/>
      <c r="Z62" s="651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25">
      <c r="A63" s="171" t="s">
        <v>28</v>
      </c>
      <c r="B63" s="735">
        <v>7.5</v>
      </c>
      <c r="C63" s="736">
        <v>7.5</v>
      </c>
      <c r="D63" s="736">
        <v>1.8</v>
      </c>
      <c r="E63" s="736">
        <v>7.6</v>
      </c>
      <c r="F63" s="737">
        <v>7.4</v>
      </c>
      <c r="G63" s="738">
        <v>7.4</v>
      </c>
      <c r="H63" s="739">
        <v>7.7</v>
      </c>
      <c r="I63" s="739">
        <v>1.9</v>
      </c>
      <c r="J63" s="739">
        <v>7.7</v>
      </c>
      <c r="K63" s="739">
        <v>7.6</v>
      </c>
      <c r="L63" s="279">
        <v>6.1</v>
      </c>
      <c r="M63" s="280">
        <v>6.2</v>
      </c>
      <c r="N63" s="280">
        <v>1.9</v>
      </c>
      <c r="O63" s="280">
        <v>6</v>
      </c>
      <c r="P63" s="282">
        <v>6.2</v>
      </c>
      <c r="Q63" s="737">
        <v>6.5</v>
      </c>
      <c r="R63" s="736">
        <v>6.5</v>
      </c>
      <c r="S63" s="736">
        <v>2.1</v>
      </c>
      <c r="T63" s="736">
        <v>6.6</v>
      </c>
      <c r="U63" s="742">
        <v>6.5</v>
      </c>
      <c r="V63" s="749">
        <f t="shared" si="30"/>
        <v>118.69999999999999</v>
      </c>
      <c r="W63" s="651"/>
      <c r="X63" s="646"/>
      <c r="Y63" s="651"/>
      <c r="Z63" s="651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25">
      <c r="A64" s="171" t="s">
        <v>21</v>
      </c>
      <c r="B64" s="735">
        <v>7.5</v>
      </c>
      <c r="C64" s="736">
        <v>7.5</v>
      </c>
      <c r="D64" s="736">
        <v>1.4</v>
      </c>
      <c r="E64" s="736">
        <v>7.6</v>
      </c>
      <c r="F64" s="737">
        <v>7.4</v>
      </c>
      <c r="G64" s="738">
        <v>7.4</v>
      </c>
      <c r="H64" s="739">
        <v>7.7</v>
      </c>
      <c r="I64" s="739">
        <v>1.9</v>
      </c>
      <c r="J64" s="739">
        <v>7.7</v>
      </c>
      <c r="K64" s="739">
        <v>7.6</v>
      </c>
      <c r="L64" s="279">
        <v>6.1</v>
      </c>
      <c r="M64" s="280">
        <v>6.2</v>
      </c>
      <c r="N64" s="280">
        <v>1.9</v>
      </c>
      <c r="O64" s="280">
        <v>6</v>
      </c>
      <c r="P64" s="282">
        <v>6.2</v>
      </c>
      <c r="Q64" s="737">
        <v>6.5</v>
      </c>
      <c r="R64" s="736">
        <v>6.5</v>
      </c>
      <c r="S64" s="736">
        <v>2.1</v>
      </c>
      <c r="T64" s="736">
        <v>6.6</v>
      </c>
      <c r="U64" s="742">
        <v>6.5</v>
      </c>
      <c r="V64" s="749">
        <f t="shared" si="30"/>
        <v>118.3</v>
      </c>
      <c r="W64" s="651"/>
      <c r="X64" s="646"/>
      <c r="Y64" s="651"/>
      <c r="Z64" s="651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25">
      <c r="A65" s="171" t="s">
        <v>22</v>
      </c>
      <c r="B65" s="735">
        <v>7.4</v>
      </c>
      <c r="C65" s="736">
        <v>7.5</v>
      </c>
      <c r="D65" s="736">
        <v>1.4</v>
      </c>
      <c r="E65" s="736">
        <v>7.6</v>
      </c>
      <c r="F65" s="737">
        <v>7.4</v>
      </c>
      <c r="G65" s="738">
        <v>7.4</v>
      </c>
      <c r="H65" s="739">
        <v>7.7</v>
      </c>
      <c r="I65" s="739">
        <v>1.9</v>
      </c>
      <c r="J65" s="739">
        <v>7.7</v>
      </c>
      <c r="K65" s="739">
        <v>7.6</v>
      </c>
      <c r="L65" s="279">
        <v>6.2</v>
      </c>
      <c r="M65" s="280">
        <v>6.2</v>
      </c>
      <c r="N65" s="280">
        <v>1.8</v>
      </c>
      <c r="O65" s="280">
        <v>6.1</v>
      </c>
      <c r="P65" s="282">
        <v>6.2</v>
      </c>
      <c r="Q65" s="737">
        <v>6.5</v>
      </c>
      <c r="R65" s="736">
        <v>6.6</v>
      </c>
      <c r="S65" s="736">
        <v>2.1</v>
      </c>
      <c r="T65" s="736">
        <v>6.6</v>
      </c>
      <c r="U65" s="742">
        <v>6.6</v>
      </c>
      <c r="V65" s="749">
        <f t="shared" si="30"/>
        <v>118.49999999999997</v>
      </c>
      <c r="W65" s="651"/>
      <c r="X65" s="646"/>
      <c r="Y65" s="651"/>
      <c r="Z65" s="651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3">
      <c r="A66" s="171" t="s">
        <v>23</v>
      </c>
      <c r="B66" s="735">
        <v>7.4</v>
      </c>
      <c r="C66" s="736">
        <v>7.4</v>
      </c>
      <c r="D66" s="736">
        <v>1.3</v>
      </c>
      <c r="E66" s="736">
        <v>7.6</v>
      </c>
      <c r="F66" s="737">
        <v>7.4</v>
      </c>
      <c r="G66" s="738">
        <v>7.3</v>
      </c>
      <c r="H66" s="739">
        <v>7.6</v>
      </c>
      <c r="I66" s="739">
        <v>2</v>
      </c>
      <c r="J66" s="739">
        <v>7.6</v>
      </c>
      <c r="K66" s="739">
        <v>7.5</v>
      </c>
      <c r="L66" s="279">
        <v>6.2</v>
      </c>
      <c r="M66" s="280">
        <v>6.3</v>
      </c>
      <c r="N66" s="280">
        <v>1.8</v>
      </c>
      <c r="O66" s="280">
        <v>6.1</v>
      </c>
      <c r="P66" s="282">
        <v>6.1</v>
      </c>
      <c r="Q66" s="737">
        <v>6.6</v>
      </c>
      <c r="R66" s="736">
        <v>6.6</v>
      </c>
      <c r="S66" s="736">
        <v>2</v>
      </c>
      <c r="T66" s="736">
        <v>6.5</v>
      </c>
      <c r="U66" s="742">
        <v>6.6</v>
      </c>
      <c r="V66" s="412">
        <f t="shared" si="30"/>
        <v>117.89999999999996</v>
      </c>
      <c r="W66" s="651"/>
      <c r="X66" s="646"/>
      <c r="Y66" s="651"/>
      <c r="Z66" s="651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297">
        <f t="shared" ref="B67:U67" si="31">SUM(B60:B66)</f>
        <v>52.3</v>
      </c>
      <c r="C67" s="298">
        <f t="shared" si="31"/>
        <v>52.6</v>
      </c>
      <c r="D67" s="298">
        <f t="shared" si="31"/>
        <v>11.100000000000001</v>
      </c>
      <c r="E67" s="298">
        <f t="shared" si="31"/>
        <v>53.400000000000006</v>
      </c>
      <c r="F67" s="448">
        <f t="shared" si="31"/>
        <v>52.499999999999993</v>
      </c>
      <c r="G67" s="719">
        <f t="shared" si="31"/>
        <v>52.099999999999994</v>
      </c>
      <c r="H67" s="696">
        <f t="shared" si="31"/>
        <v>53.6</v>
      </c>
      <c r="I67" s="696">
        <f t="shared" si="31"/>
        <v>13.4</v>
      </c>
      <c r="J67" s="696">
        <f t="shared" si="31"/>
        <v>53.800000000000004</v>
      </c>
      <c r="K67" s="720">
        <f t="shared" si="31"/>
        <v>53.1</v>
      </c>
      <c r="L67" s="618">
        <f t="shared" si="31"/>
        <v>42.900000000000006</v>
      </c>
      <c r="M67" s="616">
        <f t="shared" si="31"/>
        <v>43.5</v>
      </c>
      <c r="N67" s="616">
        <f t="shared" si="31"/>
        <v>13.100000000000001</v>
      </c>
      <c r="O67" s="616">
        <f t="shared" si="31"/>
        <v>42.4</v>
      </c>
      <c r="P67" s="616">
        <f t="shared" si="31"/>
        <v>43.5</v>
      </c>
      <c r="Q67" s="615">
        <f t="shared" si="31"/>
        <v>44.800000000000004</v>
      </c>
      <c r="R67" s="616">
        <f t="shared" si="31"/>
        <v>45.900000000000006</v>
      </c>
      <c r="S67" s="616">
        <f t="shared" si="31"/>
        <v>14.6</v>
      </c>
      <c r="T67" s="616">
        <f t="shared" si="31"/>
        <v>46.1</v>
      </c>
      <c r="U67" s="617">
        <f t="shared" si="31"/>
        <v>45.900000000000006</v>
      </c>
      <c r="V67" s="449">
        <f t="shared" si="30"/>
        <v>830.6</v>
      </c>
      <c r="W67" s="664"/>
      <c r="X67" s="646"/>
      <c r="Y67" s="651"/>
      <c r="Z67" s="651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159</v>
      </c>
      <c r="C68" s="358">
        <v>160</v>
      </c>
      <c r="D68" s="358">
        <v>159</v>
      </c>
      <c r="E68" s="358">
        <v>159</v>
      </c>
      <c r="F68" s="718">
        <v>159.5</v>
      </c>
      <c r="G68" s="721">
        <v>158.5</v>
      </c>
      <c r="H68" s="698">
        <v>159.5</v>
      </c>
      <c r="I68" s="698">
        <v>160</v>
      </c>
      <c r="J68" s="698">
        <v>160</v>
      </c>
      <c r="K68" s="722">
        <v>158</v>
      </c>
      <c r="L68" s="357">
        <v>157</v>
      </c>
      <c r="M68" s="358">
        <v>159.5</v>
      </c>
      <c r="N68" s="358">
        <v>155.5</v>
      </c>
      <c r="O68" s="358">
        <v>159.5</v>
      </c>
      <c r="P68" s="358">
        <v>159.5</v>
      </c>
      <c r="Q68" s="357">
        <v>160</v>
      </c>
      <c r="R68" s="358">
        <v>160</v>
      </c>
      <c r="S68" s="358">
        <v>160.5</v>
      </c>
      <c r="T68" s="358">
        <v>160.5</v>
      </c>
      <c r="U68" s="624">
        <v>160</v>
      </c>
      <c r="V68" s="296">
        <f>+((V67/V69)/7)*1000</f>
        <v>159.48540706605223</v>
      </c>
      <c r="W68" s="145"/>
      <c r="X68" s="648"/>
      <c r="Y68" s="665"/>
      <c r="Z68" s="522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47</v>
      </c>
      <c r="C69" s="275">
        <v>47</v>
      </c>
      <c r="D69" s="275">
        <v>10</v>
      </c>
      <c r="E69" s="275">
        <v>48</v>
      </c>
      <c r="F69" s="527">
        <v>47</v>
      </c>
      <c r="G69" s="723">
        <v>47</v>
      </c>
      <c r="H69" s="700">
        <v>48</v>
      </c>
      <c r="I69" s="700">
        <v>12</v>
      </c>
      <c r="J69" s="700">
        <v>47</v>
      </c>
      <c r="K69" s="724">
        <v>48</v>
      </c>
      <c r="L69" s="257">
        <v>39</v>
      </c>
      <c r="M69" s="275">
        <v>39</v>
      </c>
      <c r="N69" s="275">
        <v>12</v>
      </c>
      <c r="O69" s="275">
        <v>38</v>
      </c>
      <c r="P69" s="275">
        <v>39</v>
      </c>
      <c r="Q69" s="257">
        <v>40</v>
      </c>
      <c r="R69" s="275">
        <v>41</v>
      </c>
      <c r="S69" s="275">
        <v>13</v>
      </c>
      <c r="T69" s="275">
        <v>41</v>
      </c>
      <c r="U69" s="276">
        <v>41</v>
      </c>
      <c r="V69" s="254">
        <f>SUM(B69:U69)</f>
        <v>744</v>
      </c>
      <c r="W69" s="145"/>
      <c r="X69" s="649"/>
      <c r="Y69" s="665"/>
      <c r="Z69" s="522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 t="shared" ref="B70:K70" si="32">((((B68*7)*B69)/1000)-B60-B61)/5</f>
        <v>7.4622000000000002</v>
      </c>
      <c r="C70" s="31">
        <f t="shared" si="32"/>
        <v>7.4879999999999995</v>
      </c>
      <c r="D70" s="31">
        <f t="shared" si="32"/>
        <v>1.5460000000000003</v>
      </c>
      <c r="E70" s="31">
        <f t="shared" si="32"/>
        <v>7.6047999999999991</v>
      </c>
      <c r="F70" s="163">
        <f t="shared" si="32"/>
        <v>7.415099999999998</v>
      </c>
      <c r="G70" s="725">
        <f>((((G68*7)*G69)/1000)-G60-G61)/5</f>
        <v>7.3893000000000004</v>
      </c>
      <c r="H70" s="702">
        <f t="shared" si="32"/>
        <v>7.678399999999999</v>
      </c>
      <c r="I70" s="702">
        <f t="shared" si="32"/>
        <v>1.9279999999999997</v>
      </c>
      <c r="J70" s="702">
        <f t="shared" si="32"/>
        <v>7.4479999999999986</v>
      </c>
      <c r="K70" s="726">
        <f t="shared" si="32"/>
        <v>7.5775999999999994</v>
      </c>
      <c r="L70" s="30">
        <f>((((L68*7)*L69)/1000)-L60-L61)/5</f>
        <v>6.1321999999999992</v>
      </c>
      <c r="M70" s="30">
        <f t="shared" ref="M70:U70" si="33">((((M68*7)*M69)/1000)-M60-M61)/5</f>
        <v>6.2286999999999999</v>
      </c>
      <c r="N70" s="30">
        <f t="shared" si="33"/>
        <v>1.8523999999999998</v>
      </c>
      <c r="O70" s="30">
        <f t="shared" si="33"/>
        <v>6.045399999999999</v>
      </c>
      <c r="P70" s="30">
        <f t="shared" si="33"/>
        <v>6.1887000000000008</v>
      </c>
      <c r="Q70" s="30">
        <f t="shared" si="33"/>
        <v>6.5199999999999987</v>
      </c>
      <c r="R70" s="30">
        <f t="shared" si="33"/>
        <v>6.5439999999999996</v>
      </c>
      <c r="S70" s="30">
        <f t="shared" si="33"/>
        <v>2.0811000000000002</v>
      </c>
      <c r="T70" s="30">
        <f t="shared" si="33"/>
        <v>6.5726999999999993</v>
      </c>
      <c r="U70" s="30">
        <f t="shared" si="33"/>
        <v>6.5439999999999996</v>
      </c>
      <c r="V70" s="139">
        <f>((V67*1000)/V69)/7</f>
        <v>159.48540706605223</v>
      </c>
      <c r="W70" s="144"/>
      <c r="X70" s="650"/>
      <c r="Y70" s="665"/>
      <c r="Z70" s="522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34">((B69*B68)*7)/1000</f>
        <v>52.311</v>
      </c>
      <c r="C71" s="280">
        <f t="shared" si="34"/>
        <v>52.64</v>
      </c>
      <c r="D71" s="280">
        <f t="shared" si="34"/>
        <v>11.13</v>
      </c>
      <c r="E71" s="280">
        <f t="shared" si="34"/>
        <v>53.423999999999999</v>
      </c>
      <c r="F71" s="281">
        <f t="shared" si="34"/>
        <v>52.475499999999997</v>
      </c>
      <c r="G71" s="464">
        <f t="shared" si="34"/>
        <v>52.146500000000003</v>
      </c>
      <c r="H71" s="459">
        <f>((H69*H68)*7)/1000</f>
        <v>53.591999999999999</v>
      </c>
      <c r="I71" s="459">
        <f t="shared" si="34"/>
        <v>13.44</v>
      </c>
      <c r="J71" s="459">
        <f t="shared" si="34"/>
        <v>52.64</v>
      </c>
      <c r="K71" s="460">
        <f t="shared" si="34"/>
        <v>53.088000000000001</v>
      </c>
      <c r="L71" s="279">
        <f t="shared" si="34"/>
        <v>42.860999999999997</v>
      </c>
      <c r="M71" s="280">
        <f t="shared" si="34"/>
        <v>43.543500000000002</v>
      </c>
      <c r="N71" s="280">
        <f t="shared" si="34"/>
        <v>13.061999999999999</v>
      </c>
      <c r="O71" s="280">
        <f t="shared" si="34"/>
        <v>42.427</v>
      </c>
      <c r="P71" s="280">
        <f t="shared" si="34"/>
        <v>43.543500000000002</v>
      </c>
      <c r="Q71" s="279">
        <f t="shared" si="34"/>
        <v>44.8</v>
      </c>
      <c r="R71" s="280">
        <f t="shared" si="34"/>
        <v>45.92</v>
      </c>
      <c r="S71" s="280">
        <f t="shared" si="34"/>
        <v>14.605499999999999</v>
      </c>
      <c r="T71" s="280">
        <f t="shared" si="34"/>
        <v>46.063499999999998</v>
      </c>
      <c r="U71" s="282">
        <f t="shared" si="34"/>
        <v>45.92</v>
      </c>
      <c r="V71" s="112"/>
      <c r="W71" s="651"/>
      <c r="X71" s="666"/>
      <c r="Y71" s="666"/>
      <c r="Z71" s="666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U72" si="35">+(B67/B69)/7*1000</f>
        <v>158.96656534954406</v>
      </c>
      <c r="C72" s="38">
        <f t="shared" si="35"/>
        <v>159.87841945288753</v>
      </c>
      <c r="D72" s="38">
        <f t="shared" si="35"/>
        <v>158.57142857142858</v>
      </c>
      <c r="E72" s="38">
        <f t="shared" si="35"/>
        <v>158.92857142857144</v>
      </c>
      <c r="F72" s="207">
        <f t="shared" si="35"/>
        <v>159.57446808510636</v>
      </c>
      <c r="G72" s="727">
        <f t="shared" si="35"/>
        <v>158.35866261398175</v>
      </c>
      <c r="H72" s="704">
        <f t="shared" si="35"/>
        <v>159.52380952380955</v>
      </c>
      <c r="I72" s="704">
        <f t="shared" si="35"/>
        <v>159.52380952380955</v>
      </c>
      <c r="J72" s="704">
        <f t="shared" si="35"/>
        <v>163.52583586626142</v>
      </c>
      <c r="K72" s="728">
        <f t="shared" si="35"/>
        <v>158.03571428571428</v>
      </c>
      <c r="L72" s="37">
        <f t="shared" si="35"/>
        <v>157.14285714285717</v>
      </c>
      <c r="M72" s="38">
        <f t="shared" si="35"/>
        <v>159.34065934065936</v>
      </c>
      <c r="N72" s="38">
        <f t="shared" si="35"/>
        <v>155.95238095238099</v>
      </c>
      <c r="O72" s="38">
        <f t="shared" si="35"/>
        <v>159.39849624060147</v>
      </c>
      <c r="P72" s="38">
        <f t="shared" si="35"/>
        <v>159.34065934065936</v>
      </c>
      <c r="Q72" s="37">
        <f t="shared" si="35"/>
        <v>160</v>
      </c>
      <c r="R72" s="38">
        <f t="shared" si="35"/>
        <v>159.93031358885017</v>
      </c>
      <c r="S72" s="38">
        <f t="shared" si="35"/>
        <v>160.43956043956047</v>
      </c>
      <c r="T72" s="38">
        <f t="shared" si="35"/>
        <v>160.62717770034845</v>
      </c>
      <c r="U72" s="39">
        <f t="shared" si="35"/>
        <v>159.93031358885017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43">
        <f>B71-B67</f>
        <v>1.1000000000002785E-2</v>
      </c>
      <c r="C73" s="43">
        <f t="shared" ref="C73:F73" si="36">C71-C67</f>
        <v>3.9999999999999147E-2</v>
      </c>
      <c r="D73" s="43">
        <f t="shared" si="36"/>
        <v>2.9999999999999361E-2</v>
      </c>
      <c r="E73" s="43">
        <f t="shared" si="36"/>
        <v>2.3999999999993804E-2</v>
      </c>
      <c r="F73" s="43">
        <f t="shared" si="36"/>
        <v>-2.4499999999996191E-2</v>
      </c>
      <c r="G73" s="143">
        <f>G71-G67</f>
        <v>4.6500000000008868E-2</v>
      </c>
      <c r="H73" s="143">
        <f t="shared" ref="H73:U74" si="37">H71-H67</f>
        <v>-8.0000000000026716E-3</v>
      </c>
      <c r="I73" s="143">
        <f t="shared" si="37"/>
        <v>3.9999999999999147E-2</v>
      </c>
      <c r="J73" s="143">
        <f t="shared" si="37"/>
        <v>-1.1600000000000037</v>
      </c>
      <c r="K73" s="143">
        <f t="shared" si="37"/>
        <v>-1.2000000000000455E-2</v>
      </c>
      <c r="L73" s="43">
        <f>L71-L67</f>
        <v>-3.9000000000008583E-2</v>
      </c>
      <c r="M73" s="43">
        <f t="shared" ref="M73:P73" si="38">M71-M67</f>
        <v>4.3500000000001648E-2</v>
      </c>
      <c r="N73" s="43">
        <f t="shared" si="38"/>
        <v>-3.8000000000002032E-2</v>
      </c>
      <c r="O73" s="43">
        <f t="shared" si="38"/>
        <v>2.7000000000001023E-2</v>
      </c>
      <c r="P73" s="43">
        <f t="shared" si="38"/>
        <v>4.3500000000001648E-2</v>
      </c>
      <c r="Q73" s="43">
        <f>Q71-Q67</f>
        <v>0</v>
      </c>
      <c r="R73" s="43">
        <f t="shared" ref="R73:U73" si="39">R71-R67</f>
        <v>1.9999999999996021E-2</v>
      </c>
      <c r="S73" s="43">
        <f>S71-S67</f>
        <v>5.4999999999996163E-3</v>
      </c>
      <c r="T73" s="43">
        <f>T71-T67</f>
        <v>-3.6500000000003752E-2</v>
      </c>
      <c r="U73" s="43">
        <f t="shared" si="39"/>
        <v>1.9999999999996021E-2</v>
      </c>
      <c r="W73" s="144"/>
      <c r="X73" s="522"/>
      <c r="Y73" s="522"/>
      <c r="Z73" s="522"/>
    </row>
    <row r="74" spans="1:50" ht="33.75" customHeight="1" x14ac:dyDescent="0.25">
      <c r="B74" s="42">
        <f t="shared" ref="B74:J74" si="40">B72-B68</f>
        <v>-3.3434650455944848E-2</v>
      </c>
      <c r="C74" s="42">
        <f t="shared" si="40"/>
        <v>-0.12158054711247246</v>
      </c>
      <c r="D74" s="42">
        <f t="shared" si="40"/>
        <v>-0.42857142857141639</v>
      </c>
      <c r="E74" s="42">
        <f t="shared" si="40"/>
        <v>-7.1428571428555188E-2</v>
      </c>
      <c r="F74" s="42">
        <f t="shared" si="40"/>
        <v>7.4468085106360604E-2</v>
      </c>
      <c r="G74" s="705">
        <f t="shared" si="40"/>
        <v>-0.1413373860182503</v>
      </c>
      <c r="H74" s="705">
        <f t="shared" si="40"/>
        <v>2.3809523809546818E-2</v>
      </c>
      <c r="I74" s="705">
        <f>I72-I68</f>
        <v>-0.47619047619045318</v>
      </c>
      <c r="J74" s="705">
        <f t="shared" si="40"/>
        <v>3.5258358662614171</v>
      </c>
      <c r="K74" s="705">
        <f t="shared" si="37"/>
        <v>3.5714285714277594E-2</v>
      </c>
      <c r="L74" s="42">
        <f t="shared" si="37"/>
        <v>0.14285714285716722</v>
      </c>
      <c r="M74" s="42">
        <f t="shared" si="37"/>
        <v>-0.15934065934064279</v>
      </c>
      <c r="N74" s="42">
        <f t="shared" si="37"/>
        <v>0.45238095238099163</v>
      </c>
      <c r="O74" s="42">
        <f t="shared" si="37"/>
        <v>-0.10150375939852552</v>
      </c>
      <c r="P74" s="42">
        <f t="shared" si="37"/>
        <v>-0.15934065934064279</v>
      </c>
      <c r="Q74" s="42">
        <f t="shared" si="37"/>
        <v>0</v>
      </c>
      <c r="R74" s="42">
        <f t="shared" si="37"/>
        <v>-6.9686411149831429E-2</v>
      </c>
      <c r="S74" s="42">
        <f t="shared" si="37"/>
        <v>-6.0439560439533579E-2</v>
      </c>
      <c r="T74" s="42">
        <f t="shared" si="37"/>
        <v>0.12717770034845444</v>
      </c>
      <c r="U74" s="42">
        <f t="shared" si="37"/>
        <v>-6.9686411149831429E-2</v>
      </c>
      <c r="V74" s="45"/>
      <c r="W74" s="651"/>
      <c r="X74" s="657"/>
      <c r="Y74" s="657"/>
      <c r="Z74" s="657"/>
      <c r="AA74" s="45"/>
      <c r="AB74" s="45"/>
      <c r="AC74" s="45"/>
      <c r="AD74" s="52"/>
    </row>
    <row r="75" spans="1:50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</row>
    <row r="76" spans="1:50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0" ht="33.75" customHeight="1" x14ac:dyDescent="0.25">
      <c r="A77" s="45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5">
    <mergeCell ref="A3:C3"/>
    <mergeCell ref="E9:G9"/>
    <mergeCell ref="W9:X9"/>
    <mergeCell ref="O11:P11"/>
    <mergeCell ref="B16:H16"/>
    <mergeCell ref="I16:O16"/>
    <mergeCell ref="P16:T16"/>
    <mergeCell ref="U16:Y16"/>
    <mergeCell ref="B39:F39"/>
    <mergeCell ref="G39:G40"/>
    <mergeCell ref="M39:Q39"/>
    <mergeCell ref="B58:F58"/>
    <mergeCell ref="G58:K58"/>
    <mergeCell ref="L58:P58"/>
    <mergeCell ref="Q58:U58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1"/>
  <sheetViews>
    <sheetView topLeftCell="A16" zoomScale="26" zoomScaleNormal="24" workbookViewId="0">
      <selection activeCell="R41" sqref="R41:R47"/>
    </sheetView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44</v>
      </c>
      <c r="P11" s="965"/>
      <c r="Q11" s="6"/>
      <c r="R11" s="6"/>
      <c r="S11" s="6"/>
      <c r="T11" s="1"/>
      <c r="U11" s="1"/>
      <c r="V11" s="1" t="s">
        <v>6</v>
      </c>
      <c r="W11" s="95">
        <v>45656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594"/>
      <c r="I17" s="386" t="s">
        <v>100</v>
      </c>
      <c r="J17" s="438">
        <v>1</v>
      </c>
      <c r="K17" s="438">
        <v>2</v>
      </c>
      <c r="L17" s="438">
        <v>3</v>
      </c>
      <c r="M17" s="438">
        <v>4</v>
      </c>
      <c r="N17" s="439">
        <v>5</v>
      </c>
      <c r="O17" s="594"/>
      <c r="P17" s="202">
        <v>1</v>
      </c>
      <c r="Q17" s="174">
        <v>2</v>
      </c>
      <c r="R17" s="174">
        <v>3</v>
      </c>
      <c r="S17" s="174">
        <v>4</v>
      </c>
      <c r="T17" s="203">
        <v>5</v>
      </c>
      <c r="U17" s="186">
        <v>1</v>
      </c>
      <c r="V17" s="174">
        <v>2</v>
      </c>
      <c r="W17" s="174">
        <v>3</v>
      </c>
      <c r="X17" s="174">
        <v>4</v>
      </c>
      <c r="Y17" s="175">
        <v>5</v>
      </c>
      <c r="Z17" s="126"/>
      <c r="AD17" s="2"/>
      <c r="AE17" s="15"/>
    </row>
    <row r="18" spans="1:40" ht="39.950000000000003" customHeight="1" x14ac:dyDescent="0.25">
      <c r="A18" s="171" t="s">
        <v>53</v>
      </c>
      <c r="B18" s="743">
        <v>309.7</v>
      </c>
      <c r="C18" s="739">
        <v>16.3</v>
      </c>
      <c r="D18" s="739">
        <v>16.8</v>
      </c>
      <c r="E18" s="739">
        <v>3.6</v>
      </c>
      <c r="F18" s="739">
        <v>16.899999999999999</v>
      </c>
      <c r="G18" s="744">
        <v>16.8</v>
      </c>
      <c r="H18" s="506">
        <f>+SUM(B18:G18)</f>
        <v>380.1</v>
      </c>
      <c r="I18" s="745">
        <v>312</v>
      </c>
      <c r="J18" s="739">
        <v>16.600000000000001</v>
      </c>
      <c r="K18" s="739">
        <v>16.899999999999999</v>
      </c>
      <c r="L18" s="739">
        <v>3.8</v>
      </c>
      <c r="M18" s="739">
        <v>16.899999999999999</v>
      </c>
      <c r="N18" s="746">
        <v>16.899999999999999</v>
      </c>
      <c r="O18" s="506">
        <f>+SUM(I18:N18)</f>
        <v>383.09999999999997</v>
      </c>
      <c r="P18" s="747">
        <v>76.5</v>
      </c>
      <c r="Q18" s="459">
        <v>76.5</v>
      </c>
      <c r="R18" s="739">
        <v>22.4</v>
      </c>
      <c r="S18" s="739">
        <v>76.8</v>
      </c>
      <c r="T18" s="746">
        <v>76.5</v>
      </c>
      <c r="U18" s="748">
        <v>78.900000000000006</v>
      </c>
      <c r="V18" s="739">
        <v>80.900000000000006</v>
      </c>
      <c r="W18" s="459">
        <v>22.6</v>
      </c>
      <c r="X18" s="459">
        <v>80.5</v>
      </c>
      <c r="Y18" s="746">
        <v>80.099999999999994</v>
      </c>
      <c r="Z18" s="638">
        <f t="shared" ref="Z18:Z23" si="0">SUM(H18,O18,P18:Y18)</f>
        <v>1434.9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743">
        <v>309.7</v>
      </c>
      <c r="C19" s="739">
        <v>16.3</v>
      </c>
      <c r="D19" s="739">
        <v>16.8</v>
      </c>
      <c r="E19" s="739">
        <v>3.6</v>
      </c>
      <c r="F19" s="739">
        <v>16.899999999999999</v>
      </c>
      <c r="G19" s="744">
        <v>16.8</v>
      </c>
      <c r="H19" s="506">
        <f t="shared" ref="H19:H24" si="1">+SUM(B19:G19)</f>
        <v>380.1</v>
      </c>
      <c r="I19" s="745">
        <v>312</v>
      </c>
      <c r="J19" s="739">
        <v>16.600000000000001</v>
      </c>
      <c r="K19" s="739">
        <v>16.899999999999999</v>
      </c>
      <c r="L19" s="739">
        <v>3.8</v>
      </c>
      <c r="M19" s="739">
        <v>16.899999999999999</v>
      </c>
      <c r="N19" s="746">
        <v>16.899999999999999</v>
      </c>
      <c r="O19" s="506">
        <f t="shared" ref="O19:O24" si="2">+SUM(I19:N19)</f>
        <v>383.09999999999997</v>
      </c>
      <c r="P19" s="747">
        <v>76.5</v>
      </c>
      <c r="Q19" s="459">
        <v>76.5</v>
      </c>
      <c r="R19" s="739">
        <v>22.2</v>
      </c>
      <c r="S19" s="739">
        <v>76.8</v>
      </c>
      <c r="T19" s="746">
        <v>76.5</v>
      </c>
      <c r="U19" s="748">
        <v>78.7</v>
      </c>
      <c r="V19" s="739">
        <v>80.900000000000006</v>
      </c>
      <c r="W19" s="459">
        <v>22.4</v>
      </c>
      <c r="X19" s="459">
        <v>80.400000000000006</v>
      </c>
      <c r="Y19" s="746">
        <v>80.099999999999994</v>
      </c>
      <c r="Z19" s="638">
        <f t="shared" si="0"/>
        <v>1434.2000000000003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743">
        <v>309.7</v>
      </c>
      <c r="C20" s="739">
        <v>16.3</v>
      </c>
      <c r="D20" s="739">
        <v>16.8</v>
      </c>
      <c r="E20" s="739">
        <v>3.6</v>
      </c>
      <c r="F20" s="739">
        <v>16.899999999999999</v>
      </c>
      <c r="G20" s="744">
        <v>16.8</v>
      </c>
      <c r="H20" s="753">
        <f t="shared" si="1"/>
        <v>380.1</v>
      </c>
      <c r="I20" s="745">
        <v>312</v>
      </c>
      <c r="J20" s="739">
        <v>16.600000000000001</v>
      </c>
      <c r="K20" s="739">
        <v>16.899999999999999</v>
      </c>
      <c r="L20" s="739">
        <v>3.8</v>
      </c>
      <c r="M20" s="739">
        <v>16.899999999999999</v>
      </c>
      <c r="N20" s="746">
        <v>16.899999999999999</v>
      </c>
      <c r="O20" s="753">
        <f t="shared" si="2"/>
        <v>383.09999999999997</v>
      </c>
      <c r="P20" s="747">
        <v>76.5</v>
      </c>
      <c r="Q20" s="459">
        <v>76.2</v>
      </c>
      <c r="R20" s="739">
        <v>22</v>
      </c>
      <c r="S20" s="739">
        <v>76.8</v>
      </c>
      <c r="T20" s="746">
        <v>76.5</v>
      </c>
      <c r="U20" s="748">
        <v>78.7</v>
      </c>
      <c r="V20" s="739">
        <v>80.900000000000006</v>
      </c>
      <c r="W20" s="459">
        <v>22.4</v>
      </c>
      <c r="X20" s="459">
        <v>80.400000000000006</v>
      </c>
      <c r="Y20" s="746">
        <v>80.099999999999994</v>
      </c>
      <c r="Z20" s="638">
        <f t="shared" si="0"/>
        <v>1433.7000000000003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743">
        <v>309.7</v>
      </c>
      <c r="C21" s="739">
        <v>16.3</v>
      </c>
      <c r="D21" s="739">
        <v>16.8</v>
      </c>
      <c r="E21" s="739">
        <v>3.6</v>
      </c>
      <c r="F21" s="739">
        <v>16.899999999999999</v>
      </c>
      <c r="G21" s="744">
        <v>16.8</v>
      </c>
      <c r="H21" s="753">
        <f t="shared" si="1"/>
        <v>380.1</v>
      </c>
      <c r="I21" s="745">
        <v>312</v>
      </c>
      <c r="J21" s="739">
        <v>16.600000000000001</v>
      </c>
      <c r="K21" s="739">
        <v>16.899999999999999</v>
      </c>
      <c r="L21" s="739">
        <v>3.8</v>
      </c>
      <c r="M21" s="739">
        <v>16.899999999999999</v>
      </c>
      <c r="N21" s="746">
        <v>16.899999999999999</v>
      </c>
      <c r="O21" s="753">
        <f t="shared" si="2"/>
        <v>383.09999999999997</v>
      </c>
      <c r="P21" s="747">
        <v>76.400000000000006</v>
      </c>
      <c r="Q21" s="459">
        <v>76.2</v>
      </c>
      <c r="R21" s="739">
        <v>22</v>
      </c>
      <c r="S21" s="739">
        <v>76.8</v>
      </c>
      <c r="T21" s="746">
        <v>76.400000000000006</v>
      </c>
      <c r="U21" s="748">
        <v>78.599999999999994</v>
      </c>
      <c r="V21" s="739">
        <v>80.599999999999994</v>
      </c>
      <c r="W21" s="459">
        <v>21.8</v>
      </c>
      <c r="X21" s="459">
        <v>80.400000000000006</v>
      </c>
      <c r="Y21" s="746">
        <v>79.900000000000006</v>
      </c>
      <c r="Z21" s="638">
        <f t="shared" si="0"/>
        <v>1432.3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743">
        <v>309.7</v>
      </c>
      <c r="C22" s="739">
        <v>16.3</v>
      </c>
      <c r="D22" s="739">
        <v>16.8</v>
      </c>
      <c r="E22" s="739">
        <v>3.6</v>
      </c>
      <c r="F22" s="739">
        <v>16.899999999999999</v>
      </c>
      <c r="G22" s="744">
        <v>16.8</v>
      </c>
      <c r="H22" s="506">
        <f t="shared" si="1"/>
        <v>380.1</v>
      </c>
      <c r="I22" s="745">
        <v>312</v>
      </c>
      <c r="J22" s="739">
        <v>16.600000000000001</v>
      </c>
      <c r="K22" s="739">
        <v>16.899999999999999</v>
      </c>
      <c r="L22" s="739">
        <v>3.8</v>
      </c>
      <c r="M22" s="739">
        <v>16.899999999999999</v>
      </c>
      <c r="N22" s="746">
        <v>16.899999999999999</v>
      </c>
      <c r="O22" s="506">
        <f t="shared" si="2"/>
        <v>383.09999999999997</v>
      </c>
      <c r="P22" s="747">
        <v>76.099999999999994</v>
      </c>
      <c r="Q22" s="459">
        <v>76.2</v>
      </c>
      <c r="R22" s="739">
        <v>21.7</v>
      </c>
      <c r="S22" s="739">
        <v>76.7</v>
      </c>
      <c r="T22" s="746">
        <v>76.400000000000006</v>
      </c>
      <c r="U22" s="748">
        <v>78.599999999999994</v>
      </c>
      <c r="V22" s="739">
        <v>80.599999999999994</v>
      </c>
      <c r="W22" s="459">
        <v>21.8</v>
      </c>
      <c r="X22" s="459">
        <v>80.400000000000006</v>
      </c>
      <c r="Y22" s="746">
        <v>79.8</v>
      </c>
      <c r="Z22" s="638">
        <f t="shared" si="0"/>
        <v>1431.5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743">
        <v>309.7</v>
      </c>
      <c r="C23" s="739">
        <v>16.3</v>
      </c>
      <c r="D23" s="739">
        <v>16.8</v>
      </c>
      <c r="E23" s="739">
        <v>3.6</v>
      </c>
      <c r="F23" s="739">
        <v>16.899999999999999</v>
      </c>
      <c r="G23" s="744">
        <v>16.8</v>
      </c>
      <c r="H23" s="506">
        <f t="shared" si="1"/>
        <v>380.1</v>
      </c>
      <c r="I23" s="745">
        <v>312</v>
      </c>
      <c r="J23" s="739">
        <v>16.600000000000001</v>
      </c>
      <c r="K23" s="739">
        <v>16.899999999999999</v>
      </c>
      <c r="L23" s="739">
        <v>3.8</v>
      </c>
      <c r="M23" s="739">
        <v>16.899999999999999</v>
      </c>
      <c r="N23" s="746">
        <v>16.899999999999999</v>
      </c>
      <c r="O23" s="506">
        <f t="shared" si="2"/>
        <v>383.09999999999997</v>
      </c>
      <c r="P23" s="747">
        <v>76</v>
      </c>
      <c r="Q23" s="459">
        <v>76.2</v>
      </c>
      <c r="R23" s="739">
        <v>21.6</v>
      </c>
      <c r="S23" s="739">
        <v>76.2</v>
      </c>
      <c r="T23" s="746">
        <v>76.400000000000006</v>
      </c>
      <c r="U23" s="748">
        <v>78.599999999999994</v>
      </c>
      <c r="V23" s="739">
        <v>80.599999999999994</v>
      </c>
      <c r="W23" s="459">
        <v>21.8</v>
      </c>
      <c r="X23" s="459">
        <v>80.400000000000006</v>
      </c>
      <c r="Y23" s="746">
        <v>79.2</v>
      </c>
      <c r="Z23" s="209">
        <f t="shared" si="0"/>
        <v>1430.2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743">
        <v>309.7</v>
      </c>
      <c r="C24" s="739">
        <v>16.3</v>
      </c>
      <c r="D24" s="739">
        <v>16.8</v>
      </c>
      <c r="E24" s="739">
        <v>3.6</v>
      </c>
      <c r="F24" s="739">
        <v>16.899999999999999</v>
      </c>
      <c r="G24" s="744">
        <v>16.8</v>
      </c>
      <c r="H24" s="506">
        <f t="shared" si="1"/>
        <v>380.1</v>
      </c>
      <c r="I24" s="745">
        <v>312</v>
      </c>
      <c r="J24" s="739">
        <v>16.600000000000001</v>
      </c>
      <c r="K24" s="739">
        <v>16.899999999999999</v>
      </c>
      <c r="L24" s="739">
        <v>3.8</v>
      </c>
      <c r="M24" s="739">
        <v>16.899999999999999</v>
      </c>
      <c r="N24" s="746">
        <v>16.899999999999999</v>
      </c>
      <c r="O24" s="506">
        <f t="shared" si="2"/>
        <v>383.09999999999997</v>
      </c>
      <c r="P24" s="747">
        <v>76</v>
      </c>
      <c r="Q24" s="459">
        <v>76.2</v>
      </c>
      <c r="R24" s="739">
        <v>21.6</v>
      </c>
      <c r="S24" s="739">
        <v>76.099999999999994</v>
      </c>
      <c r="T24" s="746">
        <v>76.400000000000006</v>
      </c>
      <c r="U24" s="748">
        <v>78.599999999999994</v>
      </c>
      <c r="V24" s="739">
        <v>80.599999999999994</v>
      </c>
      <c r="W24" s="459">
        <v>21.8</v>
      </c>
      <c r="X24" s="459">
        <v>80.400000000000006</v>
      </c>
      <c r="Y24" s="746">
        <v>79.2</v>
      </c>
      <c r="Z24" s="412">
        <f t="shared" ref="Z24" si="3">SUM(H24,O24,P24:Y24)</f>
        <v>1430.1000000000001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298">
        <f t="shared" ref="C25:G25" si="4">SUM(C18:C24)</f>
        <v>114.1</v>
      </c>
      <c r="D25" s="298">
        <f t="shared" si="4"/>
        <v>117.6</v>
      </c>
      <c r="E25" s="298">
        <f t="shared" si="4"/>
        <v>25.200000000000003</v>
      </c>
      <c r="F25" s="298">
        <f t="shared" si="4"/>
        <v>118.30000000000001</v>
      </c>
      <c r="G25" s="448">
        <f t="shared" si="4"/>
        <v>117.6</v>
      </c>
      <c r="H25" s="436"/>
      <c r="I25" s="297"/>
      <c r="J25" s="298">
        <f t="shared" ref="J25:N25" si="5">SUM(J18:J24)</f>
        <v>116.19999999999999</v>
      </c>
      <c r="K25" s="298">
        <f>SUM(K18:K24)</f>
        <v>118.30000000000001</v>
      </c>
      <c r="L25" s="298">
        <f t="shared" si="5"/>
        <v>26.6</v>
      </c>
      <c r="M25" s="298">
        <f t="shared" si="5"/>
        <v>118.30000000000001</v>
      </c>
      <c r="N25" s="299">
        <f t="shared" si="5"/>
        <v>118.30000000000001</v>
      </c>
      <c r="O25" s="436"/>
      <c r="P25" s="297">
        <f t="shared" ref="P25:W25" si="6">SUM(P18:P24)</f>
        <v>534</v>
      </c>
      <c r="Q25" s="297">
        <f t="shared" si="6"/>
        <v>534</v>
      </c>
      <c r="R25" s="297">
        <f t="shared" si="6"/>
        <v>153.5</v>
      </c>
      <c r="S25" s="297">
        <f t="shared" si="6"/>
        <v>536.19999999999993</v>
      </c>
      <c r="T25" s="297">
        <f t="shared" si="6"/>
        <v>535.09999999999991</v>
      </c>
      <c r="U25" s="297">
        <f t="shared" si="6"/>
        <v>550.70000000000005</v>
      </c>
      <c r="V25" s="297">
        <f t="shared" si="6"/>
        <v>565.1</v>
      </c>
      <c r="W25" s="297">
        <f t="shared" si="6"/>
        <v>154.60000000000002</v>
      </c>
      <c r="X25" s="297">
        <f>SUM(X18:X24)</f>
        <v>562.9</v>
      </c>
      <c r="Y25" s="297">
        <f>SUM(Y18:Y24)</f>
        <v>558.4</v>
      </c>
      <c r="Z25" s="607">
        <f>SUM(Z18,Z19,Z20,Z21,Z22,Z23,Z24)</f>
        <v>10026.900000000001</v>
      </c>
      <c r="AA25" s="301"/>
    </row>
    <row r="26" spans="1:40" s="2" customFormat="1" ht="36.75" customHeight="1" x14ac:dyDescent="0.25">
      <c r="A26" s="192" t="s">
        <v>11</v>
      </c>
      <c r="B26" s="293"/>
      <c r="C26" s="603">
        <v>158.91999999999987</v>
      </c>
      <c r="D26" s="603">
        <v>158.91999999999987</v>
      </c>
      <c r="E26" s="603">
        <v>158.91999999999987</v>
      </c>
      <c r="F26" s="603">
        <v>158.91999999999987</v>
      </c>
      <c r="G26" s="603">
        <v>158.91999999999987</v>
      </c>
      <c r="H26" s="678"/>
      <c r="I26" s="604"/>
      <c r="J26" s="603">
        <v>158.91999999999987</v>
      </c>
      <c r="K26" s="603">
        <v>158.91999999999987</v>
      </c>
      <c r="L26" s="603">
        <v>158.91999999999987</v>
      </c>
      <c r="M26" s="603">
        <v>158.91999999999987</v>
      </c>
      <c r="N26" s="603">
        <v>158.91999999999987</v>
      </c>
      <c r="O26" s="678"/>
      <c r="P26" s="603">
        <v>158.91999999999987</v>
      </c>
      <c r="Q26" s="603">
        <v>158.91999999999987</v>
      </c>
      <c r="R26" s="603">
        <v>158.91999999999987</v>
      </c>
      <c r="S26" s="603">
        <v>158.91999999999987</v>
      </c>
      <c r="T26" s="603">
        <v>158.91999999999987</v>
      </c>
      <c r="U26" s="603">
        <v>158.91999999999987</v>
      </c>
      <c r="V26" s="603">
        <v>158.91999999999987</v>
      </c>
      <c r="W26" s="603">
        <v>158.91999999999987</v>
      </c>
      <c r="X26" s="603">
        <v>158.91999999999987</v>
      </c>
      <c r="Y26" s="603">
        <v>158.91999999999987</v>
      </c>
      <c r="Z26" s="605">
        <f>(((Z25*1000)/7)/Z27)</f>
        <v>159.49385210046609</v>
      </c>
    </row>
    <row r="27" spans="1:40" s="2" customFormat="1" ht="33" customHeight="1" x14ac:dyDescent="0.25">
      <c r="A27" s="193" t="s">
        <v>12</v>
      </c>
      <c r="B27" s="257"/>
      <c r="C27" s="27">
        <v>549</v>
      </c>
      <c r="D27" s="27">
        <v>571</v>
      </c>
      <c r="E27" s="27">
        <v>118</v>
      </c>
      <c r="F27" s="27">
        <v>571</v>
      </c>
      <c r="G27" s="183">
        <v>571</v>
      </c>
      <c r="H27" s="679"/>
      <c r="I27" s="26"/>
      <c r="J27" s="27">
        <v>559</v>
      </c>
      <c r="K27" s="27">
        <v>572</v>
      </c>
      <c r="L27" s="483">
        <v>116</v>
      </c>
      <c r="M27" s="27">
        <v>573</v>
      </c>
      <c r="N27" s="183">
        <v>570</v>
      </c>
      <c r="O27" s="679"/>
      <c r="P27" s="64">
        <v>480</v>
      </c>
      <c r="Q27" s="27">
        <v>480</v>
      </c>
      <c r="R27" s="27">
        <v>138</v>
      </c>
      <c r="S27" s="27">
        <v>482</v>
      </c>
      <c r="T27" s="623">
        <v>481</v>
      </c>
      <c r="U27" s="26">
        <v>495</v>
      </c>
      <c r="V27" s="27">
        <v>508</v>
      </c>
      <c r="W27" s="27">
        <v>139</v>
      </c>
      <c r="X27" s="27">
        <v>506</v>
      </c>
      <c r="Y27" s="28">
        <v>502</v>
      </c>
      <c r="Z27" s="29">
        <f>SUM(C27:Y27)</f>
        <v>8981</v>
      </c>
      <c r="AA27" s="402"/>
    </row>
    <row r="28" spans="1:40" s="2" customFormat="1" ht="33" customHeight="1" x14ac:dyDescent="0.25">
      <c r="A28" s="444" t="s">
        <v>13</v>
      </c>
      <c r="B28" s="445"/>
      <c r="C28" s="31">
        <f>(C33*C27)/1000</f>
        <v>15.87707999999993</v>
      </c>
      <c r="D28" s="31">
        <f>(D33*D27)/1000</f>
        <v>16.513319999999926</v>
      </c>
      <c r="E28" s="31">
        <f t="shared" ref="E28:F28" si="7">(E33*E27)/1000</f>
        <v>3.4125599999999849</v>
      </c>
      <c r="F28" s="31">
        <f t="shared" si="7"/>
        <v>16.513319999999926</v>
      </c>
      <c r="G28" s="163">
        <f>(G33*G27)/1000</f>
        <v>16.513319999999926</v>
      </c>
      <c r="H28" s="286"/>
      <c r="I28" s="30"/>
      <c r="J28" s="31">
        <f>(J33*J27)/1000</f>
        <v>16.166279999999929</v>
      </c>
      <c r="K28" s="31">
        <f t="shared" ref="K28:N28" si="8">(K33*K27)/1000</f>
        <v>16.542239999999929</v>
      </c>
      <c r="L28" s="31">
        <f t="shared" si="8"/>
        <v>3.3547199999999853</v>
      </c>
      <c r="M28" s="31">
        <f t="shared" si="8"/>
        <v>16.571159999999928</v>
      </c>
      <c r="N28" s="163">
        <f t="shared" si="8"/>
        <v>16.48439999999993</v>
      </c>
      <c r="O28" s="286"/>
      <c r="P28" s="65">
        <f>((((P26*7)*P27)/1000)-P18-P19)/5</f>
        <v>76.194239999999922</v>
      </c>
      <c r="Q28" s="31">
        <f t="shared" ref="Q28" si="9">((((Q26*7)*Q27)/1000)-Q18-Q19)/5</f>
        <v>76.194239999999922</v>
      </c>
      <c r="R28" s="31">
        <f>((((R26*7)*R27)/1000))/7</f>
        <v>21.930959999999981</v>
      </c>
      <c r="S28" s="31">
        <f t="shared" ref="S28:Y28" si="10">((((S26*7)*S27)/1000))/7</f>
        <v>76.599439999999944</v>
      </c>
      <c r="T28" s="31">
        <f t="shared" si="10"/>
        <v>76.44051999999995</v>
      </c>
      <c r="U28" s="31">
        <f t="shared" si="10"/>
        <v>78.665399999999948</v>
      </c>
      <c r="V28" s="31">
        <f t="shared" si="10"/>
        <v>80.731359999999924</v>
      </c>
      <c r="W28" s="31">
        <f t="shared" si="10"/>
        <v>22.089879999999987</v>
      </c>
      <c r="X28" s="31">
        <f t="shared" si="10"/>
        <v>80.413519999999934</v>
      </c>
      <c r="Y28" s="31">
        <f t="shared" si="10"/>
        <v>79.777839999999941</v>
      </c>
      <c r="Z28" s="33"/>
    </row>
    <row r="29" spans="1:40" ht="33.75" customHeight="1" x14ac:dyDescent="0.25">
      <c r="A29" s="185" t="s">
        <v>14</v>
      </c>
      <c r="B29" s="34"/>
      <c r="C29" s="280">
        <f>((C27*C30)*7)/1000</f>
        <v>114.09999999999998</v>
      </c>
      <c r="D29" s="280">
        <f t="shared" ref="D29:G29" si="11">((D27*D30)*7)/1000</f>
        <v>117.6</v>
      </c>
      <c r="E29" s="280">
        <f>((E27*E30)*7)/1000</f>
        <v>25.2</v>
      </c>
      <c r="F29" s="280">
        <f t="shared" si="11"/>
        <v>118.3</v>
      </c>
      <c r="G29" s="281">
        <f t="shared" si="11"/>
        <v>117.6</v>
      </c>
      <c r="H29" s="680"/>
      <c r="I29" s="279"/>
      <c r="J29" s="280">
        <f>((J27*J30)*7)/1000</f>
        <v>116.19999999999997</v>
      </c>
      <c r="K29" s="280">
        <f t="shared" ref="K29:N29" si="12">((K27*K30)*7)/1000</f>
        <v>118.3</v>
      </c>
      <c r="L29" s="280">
        <f t="shared" si="12"/>
        <v>26.6</v>
      </c>
      <c r="M29" s="280">
        <f t="shared" si="12"/>
        <v>118.3</v>
      </c>
      <c r="N29" s="281">
        <f t="shared" si="12"/>
        <v>118.30000000000003</v>
      </c>
      <c r="O29" s="680"/>
      <c r="P29" s="325">
        <f t="shared" ref="P29:Y29" si="13">((P27*P26)*7)/1000</f>
        <v>533.9711999999995</v>
      </c>
      <c r="Q29" s="280">
        <f t="shared" si="13"/>
        <v>533.9711999999995</v>
      </c>
      <c r="R29" s="280">
        <f t="shared" si="13"/>
        <v>153.51671999999985</v>
      </c>
      <c r="S29" s="280">
        <f t="shared" si="13"/>
        <v>536.1960799999996</v>
      </c>
      <c r="T29" s="282">
        <f t="shared" si="13"/>
        <v>535.08363999999972</v>
      </c>
      <c r="U29" s="279">
        <f t="shared" si="13"/>
        <v>550.65779999999961</v>
      </c>
      <c r="V29" s="280">
        <f t="shared" si="13"/>
        <v>565.11951999999951</v>
      </c>
      <c r="W29" s="280">
        <f t="shared" si="13"/>
        <v>154.6291599999999</v>
      </c>
      <c r="X29" s="280">
        <f t="shared" si="13"/>
        <v>562.89463999999953</v>
      </c>
      <c r="Y29" s="282">
        <f t="shared" si="13"/>
        <v>558.44487999999956</v>
      </c>
      <c r="Z29" s="36"/>
    </row>
    <row r="30" spans="1:40" ht="33.75" customHeight="1" thickBot="1" x14ac:dyDescent="0.3">
      <c r="A30" s="195" t="s">
        <v>15</v>
      </c>
      <c r="B30" s="423"/>
      <c r="C30" s="38">
        <f>+(C25/C27)/7*1000</f>
        <v>29.690346083788704</v>
      </c>
      <c r="D30" s="38">
        <f t="shared" ref="D30:X30" si="14">+(D25/D27)/7*1000</f>
        <v>29.422066549912437</v>
      </c>
      <c r="E30" s="38">
        <f>+(E25/E27)/7*1000</f>
        <v>30.508474576271187</v>
      </c>
      <c r="F30" s="38">
        <f t="shared" si="14"/>
        <v>29.597197898423818</v>
      </c>
      <c r="G30" s="207">
        <f t="shared" si="14"/>
        <v>29.422066549912437</v>
      </c>
      <c r="H30" s="262"/>
      <c r="I30" s="37"/>
      <c r="J30" s="38">
        <f t="shared" si="14"/>
        <v>29.695885509838991</v>
      </c>
      <c r="K30" s="38">
        <f t="shared" si="14"/>
        <v>29.545454545454547</v>
      </c>
      <c r="L30" s="38">
        <f t="shared" si="14"/>
        <v>32.758620689655174</v>
      </c>
      <c r="M30" s="38">
        <f t="shared" si="14"/>
        <v>29.493891797556721</v>
      </c>
      <c r="N30" s="207">
        <f>+(N25/N27)/7*1000</f>
        <v>29.649122807017548</v>
      </c>
      <c r="O30" s="262"/>
      <c r="P30" s="67">
        <f t="shared" si="14"/>
        <v>158.92857142857144</v>
      </c>
      <c r="Q30" s="38">
        <f t="shared" si="14"/>
        <v>158.92857142857144</v>
      </c>
      <c r="R30" s="38">
        <f t="shared" si="14"/>
        <v>158.90269151138716</v>
      </c>
      <c r="S30" s="38">
        <f t="shared" si="14"/>
        <v>158.9211618257261</v>
      </c>
      <c r="T30" s="39">
        <f t="shared" si="14"/>
        <v>158.92485892485888</v>
      </c>
      <c r="U30" s="37">
        <f t="shared" si="14"/>
        <v>158.93217893217894</v>
      </c>
      <c r="V30" s="38">
        <f t="shared" si="14"/>
        <v>158.91451068616425</v>
      </c>
      <c r="W30" s="38">
        <f t="shared" si="14"/>
        <v>158.8900308324769</v>
      </c>
      <c r="X30" s="38">
        <f t="shared" si="14"/>
        <v>158.92151326933936</v>
      </c>
      <c r="Y30" s="38">
        <f>+(Y25/Y27)/7*1000</f>
        <v>158.90722822993737</v>
      </c>
      <c r="Z30" s="40"/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5">D29-D25</f>
        <v>0</v>
      </c>
      <c r="E31" s="42">
        <f t="shared" si="15"/>
        <v>0</v>
      </c>
      <c r="F31" s="42">
        <f t="shared" si="15"/>
        <v>0</v>
      </c>
      <c r="G31" s="42">
        <f t="shared" si="15"/>
        <v>0</v>
      </c>
      <c r="H31" s="42"/>
      <c r="I31" s="42"/>
      <c r="J31" s="42">
        <f t="shared" si="15"/>
        <v>0</v>
      </c>
      <c r="K31" s="42">
        <f>K29-K25</f>
        <v>0</v>
      </c>
      <c r="L31" s="42">
        <f t="shared" si="15"/>
        <v>0</v>
      </c>
      <c r="M31" s="42">
        <f t="shared" si="15"/>
        <v>0</v>
      </c>
      <c r="N31" s="42">
        <f t="shared" si="15"/>
        <v>0</v>
      </c>
      <c r="O31" s="42"/>
      <c r="P31" s="42">
        <f>P29-P25</f>
        <v>-2.8800000000501313E-2</v>
      </c>
      <c r="Q31" s="42">
        <f>Q29-Q25</f>
        <v>-2.8800000000501313E-2</v>
      </c>
      <c r="R31" s="42">
        <f t="shared" si="15"/>
        <v>1.6719999999850188E-2</v>
      </c>
      <c r="S31" s="42">
        <f t="shared" si="15"/>
        <v>-3.9200000003347668E-3</v>
      </c>
      <c r="T31" s="42">
        <f t="shared" si="15"/>
        <v>-1.6360000000190666E-2</v>
      </c>
      <c r="U31" s="42">
        <f>U29-U25</f>
        <v>-4.2200000000434557E-2</v>
      </c>
      <c r="V31" s="42">
        <f t="shared" si="15"/>
        <v>1.9519999999488391E-2</v>
      </c>
      <c r="W31" s="42">
        <f t="shared" si="15"/>
        <v>2.9159999999876618E-2</v>
      </c>
      <c r="X31" s="42">
        <f t="shared" si="15"/>
        <v>-5.360000000450782E-3</v>
      </c>
      <c r="Y31" s="42">
        <f>Y29-Y25</f>
        <v>4.4879999999579923E-2</v>
      </c>
      <c r="Z31" s="48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0.77034608378883007</v>
      </c>
      <c r="D32" s="42">
        <f t="shared" ref="D32:G32" si="16">D30-D33</f>
        <v>0.50206654991256272</v>
      </c>
      <c r="E32" s="42">
        <f>E30-E33</f>
        <v>1.5884745762713131</v>
      </c>
      <c r="F32" s="42">
        <f t="shared" si="16"/>
        <v>0.67719789842394462</v>
      </c>
      <c r="G32" s="42">
        <f t="shared" si="16"/>
        <v>0.50206654991256272</v>
      </c>
      <c r="H32" s="42"/>
      <c r="I32" s="42"/>
      <c r="J32" s="42">
        <f t="shared" ref="J32:M32" si="17">J30-J33</f>
        <v>0.7758855098391173</v>
      </c>
      <c r="K32" s="42">
        <f t="shared" si="17"/>
        <v>0.62545454545467294</v>
      </c>
      <c r="L32" s="42">
        <f t="shared" si="17"/>
        <v>3.8386206896553006</v>
      </c>
      <c r="M32" s="42">
        <f t="shared" si="17"/>
        <v>0.57389179755684694</v>
      </c>
      <c r="N32" s="42">
        <f>N30-N33</f>
        <v>0.72912280701767429</v>
      </c>
      <c r="O32" s="42"/>
      <c r="P32" s="42">
        <f>P30-P26</f>
        <v>8.5714285715710048E-3</v>
      </c>
      <c r="Q32" s="42">
        <f t="shared" si="15"/>
        <v>8.5714285715710048E-3</v>
      </c>
      <c r="R32" s="42">
        <f t="shared" si="15"/>
        <v>-1.7308488612712836E-2</v>
      </c>
      <c r="S32" s="42">
        <f t="shared" si="15"/>
        <v>1.1618257262284715E-3</v>
      </c>
      <c r="T32" s="42">
        <f t="shared" si="15"/>
        <v>4.8589248590076295E-3</v>
      </c>
      <c r="U32" s="42">
        <f t="shared" si="15"/>
        <v>1.2178932179068624E-2</v>
      </c>
      <c r="V32" s="42">
        <f t="shared" si="15"/>
        <v>-5.4893138356248983E-3</v>
      </c>
      <c r="W32" s="42">
        <f t="shared" si="15"/>
        <v>-2.9969167522978069E-2</v>
      </c>
      <c r="X32" s="42">
        <f t="shared" si="15"/>
        <v>1.5132693394832586E-3</v>
      </c>
      <c r="Y32" s="42">
        <f t="shared" si="15"/>
        <v>-1.2771770062499854E-2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28.919999999999874</v>
      </c>
      <c r="D33" s="42">
        <f t="shared" ref="D33:G33" si="18">D26-$B$34</f>
        <v>28.919999999999874</v>
      </c>
      <c r="E33" s="42">
        <f>E26-$B$34</f>
        <v>28.919999999999874</v>
      </c>
      <c r="F33" s="42">
        <f t="shared" si="18"/>
        <v>28.919999999999874</v>
      </c>
      <c r="G33" s="42">
        <f t="shared" si="18"/>
        <v>28.919999999999874</v>
      </c>
      <c r="H33" s="42"/>
      <c r="I33" s="42"/>
      <c r="J33" s="42">
        <f>J26-$I$34</f>
        <v>28.919999999999874</v>
      </c>
      <c r="K33" s="42">
        <f t="shared" ref="K33:L33" si="19">K26-$I$34</f>
        <v>28.919999999999874</v>
      </c>
      <c r="L33" s="42">
        <f t="shared" si="19"/>
        <v>28.919999999999874</v>
      </c>
      <c r="M33" s="42">
        <f>M26-$I$34</f>
        <v>28.919999999999874</v>
      </c>
      <c r="N33" s="42">
        <f>N26-$I$34</f>
        <v>28.919999999999874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309.39999999999998</v>
      </c>
      <c r="D34" s="432">
        <f>SUM(C27:G27)</f>
        <v>2380</v>
      </c>
      <c r="E34" s="42"/>
      <c r="F34" s="42"/>
      <c r="G34" s="42"/>
      <c r="H34" s="42"/>
      <c r="I34" s="514">
        <v>130</v>
      </c>
      <c r="J34" s="431">
        <f>(I34*K34)/1000</f>
        <v>310.7</v>
      </c>
      <c r="K34" s="432">
        <f>SUM(J27:N27)</f>
        <v>2390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1002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674" t="s">
        <v>9</v>
      </c>
      <c r="S39" s="645"/>
      <c r="U39" s="45"/>
      <c r="V39" s="45"/>
      <c r="W39" s="46"/>
      <c r="X39" s="3"/>
      <c r="Y39" s="45"/>
      <c r="Z39" s="45"/>
      <c r="AA39" s="45"/>
      <c r="AB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1003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168">
        <v>5</v>
      </c>
      <c r="R40" s="236"/>
      <c r="S40" s="645"/>
      <c r="U40" s="47"/>
      <c r="X40" s="48"/>
      <c r="Y40" s="2"/>
      <c r="Z40" s="2"/>
      <c r="AA40" s="2"/>
      <c r="AB40" s="2"/>
    </row>
    <row r="41" spans="1:38" ht="33.75" customHeight="1" x14ac:dyDescent="0.25">
      <c r="A41" s="171" t="s">
        <v>32</v>
      </c>
      <c r="B41" s="279">
        <v>87.6</v>
      </c>
      <c r="C41" s="280">
        <v>87.6</v>
      </c>
      <c r="D41" s="280">
        <v>17.399999999999999</v>
      </c>
      <c r="E41" s="280">
        <v>89.6</v>
      </c>
      <c r="F41" s="281">
        <v>87.6</v>
      </c>
      <c r="G41" s="638">
        <f t="shared" ref="G41:G48" si="20">SUM(B41:F41)</f>
        <v>369.79999999999995</v>
      </c>
      <c r="H41" s="364"/>
      <c r="I41" s="364"/>
      <c r="J41" s="364"/>
      <c r="K41" s="364"/>
      <c r="L41" s="171" t="s">
        <v>53</v>
      </c>
      <c r="M41" s="745">
        <v>7</v>
      </c>
      <c r="N41" s="767">
        <v>6.9</v>
      </c>
      <c r="O41" s="741">
        <v>1.1000000000000001</v>
      </c>
      <c r="P41" s="767">
        <v>7</v>
      </c>
      <c r="Q41" s="767">
        <v>7</v>
      </c>
      <c r="R41" s="750">
        <f t="shared" ref="R41:R48" si="21">SUM(M41:Q41)</f>
        <v>29</v>
      </c>
      <c r="S41" s="646"/>
      <c r="T41" s="675"/>
      <c r="U41" s="657"/>
      <c r="X41" s="48"/>
      <c r="Y41" s="2"/>
      <c r="Z41" s="2"/>
      <c r="AA41" s="2"/>
      <c r="AB41" s="2"/>
    </row>
    <row r="42" spans="1:38" ht="33.75" customHeight="1" x14ac:dyDescent="0.25">
      <c r="A42" s="171" t="s">
        <v>24</v>
      </c>
      <c r="B42" s="279">
        <v>87.4</v>
      </c>
      <c r="C42" s="280">
        <v>87.4</v>
      </c>
      <c r="D42" s="280">
        <v>17.399999999999999</v>
      </c>
      <c r="E42" s="280">
        <v>89.6</v>
      </c>
      <c r="F42" s="281">
        <v>87.4</v>
      </c>
      <c r="G42" s="638">
        <f t="shared" si="20"/>
        <v>369.20000000000005</v>
      </c>
      <c r="H42" s="364"/>
      <c r="I42" s="364"/>
      <c r="J42" s="364"/>
      <c r="K42" s="364"/>
      <c r="L42" s="171" t="s">
        <v>24</v>
      </c>
      <c r="M42" s="279">
        <v>7</v>
      </c>
      <c r="N42" s="280">
        <v>6.9</v>
      </c>
      <c r="O42" s="280">
        <v>1.1000000000000001</v>
      </c>
      <c r="P42" s="280">
        <v>7</v>
      </c>
      <c r="Q42" s="280">
        <v>7</v>
      </c>
      <c r="R42" s="752">
        <f t="shared" si="21"/>
        <v>29</v>
      </c>
      <c r="S42" s="646"/>
      <c r="T42" s="647"/>
      <c r="U42" s="658"/>
      <c r="X42" s="48"/>
      <c r="Y42" s="2"/>
      <c r="Z42" s="2"/>
      <c r="AA42" s="2"/>
      <c r="AB42" s="2"/>
    </row>
    <row r="43" spans="1:38" ht="33.75" customHeight="1" x14ac:dyDescent="0.25">
      <c r="A43" s="171" t="s">
        <v>20</v>
      </c>
      <c r="B43" s="279">
        <v>87.4</v>
      </c>
      <c r="C43" s="280">
        <v>87.4</v>
      </c>
      <c r="D43" s="280">
        <v>17.399999999999999</v>
      </c>
      <c r="E43" s="280">
        <v>89.6</v>
      </c>
      <c r="F43" s="281">
        <v>87.4</v>
      </c>
      <c r="G43" s="638">
        <f t="shared" si="20"/>
        <v>369.20000000000005</v>
      </c>
      <c r="H43" s="364"/>
      <c r="I43" s="364"/>
      <c r="J43" s="364"/>
      <c r="K43" s="364"/>
      <c r="L43" s="171" t="s">
        <v>20</v>
      </c>
      <c r="M43" s="279">
        <v>7</v>
      </c>
      <c r="N43" s="280">
        <v>7</v>
      </c>
      <c r="O43" s="280">
        <v>1.3</v>
      </c>
      <c r="P43" s="280">
        <v>7.1</v>
      </c>
      <c r="Q43" s="280">
        <v>7</v>
      </c>
      <c r="R43" s="752">
        <f t="shared" si="21"/>
        <v>29.4</v>
      </c>
      <c r="S43" s="646"/>
      <c r="T43" s="647"/>
      <c r="U43" s="658"/>
      <c r="X43" s="48"/>
      <c r="Y43" s="2"/>
      <c r="Z43" s="2"/>
      <c r="AA43" s="2"/>
      <c r="AB43" s="2"/>
    </row>
    <row r="44" spans="1:38" ht="33.75" customHeight="1" x14ac:dyDescent="0.25">
      <c r="A44" s="171" t="s">
        <v>28</v>
      </c>
      <c r="B44" s="279">
        <v>87.3</v>
      </c>
      <c r="C44" s="280">
        <v>86.8</v>
      </c>
      <c r="D44" s="280">
        <v>16.899999999999999</v>
      </c>
      <c r="E44" s="280">
        <v>89</v>
      </c>
      <c r="F44" s="281">
        <v>86.5</v>
      </c>
      <c r="G44" s="638">
        <f t="shared" si="20"/>
        <v>366.5</v>
      </c>
      <c r="H44" s="651"/>
      <c r="I44" s="364"/>
      <c r="J44" s="364"/>
      <c r="K44" s="364"/>
      <c r="L44" s="171" t="s">
        <v>28</v>
      </c>
      <c r="M44" s="279">
        <v>7</v>
      </c>
      <c r="N44" s="280">
        <v>7</v>
      </c>
      <c r="O44" s="280">
        <v>1.3</v>
      </c>
      <c r="P44" s="280">
        <v>7.1</v>
      </c>
      <c r="Q44" s="280">
        <v>7</v>
      </c>
      <c r="R44" s="752">
        <f t="shared" si="21"/>
        <v>29.4</v>
      </c>
      <c r="S44" s="646"/>
      <c r="T44" s="647"/>
      <c r="U44" s="658"/>
      <c r="X44" s="48"/>
      <c r="Y44" s="2"/>
      <c r="Z44" s="2"/>
      <c r="AA44" s="2"/>
      <c r="AB44" s="2"/>
    </row>
    <row r="45" spans="1:38" ht="33.75" customHeight="1" x14ac:dyDescent="0.25">
      <c r="A45" s="171" t="s">
        <v>21</v>
      </c>
      <c r="B45" s="279">
        <v>87.3</v>
      </c>
      <c r="C45" s="280">
        <v>86.8</v>
      </c>
      <c r="D45" s="280">
        <v>16.8</v>
      </c>
      <c r="E45" s="280">
        <v>89</v>
      </c>
      <c r="F45" s="281">
        <v>86.5</v>
      </c>
      <c r="G45" s="638">
        <f t="shared" si="20"/>
        <v>366.4</v>
      </c>
      <c r="H45" s="651"/>
      <c r="I45" s="364"/>
      <c r="J45" s="364"/>
      <c r="K45" s="364"/>
      <c r="L45" s="171" t="s">
        <v>21</v>
      </c>
      <c r="M45" s="279">
        <v>7</v>
      </c>
      <c r="N45" s="280">
        <v>7</v>
      </c>
      <c r="O45" s="280">
        <v>1.3</v>
      </c>
      <c r="P45" s="280">
        <v>7.1</v>
      </c>
      <c r="Q45" s="280">
        <v>7.1</v>
      </c>
      <c r="R45" s="752">
        <f t="shared" si="21"/>
        <v>29.5</v>
      </c>
      <c r="S45" s="646"/>
      <c r="T45" s="647"/>
      <c r="U45" s="658"/>
      <c r="X45" s="48"/>
      <c r="Y45" s="2"/>
      <c r="Z45" s="2"/>
      <c r="AA45" s="2"/>
      <c r="AB45" s="2"/>
    </row>
    <row r="46" spans="1:38" ht="33.75" customHeight="1" x14ac:dyDescent="0.25">
      <c r="A46" s="171" t="s">
        <v>22</v>
      </c>
      <c r="B46" s="279">
        <v>87.3</v>
      </c>
      <c r="C46" s="280">
        <v>86.8</v>
      </c>
      <c r="D46" s="280">
        <v>16.3</v>
      </c>
      <c r="E46" s="280">
        <v>89</v>
      </c>
      <c r="F46" s="281">
        <v>86</v>
      </c>
      <c r="G46" s="209">
        <f t="shared" si="20"/>
        <v>365.4</v>
      </c>
      <c r="H46" s="651"/>
      <c r="I46" s="364"/>
      <c r="J46" s="364"/>
      <c r="K46" s="364"/>
      <c r="L46" s="171" t="s">
        <v>22</v>
      </c>
      <c r="M46" s="279">
        <v>7</v>
      </c>
      <c r="N46" s="280">
        <v>7</v>
      </c>
      <c r="O46" s="280">
        <v>1.3</v>
      </c>
      <c r="P46" s="280">
        <v>7.1</v>
      </c>
      <c r="Q46" s="280">
        <v>7.1</v>
      </c>
      <c r="R46" s="98">
        <f t="shared" si="21"/>
        <v>29.5</v>
      </c>
      <c r="S46" s="646"/>
      <c r="T46" s="647"/>
      <c r="U46" s="658"/>
      <c r="X46" s="48"/>
      <c r="Y46" s="2"/>
      <c r="Z46" s="2"/>
      <c r="AA46" s="2"/>
      <c r="AB46" s="2"/>
    </row>
    <row r="47" spans="1:38" ht="33.75" customHeight="1" thickBot="1" x14ac:dyDescent="0.3">
      <c r="A47" s="285" t="s">
        <v>23</v>
      </c>
      <c r="B47" s="279">
        <v>87.3</v>
      </c>
      <c r="C47" s="280">
        <v>86.7</v>
      </c>
      <c r="D47" s="280">
        <v>16.2</v>
      </c>
      <c r="E47" s="280">
        <v>88.9</v>
      </c>
      <c r="F47" s="281">
        <v>85.9</v>
      </c>
      <c r="G47" s="376">
        <f t="shared" si="20"/>
        <v>365</v>
      </c>
      <c r="H47" s="651"/>
      <c r="I47" s="364"/>
      <c r="J47" s="364"/>
      <c r="K47" s="364"/>
      <c r="L47" s="285" t="s">
        <v>23</v>
      </c>
      <c r="M47" s="279">
        <v>7.1</v>
      </c>
      <c r="N47" s="280">
        <v>6.9</v>
      </c>
      <c r="O47" s="280">
        <v>1.4</v>
      </c>
      <c r="P47" s="280">
        <v>7.2</v>
      </c>
      <c r="Q47" s="280">
        <v>7.1</v>
      </c>
      <c r="R47" s="372">
        <f t="shared" si="21"/>
        <v>29.700000000000003</v>
      </c>
      <c r="S47" s="646"/>
      <c r="T47" s="647"/>
      <c r="U47" s="658"/>
      <c r="X47" s="48"/>
      <c r="Y47" s="48"/>
      <c r="Z47" s="48"/>
      <c r="AA47" s="2"/>
      <c r="AB47" s="2"/>
      <c r="AC47" s="2"/>
      <c r="AD47" s="2"/>
    </row>
    <row r="48" spans="1:38" ht="33.75" customHeight="1" thickBot="1" x14ac:dyDescent="0.3">
      <c r="A48" s="290" t="s">
        <v>9</v>
      </c>
      <c r="B48" s="297">
        <f>SUM(B41:B47)</f>
        <v>611.59999999999991</v>
      </c>
      <c r="C48" s="298">
        <f t="shared" ref="C48:F48" si="22">SUM(C41:C47)</f>
        <v>609.5</v>
      </c>
      <c r="D48" s="298">
        <f t="shared" si="22"/>
        <v>118.39999999999999</v>
      </c>
      <c r="E48" s="298">
        <f t="shared" si="22"/>
        <v>624.69999999999993</v>
      </c>
      <c r="F48" s="448">
        <f t="shared" si="22"/>
        <v>607.29999999999995</v>
      </c>
      <c r="G48" s="729">
        <f t="shared" si="20"/>
        <v>2571.5</v>
      </c>
      <c r="H48" s="364"/>
      <c r="I48" s="364"/>
      <c r="J48" s="364"/>
      <c r="K48" s="364"/>
      <c r="L48" s="290" t="s">
        <v>9</v>
      </c>
      <c r="M48" s="687">
        <f>SUM(M41:M47)</f>
        <v>49.1</v>
      </c>
      <c r="N48" s="688">
        <f>SUM(N41:N47)</f>
        <v>48.699999999999996</v>
      </c>
      <c r="O48" s="688">
        <f>SUM(O41:O47)</f>
        <v>8.7999999999999989</v>
      </c>
      <c r="P48" s="688">
        <f t="shared" ref="P48:Q48" si="23">SUM(P41:P47)</f>
        <v>49.600000000000009</v>
      </c>
      <c r="Q48" s="688">
        <f t="shared" si="23"/>
        <v>49.300000000000004</v>
      </c>
      <c r="R48" s="607">
        <f t="shared" si="21"/>
        <v>205.5</v>
      </c>
      <c r="S48" s="647"/>
      <c r="T48" s="647"/>
      <c r="U48" s="658"/>
      <c r="X48" s="2"/>
      <c r="Y48" s="2"/>
      <c r="Z48" s="2"/>
      <c r="AA48" s="2"/>
      <c r="AB48" s="2"/>
      <c r="AC48" s="2"/>
      <c r="AD48" s="2"/>
    </row>
    <row r="49" spans="1:50" ht="33.75" customHeight="1" x14ac:dyDescent="0.25">
      <c r="A49" s="192" t="s">
        <v>11</v>
      </c>
      <c r="B49" s="751">
        <v>155.19999999999999</v>
      </c>
      <c r="C49" s="751">
        <v>155.19999999999999</v>
      </c>
      <c r="D49" s="751">
        <v>155.19999999999999</v>
      </c>
      <c r="E49" s="751">
        <v>155.19999999999999</v>
      </c>
      <c r="F49" s="751">
        <v>155.19999999999999</v>
      </c>
      <c r="G49" s="730">
        <f>+((G48/G50)/7)*1000</f>
        <v>155.19946888768183</v>
      </c>
      <c r="H49" s="609"/>
      <c r="I49" s="364"/>
      <c r="J49" s="364"/>
      <c r="K49" s="364"/>
      <c r="L49" s="273" t="s">
        <v>11</v>
      </c>
      <c r="M49" s="293">
        <v>159.5</v>
      </c>
      <c r="N49" s="294">
        <v>158</v>
      </c>
      <c r="O49" s="294">
        <v>157.5</v>
      </c>
      <c r="P49" s="294">
        <v>157.5</v>
      </c>
      <c r="Q49" s="294">
        <v>156.5</v>
      </c>
      <c r="R49" s="296">
        <f>+((R48/R50)/7)*1000</f>
        <v>157.83410138248846</v>
      </c>
      <c r="S49" s="648"/>
      <c r="T49" s="647"/>
      <c r="U49" s="658"/>
      <c r="V49" s="50"/>
    </row>
    <row r="50" spans="1:50" ht="33.75" customHeight="1" x14ac:dyDescent="0.25">
      <c r="A50" s="193" t="s">
        <v>12</v>
      </c>
      <c r="B50" s="26">
        <v>563</v>
      </c>
      <c r="C50" s="27">
        <v>561</v>
      </c>
      <c r="D50" s="27">
        <v>109</v>
      </c>
      <c r="E50" s="27">
        <v>575</v>
      </c>
      <c r="F50" s="183">
        <v>559</v>
      </c>
      <c r="G50" s="731">
        <f>SUM(B50:F50)</f>
        <v>2367</v>
      </c>
      <c r="H50" s="609"/>
      <c r="I50" s="364"/>
      <c r="J50" s="364"/>
      <c r="K50" s="364"/>
      <c r="L50" s="193" t="s">
        <v>12</v>
      </c>
      <c r="M50" s="257">
        <v>44</v>
      </c>
      <c r="N50" s="275">
        <v>44</v>
      </c>
      <c r="O50" s="275">
        <v>8</v>
      </c>
      <c r="P50" s="275">
        <v>45</v>
      </c>
      <c r="Q50" s="275">
        <v>45</v>
      </c>
      <c r="R50" s="254">
        <f>SUM(M50:Q50)</f>
        <v>186</v>
      </c>
      <c r="S50" s="649"/>
      <c r="T50" s="301"/>
      <c r="U50" s="52"/>
      <c r="V50" s="52"/>
    </row>
    <row r="51" spans="1:50" ht="33.75" customHeight="1" x14ac:dyDescent="0.25">
      <c r="A51" s="194" t="s">
        <v>13</v>
      </c>
      <c r="B51" s="30">
        <f>((((B49*7)*B50)/1000))/7</f>
        <v>87.377600000000001</v>
      </c>
      <c r="C51" s="30">
        <f t="shared" ref="C51:F51" si="24">((((C49*7)*C50)/1000))/7</f>
        <v>87.067199999999985</v>
      </c>
      <c r="D51" s="30">
        <f t="shared" si="24"/>
        <v>16.916799999999999</v>
      </c>
      <c r="E51" s="30">
        <f t="shared" si="24"/>
        <v>89.239999999999981</v>
      </c>
      <c r="F51" s="30">
        <f t="shared" si="24"/>
        <v>86.756799999999998</v>
      </c>
      <c r="G51" s="732">
        <f>((G48*1000)/G50)/7</f>
        <v>155.19946888768183</v>
      </c>
      <c r="H51" s="609"/>
      <c r="I51" s="364"/>
      <c r="J51" s="364"/>
      <c r="K51" s="364"/>
      <c r="L51" s="194" t="s">
        <v>13</v>
      </c>
      <c r="M51" s="30">
        <f>((((M49*7)*M50)/1000)-M41-M42)/5</f>
        <v>7.0251999999999999</v>
      </c>
      <c r="N51" s="31">
        <f t="shared" ref="N51:Q51" si="25">((((N49*7)*N50)/1000)-N41-N42)/5</f>
        <v>6.9728000000000012</v>
      </c>
      <c r="O51" s="31">
        <f t="shared" si="25"/>
        <v>1.3240000000000003</v>
      </c>
      <c r="P51" s="31">
        <f t="shared" si="25"/>
        <v>7.1224999999999996</v>
      </c>
      <c r="Q51" s="31">
        <f t="shared" si="25"/>
        <v>7.0594999999999999</v>
      </c>
      <c r="R51" s="274">
        <f>((R48*1000)/R50)/7</f>
        <v>157.83410138248846</v>
      </c>
      <c r="S51" s="650"/>
      <c r="T51" s="301"/>
      <c r="U51" s="52"/>
      <c r="V51" s="52"/>
    </row>
    <row r="52" spans="1:50" ht="33.75" customHeight="1" x14ac:dyDescent="0.25">
      <c r="A52" s="185" t="s">
        <v>14</v>
      </c>
      <c r="B52" s="279">
        <f>((B50*B49)*7)/1000</f>
        <v>611.64319999999998</v>
      </c>
      <c r="C52" s="280">
        <f>((C50*C49)*7)/1000</f>
        <v>609.47040000000004</v>
      </c>
      <c r="D52" s="280">
        <f>((D50*D49)*7)/1000</f>
        <v>118.41759999999999</v>
      </c>
      <c r="E52" s="280">
        <f>((E50*E49)*7)/1000</f>
        <v>624.67999999999995</v>
      </c>
      <c r="F52" s="281">
        <f>((F50*F49)*7)/1000</f>
        <v>607.29759999999987</v>
      </c>
      <c r="G52" s="73"/>
      <c r="H52" s="609"/>
      <c r="I52" s="364"/>
      <c r="J52" s="364"/>
      <c r="K52" s="364"/>
      <c r="L52" s="185" t="s">
        <v>14</v>
      </c>
      <c r="M52" s="279">
        <f>((M50*M49)*7)/1000</f>
        <v>49.125999999999998</v>
      </c>
      <c r="N52" s="280">
        <f>((N50*N49)*7)/1000</f>
        <v>48.664000000000001</v>
      </c>
      <c r="O52" s="280">
        <f>((O50*O49)*7)/1000</f>
        <v>8.82</v>
      </c>
      <c r="P52" s="280">
        <f t="shared" ref="P52" si="26">((P50*P49)*7)/1000</f>
        <v>49.612499999999997</v>
      </c>
      <c r="Q52" s="280">
        <f>((Q50*Q49)*7)/1000</f>
        <v>49.297499999999999</v>
      </c>
      <c r="R52" s="36"/>
      <c r="S52" s="522"/>
    </row>
    <row r="53" spans="1:50" ht="33.75" customHeight="1" thickBot="1" x14ac:dyDescent="0.3">
      <c r="A53" s="195" t="s">
        <v>15</v>
      </c>
      <c r="B53" s="37">
        <f>+(B48/B50)/7*1000</f>
        <v>155.18903831514842</v>
      </c>
      <c r="C53" s="38">
        <f t="shared" ref="C53:E53" si="27">+(C48/C50)/7*1000</f>
        <v>155.20753756047873</v>
      </c>
      <c r="D53" s="38">
        <f t="shared" si="27"/>
        <v>155.17693315858452</v>
      </c>
      <c r="E53" s="38">
        <f t="shared" si="27"/>
        <v>155.20496894409936</v>
      </c>
      <c r="F53" s="207">
        <f>+(F48/F50)/7*1000</f>
        <v>155.20061334014821</v>
      </c>
      <c r="G53" s="74"/>
      <c r="H53" s="609"/>
      <c r="I53" s="364"/>
      <c r="J53" s="364"/>
      <c r="K53" s="364"/>
      <c r="L53" s="195" t="s">
        <v>15</v>
      </c>
      <c r="M53" s="37">
        <f>+(M48/M50)/7*1000</f>
        <v>159.41558441558442</v>
      </c>
      <c r="N53" s="38">
        <f>+(N48/N50)/7*1000</f>
        <v>158.11688311688309</v>
      </c>
      <c r="O53" s="38">
        <f>+(O48/O50)/7*1000</f>
        <v>157.14285714285711</v>
      </c>
      <c r="P53" s="38">
        <f t="shared" ref="P53:Q53" si="28">+(P48/P50)/7*1000</f>
        <v>157.4603174603175</v>
      </c>
      <c r="Q53" s="38">
        <f t="shared" si="28"/>
        <v>156.50793650793651</v>
      </c>
      <c r="R53" s="259"/>
      <c r="S53" s="651"/>
      <c r="U53" s="42"/>
      <c r="V53" s="42"/>
    </row>
    <row r="54" spans="1:50" ht="33.75" customHeight="1" x14ac:dyDescent="0.25">
      <c r="A54" s="41"/>
      <c r="B54" s="43">
        <f>B52-B48</f>
        <v>4.3200000000069849E-2</v>
      </c>
      <c r="C54" s="43">
        <f t="shared" ref="C54:D55" si="29">C52-C48</f>
        <v>-2.9599999999959437E-2</v>
      </c>
      <c r="D54" s="43">
        <f t="shared" si="29"/>
        <v>1.7600000000001614E-2</v>
      </c>
      <c r="E54" s="43">
        <f>E52-E48</f>
        <v>-1.999999999998181E-2</v>
      </c>
      <c r="F54" s="43">
        <f>F52-F48</f>
        <v>-2.4000000000796717E-3</v>
      </c>
      <c r="G54" s="41"/>
      <c r="H54" s="41"/>
      <c r="I54" s="41"/>
      <c r="J54" s="41"/>
      <c r="K54" s="41"/>
      <c r="L54" s="42"/>
      <c r="M54" s="42">
        <f>M52-M48</f>
        <v>2.5999999999996248E-2</v>
      </c>
      <c r="N54" s="42">
        <f>N52-N48</f>
        <v>-3.5999999999994259E-2</v>
      </c>
      <c r="O54" s="42">
        <f t="shared" ref="N54:Q55" si="30">O52-O48</f>
        <v>2.000000000000135E-2</v>
      </c>
      <c r="P54" s="42">
        <f t="shared" si="30"/>
        <v>1.2499999999988631E-2</v>
      </c>
      <c r="Q54" s="42">
        <f t="shared" si="30"/>
        <v>-2.5000000000048317E-3</v>
      </c>
      <c r="R54" s="42"/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-1.0961684851565678E-2</v>
      </c>
      <c r="C55" s="42">
        <f>C53-C49</f>
        <v>7.5375604787382144E-3</v>
      </c>
      <c r="D55" s="42">
        <f t="shared" si="29"/>
        <v>-2.3066841415470662E-2</v>
      </c>
      <c r="E55" s="42">
        <f>E53-E49</f>
        <v>4.9689440993745393E-3</v>
      </c>
      <c r="F55" s="42">
        <f>F53-F49</f>
        <v>6.1334014822023164E-4</v>
      </c>
      <c r="G55" s="41"/>
      <c r="H55" s="41"/>
      <c r="I55" s="41"/>
      <c r="J55" s="41"/>
      <c r="K55" s="42"/>
      <c r="L55" s="42"/>
      <c r="M55" s="42">
        <f>M53-M49</f>
        <v>-8.4415584415580724E-2</v>
      </c>
      <c r="N55" s="42">
        <f t="shared" si="30"/>
        <v>0.11688311688308772</v>
      </c>
      <c r="O55" s="42">
        <f>O53-O49</f>
        <v>-0.35714285714288962</v>
      </c>
      <c r="P55" s="42">
        <f>P53-P49</f>
        <v>-3.9682539682502238E-2</v>
      </c>
      <c r="Q55" s="42">
        <f t="shared" si="30"/>
        <v>7.936507936506132E-3</v>
      </c>
      <c r="R55" s="42"/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283"/>
      <c r="N57" s="283"/>
      <c r="O57" s="283"/>
      <c r="P57" s="283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99" t="s">
        <v>30</v>
      </c>
      <c r="H58" s="1000"/>
      <c r="I58" s="1000"/>
      <c r="J58" s="1000"/>
      <c r="K58" s="1001"/>
      <c r="L58" s="973" t="s">
        <v>29</v>
      </c>
      <c r="M58" s="974"/>
      <c r="N58" s="974"/>
      <c r="O58" s="974"/>
      <c r="P58" s="991"/>
      <c r="Q58" s="973" t="s">
        <v>31</v>
      </c>
      <c r="R58" s="974"/>
      <c r="S58" s="974"/>
      <c r="T58" s="974"/>
      <c r="U58" s="991"/>
      <c r="V58" s="586" t="s">
        <v>9</v>
      </c>
      <c r="W58" s="661"/>
      <c r="X58" s="662"/>
      <c r="Y58" s="522"/>
      <c r="Z58" s="522"/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692">
        <v>1</v>
      </c>
      <c r="H59" s="693">
        <v>2</v>
      </c>
      <c r="I59" s="693">
        <v>3</v>
      </c>
      <c r="J59" s="693">
        <v>4</v>
      </c>
      <c r="K59" s="693">
        <v>5</v>
      </c>
      <c r="L59" s="188">
        <v>1</v>
      </c>
      <c r="M59" s="168">
        <v>2</v>
      </c>
      <c r="N59" s="168">
        <v>3</v>
      </c>
      <c r="O59" s="168">
        <v>4</v>
      </c>
      <c r="P59" s="414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126"/>
      <c r="W59" s="663"/>
      <c r="X59" s="645"/>
      <c r="Y59" s="657"/>
      <c r="Z59" s="657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25">
      <c r="A60" s="171" t="s">
        <v>53</v>
      </c>
      <c r="B60" s="735">
        <v>7.5</v>
      </c>
      <c r="C60" s="736">
        <v>7.6</v>
      </c>
      <c r="D60" s="736">
        <v>1.7</v>
      </c>
      <c r="E60" s="736">
        <v>7.7</v>
      </c>
      <c r="F60" s="737">
        <v>7.7</v>
      </c>
      <c r="G60" s="738">
        <v>7.6</v>
      </c>
      <c r="H60" s="739">
        <v>7.6</v>
      </c>
      <c r="I60" s="739">
        <v>1.9</v>
      </c>
      <c r="J60" s="739">
        <v>7.6</v>
      </c>
      <c r="K60" s="739">
        <v>7.6</v>
      </c>
      <c r="L60" s="745">
        <v>6.1</v>
      </c>
      <c r="M60" s="736">
        <v>6.2</v>
      </c>
      <c r="N60" s="736">
        <v>1.9</v>
      </c>
      <c r="O60" s="736">
        <v>6.1</v>
      </c>
      <c r="P60" s="742">
        <v>6.3</v>
      </c>
      <c r="Q60" s="737">
        <v>6.1</v>
      </c>
      <c r="R60" s="736">
        <v>6.6</v>
      </c>
      <c r="S60" s="736">
        <v>2.1</v>
      </c>
      <c r="T60" s="736">
        <v>6.6</v>
      </c>
      <c r="U60" s="742">
        <v>6.6</v>
      </c>
      <c r="V60" s="749">
        <f t="shared" ref="V60:V67" si="31">SUM(B60:U60)</f>
        <v>119.09999999999997</v>
      </c>
      <c r="W60" s="651"/>
      <c r="X60" s="646"/>
      <c r="Y60" s="657"/>
      <c r="Z60" s="657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25">
      <c r="A61" s="171" t="s">
        <v>24</v>
      </c>
      <c r="B61" s="735">
        <v>7.5</v>
      </c>
      <c r="C61" s="736">
        <v>7.6</v>
      </c>
      <c r="D61" s="736">
        <v>1.7</v>
      </c>
      <c r="E61" s="736">
        <v>7.7</v>
      </c>
      <c r="F61" s="737">
        <v>7.7</v>
      </c>
      <c r="G61" s="738">
        <v>7.6</v>
      </c>
      <c r="H61" s="739">
        <v>7.6</v>
      </c>
      <c r="I61" s="739">
        <v>1.9</v>
      </c>
      <c r="J61" s="739">
        <v>7.5</v>
      </c>
      <c r="K61" s="739">
        <v>7.6</v>
      </c>
      <c r="L61" s="279">
        <v>6.1</v>
      </c>
      <c r="M61" s="280">
        <v>6.2</v>
      </c>
      <c r="N61" s="280">
        <v>1.9</v>
      </c>
      <c r="O61" s="280">
        <v>6.1</v>
      </c>
      <c r="P61" s="282">
        <v>6.3</v>
      </c>
      <c r="Q61" s="737">
        <v>6.1</v>
      </c>
      <c r="R61" s="736">
        <v>6.6</v>
      </c>
      <c r="S61" s="736">
        <v>2.1</v>
      </c>
      <c r="T61" s="736">
        <v>6.6</v>
      </c>
      <c r="U61" s="742">
        <v>6.6</v>
      </c>
      <c r="V61" s="749">
        <f t="shared" si="31"/>
        <v>118.99999999999997</v>
      </c>
      <c r="W61" s="651"/>
      <c r="X61" s="646"/>
      <c r="Y61" s="651"/>
      <c r="Z61" s="651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25">
      <c r="A62" s="171" t="s">
        <v>20</v>
      </c>
      <c r="B62" s="735">
        <v>7.6</v>
      </c>
      <c r="C62" s="736">
        <v>7.6</v>
      </c>
      <c r="D62" s="736">
        <v>1.6</v>
      </c>
      <c r="E62" s="736">
        <v>7.7</v>
      </c>
      <c r="F62" s="737">
        <v>7.6</v>
      </c>
      <c r="G62" s="738">
        <v>7.5</v>
      </c>
      <c r="H62" s="739">
        <v>7.8</v>
      </c>
      <c r="I62" s="739">
        <v>1.9</v>
      </c>
      <c r="J62" s="739">
        <v>7.6</v>
      </c>
      <c r="K62" s="739">
        <v>7.7</v>
      </c>
      <c r="L62" s="279">
        <v>6.2</v>
      </c>
      <c r="M62" s="280">
        <v>6.3</v>
      </c>
      <c r="N62" s="280">
        <v>1.9</v>
      </c>
      <c r="O62" s="280">
        <v>6.1</v>
      </c>
      <c r="P62" s="282">
        <v>6.3</v>
      </c>
      <c r="Q62" s="737">
        <v>6.6</v>
      </c>
      <c r="R62" s="736">
        <v>6.6</v>
      </c>
      <c r="S62" s="736">
        <v>2.1</v>
      </c>
      <c r="T62" s="736">
        <v>6.7</v>
      </c>
      <c r="U62" s="742">
        <v>6.6</v>
      </c>
      <c r="V62" s="749">
        <f t="shared" si="31"/>
        <v>119.99999999999997</v>
      </c>
      <c r="W62" s="651"/>
      <c r="X62" s="646"/>
      <c r="Y62" s="651"/>
      <c r="Z62" s="651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25">
      <c r="A63" s="171" t="s">
        <v>28</v>
      </c>
      <c r="B63" s="735">
        <v>7.6</v>
      </c>
      <c r="C63" s="736">
        <v>7.6</v>
      </c>
      <c r="D63" s="736">
        <v>1.6</v>
      </c>
      <c r="E63" s="736">
        <v>7.7</v>
      </c>
      <c r="F63" s="737">
        <v>7.5</v>
      </c>
      <c r="G63" s="738">
        <v>7.5</v>
      </c>
      <c r="H63" s="739">
        <v>7.8</v>
      </c>
      <c r="I63" s="739">
        <v>1.9</v>
      </c>
      <c r="J63" s="739">
        <v>7.6</v>
      </c>
      <c r="K63" s="739">
        <v>7.7</v>
      </c>
      <c r="L63" s="279">
        <v>6.2</v>
      </c>
      <c r="M63" s="280">
        <v>6.3</v>
      </c>
      <c r="N63" s="280">
        <v>1.9</v>
      </c>
      <c r="O63" s="280">
        <v>6.1</v>
      </c>
      <c r="P63" s="282">
        <v>6.3</v>
      </c>
      <c r="Q63" s="737">
        <v>6.6</v>
      </c>
      <c r="R63" s="736">
        <v>6.6</v>
      </c>
      <c r="S63" s="736">
        <v>2.1</v>
      </c>
      <c r="T63" s="736">
        <v>6.7</v>
      </c>
      <c r="U63" s="742">
        <v>6.4</v>
      </c>
      <c r="V63" s="749">
        <f t="shared" si="31"/>
        <v>119.69999999999999</v>
      </c>
      <c r="W63" s="651"/>
      <c r="X63" s="646"/>
      <c r="Y63" s="651"/>
      <c r="Z63" s="651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25">
      <c r="A64" s="171" t="s">
        <v>21</v>
      </c>
      <c r="B64" s="735">
        <v>7.6</v>
      </c>
      <c r="C64" s="736">
        <v>7.6</v>
      </c>
      <c r="D64" s="736">
        <v>1.6</v>
      </c>
      <c r="E64" s="736">
        <v>7.7</v>
      </c>
      <c r="F64" s="737">
        <v>7.5</v>
      </c>
      <c r="G64" s="738">
        <v>7.5</v>
      </c>
      <c r="H64" s="739">
        <v>7.7</v>
      </c>
      <c r="I64" s="739">
        <v>2</v>
      </c>
      <c r="J64" s="739">
        <v>7.6</v>
      </c>
      <c r="K64" s="739">
        <v>7.7</v>
      </c>
      <c r="L64" s="279">
        <v>6.2</v>
      </c>
      <c r="M64" s="280">
        <v>6.3</v>
      </c>
      <c r="N64" s="280">
        <v>1.9</v>
      </c>
      <c r="O64" s="280">
        <v>6.1</v>
      </c>
      <c r="P64" s="282">
        <v>6.3</v>
      </c>
      <c r="Q64" s="737">
        <v>6.6</v>
      </c>
      <c r="R64" s="736">
        <v>6.6</v>
      </c>
      <c r="S64" s="736">
        <v>2.1</v>
      </c>
      <c r="T64" s="736">
        <v>6.6</v>
      </c>
      <c r="U64" s="742">
        <v>6.3</v>
      </c>
      <c r="V64" s="749">
        <f t="shared" si="31"/>
        <v>119.49999999999997</v>
      </c>
      <c r="W64" s="651"/>
      <c r="X64" s="646"/>
      <c r="Y64" s="651"/>
      <c r="Z64" s="651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25">
      <c r="A65" s="171" t="s">
        <v>22</v>
      </c>
      <c r="B65" s="735">
        <v>7.6</v>
      </c>
      <c r="C65" s="736">
        <v>7.5</v>
      </c>
      <c r="D65" s="736">
        <v>1.6</v>
      </c>
      <c r="E65" s="736">
        <v>7.7</v>
      </c>
      <c r="F65" s="737">
        <v>7.5</v>
      </c>
      <c r="G65" s="738">
        <v>7.5</v>
      </c>
      <c r="H65" s="739">
        <v>7.7</v>
      </c>
      <c r="I65" s="739">
        <v>1</v>
      </c>
      <c r="J65" s="739">
        <v>7.6</v>
      </c>
      <c r="K65" s="739">
        <v>7.7</v>
      </c>
      <c r="L65" s="279">
        <v>6.2</v>
      </c>
      <c r="M65" s="280">
        <v>6.3</v>
      </c>
      <c r="N65" s="280">
        <v>1.9</v>
      </c>
      <c r="O65" s="280">
        <v>6.1</v>
      </c>
      <c r="P65" s="282">
        <v>6.3</v>
      </c>
      <c r="Q65" s="737">
        <v>6.6</v>
      </c>
      <c r="R65" s="736">
        <v>6.6</v>
      </c>
      <c r="S65" s="736">
        <v>2.1</v>
      </c>
      <c r="T65" s="736">
        <v>6.6</v>
      </c>
      <c r="U65" s="742">
        <v>6.3</v>
      </c>
      <c r="V65" s="412">
        <f t="shared" si="31"/>
        <v>118.39999999999998</v>
      </c>
      <c r="W65" s="651"/>
      <c r="X65" s="646"/>
      <c r="Y65" s="651"/>
      <c r="Z65" s="651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3">
      <c r="A66" s="171" t="s">
        <v>23</v>
      </c>
      <c r="B66" s="735">
        <v>7.6</v>
      </c>
      <c r="C66" s="736">
        <v>7.5</v>
      </c>
      <c r="D66" s="736">
        <v>1.5</v>
      </c>
      <c r="E66" s="736">
        <v>7.7</v>
      </c>
      <c r="F66" s="737">
        <v>7.5</v>
      </c>
      <c r="G66" s="738">
        <v>7.4</v>
      </c>
      <c r="H66" s="739">
        <v>7.7</v>
      </c>
      <c r="I66" s="739">
        <v>1</v>
      </c>
      <c r="J66" s="739">
        <v>7.5</v>
      </c>
      <c r="K66" s="739">
        <v>7.6</v>
      </c>
      <c r="L66" s="279">
        <v>6.1</v>
      </c>
      <c r="M66" s="280">
        <v>6.2</v>
      </c>
      <c r="N66" s="280">
        <v>1.8</v>
      </c>
      <c r="O66" s="280">
        <v>6.1</v>
      </c>
      <c r="P66" s="282">
        <v>6.2</v>
      </c>
      <c r="Q66" s="737">
        <v>6.6</v>
      </c>
      <c r="R66" s="736">
        <v>6.6</v>
      </c>
      <c r="S66" s="736">
        <v>2.1</v>
      </c>
      <c r="T66" s="736">
        <v>6.6</v>
      </c>
      <c r="U66" s="742">
        <v>6.3</v>
      </c>
      <c r="V66" s="412">
        <f t="shared" si="31"/>
        <v>117.59999999999998</v>
      </c>
      <c r="W66" s="651"/>
      <c r="X66" s="646"/>
      <c r="Y66" s="651"/>
      <c r="Z66" s="651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297">
        <f t="shared" ref="B67:U67" si="32">SUM(B60:B66)</f>
        <v>53.000000000000007</v>
      </c>
      <c r="C67" s="298">
        <f t="shared" si="32"/>
        <v>53</v>
      </c>
      <c r="D67" s="298">
        <f t="shared" si="32"/>
        <v>11.299999999999999</v>
      </c>
      <c r="E67" s="298">
        <f t="shared" si="32"/>
        <v>53.900000000000006</v>
      </c>
      <c r="F67" s="448">
        <f t="shared" si="32"/>
        <v>53</v>
      </c>
      <c r="G67" s="719">
        <f t="shared" si="32"/>
        <v>52.6</v>
      </c>
      <c r="H67" s="696">
        <f t="shared" si="32"/>
        <v>53.900000000000006</v>
      </c>
      <c r="I67" s="696">
        <f t="shared" si="32"/>
        <v>11.6</v>
      </c>
      <c r="J67" s="696">
        <f t="shared" si="32"/>
        <v>53</v>
      </c>
      <c r="K67" s="720">
        <f t="shared" si="32"/>
        <v>53.6</v>
      </c>
      <c r="L67" s="618">
        <f t="shared" si="32"/>
        <v>43.1</v>
      </c>
      <c r="M67" s="616">
        <f t="shared" si="32"/>
        <v>43.800000000000004</v>
      </c>
      <c r="N67" s="616">
        <f t="shared" si="32"/>
        <v>13.200000000000001</v>
      </c>
      <c r="O67" s="616">
        <f t="shared" si="32"/>
        <v>42.7</v>
      </c>
      <c r="P67" s="616">
        <f t="shared" si="32"/>
        <v>44</v>
      </c>
      <c r="Q67" s="615">
        <f t="shared" si="32"/>
        <v>45.2</v>
      </c>
      <c r="R67" s="616">
        <f t="shared" si="32"/>
        <v>46.2</v>
      </c>
      <c r="S67" s="616">
        <f t="shared" si="32"/>
        <v>14.7</v>
      </c>
      <c r="T67" s="616">
        <f t="shared" si="32"/>
        <v>46.4</v>
      </c>
      <c r="U67" s="617">
        <f t="shared" si="32"/>
        <v>45.099999999999987</v>
      </c>
      <c r="V67" s="449">
        <f t="shared" si="31"/>
        <v>833.3000000000003</v>
      </c>
      <c r="W67" s="664"/>
      <c r="X67" s="646"/>
      <c r="Y67" s="651"/>
      <c r="Z67" s="651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161</v>
      </c>
      <c r="C68" s="358">
        <v>161</v>
      </c>
      <c r="D68" s="358">
        <v>161</v>
      </c>
      <c r="E68" s="358">
        <v>160.5</v>
      </c>
      <c r="F68" s="718">
        <v>161</v>
      </c>
      <c r="G68" s="721">
        <v>160</v>
      </c>
      <c r="H68" s="698">
        <v>160.5</v>
      </c>
      <c r="I68" s="698">
        <v>162</v>
      </c>
      <c r="J68" s="698">
        <v>161</v>
      </c>
      <c r="K68" s="722">
        <v>159.5</v>
      </c>
      <c r="L68" s="357">
        <v>158</v>
      </c>
      <c r="M68" s="358">
        <v>160.5</v>
      </c>
      <c r="N68" s="358">
        <v>157</v>
      </c>
      <c r="O68" s="358">
        <v>160.5</v>
      </c>
      <c r="P68" s="358">
        <v>161</v>
      </c>
      <c r="Q68" s="357">
        <v>161.5</v>
      </c>
      <c r="R68" s="358">
        <v>161</v>
      </c>
      <c r="S68" s="358">
        <v>162</v>
      </c>
      <c r="T68" s="358">
        <v>161.5</v>
      </c>
      <c r="U68" s="624">
        <v>161</v>
      </c>
      <c r="V68" s="296">
        <f>+((V67/V69)/7)*1000</f>
        <v>160.65162907268177</v>
      </c>
      <c r="W68" s="145"/>
      <c r="X68" s="648"/>
      <c r="Y68" s="665"/>
      <c r="Z68" s="522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47</v>
      </c>
      <c r="C69" s="275">
        <v>47</v>
      </c>
      <c r="D69" s="275">
        <v>10</v>
      </c>
      <c r="E69" s="275">
        <v>48</v>
      </c>
      <c r="F69" s="527">
        <v>47</v>
      </c>
      <c r="G69" s="723">
        <v>47</v>
      </c>
      <c r="H69" s="700">
        <v>48</v>
      </c>
      <c r="I69" s="700">
        <v>10</v>
      </c>
      <c r="J69" s="700">
        <v>47</v>
      </c>
      <c r="K69" s="724">
        <v>48</v>
      </c>
      <c r="L69" s="257">
        <v>39</v>
      </c>
      <c r="M69" s="275">
        <v>39</v>
      </c>
      <c r="N69" s="275">
        <v>12</v>
      </c>
      <c r="O69" s="275">
        <v>38</v>
      </c>
      <c r="P69" s="275">
        <v>39</v>
      </c>
      <c r="Q69" s="257">
        <v>40</v>
      </c>
      <c r="R69" s="275">
        <v>41</v>
      </c>
      <c r="S69" s="275">
        <v>13</v>
      </c>
      <c r="T69" s="275">
        <v>41</v>
      </c>
      <c r="U69" s="276">
        <v>40</v>
      </c>
      <c r="V69" s="254">
        <f>SUM(B69:U69)</f>
        <v>741</v>
      </c>
      <c r="W69" s="145"/>
      <c r="X69" s="649"/>
      <c r="Y69" s="665"/>
      <c r="Z69" s="522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 t="shared" ref="B70:K70" si="33">((((B68*7)*B69)/1000)-B60-B61)/5</f>
        <v>7.5937999999999999</v>
      </c>
      <c r="C70" s="31">
        <f t="shared" si="33"/>
        <v>7.5537999999999998</v>
      </c>
      <c r="D70" s="31">
        <f t="shared" si="33"/>
        <v>1.5740000000000001</v>
      </c>
      <c r="E70" s="31">
        <f t="shared" si="33"/>
        <v>7.7055999999999987</v>
      </c>
      <c r="F70" s="163">
        <f t="shared" si="33"/>
        <v>7.5137999999999989</v>
      </c>
      <c r="G70" s="725">
        <f>((((G68*7)*G69)/1000)-G60-G61)/5</f>
        <v>7.4879999999999995</v>
      </c>
      <c r="H70" s="702">
        <f t="shared" si="33"/>
        <v>7.7455999999999987</v>
      </c>
      <c r="I70" s="702">
        <f t="shared" si="33"/>
        <v>1.5079999999999998</v>
      </c>
      <c r="J70" s="702">
        <f t="shared" si="33"/>
        <v>7.5738000000000003</v>
      </c>
      <c r="K70" s="726">
        <f t="shared" si="33"/>
        <v>7.678399999999999</v>
      </c>
      <c r="L70" s="30">
        <f>((((L68*7)*L69)/1000)-L60-L61)/5</f>
        <v>6.1867999999999999</v>
      </c>
      <c r="M70" s="30">
        <f t="shared" ref="M70:U70" si="34">((((M68*7)*M69)/1000)-M60-M61)/5</f>
        <v>6.2832999999999988</v>
      </c>
      <c r="N70" s="30">
        <f t="shared" si="34"/>
        <v>1.8775999999999999</v>
      </c>
      <c r="O70" s="30">
        <f t="shared" si="34"/>
        <v>6.0985999999999994</v>
      </c>
      <c r="P70" s="30">
        <f t="shared" si="34"/>
        <v>6.2706000000000008</v>
      </c>
      <c r="Q70" s="30">
        <f t="shared" si="34"/>
        <v>6.6039999999999992</v>
      </c>
      <c r="R70" s="30">
        <f t="shared" si="34"/>
        <v>6.6013999999999999</v>
      </c>
      <c r="S70" s="30">
        <f t="shared" si="34"/>
        <v>2.1084000000000005</v>
      </c>
      <c r="T70" s="30">
        <f t="shared" si="34"/>
        <v>6.6300999999999988</v>
      </c>
      <c r="U70" s="30">
        <f t="shared" si="34"/>
        <v>6.3759999999999994</v>
      </c>
      <c r="V70" s="139">
        <f>((V67*1000)/V69)/7</f>
        <v>160.65162907268177</v>
      </c>
      <c r="W70" s="144"/>
      <c r="X70" s="650"/>
      <c r="Y70" s="665"/>
      <c r="Z70" s="522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35">((B69*B68)*7)/1000</f>
        <v>52.969000000000001</v>
      </c>
      <c r="C71" s="280">
        <f t="shared" si="35"/>
        <v>52.969000000000001</v>
      </c>
      <c r="D71" s="280">
        <f t="shared" si="35"/>
        <v>11.27</v>
      </c>
      <c r="E71" s="280">
        <f t="shared" si="35"/>
        <v>53.927999999999997</v>
      </c>
      <c r="F71" s="281">
        <f t="shared" si="35"/>
        <v>52.969000000000001</v>
      </c>
      <c r="G71" s="464">
        <f t="shared" si="35"/>
        <v>52.64</v>
      </c>
      <c r="H71" s="459">
        <f>((H69*H68)*7)/1000</f>
        <v>53.927999999999997</v>
      </c>
      <c r="I71" s="459">
        <f t="shared" si="35"/>
        <v>11.34</v>
      </c>
      <c r="J71" s="459">
        <f t="shared" si="35"/>
        <v>52.969000000000001</v>
      </c>
      <c r="K71" s="460">
        <f t="shared" si="35"/>
        <v>53.591999999999999</v>
      </c>
      <c r="L71" s="279">
        <f t="shared" si="35"/>
        <v>43.134</v>
      </c>
      <c r="M71" s="280">
        <f t="shared" si="35"/>
        <v>43.816499999999998</v>
      </c>
      <c r="N71" s="280">
        <f t="shared" si="35"/>
        <v>13.188000000000001</v>
      </c>
      <c r="O71" s="280">
        <f t="shared" si="35"/>
        <v>42.692999999999998</v>
      </c>
      <c r="P71" s="280">
        <f t="shared" si="35"/>
        <v>43.953000000000003</v>
      </c>
      <c r="Q71" s="279">
        <f t="shared" si="35"/>
        <v>45.22</v>
      </c>
      <c r="R71" s="280">
        <f t="shared" si="35"/>
        <v>46.207000000000001</v>
      </c>
      <c r="S71" s="280">
        <f t="shared" si="35"/>
        <v>14.742000000000001</v>
      </c>
      <c r="T71" s="280">
        <f t="shared" si="35"/>
        <v>46.350499999999997</v>
      </c>
      <c r="U71" s="282">
        <f t="shared" si="35"/>
        <v>45.08</v>
      </c>
      <c r="V71" s="112"/>
      <c r="W71" s="651"/>
      <c r="X71" s="666"/>
      <c r="Y71" s="666"/>
      <c r="Z71" s="666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U72" si="36">+(B67/B69)/7*1000</f>
        <v>161.09422492401217</v>
      </c>
      <c r="C72" s="38">
        <f t="shared" si="36"/>
        <v>161.09422492401217</v>
      </c>
      <c r="D72" s="38">
        <f t="shared" si="36"/>
        <v>161.42857142857142</v>
      </c>
      <c r="E72" s="38">
        <f t="shared" si="36"/>
        <v>160.41666666666669</v>
      </c>
      <c r="F72" s="207">
        <f t="shared" si="36"/>
        <v>161.09422492401217</v>
      </c>
      <c r="G72" s="727">
        <f t="shared" si="36"/>
        <v>159.87841945288753</v>
      </c>
      <c r="H72" s="704">
        <f t="shared" si="36"/>
        <v>160.41666666666669</v>
      </c>
      <c r="I72" s="704">
        <f t="shared" si="36"/>
        <v>165.71428571428569</v>
      </c>
      <c r="J72" s="704">
        <f t="shared" si="36"/>
        <v>161.09422492401217</v>
      </c>
      <c r="K72" s="728">
        <f t="shared" si="36"/>
        <v>159.52380952380955</v>
      </c>
      <c r="L72" s="37">
        <f t="shared" si="36"/>
        <v>157.8754578754579</v>
      </c>
      <c r="M72" s="38">
        <f t="shared" si="36"/>
        <v>160.43956043956047</v>
      </c>
      <c r="N72" s="38">
        <f t="shared" si="36"/>
        <v>157.14285714285717</v>
      </c>
      <c r="O72" s="38">
        <f t="shared" si="36"/>
        <v>160.52631578947367</v>
      </c>
      <c r="P72" s="38">
        <f t="shared" si="36"/>
        <v>161.1721611721612</v>
      </c>
      <c r="Q72" s="37">
        <f t="shared" si="36"/>
        <v>161.42857142857144</v>
      </c>
      <c r="R72" s="38">
        <f t="shared" si="36"/>
        <v>160.97560975609755</v>
      </c>
      <c r="S72" s="38">
        <f t="shared" si="36"/>
        <v>161.53846153846155</v>
      </c>
      <c r="T72" s="38">
        <f t="shared" si="36"/>
        <v>161.67247386759581</v>
      </c>
      <c r="U72" s="39">
        <f t="shared" si="36"/>
        <v>161.07142857142853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43">
        <f>B71-B67</f>
        <v>-3.1000000000005912E-2</v>
      </c>
      <c r="C73" s="43">
        <f t="shared" ref="C73:F73" si="37">C71-C67</f>
        <v>-3.0999999999998806E-2</v>
      </c>
      <c r="D73" s="43">
        <f t="shared" si="37"/>
        <v>-2.9999999999999361E-2</v>
      </c>
      <c r="E73" s="43">
        <f t="shared" si="37"/>
        <v>2.7999999999991587E-2</v>
      </c>
      <c r="F73" s="43">
        <f t="shared" si="37"/>
        <v>-3.0999999999998806E-2</v>
      </c>
      <c r="G73" s="143">
        <f>G71-G67</f>
        <v>3.9999999999999147E-2</v>
      </c>
      <c r="H73" s="143">
        <f t="shared" ref="H73:U74" si="38">H71-H67</f>
        <v>2.7999999999991587E-2</v>
      </c>
      <c r="I73" s="143">
        <f t="shared" si="38"/>
        <v>-0.25999999999999979</v>
      </c>
      <c r="J73" s="143">
        <f t="shared" si="38"/>
        <v>-3.0999999999998806E-2</v>
      </c>
      <c r="K73" s="143">
        <f t="shared" si="38"/>
        <v>-8.0000000000026716E-3</v>
      </c>
      <c r="L73" s="43">
        <f>L71-L67</f>
        <v>3.399999999999892E-2</v>
      </c>
      <c r="M73" s="43">
        <f t="shared" ref="M73:P73" si="39">M71-M67</f>
        <v>1.649999999999352E-2</v>
      </c>
      <c r="N73" s="43">
        <f t="shared" si="39"/>
        <v>-1.2000000000000455E-2</v>
      </c>
      <c r="O73" s="43">
        <f t="shared" si="39"/>
        <v>-7.0000000000050022E-3</v>
      </c>
      <c r="P73" s="43">
        <f t="shared" si="39"/>
        <v>-4.6999999999997044E-2</v>
      </c>
      <c r="Q73" s="43">
        <f>Q71-Q67</f>
        <v>1.9999999999996021E-2</v>
      </c>
      <c r="R73" s="43">
        <f t="shared" ref="R73:U73" si="40">R71-R67</f>
        <v>6.9999999999978968E-3</v>
      </c>
      <c r="S73" s="43">
        <f>S71-S67</f>
        <v>4.2000000000001592E-2</v>
      </c>
      <c r="T73" s="43">
        <f>T71-T67</f>
        <v>-4.9500000000001876E-2</v>
      </c>
      <c r="U73" s="43">
        <f t="shared" si="40"/>
        <v>-1.9999999999988916E-2</v>
      </c>
      <c r="W73" s="144"/>
      <c r="X73" s="522"/>
      <c r="Y73" s="522"/>
      <c r="Z73" s="522"/>
    </row>
    <row r="74" spans="1:50" ht="33.75" customHeight="1" x14ac:dyDescent="0.25">
      <c r="B74" s="42">
        <f t="shared" ref="B74:J74" si="41">B72-B68</f>
        <v>9.4224924012166866E-2</v>
      </c>
      <c r="C74" s="42">
        <f t="shared" si="41"/>
        <v>9.4224924012166866E-2</v>
      </c>
      <c r="D74" s="42">
        <f t="shared" si="41"/>
        <v>0.42857142857141639</v>
      </c>
      <c r="E74" s="42">
        <f t="shared" si="41"/>
        <v>-8.3333333333314386E-2</v>
      </c>
      <c r="F74" s="42">
        <f t="shared" si="41"/>
        <v>9.4224924012166866E-2</v>
      </c>
      <c r="G74" s="705">
        <f t="shared" si="41"/>
        <v>-0.12158054711247246</v>
      </c>
      <c r="H74" s="705">
        <f t="shared" si="41"/>
        <v>-8.3333333333314386E-2</v>
      </c>
      <c r="I74" s="705">
        <f>I72-I68</f>
        <v>3.714285714285694</v>
      </c>
      <c r="J74" s="705">
        <f t="shared" si="41"/>
        <v>9.4224924012166866E-2</v>
      </c>
      <c r="K74" s="705">
        <f t="shared" si="38"/>
        <v>2.3809523809546818E-2</v>
      </c>
      <c r="L74" s="42">
        <f t="shared" si="38"/>
        <v>-0.12454212454210278</v>
      </c>
      <c r="M74" s="42">
        <f t="shared" si="38"/>
        <v>-6.0439560439533579E-2</v>
      </c>
      <c r="N74" s="42">
        <f t="shared" si="38"/>
        <v>0.14285714285716722</v>
      </c>
      <c r="O74" s="42">
        <f t="shared" si="38"/>
        <v>2.6315789473670748E-2</v>
      </c>
      <c r="P74" s="42">
        <f t="shared" si="38"/>
        <v>0.17216117216119642</v>
      </c>
      <c r="Q74" s="42">
        <f t="shared" si="38"/>
        <v>-7.1428571428555188E-2</v>
      </c>
      <c r="R74" s="42">
        <f t="shared" si="38"/>
        <v>-2.4390243902445263E-2</v>
      </c>
      <c r="S74" s="42">
        <f t="shared" si="38"/>
        <v>-0.46153846153845279</v>
      </c>
      <c r="T74" s="42">
        <f t="shared" si="38"/>
        <v>0.17247386759581218</v>
      </c>
      <c r="U74" s="42">
        <f t="shared" si="38"/>
        <v>7.1428571428526766E-2</v>
      </c>
      <c r="V74" s="45"/>
      <c r="W74" s="651"/>
      <c r="X74" s="657"/>
      <c r="Y74" s="657"/>
      <c r="Z74" s="657"/>
      <c r="AA74" s="45"/>
      <c r="AB74" s="45"/>
      <c r="AC74" s="45"/>
      <c r="AD74" s="52"/>
    </row>
    <row r="75" spans="1:50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</row>
    <row r="76" spans="1:50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0" ht="33.75" customHeight="1" x14ac:dyDescent="0.25">
      <c r="A77" s="45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5">
    <mergeCell ref="B39:F39"/>
    <mergeCell ref="G39:G40"/>
    <mergeCell ref="M39:Q39"/>
    <mergeCell ref="B58:F58"/>
    <mergeCell ref="G58:K58"/>
    <mergeCell ref="L58:P58"/>
    <mergeCell ref="Q58:U58"/>
    <mergeCell ref="A3:C3"/>
    <mergeCell ref="E9:G9"/>
    <mergeCell ref="W9:X9"/>
    <mergeCell ref="O11:P11"/>
    <mergeCell ref="B16:H16"/>
    <mergeCell ref="I16:O16"/>
    <mergeCell ref="P16:T16"/>
    <mergeCell ref="U16:Y16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1"/>
  <sheetViews>
    <sheetView topLeftCell="C34" zoomScale="40" zoomScaleNormal="40" workbookViewId="0">
      <selection activeCell="R41" sqref="R41:R47"/>
    </sheetView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44</v>
      </c>
      <c r="P11" s="965"/>
      <c r="Q11" s="6"/>
      <c r="R11" s="6"/>
      <c r="S11" s="6"/>
      <c r="T11" s="1"/>
      <c r="U11" s="1"/>
      <c r="V11" s="1" t="s">
        <v>6</v>
      </c>
      <c r="W11" s="95">
        <v>45634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594"/>
      <c r="I17" s="386" t="s">
        <v>100</v>
      </c>
      <c r="J17" s="438">
        <v>1</v>
      </c>
      <c r="K17" s="438">
        <v>2</v>
      </c>
      <c r="L17" s="438">
        <v>3</v>
      </c>
      <c r="M17" s="438">
        <v>4</v>
      </c>
      <c r="N17" s="439">
        <v>5</v>
      </c>
      <c r="O17" s="594"/>
      <c r="P17" s="202">
        <v>1</v>
      </c>
      <c r="Q17" s="174">
        <v>2</v>
      </c>
      <c r="R17" s="174">
        <v>3</v>
      </c>
      <c r="S17" s="174">
        <v>4</v>
      </c>
      <c r="T17" s="203">
        <v>5</v>
      </c>
      <c r="U17" s="186">
        <v>1</v>
      </c>
      <c r="V17" s="174">
        <v>2</v>
      </c>
      <c r="W17" s="174">
        <v>3</v>
      </c>
      <c r="X17" s="174">
        <v>4</v>
      </c>
      <c r="Y17" s="175">
        <v>5</v>
      </c>
      <c r="Z17" s="126"/>
      <c r="AD17" s="2"/>
      <c r="AE17" s="15"/>
    </row>
    <row r="18" spans="1:40" ht="39.950000000000003" customHeight="1" x14ac:dyDescent="0.25">
      <c r="A18" s="171" t="s">
        <v>53</v>
      </c>
      <c r="B18" s="743">
        <v>308.60000000000002</v>
      </c>
      <c r="C18" s="739">
        <v>15.5</v>
      </c>
      <c r="D18" s="739">
        <v>16.2</v>
      </c>
      <c r="E18" s="739">
        <v>3.2</v>
      </c>
      <c r="F18" s="739">
        <v>16.2</v>
      </c>
      <c r="G18" s="744">
        <v>16.2</v>
      </c>
      <c r="H18" s="506">
        <f t="shared" ref="H18:H24" si="0">+SUM(B18:G18)</f>
        <v>375.9</v>
      </c>
      <c r="I18" s="745">
        <v>310.2</v>
      </c>
      <c r="J18" s="739">
        <v>15.9</v>
      </c>
      <c r="K18" s="739">
        <v>16.2</v>
      </c>
      <c r="L18" s="739">
        <v>3.2</v>
      </c>
      <c r="M18" s="739">
        <v>16.3</v>
      </c>
      <c r="N18" s="746">
        <v>16.2</v>
      </c>
      <c r="O18" s="506">
        <f t="shared" ref="O18:O24" si="1">+SUM(I18:N18)</f>
        <v>377.99999999999994</v>
      </c>
      <c r="P18" s="747">
        <v>76</v>
      </c>
      <c r="Q18" s="459">
        <v>76</v>
      </c>
      <c r="R18" s="739">
        <v>21.9</v>
      </c>
      <c r="S18" s="739">
        <v>76.400000000000006</v>
      </c>
      <c r="T18" s="746">
        <v>76</v>
      </c>
      <c r="U18" s="748">
        <v>78.400000000000006</v>
      </c>
      <c r="V18" s="739">
        <v>80.5</v>
      </c>
      <c r="W18" s="459">
        <v>21.7</v>
      </c>
      <c r="X18" s="459">
        <v>80.2</v>
      </c>
      <c r="Y18" s="746">
        <v>79.5</v>
      </c>
      <c r="Z18" s="638">
        <f t="shared" ref="Z18:Z24" si="2">SUM(H18,O18,P18:Y18)</f>
        <v>1420.5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743">
        <v>308.60000000000002</v>
      </c>
      <c r="C19" s="739">
        <v>15.5</v>
      </c>
      <c r="D19" s="739">
        <v>16.2</v>
      </c>
      <c r="E19" s="739">
        <v>3.2</v>
      </c>
      <c r="F19" s="739">
        <v>16.2</v>
      </c>
      <c r="G19" s="744">
        <v>16.2</v>
      </c>
      <c r="H19" s="506">
        <f t="shared" si="0"/>
        <v>375.9</v>
      </c>
      <c r="I19" s="745">
        <v>310.2</v>
      </c>
      <c r="J19" s="739">
        <v>15.9</v>
      </c>
      <c r="K19" s="739">
        <v>16.2</v>
      </c>
      <c r="L19" s="739">
        <v>3.2</v>
      </c>
      <c r="M19" s="739">
        <v>16.3</v>
      </c>
      <c r="N19" s="746">
        <v>16.2</v>
      </c>
      <c r="O19" s="506">
        <f t="shared" si="1"/>
        <v>377.99999999999994</v>
      </c>
      <c r="P19" s="747">
        <v>75.900000000000006</v>
      </c>
      <c r="Q19" s="459">
        <v>75.900000000000006</v>
      </c>
      <c r="R19" s="739">
        <v>21.7</v>
      </c>
      <c r="S19" s="739">
        <v>76.400000000000006</v>
      </c>
      <c r="T19" s="746">
        <v>76</v>
      </c>
      <c r="U19" s="748">
        <v>78.400000000000006</v>
      </c>
      <c r="V19" s="739">
        <v>80.5</v>
      </c>
      <c r="W19" s="459">
        <v>21.7</v>
      </c>
      <c r="X19" s="459">
        <v>80.2</v>
      </c>
      <c r="Y19" s="746">
        <v>79.5</v>
      </c>
      <c r="Z19" s="638">
        <f t="shared" si="2"/>
        <v>1420.1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743">
        <v>308.60000000000002</v>
      </c>
      <c r="C20" s="739">
        <v>15.5</v>
      </c>
      <c r="D20" s="739">
        <v>16.2</v>
      </c>
      <c r="E20" s="739">
        <v>3.2</v>
      </c>
      <c r="F20" s="739">
        <v>16.2</v>
      </c>
      <c r="G20" s="744">
        <v>16.2</v>
      </c>
      <c r="H20" s="506">
        <f t="shared" si="0"/>
        <v>375.9</v>
      </c>
      <c r="I20" s="745">
        <v>310.2</v>
      </c>
      <c r="J20" s="739">
        <v>15.9</v>
      </c>
      <c r="K20" s="739">
        <v>16.2</v>
      </c>
      <c r="L20" s="739">
        <v>3.2</v>
      </c>
      <c r="M20" s="739">
        <v>16.3</v>
      </c>
      <c r="N20" s="746">
        <v>16.2</v>
      </c>
      <c r="O20" s="506">
        <f t="shared" si="1"/>
        <v>377.99999999999994</v>
      </c>
      <c r="P20" s="747">
        <v>75.900000000000006</v>
      </c>
      <c r="Q20" s="459">
        <v>75.900000000000006</v>
      </c>
      <c r="R20" s="739">
        <v>21.7</v>
      </c>
      <c r="S20" s="739">
        <v>76.3</v>
      </c>
      <c r="T20" s="746">
        <v>76</v>
      </c>
      <c r="U20" s="748">
        <v>78.400000000000006</v>
      </c>
      <c r="V20" s="739">
        <v>80.5</v>
      </c>
      <c r="W20" s="459">
        <v>21.7</v>
      </c>
      <c r="X20" s="459">
        <v>80.099999999999994</v>
      </c>
      <c r="Y20" s="746">
        <v>79.5</v>
      </c>
      <c r="Z20" s="638">
        <f t="shared" si="2"/>
        <v>1419.8999999999999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743">
        <v>308.60000000000002</v>
      </c>
      <c r="C21" s="739">
        <v>15.5</v>
      </c>
      <c r="D21" s="739">
        <v>16.2</v>
      </c>
      <c r="E21" s="739">
        <v>3.2</v>
      </c>
      <c r="F21" s="739">
        <v>16.2</v>
      </c>
      <c r="G21" s="744">
        <v>16.2</v>
      </c>
      <c r="H21" s="506">
        <f t="shared" si="0"/>
        <v>375.9</v>
      </c>
      <c r="I21" s="745">
        <v>310.2</v>
      </c>
      <c r="J21" s="739">
        <v>15.9</v>
      </c>
      <c r="K21" s="739">
        <v>16.2</v>
      </c>
      <c r="L21" s="739">
        <v>3.2</v>
      </c>
      <c r="M21" s="739">
        <v>16.3</v>
      </c>
      <c r="N21" s="746">
        <v>16.2</v>
      </c>
      <c r="O21" s="506">
        <f t="shared" si="1"/>
        <v>377.99999999999994</v>
      </c>
      <c r="P21" s="747">
        <v>75.8</v>
      </c>
      <c r="Q21" s="459">
        <v>75.599999999999994</v>
      </c>
      <c r="R21" s="739">
        <v>21.4</v>
      </c>
      <c r="S21" s="739">
        <v>76</v>
      </c>
      <c r="T21" s="746">
        <v>75.8</v>
      </c>
      <c r="U21" s="748">
        <v>78.400000000000006</v>
      </c>
      <c r="V21" s="739">
        <v>80.5</v>
      </c>
      <c r="W21" s="459">
        <v>20.9</v>
      </c>
      <c r="X21" s="459">
        <v>79.599999999999994</v>
      </c>
      <c r="Y21" s="746">
        <v>79.2</v>
      </c>
      <c r="Z21" s="638">
        <f t="shared" si="2"/>
        <v>1417.1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743">
        <v>308.60000000000002</v>
      </c>
      <c r="C22" s="739">
        <v>15.5</v>
      </c>
      <c r="D22" s="739">
        <v>16.2</v>
      </c>
      <c r="E22" s="739">
        <v>3.2</v>
      </c>
      <c r="F22" s="739">
        <v>16.2</v>
      </c>
      <c r="G22" s="744">
        <v>16.2</v>
      </c>
      <c r="H22" s="506">
        <f t="shared" si="0"/>
        <v>375.9</v>
      </c>
      <c r="I22" s="745">
        <v>310.2</v>
      </c>
      <c r="J22" s="739">
        <v>15.9</v>
      </c>
      <c r="K22" s="739">
        <v>16.2</v>
      </c>
      <c r="L22" s="739">
        <v>3.2</v>
      </c>
      <c r="M22" s="739">
        <v>16.3</v>
      </c>
      <c r="N22" s="746">
        <v>16.2</v>
      </c>
      <c r="O22" s="506">
        <f t="shared" si="1"/>
        <v>377.99999999999994</v>
      </c>
      <c r="P22" s="747">
        <v>75.8</v>
      </c>
      <c r="Q22" s="459">
        <v>75.5</v>
      </c>
      <c r="R22" s="739">
        <v>21.4</v>
      </c>
      <c r="S22" s="739">
        <v>76</v>
      </c>
      <c r="T22" s="746">
        <v>75.8</v>
      </c>
      <c r="U22" s="748">
        <v>78.400000000000006</v>
      </c>
      <c r="V22" s="739">
        <v>80.400000000000006</v>
      </c>
      <c r="W22" s="459">
        <v>20.399999999999999</v>
      </c>
      <c r="X22" s="459">
        <v>79.599999999999994</v>
      </c>
      <c r="Y22" s="746">
        <v>78.900000000000006</v>
      </c>
      <c r="Z22" s="638">
        <f t="shared" si="2"/>
        <v>1416.1000000000001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743">
        <v>308.60000000000002</v>
      </c>
      <c r="C23" s="739">
        <v>15.5</v>
      </c>
      <c r="D23" s="739">
        <v>16.2</v>
      </c>
      <c r="E23" s="739">
        <v>3.2</v>
      </c>
      <c r="F23" s="739">
        <v>16.2</v>
      </c>
      <c r="G23" s="744">
        <v>16.2</v>
      </c>
      <c r="H23" s="506">
        <f t="shared" si="0"/>
        <v>375.9</v>
      </c>
      <c r="I23" s="745">
        <v>310.2</v>
      </c>
      <c r="J23" s="739">
        <v>15.9</v>
      </c>
      <c r="K23" s="739">
        <v>16.2</v>
      </c>
      <c r="L23" s="739">
        <v>3.2</v>
      </c>
      <c r="M23" s="739">
        <v>16.3</v>
      </c>
      <c r="N23" s="746">
        <v>16.2</v>
      </c>
      <c r="O23" s="506">
        <f t="shared" si="1"/>
        <v>377.99999999999994</v>
      </c>
      <c r="P23" s="747">
        <v>75.8</v>
      </c>
      <c r="Q23" s="459">
        <v>75.5</v>
      </c>
      <c r="R23" s="739">
        <v>21.4</v>
      </c>
      <c r="S23" s="739">
        <v>76</v>
      </c>
      <c r="T23" s="746">
        <v>75.7</v>
      </c>
      <c r="U23" s="748">
        <v>78.400000000000006</v>
      </c>
      <c r="V23" s="739">
        <v>80.400000000000006</v>
      </c>
      <c r="W23" s="459">
        <v>20.5</v>
      </c>
      <c r="X23" s="459">
        <v>79.5</v>
      </c>
      <c r="Y23" s="746">
        <v>78.900000000000006</v>
      </c>
      <c r="Z23" s="209">
        <f t="shared" si="2"/>
        <v>1416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743">
        <v>308.60000000000002</v>
      </c>
      <c r="C24" s="739">
        <v>15.5</v>
      </c>
      <c r="D24" s="739">
        <v>16.2</v>
      </c>
      <c r="E24" s="739">
        <v>3.2</v>
      </c>
      <c r="F24" s="739">
        <v>16.2</v>
      </c>
      <c r="G24" s="744">
        <v>16.2</v>
      </c>
      <c r="H24" s="506">
        <f t="shared" si="0"/>
        <v>375.9</v>
      </c>
      <c r="I24" s="745">
        <v>310.2</v>
      </c>
      <c r="J24" s="739">
        <v>15.9</v>
      </c>
      <c r="K24" s="739">
        <v>16.2</v>
      </c>
      <c r="L24" s="739">
        <v>3.2</v>
      </c>
      <c r="M24" s="739">
        <v>16.3</v>
      </c>
      <c r="N24" s="746">
        <v>16.2</v>
      </c>
      <c r="O24" s="506">
        <f t="shared" si="1"/>
        <v>377.99999999999994</v>
      </c>
      <c r="P24" s="747">
        <v>75.8</v>
      </c>
      <c r="Q24" s="459">
        <v>75.5</v>
      </c>
      <c r="R24" s="739">
        <v>21.3</v>
      </c>
      <c r="S24" s="739">
        <v>76.099999999999994</v>
      </c>
      <c r="T24" s="746">
        <v>75.7</v>
      </c>
      <c r="U24" s="748">
        <v>78.400000000000006</v>
      </c>
      <c r="V24" s="739">
        <v>80.400000000000006</v>
      </c>
      <c r="W24" s="459">
        <v>20.5</v>
      </c>
      <c r="X24" s="459">
        <v>79.5</v>
      </c>
      <c r="Y24" s="746">
        <v>78.8</v>
      </c>
      <c r="Z24" s="412">
        <f t="shared" si="2"/>
        <v>1415.8999999999999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298">
        <f t="shared" ref="C25:G25" si="3">SUM(C18:C24)</f>
        <v>108.5</v>
      </c>
      <c r="D25" s="298">
        <f t="shared" si="3"/>
        <v>113.4</v>
      </c>
      <c r="E25" s="298">
        <f t="shared" si="3"/>
        <v>22.4</v>
      </c>
      <c r="F25" s="298">
        <f t="shared" si="3"/>
        <v>113.4</v>
      </c>
      <c r="G25" s="448">
        <f t="shared" si="3"/>
        <v>113.4</v>
      </c>
      <c r="H25" s="436"/>
      <c r="I25" s="297"/>
      <c r="J25" s="298">
        <f t="shared" ref="J25:N25" si="4">SUM(J18:J24)</f>
        <v>111.30000000000001</v>
      </c>
      <c r="K25" s="298">
        <f>SUM(K18:K24)</f>
        <v>113.4</v>
      </c>
      <c r="L25" s="298">
        <f t="shared" si="4"/>
        <v>22.4</v>
      </c>
      <c r="M25" s="298">
        <f t="shared" si="4"/>
        <v>114.1</v>
      </c>
      <c r="N25" s="299">
        <f t="shared" si="4"/>
        <v>113.4</v>
      </c>
      <c r="O25" s="436"/>
      <c r="P25" s="297">
        <f t="shared" ref="P25:W25" si="5">SUM(P18:P24)</f>
        <v>531</v>
      </c>
      <c r="Q25" s="297">
        <f t="shared" si="5"/>
        <v>529.9</v>
      </c>
      <c r="R25" s="297">
        <f t="shared" si="5"/>
        <v>150.80000000000001</v>
      </c>
      <c r="S25" s="297">
        <f t="shared" si="5"/>
        <v>533.20000000000005</v>
      </c>
      <c r="T25" s="297">
        <f t="shared" si="5"/>
        <v>531</v>
      </c>
      <c r="U25" s="297">
        <f t="shared" si="5"/>
        <v>548.79999999999995</v>
      </c>
      <c r="V25" s="297">
        <f t="shared" si="5"/>
        <v>563.19999999999993</v>
      </c>
      <c r="W25" s="297">
        <f t="shared" si="5"/>
        <v>147.4</v>
      </c>
      <c r="X25" s="297">
        <f>SUM(X18:X24)</f>
        <v>558.70000000000005</v>
      </c>
      <c r="Y25" s="792">
        <f>SUM(Y18:Y24)</f>
        <v>554.29999999999995</v>
      </c>
      <c r="Z25" s="449">
        <f>SUM(Z18,Z19,Z20,Z21,Z22,Z23,Z24)</f>
        <v>9925.6</v>
      </c>
      <c r="AA25" s="301"/>
    </row>
    <row r="26" spans="1:40" s="2" customFormat="1" ht="36.75" customHeight="1" x14ac:dyDescent="0.25">
      <c r="A26" s="192" t="s">
        <v>11</v>
      </c>
      <c r="B26" s="293"/>
      <c r="C26" s="603">
        <v>158.36999999999986</v>
      </c>
      <c r="D26" s="603">
        <v>158.36999999999986</v>
      </c>
      <c r="E26" s="603">
        <v>158.36999999999986</v>
      </c>
      <c r="F26" s="603">
        <v>158.36999999999986</v>
      </c>
      <c r="G26" s="603">
        <v>158.36999999999986</v>
      </c>
      <c r="H26" s="678"/>
      <c r="I26" s="796"/>
      <c r="J26" s="603">
        <v>158.36999999999986</v>
      </c>
      <c r="K26" s="603">
        <v>158.36999999999986</v>
      </c>
      <c r="L26" s="603">
        <v>158.36999999999986</v>
      </c>
      <c r="M26" s="603">
        <v>158.36999999999986</v>
      </c>
      <c r="N26" s="603">
        <v>158.36999999999986</v>
      </c>
      <c r="O26" s="678"/>
      <c r="P26" s="603">
        <v>158.36999999999986</v>
      </c>
      <c r="Q26" s="603">
        <v>158.36999999999986</v>
      </c>
      <c r="R26" s="603">
        <v>158.36999999999986</v>
      </c>
      <c r="S26" s="603">
        <v>158.36999999999986</v>
      </c>
      <c r="T26" s="603">
        <v>158.36999999999986</v>
      </c>
      <c r="U26" s="603">
        <v>158.36999999999986</v>
      </c>
      <c r="V26" s="603">
        <v>158.36999999999986</v>
      </c>
      <c r="W26" s="603">
        <v>158.36999999999986</v>
      </c>
      <c r="X26" s="603">
        <v>158.36999999999986</v>
      </c>
      <c r="Y26" s="603">
        <v>158.36999999999986</v>
      </c>
      <c r="Z26" s="793">
        <f>(((Z25*1000)/7)/Z27)</f>
        <v>158.21723467338285</v>
      </c>
    </row>
    <row r="27" spans="1:40" s="2" customFormat="1" ht="33" customHeight="1" x14ac:dyDescent="0.25">
      <c r="A27" s="193" t="s">
        <v>12</v>
      </c>
      <c r="B27" s="257"/>
      <c r="C27" s="27">
        <v>548</v>
      </c>
      <c r="D27" s="27">
        <v>571</v>
      </c>
      <c r="E27" s="27">
        <v>113</v>
      </c>
      <c r="F27" s="27">
        <v>571</v>
      </c>
      <c r="G27" s="183">
        <v>570</v>
      </c>
      <c r="H27" s="679"/>
      <c r="I27" s="184"/>
      <c r="J27" s="26">
        <v>559</v>
      </c>
      <c r="K27" s="27">
        <v>571</v>
      </c>
      <c r="L27" s="483">
        <v>111</v>
      </c>
      <c r="M27" s="27">
        <v>573</v>
      </c>
      <c r="N27" s="28">
        <v>570</v>
      </c>
      <c r="O27" s="679"/>
      <c r="P27" s="64">
        <v>480</v>
      </c>
      <c r="Q27" s="27">
        <v>480</v>
      </c>
      <c r="R27" s="27">
        <v>137</v>
      </c>
      <c r="S27" s="27">
        <v>481</v>
      </c>
      <c r="T27" s="756">
        <v>479</v>
      </c>
      <c r="U27" s="26">
        <v>495</v>
      </c>
      <c r="V27" s="27">
        <v>508</v>
      </c>
      <c r="W27" s="27">
        <v>137</v>
      </c>
      <c r="X27" s="27">
        <v>506</v>
      </c>
      <c r="Y27" s="28">
        <v>502</v>
      </c>
      <c r="Z27" s="211">
        <f>SUM(C27:Y27)</f>
        <v>8962</v>
      </c>
      <c r="AA27" s="402"/>
    </row>
    <row r="28" spans="1:40" s="2" customFormat="1" ht="33" customHeight="1" x14ac:dyDescent="0.25">
      <c r="A28" s="444" t="s">
        <v>13</v>
      </c>
      <c r="B28" s="445"/>
      <c r="C28" s="31">
        <f>(C33*C27)/1000</f>
        <v>15.546759999999924</v>
      </c>
      <c r="D28" s="31">
        <f>(D33*D27)/1000</f>
        <v>16.199269999999924</v>
      </c>
      <c r="E28" s="31">
        <f t="shared" ref="E28:F28" si="6">(E33*E27)/1000</f>
        <v>3.2058099999999845</v>
      </c>
      <c r="F28" s="31">
        <f t="shared" si="6"/>
        <v>16.199269999999924</v>
      </c>
      <c r="G28" s="163">
        <f>(G33*G27)/1000</f>
        <v>16.170899999999921</v>
      </c>
      <c r="H28" s="286"/>
      <c r="I28" s="324"/>
      <c r="J28" s="30">
        <f>(J33*J27)/1000</f>
        <v>15.858829999999923</v>
      </c>
      <c r="K28" s="31">
        <f t="shared" ref="K28:N28" si="7">(K33*K27)/1000</f>
        <v>16.199269999999924</v>
      </c>
      <c r="L28" s="31">
        <f t="shared" si="7"/>
        <v>3.1490699999999845</v>
      </c>
      <c r="M28" s="31">
        <f t="shared" si="7"/>
        <v>16.256009999999922</v>
      </c>
      <c r="N28" s="32">
        <f t="shared" si="7"/>
        <v>16.170899999999921</v>
      </c>
      <c r="O28" s="286"/>
      <c r="P28" s="65">
        <f>((((P26*7)*P27)/1000)-P18-P19)/5</f>
        <v>76.044639999999916</v>
      </c>
      <c r="Q28" s="31">
        <f t="shared" ref="Q28" si="8">((((Q26*7)*Q27)/1000)-Q18-Q19)/5</f>
        <v>76.044639999999916</v>
      </c>
      <c r="R28" s="31">
        <f>((((R26*7)*R27)/1000))/7</f>
        <v>21.696689999999982</v>
      </c>
      <c r="S28" s="31">
        <f t="shared" ref="S28:Y28" si="9">((((S26*7)*S27)/1000))/7</f>
        <v>76.175969999999936</v>
      </c>
      <c r="T28" s="163">
        <f t="shared" si="9"/>
        <v>75.859229999999926</v>
      </c>
      <c r="U28" s="30">
        <f t="shared" si="9"/>
        <v>78.39314999999992</v>
      </c>
      <c r="V28" s="31">
        <f t="shared" si="9"/>
        <v>80.451959999999943</v>
      </c>
      <c r="W28" s="31">
        <f t="shared" si="9"/>
        <v>21.696689999999982</v>
      </c>
      <c r="X28" s="31">
        <f t="shared" si="9"/>
        <v>80.135219999999919</v>
      </c>
      <c r="Y28" s="32">
        <f t="shared" si="9"/>
        <v>79.501739999999927</v>
      </c>
      <c r="Z28" s="212"/>
    </row>
    <row r="29" spans="1:40" ht="33.75" customHeight="1" x14ac:dyDescent="0.25">
      <c r="A29" s="185" t="s">
        <v>14</v>
      </c>
      <c r="B29" s="34"/>
      <c r="C29" s="280">
        <f>((C27*C30)*7)/1000</f>
        <v>108.5</v>
      </c>
      <c r="D29" s="280">
        <f t="shared" ref="D29:G29" si="10">((D27*D30)*7)/1000</f>
        <v>113.39999999999999</v>
      </c>
      <c r="E29" s="280">
        <f>((E27*E30)*7)/1000</f>
        <v>22.4</v>
      </c>
      <c r="F29" s="280">
        <f t="shared" si="10"/>
        <v>113.39999999999999</v>
      </c>
      <c r="G29" s="281">
        <f t="shared" si="10"/>
        <v>113.40000000000003</v>
      </c>
      <c r="H29" s="680"/>
      <c r="I29" s="797"/>
      <c r="J29" s="279">
        <f>((J27*J30)*7)/1000</f>
        <v>111.30000000000001</v>
      </c>
      <c r="K29" s="280">
        <f t="shared" ref="K29:N29" si="11">((K27*K30)*7)/1000</f>
        <v>113.39999999999999</v>
      </c>
      <c r="L29" s="280">
        <f t="shared" si="11"/>
        <v>22.4</v>
      </c>
      <c r="M29" s="280">
        <f t="shared" si="11"/>
        <v>114.1</v>
      </c>
      <c r="N29" s="282">
        <f t="shared" si="11"/>
        <v>113.40000000000003</v>
      </c>
      <c r="O29" s="680"/>
      <c r="P29" s="325">
        <f t="shared" ref="P29:Y29" si="12">((P27*P26)*7)/1000</f>
        <v>532.12319999999954</v>
      </c>
      <c r="Q29" s="280">
        <f t="shared" si="12"/>
        <v>532.12319999999954</v>
      </c>
      <c r="R29" s="280">
        <f t="shared" si="12"/>
        <v>151.87682999999987</v>
      </c>
      <c r="S29" s="280">
        <f t="shared" si="12"/>
        <v>533.23178999999948</v>
      </c>
      <c r="T29" s="281">
        <f t="shared" si="12"/>
        <v>531.01460999999949</v>
      </c>
      <c r="U29" s="279">
        <f t="shared" si="12"/>
        <v>548.7520499999996</v>
      </c>
      <c r="V29" s="280">
        <f t="shared" si="12"/>
        <v>563.16371999999956</v>
      </c>
      <c r="W29" s="280">
        <f t="shared" si="12"/>
        <v>151.87682999999987</v>
      </c>
      <c r="X29" s="280">
        <f t="shared" si="12"/>
        <v>560.94653999999946</v>
      </c>
      <c r="Y29" s="282">
        <f t="shared" si="12"/>
        <v>556.51217999999949</v>
      </c>
      <c r="Z29" s="213"/>
    </row>
    <row r="30" spans="1:40" ht="33.75" customHeight="1" thickBot="1" x14ac:dyDescent="0.3">
      <c r="A30" s="195" t="s">
        <v>15</v>
      </c>
      <c r="B30" s="423"/>
      <c r="C30" s="38">
        <f>+(C25/C27)/7*1000</f>
        <v>28.284671532846716</v>
      </c>
      <c r="D30" s="38">
        <f t="shared" ref="D30:X30" si="13">+(D25/D27)/7*1000</f>
        <v>28.371278458844131</v>
      </c>
      <c r="E30" s="38">
        <f>+(E25/E27)/7*1000</f>
        <v>28.318584070796462</v>
      </c>
      <c r="F30" s="38">
        <f t="shared" si="13"/>
        <v>28.371278458844131</v>
      </c>
      <c r="G30" s="207">
        <f t="shared" si="13"/>
        <v>28.421052631578952</v>
      </c>
      <c r="H30" s="262"/>
      <c r="I30" s="798"/>
      <c r="J30" s="37">
        <f t="shared" si="13"/>
        <v>28.443649373881936</v>
      </c>
      <c r="K30" s="38">
        <f t="shared" si="13"/>
        <v>28.371278458844131</v>
      </c>
      <c r="L30" s="38">
        <f t="shared" si="13"/>
        <v>28.828828828828829</v>
      </c>
      <c r="M30" s="38">
        <f t="shared" si="13"/>
        <v>28.446771378708551</v>
      </c>
      <c r="N30" s="39">
        <f>+(N25/N27)/7*1000</f>
        <v>28.421052631578952</v>
      </c>
      <c r="O30" s="262"/>
      <c r="P30" s="67">
        <f t="shared" si="13"/>
        <v>158.03571428571428</v>
      </c>
      <c r="Q30" s="38">
        <f t="shared" si="13"/>
        <v>157.70833333333334</v>
      </c>
      <c r="R30" s="38">
        <f t="shared" si="13"/>
        <v>157.24713242961423</v>
      </c>
      <c r="S30" s="38">
        <f t="shared" si="13"/>
        <v>158.36055836055837</v>
      </c>
      <c r="T30" s="207">
        <f t="shared" si="13"/>
        <v>158.36564270802268</v>
      </c>
      <c r="U30" s="37">
        <f t="shared" si="13"/>
        <v>158.38383838383834</v>
      </c>
      <c r="V30" s="38">
        <f t="shared" si="13"/>
        <v>158.38020247469061</v>
      </c>
      <c r="W30" s="38">
        <f t="shared" si="13"/>
        <v>153.70177267987486</v>
      </c>
      <c r="X30" s="38">
        <f t="shared" si="13"/>
        <v>157.73574251835123</v>
      </c>
      <c r="Y30" s="39">
        <f>+(Y25/Y27)/7*1000</f>
        <v>157.74046670461013</v>
      </c>
      <c r="Z30" s="214"/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4">D29-D25</f>
        <v>0</v>
      </c>
      <c r="E31" s="42">
        <f t="shared" si="14"/>
        <v>0</v>
      </c>
      <c r="F31" s="42">
        <f t="shared" si="14"/>
        <v>0</v>
      </c>
      <c r="G31" s="42">
        <f t="shared" si="14"/>
        <v>0</v>
      </c>
      <c r="H31" s="42"/>
      <c r="I31" s="42"/>
      <c r="J31" s="42">
        <f t="shared" si="14"/>
        <v>0</v>
      </c>
      <c r="K31" s="42">
        <f>K29-K25</f>
        <v>0</v>
      </c>
      <c r="L31" s="42">
        <f t="shared" si="14"/>
        <v>0</v>
      </c>
      <c r="M31" s="42">
        <f t="shared" si="14"/>
        <v>0</v>
      </c>
      <c r="N31" s="42">
        <f t="shared" si="14"/>
        <v>0</v>
      </c>
      <c r="O31" s="42"/>
      <c r="P31" s="42">
        <f>P29-P25</f>
        <v>1.1231999999995423</v>
      </c>
      <c r="Q31" s="42">
        <f>Q29-Q25</f>
        <v>2.2231999999995651</v>
      </c>
      <c r="R31" s="42">
        <f t="shared" si="14"/>
        <v>1.076829999999859</v>
      </c>
      <c r="S31" s="42">
        <f t="shared" si="14"/>
        <v>3.1789999999432439E-2</v>
      </c>
      <c r="T31" s="42">
        <f t="shared" si="14"/>
        <v>1.4609999999493084E-2</v>
      </c>
      <c r="U31" s="42">
        <f>U29-U25</f>
        <v>-4.7950000000355431E-2</v>
      </c>
      <c r="V31" s="42">
        <f t="shared" si="14"/>
        <v>-3.6280000000374457E-2</v>
      </c>
      <c r="W31" s="42">
        <f t="shared" si="14"/>
        <v>4.4768299999998646</v>
      </c>
      <c r="X31" s="42">
        <f t="shared" si="14"/>
        <v>2.2465399999994133</v>
      </c>
      <c r="Y31" s="42">
        <f>Y29-Y25</f>
        <v>2.2121799999995346</v>
      </c>
      <c r="Z31" s="48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-8.5328467153146903E-2</v>
      </c>
      <c r="D32" s="42">
        <f t="shared" ref="D32:G32" si="15">D30-D33</f>
        <v>1.2784588442684708E-3</v>
      </c>
      <c r="E32" s="42">
        <f>E30-E33</f>
        <v>-5.1415929203400879E-2</v>
      </c>
      <c r="F32" s="42">
        <f t="shared" si="15"/>
        <v>1.2784588442684708E-3</v>
      </c>
      <c r="G32" s="42">
        <f t="shared" si="15"/>
        <v>5.1052631579089791E-2</v>
      </c>
      <c r="H32" s="42"/>
      <c r="I32" s="42"/>
      <c r="J32" s="42">
        <f t="shared" ref="J32:M32" si="16">J30-J33</f>
        <v>7.3649373882073377E-2</v>
      </c>
      <c r="K32" s="42">
        <f t="shared" si="16"/>
        <v>1.2784588442684708E-3</v>
      </c>
      <c r="L32" s="42">
        <f t="shared" si="16"/>
        <v>0.45882882882896681</v>
      </c>
      <c r="M32" s="42">
        <f t="shared" si="16"/>
        <v>7.6771378708688331E-2</v>
      </c>
      <c r="N32" s="42">
        <f>N30-N33</f>
        <v>5.1052631579089791E-2</v>
      </c>
      <c r="O32" s="42"/>
      <c r="P32" s="42">
        <f>P30-P26</f>
        <v>-0.33428571428558485</v>
      </c>
      <c r="Q32" s="42">
        <f t="shared" si="14"/>
        <v>-0.66166666666651963</v>
      </c>
      <c r="R32" s="42">
        <f t="shared" si="14"/>
        <v>-1.1228675703856368</v>
      </c>
      <c r="S32" s="42">
        <f t="shared" si="14"/>
        <v>-9.441639441490679E-3</v>
      </c>
      <c r="T32" s="42">
        <f t="shared" si="14"/>
        <v>-4.3572919771861507E-3</v>
      </c>
      <c r="U32" s="42">
        <f t="shared" si="14"/>
        <v>1.3838383838475465E-2</v>
      </c>
      <c r="V32" s="42">
        <f t="shared" si="14"/>
        <v>1.0202474690743202E-2</v>
      </c>
      <c r="W32" s="42">
        <f t="shared" si="14"/>
        <v>-4.6682273201249984</v>
      </c>
      <c r="X32" s="42">
        <f t="shared" si="14"/>
        <v>-0.63425748164863194</v>
      </c>
      <c r="Y32" s="42">
        <f t="shared" si="14"/>
        <v>-0.62953329538973435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28.369999999999862</v>
      </c>
      <c r="D33" s="42">
        <f t="shared" ref="D33:G33" si="17">D26-$B$34</f>
        <v>28.369999999999862</v>
      </c>
      <c r="E33" s="42">
        <f>E26-$B$34</f>
        <v>28.369999999999862</v>
      </c>
      <c r="F33" s="42">
        <f t="shared" si="17"/>
        <v>28.369999999999862</v>
      </c>
      <c r="G33" s="42">
        <f t="shared" si="17"/>
        <v>28.369999999999862</v>
      </c>
      <c r="H33" s="42"/>
      <c r="I33" s="42"/>
      <c r="J33" s="42">
        <f>J26-$I$34</f>
        <v>28.369999999999862</v>
      </c>
      <c r="K33" s="42">
        <f t="shared" ref="K33:L33" si="18">K26-$I$34</f>
        <v>28.369999999999862</v>
      </c>
      <c r="L33" s="42">
        <f t="shared" si="18"/>
        <v>28.369999999999862</v>
      </c>
      <c r="M33" s="42">
        <f>M26-$I$34</f>
        <v>28.369999999999862</v>
      </c>
      <c r="N33" s="42">
        <f>N26-$I$34</f>
        <v>28.369999999999862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308.49</v>
      </c>
      <c r="D34" s="432">
        <f>SUM(C27:G27)</f>
        <v>2373</v>
      </c>
      <c r="E34" s="42"/>
      <c r="F34" s="42"/>
      <c r="G34" s="42"/>
      <c r="H34" s="42"/>
      <c r="I34" s="514">
        <v>130</v>
      </c>
      <c r="J34" s="431">
        <f>(I34*K34)/1000</f>
        <v>309.92</v>
      </c>
      <c r="K34" s="432">
        <f>SUM(J27:N27)</f>
        <v>2384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1002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674" t="s">
        <v>9</v>
      </c>
      <c r="S39" s="645"/>
      <c r="U39" s="45"/>
      <c r="V39" s="45"/>
      <c r="W39" s="46"/>
      <c r="X39" s="3"/>
      <c r="Y39" s="45"/>
      <c r="Z39" s="45"/>
      <c r="AA39" s="45"/>
      <c r="AB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1003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168">
        <v>5</v>
      </c>
      <c r="R40" s="236"/>
      <c r="S40" s="645"/>
      <c r="U40" s="47"/>
      <c r="X40" s="48"/>
      <c r="Y40" s="2"/>
      <c r="Z40" s="2"/>
      <c r="AA40" s="2"/>
      <c r="AB40" s="2"/>
    </row>
    <row r="41" spans="1:38" ht="33.75" customHeight="1" x14ac:dyDescent="0.25">
      <c r="A41" s="171" t="s">
        <v>32</v>
      </c>
      <c r="B41" s="279">
        <v>87.1</v>
      </c>
      <c r="C41" s="280">
        <v>86.8</v>
      </c>
      <c r="D41" s="280">
        <v>16.600000000000001</v>
      </c>
      <c r="E41" s="280">
        <v>89.1</v>
      </c>
      <c r="F41" s="281">
        <v>86.6</v>
      </c>
      <c r="G41" s="638">
        <f t="shared" ref="G41:G48" si="19">SUM(B41:F41)</f>
        <v>366.19999999999993</v>
      </c>
      <c r="H41" s="364"/>
      <c r="I41" s="364"/>
      <c r="J41" s="364"/>
      <c r="K41" s="364"/>
      <c r="L41" s="171" t="s">
        <v>53</v>
      </c>
      <c r="M41" s="279">
        <v>7.1</v>
      </c>
      <c r="N41" s="280">
        <v>7</v>
      </c>
      <c r="O41" s="280">
        <v>1.3</v>
      </c>
      <c r="P41" s="280">
        <v>7.1</v>
      </c>
      <c r="Q41" s="281">
        <v>7.1</v>
      </c>
      <c r="R41" s="800">
        <f t="shared" ref="R41:R48" si="20">SUM(M41:Q41)</f>
        <v>29.6</v>
      </c>
      <c r="S41" s="646"/>
      <c r="T41" s="675"/>
      <c r="U41" s="657"/>
      <c r="X41" s="48"/>
      <c r="Y41" s="2"/>
      <c r="Z41" s="2"/>
      <c r="AA41" s="2"/>
      <c r="AB41" s="2"/>
    </row>
    <row r="42" spans="1:38" ht="33.75" customHeight="1" x14ac:dyDescent="0.25">
      <c r="A42" s="171" t="s">
        <v>24</v>
      </c>
      <c r="B42" s="279">
        <v>87.1</v>
      </c>
      <c r="C42" s="280">
        <v>86.4</v>
      </c>
      <c r="D42" s="280">
        <v>16.600000000000001</v>
      </c>
      <c r="E42" s="280">
        <v>89.1</v>
      </c>
      <c r="F42" s="281">
        <v>86.6</v>
      </c>
      <c r="G42" s="638">
        <f t="shared" si="19"/>
        <v>365.79999999999995</v>
      </c>
      <c r="H42" s="364"/>
      <c r="I42" s="364"/>
      <c r="J42" s="364"/>
      <c r="K42" s="364"/>
      <c r="L42" s="171" t="s">
        <v>24</v>
      </c>
      <c r="M42" s="279">
        <v>7</v>
      </c>
      <c r="N42" s="280">
        <v>7</v>
      </c>
      <c r="O42" s="280">
        <v>1.3</v>
      </c>
      <c r="P42" s="280">
        <v>7.1</v>
      </c>
      <c r="Q42" s="281">
        <v>7.1</v>
      </c>
      <c r="R42" s="638">
        <f t="shared" si="20"/>
        <v>29.5</v>
      </c>
      <c r="S42" s="646"/>
      <c r="T42" s="647"/>
      <c r="U42" s="658"/>
      <c r="X42" s="48"/>
      <c r="Y42" s="2"/>
      <c r="Z42" s="2"/>
      <c r="AA42" s="2"/>
      <c r="AB42" s="2"/>
    </row>
    <row r="43" spans="1:38" ht="33.75" customHeight="1" x14ac:dyDescent="0.25">
      <c r="A43" s="171" t="s">
        <v>20</v>
      </c>
      <c r="B43" s="279">
        <v>87.1</v>
      </c>
      <c r="C43" s="280">
        <v>86.4</v>
      </c>
      <c r="D43" s="280">
        <v>16.600000000000001</v>
      </c>
      <c r="E43" s="280">
        <v>89.1</v>
      </c>
      <c r="F43" s="281">
        <v>86.6</v>
      </c>
      <c r="G43" s="638">
        <f t="shared" si="19"/>
        <v>365.79999999999995</v>
      </c>
      <c r="H43" s="364"/>
      <c r="I43" s="364"/>
      <c r="J43" s="364"/>
      <c r="K43" s="364"/>
      <c r="L43" s="171" t="s">
        <v>20</v>
      </c>
      <c r="M43" s="279">
        <v>7</v>
      </c>
      <c r="N43" s="280">
        <v>7</v>
      </c>
      <c r="O43" s="280">
        <v>1.3</v>
      </c>
      <c r="P43" s="280">
        <v>7.1</v>
      </c>
      <c r="Q43" s="281">
        <v>7.1</v>
      </c>
      <c r="R43" s="638">
        <f t="shared" si="20"/>
        <v>29.5</v>
      </c>
      <c r="S43" s="646"/>
      <c r="T43" s="647"/>
      <c r="U43" s="658"/>
      <c r="X43" s="48"/>
      <c r="Y43" s="2"/>
      <c r="Z43" s="2"/>
      <c r="AA43" s="2"/>
      <c r="AB43" s="2"/>
    </row>
    <row r="44" spans="1:38" ht="33.75" customHeight="1" x14ac:dyDescent="0.25">
      <c r="A44" s="171" t="s">
        <v>28</v>
      </c>
      <c r="B44" s="279">
        <v>86.4</v>
      </c>
      <c r="C44" s="280">
        <v>85.9</v>
      </c>
      <c r="D44" s="280">
        <v>16.2</v>
      </c>
      <c r="E44" s="280">
        <v>88.5</v>
      </c>
      <c r="F44" s="281">
        <v>86.1</v>
      </c>
      <c r="G44" s="638">
        <f t="shared" si="19"/>
        <v>363.1</v>
      </c>
      <c r="H44" s="651"/>
      <c r="I44" s="364"/>
      <c r="J44" s="364"/>
      <c r="K44" s="364"/>
      <c r="L44" s="171" t="s">
        <v>28</v>
      </c>
      <c r="M44" s="279">
        <v>7</v>
      </c>
      <c r="N44" s="280">
        <v>7</v>
      </c>
      <c r="O44" s="280">
        <v>1.3</v>
      </c>
      <c r="P44" s="280">
        <v>7.1</v>
      </c>
      <c r="Q44" s="281">
        <v>7</v>
      </c>
      <c r="R44" s="638">
        <f t="shared" si="20"/>
        <v>29.4</v>
      </c>
      <c r="S44" s="646"/>
      <c r="T44" s="647"/>
      <c r="U44" s="658"/>
      <c r="X44" s="48"/>
      <c r="Y44" s="2"/>
      <c r="Z44" s="2"/>
      <c r="AA44" s="2"/>
      <c r="AB44" s="2"/>
    </row>
    <row r="45" spans="1:38" ht="33.75" customHeight="1" x14ac:dyDescent="0.25">
      <c r="A45" s="171" t="s">
        <v>21</v>
      </c>
      <c r="B45" s="279">
        <v>86.5</v>
      </c>
      <c r="C45" s="280">
        <v>85.8</v>
      </c>
      <c r="D45" s="280">
        <v>16.3</v>
      </c>
      <c r="E45" s="280">
        <v>88.2</v>
      </c>
      <c r="F45" s="281">
        <v>85.3</v>
      </c>
      <c r="G45" s="638">
        <f t="shared" si="19"/>
        <v>362.1</v>
      </c>
      <c r="H45" s="651"/>
      <c r="I45" s="364"/>
      <c r="J45" s="364"/>
      <c r="K45" s="364"/>
      <c r="L45" s="171" t="s">
        <v>21</v>
      </c>
      <c r="M45" s="279">
        <v>7</v>
      </c>
      <c r="N45" s="280">
        <v>6.9</v>
      </c>
      <c r="O45" s="280">
        <v>1.2</v>
      </c>
      <c r="P45" s="280">
        <v>7.1</v>
      </c>
      <c r="Q45" s="281">
        <v>7</v>
      </c>
      <c r="R45" s="638">
        <f t="shared" si="20"/>
        <v>29.2</v>
      </c>
      <c r="S45" s="646"/>
      <c r="T45" s="647"/>
      <c r="U45" s="658"/>
      <c r="X45" s="48"/>
      <c r="Y45" s="2"/>
      <c r="Z45" s="2"/>
      <c r="AA45" s="2"/>
      <c r="AB45" s="2"/>
    </row>
    <row r="46" spans="1:38" ht="33.75" customHeight="1" x14ac:dyDescent="0.25">
      <c r="A46" s="171" t="s">
        <v>22</v>
      </c>
      <c r="B46" s="279">
        <v>86.5</v>
      </c>
      <c r="C46" s="280">
        <v>85.8</v>
      </c>
      <c r="D46" s="280">
        <v>16.3</v>
      </c>
      <c r="E46" s="280">
        <v>88.1</v>
      </c>
      <c r="F46" s="281">
        <v>85.3</v>
      </c>
      <c r="G46" s="209">
        <f t="shared" si="19"/>
        <v>362.00000000000006</v>
      </c>
      <c r="H46" s="651"/>
      <c r="I46" s="364"/>
      <c r="J46" s="364"/>
      <c r="K46" s="364"/>
      <c r="L46" s="171" t="s">
        <v>22</v>
      </c>
      <c r="M46" s="279">
        <v>7</v>
      </c>
      <c r="N46" s="280">
        <v>6.9</v>
      </c>
      <c r="O46" s="280">
        <v>1.2</v>
      </c>
      <c r="P46" s="280">
        <v>7.1</v>
      </c>
      <c r="Q46" s="281">
        <v>7</v>
      </c>
      <c r="R46" s="209">
        <f t="shared" si="20"/>
        <v>29.2</v>
      </c>
      <c r="S46" s="646"/>
      <c r="T46" s="647"/>
      <c r="U46" s="658"/>
      <c r="X46" s="48"/>
      <c r="Y46" s="2"/>
      <c r="Z46" s="2"/>
      <c r="AA46" s="2"/>
      <c r="AB46" s="2"/>
    </row>
    <row r="47" spans="1:38" ht="33.75" customHeight="1" thickBot="1" x14ac:dyDescent="0.3">
      <c r="A47" s="285" t="s">
        <v>23</v>
      </c>
      <c r="B47" s="279">
        <v>86.5</v>
      </c>
      <c r="C47" s="280">
        <v>85.8</v>
      </c>
      <c r="D47" s="280">
        <v>16.3</v>
      </c>
      <c r="E47" s="280">
        <v>88.1</v>
      </c>
      <c r="F47" s="281">
        <v>85.3</v>
      </c>
      <c r="G47" s="376">
        <f t="shared" si="19"/>
        <v>362.00000000000006</v>
      </c>
      <c r="H47" s="651"/>
      <c r="I47" s="364"/>
      <c r="J47" s="364"/>
      <c r="K47" s="364"/>
      <c r="L47" s="285" t="s">
        <v>23</v>
      </c>
      <c r="M47" s="279">
        <v>7</v>
      </c>
      <c r="N47" s="280">
        <v>6.9</v>
      </c>
      <c r="O47" s="280">
        <v>1.2</v>
      </c>
      <c r="P47" s="280">
        <v>7</v>
      </c>
      <c r="Q47" s="281">
        <v>7</v>
      </c>
      <c r="R47" s="412">
        <f t="shared" si="20"/>
        <v>29.1</v>
      </c>
      <c r="S47" s="646"/>
      <c r="T47" s="647"/>
      <c r="U47" s="658"/>
      <c r="X47" s="48"/>
      <c r="Y47" s="48"/>
      <c r="Z47" s="48"/>
      <c r="AA47" s="2"/>
      <c r="AB47" s="2"/>
      <c r="AC47" s="2"/>
      <c r="AD47" s="2"/>
    </row>
    <row r="48" spans="1:38" ht="33.75" customHeight="1" thickBot="1" x14ac:dyDescent="0.3">
      <c r="A48" s="290" t="s">
        <v>9</v>
      </c>
      <c r="B48" s="297">
        <f>SUM(B41:B47)</f>
        <v>607.19999999999993</v>
      </c>
      <c r="C48" s="298">
        <f t="shared" ref="C48:F48" si="21">SUM(C41:C47)</f>
        <v>602.9</v>
      </c>
      <c r="D48" s="298">
        <f t="shared" si="21"/>
        <v>114.89999999999999</v>
      </c>
      <c r="E48" s="298">
        <f t="shared" si="21"/>
        <v>620.19999999999993</v>
      </c>
      <c r="F48" s="448">
        <f t="shared" si="21"/>
        <v>601.79999999999995</v>
      </c>
      <c r="G48" s="729">
        <f t="shared" si="19"/>
        <v>2547</v>
      </c>
      <c r="H48" s="364"/>
      <c r="I48" s="364"/>
      <c r="J48" s="364"/>
      <c r="K48" s="364"/>
      <c r="L48" s="290" t="s">
        <v>9</v>
      </c>
      <c r="M48" s="687">
        <f>SUM(M41:M47)</f>
        <v>49.1</v>
      </c>
      <c r="N48" s="688">
        <f>SUM(N41:N47)</f>
        <v>48.699999999999996</v>
      </c>
      <c r="O48" s="688">
        <f>SUM(O41:O47)</f>
        <v>8.8000000000000007</v>
      </c>
      <c r="P48" s="688">
        <f t="shared" ref="P48:Q48" si="22">SUM(P41:P47)</f>
        <v>49.6</v>
      </c>
      <c r="Q48" s="790">
        <f t="shared" si="22"/>
        <v>49.3</v>
      </c>
      <c r="R48" s="449">
        <f t="shared" si="20"/>
        <v>205.5</v>
      </c>
      <c r="S48" s="647"/>
      <c r="T48" s="647"/>
      <c r="U48" s="658"/>
      <c r="X48" s="2"/>
      <c r="Y48" s="2"/>
      <c r="Z48" s="2"/>
      <c r="AA48" s="2"/>
      <c r="AB48" s="2"/>
      <c r="AC48" s="2"/>
      <c r="AD48" s="2"/>
    </row>
    <row r="49" spans="1:50" ht="33.75" customHeight="1" x14ac:dyDescent="0.25">
      <c r="A49" s="192" t="s">
        <v>11</v>
      </c>
      <c r="B49" s="751">
        <v>154.8959999999999</v>
      </c>
      <c r="C49" s="751">
        <v>154.8959999999999</v>
      </c>
      <c r="D49" s="751">
        <v>154.8959999999999</v>
      </c>
      <c r="E49" s="751">
        <v>154.8959999999999</v>
      </c>
      <c r="F49" s="751">
        <v>154.8959999999999</v>
      </c>
      <c r="G49" s="730">
        <f>+((G48/G50)/7)*1000</f>
        <v>154.24211227517713</v>
      </c>
      <c r="H49" s="609"/>
      <c r="I49" s="364"/>
      <c r="J49" s="364"/>
      <c r="K49" s="364"/>
      <c r="L49" s="273" t="s">
        <v>11</v>
      </c>
      <c r="M49" s="293">
        <v>159.5</v>
      </c>
      <c r="N49" s="294">
        <v>158</v>
      </c>
      <c r="O49" s="294">
        <v>157.5</v>
      </c>
      <c r="P49" s="294">
        <v>157.5</v>
      </c>
      <c r="Q49" s="791">
        <v>156.5</v>
      </c>
      <c r="R49" s="730">
        <f>+((R48/R50)/7)*1000</f>
        <v>157.83410138248846</v>
      </c>
      <c r="S49" s="648"/>
      <c r="T49" s="647"/>
      <c r="U49" s="658"/>
      <c r="V49" s="50"/>
    </row>
    <row r="50" spans="1:50" ht="33.75" customHeight="1" x14ac:dyDescent="0.25">
      <c r="A50" s="193" t="s">
        <v>12</v>
      </c>
      <c r="B50" s="26">
        <v>561</v>
      </c>
      <c r="C50" s="27">
        <v>559</v>
      </c>
      <c r="D50" s="27">
        <v>106</v>
      </c>
      <c r="E50" s="27">
        <v>574</v>
      </c>
      <c r="F50" s="183">
        <v>559</v>
      </c>
      <c r="G50" s="731">
        <f>SUM(B50:F50)</f>
        <v>2359</v>
      </c>
      <c r="H50" s="609"/>
      <c r="I50" s="364"/>
      <c r="J50" s="364"/>
      <c r="K50" s="364"/>
      <c r="L50" s="193" t="s">
        <v>12</v>
      </c>
      <c r="M50" s="257">
        <v>44</v>
      </c>
      <c r="N50" s="275">
        <v>44</v>
      </c>
      <c r="O50" s="275">
        <v>8</v>
      </c>
      <c r="P50" s="275">
        <v>45</v>
      </c>
      <c r="Q50" s="527">
        <v>45</v>
      </c>
      <c r="R50" s="233">
        <f>SUM(M50:Q50)</f>
        <v>186</v>
      </c>
      <c r="S50" s="649"/>
      <c r="T50" s="301"/>
      <c r="U50" s="52"/>
      <c r="V50" s="52"/>
    </row>
    <row r="51" spans="1:50" ht="33.75" customHeight="1" x14ac:dyDescent="0.25">
      <c r="A51" s="194" t="s">
        <v>13</v>
      </c>
      <c r="B51" s="30">
        <f>((((B49*7)*B50)/1000))/7</f>
        <v>86.896655999999936</v>
      </c>
      <c r="C51" s="30">
        <f t="shared" ref="C51:F51" si="23">((((C49*7)*C50)/1000))/7</f>
        <v>86.586863999999949</v>
      </c>
      <c r="D51" s="30">
        <f t="shared" si="23"/>
        <v>16.41897599999999</v>
      </c>
      <c r="E51" s="30">
        <f t="shared" si="23"/>
        <v>88.910303999999925</v>
      </c>
      <c r="F51" s="30">
        <f t="shared" si="23"/>
        <v>86.586863999999949</v>
      </c>
      <c r="G51" s="732">
        <f>((G48*1000)/G50)/7</f>
        <v>154.24211227517713</v>
      </c>
      <c r="H51" s="609"/>
      <c r="I51" s="364"/>
      <c r="J51" s="364"/>
      <c r="K51" s="364"/>
      <c r="L51" s="194" t="s">
        <v>13</v>
      </c>
      <c r="M51" s="30">
        <f>((((M49*7)*M50)/1000)-M41-M42)/5</f>
        <v>7.0051999999999994</v>
      </c>
      <c r="N51" s="31">
        <f t="shared" ref="N51:Q51" si="24">((((N49*7)*N50)/1000)-N41-N42)/5</f>
        <v>6.9328000000000003</v>
      </c>
      <c r="O51" s="31">
        <f t="shared" si="24"/>
        <v>1.2440000000000002</v>
      </c>
      <c r="P51" s="31">
        <f t="shared" si="24"/>
        <v>7.0824999999999987</v>
      </c>
      <c r="Q51" s="163">
        <f t="shared" si="24"/>
        <v>7.019499999999999</v>
      </c>
      <c r="R51" s="234">
        <f>((R48*1000)/R50)/7</f>
        <v>157.83410138248846</v>
      </c>
      <c r="S51" s="650"/>
      <c r="T51" s="301"/>
      <c r="U51" s="52"/>
      <c r="V51" s="52"/>
    </row>
    <row r="52" spans="1:50" ht="33.75" customHeight="1" x14ac:dyDescent="0.25">
      <c r="A52" s="185" t="s">
        <v>14</v>
      </c>
      <c r="B52" s="279">
        <f>((B50*B49)*7)/1000</f>
        <v>608.2765919999996</v>
      </c>
      <c r="C52" s="280">
        <f>((C50*C49)*7)/1000</f>
        <v>606.1080479999996</v>
      </c>
      <c r="D52" s="280">
        <f>((D50*D49)*7)/1000</f>
        <v>114.93283199999991</v>
      </c>
      <c r="E52" s="280">
        <f>((E50*E49)*7)/1000</f>
        <v>622.37212799999952</v>
      </c>
      <c r="F52" s="281">
        <f>((F50*F49)*7)/1000</f>
        <v>606.1080479999996</v>
      </c>
      <c r="G52" s="73"/>
      <c r="H52" s="609"/>
      <c r="I52" s="364"/>
      <c r="J52" s="364"/>
      <c r="K52" s="364"/>
      <c r="L52" s="185" t="s">
        <v>14</v>
      </c>
      <c r="M52" s="279">
        <f>((M50*M49)*7)/1000</f>
        <v>49.125999999999998</v>
      </c>
      <c r="N52" s="280">
        <f>((N50*N49)*7)/1000</f>
        <v>48.664000000000001</v>
      </c>
      <c r="O52" s="280">
        <f>((O50*O49)*7)/1000</f>
        <v>8.82</v>
      </c>
      <c r="P52" s="280">
        <f t="shared" ref="P52" si="25">((P50*P49)*7)/1000</f>
        <v>49.612499999999997</v>
      </c>
      <c r="Q52" s="281">
        <f>((Q50*Q49)*7)/1000</f>
        <v>49.297499999999999</v>
      </c>
      <c r="R52" s="213"/>
      <c r="S52" s="522"/>
    </row>
    <row r="53" spans="1:50" ht="33.75" customHeight="1" thickBot="1" x14ac:dyDescent="0.3">
      <c r="A53" s="195" t="s">
        <v>15</v>
      </c>
      <c r="B53" s="37">
        <f>+(B48/B50)/7*1000</f>
        <v>154.62184873949579</v>
      </c>
      <c r="C53" s="38">
        <f t="shared" ref="C53:E53" si="26">+(C48/C50)/7*1000</f>
        <v>154.07615640173779</v>
      </c>
      <c r="D53" s="38">
        <f t="shared" si="26"/>
        <v>154.85175202156333</v>
      </c>
      <c r="E53" s="38">
        <f t="shared" si="26"/>
        <v>154.35540069686411</v>
      </c>
      <c r="F53" s="207">
        <f>+(F48/F50)/7*1000</f>
        <v>153.79504216713519</v>
      </c>
      <c r="G53" s="74"/>
      <c r="H53" s="609"/>
      <c r="I53" s="364"/>
      <c r="J53" s="364"/>
      <c r="K53" s="364"/>
      <c r="L53" s="195" t="s">
        <v>15</v>
      </c>
      <c r="M53" s="37">
        <f>+(M48/M50)/7*1000</f>
        <v>159.41558441558442</v>
      </c>
      <c r="N53" s="38">
        <f>+(N48/N50)/7*1000</f>
        <v>158.11688311688309</v>
      </c>
      <c r="O53" s="38">
        <f>+(O48/O50)/7*1000</f>
        <v>157.14285714285717</v>
      </c>
      <c r="P53" s="38">
        <f t="shared" ref="P53:Q53" si="27">+(P48/P50)/7*1000</f>
        <v>157.46031746031747</v>
      </c>
      <c r="Q53" s="207">
        <f t="shared" si="27"/>
        <v>156.50793650793648</v>
      </c>
      <c r="R53" s="262"/>
      <c r="S53" s="651"/>
      <c r="U53" s="42"/>
      <c r="V53" s="42"/>
    </row>
    <row r="54" spans="1:50" ht="33.75" customHeight="1" x14ac:dyDescent="0.25">
      <c r="A54" s="41"/>
      <c r="B54" s="43">
        <f>B52-B48</f>
        <v>1.076591999999664</v>
      </c>
      <c r="C54" s="43">
        <f t="shared" ref="C54:D55" si="28">C52-C48</f>
        <v>3.2080479999996214</v>
      </c>
      <c r="D54" s="43">
        <f t="shared" si="28"/>
        <v>3.2831999999913819E-2</v>
      </c>
      <c r="E54" s="43">
        <f>E52-E48</f>
        <v>2.1721279999995886</v>
      </c>
      <c r="F54" s="43">
        <f>F52-F48</f>
        <v>4.3080479999996442</v>
      </c>
      <c r="G54" s="41"/>
      <c r="H54" s="41"/>
      <c r="I54" s="41"/>
      <c r="J54" s="41"/>
      <c r="K54" s="41"/>
      <c r="L54" s="42"/>
      <c r="M54" s="42">
        <f>M52-M48</f>
        <v>2.5999999999996248E-2</v>
      </c>
      <c r="N54" s="42">
        <f>N52-N48</f>
        <v>-3.5999999999994259E-2</v>
      </c>
      <c r="O54" s="42">
        <f t="shared" ref="N54:Q55" si="29">O52-O48</f>
        <v>1.9999999999999574E-2</v>
      </c>
      <c r="P54" s="42">
        <f t="shared" si="29"/>
        <v>1.2499999999995737E-2</v>
      </c>
      <c r="Q54" s="42">
        <f t="shared" si="29"/>
        <v>-2.4999999999977263E-3</v>
      </c>
      <c r="R54" s="42"/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-0.27415126050411232</v>
      </c>
      <c r="C55" s="42">
        <f>C53-C49</f>
        <v>-0.81984359826211062</v>
      </c>
      <c r="D55" s="42">
        <f t="shared" si="28"/>
        <v>-4.4247978436573021E-2</v>
      </c>
      <c r="E55" s="42">
        <f>E53-E49</f>
        <v>-0.5405993031357923</v>
      </c>
      <c r="F55" s="42">
        <f>F53-F49</f>
        <v>-1.1009578328647081</v>
      </c>
      <c r="G55" s="41"/>
      <c r="H55" s="41"/>
      <c r="I55" s="41"/>
      <c r="J55" s="41"/>
      <c r="K55" s="42"/>
      <c r="L55" s="42"/>
      <c r="M55" s="42">
        <f>M53-M49</f>
        <v>-8.4415584415580724E-2</v>
      </c>
      <c r="N55" s="42">
        <f t="shared" si="29"/>
        <v>0.11688311688308772</v>
      </c>
      <c r="O55" s="42">
        <f>O53-O49</f>
        <v>-0.35714285714283278</v>
      </c>
      <c r="P55" s="42">
        <f>P53-P49</f>
        <v>-3.968253968253066E-2</v>
      </c>
      <c r="Q55" s="42">
        <f t="shared" si="29"/>
        <v>7.9365079364777102E-3</v>
      </c>
      <c r="R55" s="42"/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283"/>
      <c r="N57" s="283"/>
      <c r="O57" s="283"/>
      <c r="P57" s="283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99" t="s">
        <v>30</v>
      </c>
      <c r="H58" s="1000"/>
      <c r="I58" s="1000"/>
      <c r="J58" s="1000"/>
      <c r="K58" s="1001"/>
      <c r="L58" s="973" t="s">
        <v>29</v>
      </c>
      <c r="M58" s="974"/>
      <c r="N58" s="974"/>
      <c r="O58" s="974"/>
      <c r="P58" s="991"/>
      <c r="Q58" s="973" t="s">
        <v>31</v>
      </c>
      <c r="R58" s="974"/>
      <c r="S58" s="974"/>
      <c r="T58" s="974"/>
      <c r="U58" s="991"/>
      <c r="V58" s="586" t="s">
        <v>9</v>
      </c>
      <c r="W58" s="661"/>
      <c r="X58" s="662"/>
      <c r="Y58" s="522"/>
      <c r="Z58" s="522"/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692">
        <v>1</v>
      </c>
      <c r="H59" s="693">
        <v>2</v>
      </c>
      <c r="I59" s="693">
        <v>3</v>
      </c>
      <c r="J59" s="693">
        <v>4</v>
      </c>
      <c r="K59" s="693">
        <v>5</v>
      </c>
      <c r="L59" s="188">
        <v>1</v>
      </c>
      <c r="M59" s="168">
        <v>2</v>
      </c>
      <c r="N59" s="168">
        <v>3</v>
      </c>
      <c r="O59" s="168">
        <v>4</v>
      </c>
      <c r="P59" s="414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126"/>
      <c r="W59" s="663"/>
      <c r="X59" s="645"/>
      <c r="Y59" s="657"/>
      <c r="Z59" s="657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45">
      <c r="A60" s="171" t="s">
        <v>53</v>
      </c>
      <c r="B60" s="735">
        <v>7.6</v>
      </c>
      <c r="C60" s="736">
        <v>7.6</v>
      </c>
      <c r="D60" s="736">
        <v>1.7</v>
      </c>
      <c r="E60" s="736">
        <v>7.7</v>
      </c>
      <c r="F60" s="737">
        <v>7.6</v>
      </c>
      <c r="G60" s="738">
        <v>7.6</v>
      </c>
      <c r="H60" s="739">
        <v>7.7</v>
      </c>
      <c r="I60" s="799">
        <v>1.7</v>
      </c>
      <c r="J60" s="739">
        <v>7.6</v>
      </c>
      <c r="K60" s="739">
        <v>7.7</v>
      </c>
      <c r="L60" s="279">
        <v>6.2</v>
      </c>
      <c r="M60" s="280">
        <v>6.3</v>
      </c>
      <c r="N60" s="280">
        <v>1.9</v>
      </c>
      <c r="O60" s="280">
        <v>6.1</v>
      </c>
      <c r="P60" s="282">
        <v>6.3</v>
      </c>
      <c r="Q60" s="737">
        <v>6.5</v>
      </c>
      <c r="R60" s="736">
        <v>6.6</v>
      </c>
      <c r="S60" s="736">
        <v>2.1</v>
      </c>
      <c r="T60" s="736">
        <v>6.7</v>
      </c>
      <c r="U60" s="742">
        <v>6.5</v>
      </c>
      <c r="V60" s="749">
        <f t="shared" ref="V60:V67" si="30">SUM(B60:U60)</f>
        <v>119.69999999999999</v>
      </c>
      <c r="W60" s="651"/>
      <c r="X60" s="646"/>
      <c r="Y60" s="657"/>
      <c r="Z60" s="657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25">
      <c r="A61" s="171" t="s">
        <v>24</v>
      </c>
      <c r="B61" s="735">
        <v>7.6</v>
      </c>
      <c r="C61" s="736">
        <v>7.6</v>
      </c>
      <c r="D61" s="736">
        <v>1.6</v>
      </c>
      <c r="E61" s="736">
        <v>7.7</v>
      </c>
      <c r="F61" s="737">
        <v>7.6</v>
      </c>
      <c r="G61" s="738">
        <v>7.5</v>
      </c>
      <c r="H61" s="739">
        <v>7.7</v>
      </c>
      <c r="I61" s="739">
        <v>1.6</v>
      </c>
      <c r="J61" s="739">
        <v>7.6</v>
      </c>
      <c r="K61" s="739">
        <v>7.7</v>
      </c>
      <c r="L61" s="279">
        <v>6.2</v>
      </c>
      <c r="M61" s="280">
        <v>6.3</v>
      </c>
      <c r="N61" s="280">
        <v>1.9</v>
      </c>
      <c r="O61" s="280">
        <v>6.1</v>
      </c>
      <c r="P61" s="282">
        <v>6.3</v>
      </c>
      <c r="Q61" s="737">
        <v>6.5</v>
      </c>
      <c r="R61" s="736">
        <v>6.6</v>
      </c>
      <c r="S61" s="736">
        <v>2.1</v>
      </c>
      <c r="T61" s="736">
        <v>6.7</v>
      </c>
      <c r="U61" s="742">
        <v>6.5</v>
      </c>
      <c r="V61" s="749">
        <f t="shared" si="30"/>
        <v>119.39999999999999</v>
      </c>
      <c r="W61" s="651"/>
      <c r="X61" s="646"/>
      <c r="Y61" s="651"/>
      <c r="Z61" s="651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25">
      <c r="A62" s="171" t="s">
        <v>20</v>
      </c>
      <c r="B62" s="735">
        <v>7.6</v>
      </c>
      <c r="C62" s="736">
        <v>7.6</v>
      </c>
      <c r="D62" s="736">
        <v>1.6</v>
      </c>
      <c r="E62" s="736">
        <v>7.7</v>
      </c>
      <c r="F62" s="737">
        <v>7.6</v>
      </c>
      <c r="G62" s="738">
        <v>7.5</v>
      </c>
      <c r="H62" s="739">
        <v>7.7</v>
      </c>
      <c r="I62" s="739">
        <v>1.6</v>
      </c>
      <c r="J62" s="739">
        <v>7.6</v>
      </c>
      <c r="K62" s="739">
        <v>7.7</v>
      </c>
      <c r="L62" s="279">
        <v>6.2</v>
      </c>
      <c r="M62" s="280">
        <v>6.3</v>
      </c>
      <c r="N62" s="280">
        <v>1.9</v>
      </c>
      <c r="O62" s="280">
        <v>6.1</v>
      </c>
      <c r="P62" s="282">
        <v>6.3</v>
      </c>
      <c r="Q62" s="737">
        <v>6.5</v>
      </c>
      <c r="R62" s="736">
        <v>6.6</v>
      </c>
      <c r="S62" s="736">
        <v>2.1</v>
      </c>
      <c r="T62" s="736">
        <v>6.6</v>
      </c>
      <c r="U62" s="742">
        <v>6.5</v>
      </c>
      <c r="V62" s="749">
        <f t="shared" si="30"/>
        <v>119.29999999999998</v>
      </c>
      <c r="W62" s="651"/>
      <c r="X62" s="646"/>
      <c r="Y62" s="651"/>
      <c r="Z62" s="651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25">
      <c r="A63" s="171" t="s">
        <v>28</v>
      </c>
      <c r="B63" s="735">
        <v>7.6</v>
      </c>
      <c r="C63" s="736">
        <v>7.6</v>
      </c>
      <c r="D63" s="736">
        <v>1.6</v>
      </c>
      <c r="E63" s="736">
        <v>7.7</v>
      </c>
      <c r="F63" s="737">
        <v>7.6</v>
      </c>
      <c r="G63" s="738">
        <v>7.5</v>
      </c>
      <c r="H63" s="739">
        <v>7.7</v>
      </c>
      <c r="I63" s="739">
        <v>1.6</v>
      </c>
      <c r="J63" s="739">
        <v>7.6</v>
      </c>
      <c r="K63" s="739">
        <v>7.7</v>
      </c>
      <c r="L63" s="279">
        <v>6.2</v>
      </c>
      <c r="M63" s="280">
        <v>6.3</v>
      </c>
      <c r="N63" s="280">
        <v>1.9</v>
      </c>
      <c r="O63" s="280">
        <v>6.1</v>
      </c>
      <c r="P63" s="282">
        <v>6.3</v>
      </c>
      <c r="Q63" s="737">
        <v>6.5</v>
      </c>
      <c r="R63" s="736">
        <v>6.6</v>
      </c>
      <c r="S63" s="736">
        <v>2.1</v>
      </c>
      <c r="T63" s="736">
        <v>6.6</v>
      </c>
      <c r="U63" s="742">
        <v>6.4</v>
      </c>
      <c r="V63" s="749">
        <f t="shared" si="30"/>
        <v>119.19999999999999</v>
      </c>
      <c r="W63" s="651"/>
      <c r="X63" s="646"/>
      <c r="Y63" s="651"/>
      <c r="Z63" s="651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25">
      <c r="A64" s="171" t="s">
        <v>21</v>
      </c>
      <c r="B64" s="735">
        <v>7.6</v>
      </c>
      <c r="C64" s="736">
        <v>7.6</v>
      </c>
      <c r="D64" s="736">
        <v>1.6</v>
      </c>
      <c r="E64" s="736">
        <v>7.7</v>
      </c>
      <c r="F64" s="737">
        <v>7.6</v>
      </c>
      <c r="G64" s="738">
        <v>7.5</v>
      </c>
      <c r="H64" s="739">
        <v>7.7</v>
      </c>
      <c r="I64" s="739">
        <v>1.6</v>
      </c>
      <c r="J64" s="739">
        <v>7.6</v>
      </c>
      <c r="K64" s="739">
        <v>7.6</v>
      </c>
      <c r="L64" s="279">
        <v>6.1</v>
      </c>
      <c r="M64" s="280">
        <v>6.2</v>
      </c>
      <c r="N64" s="280">
        <v>1.9</v>
      </c>
      <c r="O64" s="280">
        <v>6.1</v>
      </c>
      <c r="P64" s="282">
        <v>6.3</v>
      </c>
      <c r="Q64" s="737">
        <v>6.4</v>
      </c>
      <c r="R64" s="736">
        <v>6.6</v>
      </c>
      <c r="S64" s="736">
        <v>2.1</v>
      </c>
      <c r="T64" s="736">
        <v>6.6</v>
      </c>
      <c r="U64" s="742">
        <v>6.4</v>
      </c>
      <c r="V64" s="749">
        <f t="shared" si="30"/>
        <v>118.8</v>
      </c>
      <c r="W64" s="651"/>
      <c r="X64" s="646"/>
      <c r="Y64" s="651"/>
      <c r="Z64" s="651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25">
      <c r="A65" s="171" t="s">
        <v>22</v>
      </c>
      <c r="B65" s="735">
        <v>7.5</v>
      </c>
      <c r="C65" s="736">
        <v>7.5</v>
      </c>
      <c r="D65" s="736">
        <v>1.6</v>
      </c>
      <c r="E65" s="736">
        <v>7.7</v>
      </c>
      <c r="F65" s="737">
        <v>7.5</v>
      </c>
      <c r="G65" s="738">
        <v>7.5</v>
      </c>
      <c r="H65" s="739">
        <v>7.7</v>
      </c>
      <c r="I65" s="739">
        <v>1.6</v>
      </c>
      <c r="J65" s="739">
        <v>7.5</v>
      </c>
      <c r="K65" s="739">
        <v>7.6</v>
      </c>
      <c r="L65" s="279">
        <v>6.1</v>
      </c>
      <c r="M65" s="280">
        <v>6.2</v>
      </c>
      <c r="N65" s="280">
        <v>1.9</v>
      </c>
      <c r="O65" s="280">
        <v>6.1</v>
      </c>
      <c r="P65" s="282">
        <v>6.3</v>
      </c>
      <c r="Q65" s="737">
        <v>6.4</v>
      </c>
      <c r="R65" s="736">
        <v>6.6</v>
      </c>
      <c r="S65" s="736">
        <v>2.1</v>
      </c>
      <c r="T65" s="736">
        <v>6.6</v>
      </c>
      <c r="U65" s="742">
        <v>6.4</v>
      </c>
      <c r="V65" s="412">
        <f t="shared" si="30"/>
        <v>118.39999999999999</v>
      </c>
      <c r="W65" s="651"/>
      <c r="X65" s="646"/>
      <c r="Y65" s="651"/>
      <c r="Z65" s="651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3">
      <c r="A66" s="171" t="s">
        <v>23</v>
      </c>
      <c r="B66" s="735">
        <v>7.5</v>
      </c>
      <c r="C66" s="736">
        <v>7.5</v>
      </c>
      <c r="D66" s="736">
        <v>1.6</v>
      </c>
      <c r="E66" s="736">
        <v>7.7</v>
      </c>
      <c r="F66" s="737">
        <v>7.5</v>
      </c>
      <c r="G66" s="738">
        <v>7.5</v>
      </c>
      <c r="H66" s="739">
        <v>7.7</v>
      </c>
      <c r="I66" s="739">
        <v>1.6</v>
      </c>
      <c r="J66" s="739">
        <v>7.5</v>
      </c>
      <c r="K66" s="739">
        <v>7.6</v>
      </c>
      <c r="L66" s="279">
        <v>6.1</v>
      </c>
      <c r="M66" s="280">
        <v>6.2</v>
      </c>
      <c r="N66" s="280">
        <v>1.8</v>
      </c>
      <c r="O66" s="280">
        <v>6.1</v>
      </c>
      <c r="P66" s="282">
        <v>6.2</v>
      </c>
      <c r="Q66" s="737">
        <v>6.4</v>
      </c>
      <c r="R66" s="736">
        <v>6.6</v>
      </c>
      <c r="S66" s="736">
        <v>2.1</v>
      </c>
      <c r="T66" s="736">
        <v>6.6</v>
      </c>
      <c r="U66" s="742">
        <v>6.4</v>
      </c>
      <c r="V66" s="412">
        <f t="shared" si="30"/>
        <v>118.19999999999999</v>
      </c>
      <c r="W66" s="651"/>
      <c r="X66" s="646"/>
      <c r="Y66" s="651"/>
      <c r="Z66" s="651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297">
        <f t="shared" ref="B67:U67" si="31">SUM(B60:B66)</f>
        <v>53</v>
      </c>
      <c r="C67" s="298">
        <f t="shared" si="31"/>
        <v>53</v>
      </c>
      <c r="D67" s="298">
        <f t="shared" si="31"/>
        <v>11.299999999999999</v>
      </c>
      <c r="E67" s="298">
        <f t="shared" si="31"/>
        <v>53.900000000000006</v>
      </c>
      <c r="F67" s="448">
        <f t="shared" si="31"/>
        <v>53</v>
      </c>
      <c r="G67" s="719">
        <f t="shared" si="31"/>
        <v>52.6</v>
      </c>
      <c r="H67" s="696">
        <f t="shared" si="31"/>
        <v>53.900000000000006</v>
      </c>
      <c r="I67" s="696">
        <f t="shared" si="31"/>
        <v>11.299999999999999</v>
      </c>
      <c r="J67" s="696">
        <f t="shared" si="31"/>
        <v>53</v>
      </c>
      <c r="K67" s="720">
        <f t="shared" si="31"/>
        <v>53.6</v>
      </c>
      <c r="L67" s="618">
        <f t="shared" si="31"/>
        <v>43.1</v>
      </c>
      <c r="M67" s="616">
        <f t="shared" si="31"/>
        <v>43.800000000000004</v>
      </c>
      <c r="N67" s="616">
        <f t="shared" si="31"/>
        <v>13.200000000000001</v>
      </c>
      <c r="O67" s="616">
        <f t="shared" si="31"/>
        <v>42.7</v>
      </c>
      <c r="P67" s="616">
        <f t="shared" si="31"/>
        <v>44</v>
      </c>
      <c r="Q67" s="615">
        <f t="shared" si="31"/>
        <v>45.199999999999996</v>
      </c>
      <c r="R67" s="616">
        <f t="shared" si="31"/>
        <v>46.2</v>
      </c>
      <c r="S67" s="616">
        <f t="shared" si="31"/>
        <v>14.7</v>
      </c>
      <c r="T67" s="616">
        <f t="shared" si="31"/>
        <v>46.400000000000006</v>
      </c>
      <c r="U67" s="617">
        <f t="shared" si="31"/>
        <v>45.099999999999994</v>
      </c>
      <c r="V67" s="449">
        <f t="shared" si="30"/>
        <v>833.00000000000034</v>
      </c>
      <c r="W67" s="664"/>
      <c r="X67" s="646"/>
      <c r="Y67" s="651"/>
      <c r="Z67" s="651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161</v>
      </c>
      <c r="C68" s="358">
        <v>161</v>
      </c>
      <c r="D68" s="358">
        <v>161</v>
      </c>
      <c r="E68" s="358">
        <v>160.5</v>
      </c>
      <c r="F68" s="718">
        <v>161</v>
      </c>
      <c r="G68" s="721">
        <v>160</v>
      </c>
      <c r="H68" s="698">
        <v>160.5</v>
      </c>
      <c r="I68" s="698">
        <v>162</v>
      </c>
      <c r="J68" s="698">
        <v>161</v>
      </c>
      <c r="K68" s="794">
        <v>159.5</v>
      </c>
      <c r="L68" s="357">
        <v>158</v>
      </c>
      <c r="M68" s="358">
        <v>160.5</v>
      </c>
      <c r="N68" s="358">
        <v>157</v>
      </c>
      <c r="O68" s="358">
        <v>160.5</v>
      </c>
      <c r="P68" s="624">
        <v>161</v>
      </c>
      <c r="Q68" s="357">
        <v>161.5</v>
      </c>
      <c r="R68" s="358">
        <v>161</v>
      </c>
      <c r="S68" s="358">
        <v>162</v>
      </c>
      <c r="T68" s="358">
        <v>161.5</v>
      </c>
      <c r="U68" s="624">
        <v>161</v>
      </c>
      <c r="V68" s="296">
        <f>+((V67/V69)/7)*1000</f>
        <v>160.81081081081086</v>
      </c>
      <c r="W68" s="145"/>
      <c r="X68" s="648"/>
      <c r="Y68" s="665"/>
      <c r="Z68" s="522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47</v>
      </c>
      <c r="C69" s="275">
        <v>47</v>
      </c>
      <c r="D69" s="275">
        <v>10</v>
      </c>
      <c r="E69" s="275">
        <v>48</v>
      </c>
      <c r="F69" s="527">
        <v>47</v>
      </c>
      <c r="G69" s="723">
        <v>47</v>
      </c>
      <c r="H69" s="700">
        <v>48</v>
      </c>
      <c r="I69" s="700">
        <v>10</v>
      </c>
      <c r="J69" s="700">
        <v>47</v>
      </c>
      <c r="K69" s="795">
        <v>48</v>
      </c>
      <c r="L69" s="257">
        <v>39</v>
      </c>
      <c r="M69" s="275">
        <v>39</v>
      </c>
      <c r="N69" s="275">
        <v>12</v>
      </c>
      <c r="O69" s="275">
        <v>37</v>
      </c>
      <c r="P69" s="276">
        <v>39</v>
      </c>
      <c r="Q69" s="257">
        <v>40</v>
      </c>
      <c r="R69" s="275">
        <v>41</v>
      </c>
      <c r="S69" s="275">
        <v>13</v>
      </c>
      <c r="T69" s="275">
        <v>41</v>
      </c>
      <c r="U69" s="276">
        <v>40</v>
      </c>
      <c r="V69" s="254">
        <f>SUM(B69:U69)</f>
        <v>740</v>
      </c>
      <c r="W69" s="145"/>
      <c r="X69" s="649"/>
      <c r="Y69" s="665"/>
      <c r="Z69" s="522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>((((B68*7)*B69)/1000)/7)</f>
        <v>7.5670000000000002</v>
      </c>
      <c r="C70" s="30">
        <f t="shared" ref="C70:U70" si="32">((((C68*7)*C69)/1000)/7)</f>
        <v>7.5670000000000002</v>
      </c>
      <c r="D70" s="30">
        <f t="shared" si="32"/>
        <v>1.6099999999999999</v>
      </c>
      <c r="E70" s="30">
        <f t="shared" si="32"/>
        <v>7.7039999999999997</v>
      </c>
      <c r="F70" s="30">
        <f t="shared" si="32"/>
        <v>7.5670000000000002</v>
      </c>
      <c r="G70" s="30">
        <f t="shared" si="32"/>
        <v>7.5200000000000005</v>
      </c>
      <c r="H70" s="30">
        <f t="shared" si="32"/>
        <v>7.7039999999999997</v>
      </c>
      <c r="I70" s="30">
        <f t="shared" si="32"/>
        <v>1.6199999999999999</v>
      </c>
      <c r="J70" s="30">
        <f t="shared" si="32"/>
        <v>7.5670000000000002</v>
      </c>
      <c r="K70" s="30">
        <f t="shared" si="32"/>
        <v>7.6559999999999997</v>
      </c>
      <c r="L70" s="30">
        <f t="shared" si="32"/>
        <v>6.1619999999999999</v>
      </c>
      <c r="M70" s="30">
        <f t="shared" si="32"/>
        <v>6.2595000000000001</v>
      </c>
      <c r="N70" s="30">
        <f t="shared" si="32"/>
        <v>1.8840000000000001</v>
      </c>
      <c r="O70" s="30">
        <f t="shared" si="32"/>
        <v>5.9384999999999994</v>
      </c>
      <c r="P70" s="30">
        <f t="shared" si="32"/>
        <v>6.2790000000000008</v>
      </c>
      <c r="Q70" s="30">
        <f t="shared" si="32"/>
        <v>6.46</v>
      </c>
      <c r="R70" s="30">
        <f t="shared" si="32"/>
        <v>6.601</v>
      </c>
      <c r="S70" s="30">
        <f t="shared" si="32"/>
        <v>2.1060000000000003</v>
      </c>
      <c r="T70" s="30">
        <f t="shared" si="32"/>
        <v>6.6214999999999993</v>
      </c>
      <c r="U70" s="30">
        <f t="shared" si="32"/>
        <v>6.4399999999999995</v>
      </c>
      <c r="V70" s="139">
        <f>((V67*1000)/V69)/7</f>
        <v>160.81081081081086</v>
      </c>
      <c r="W70" s="144"/>
      <c r="X70" s="650"/>
      <c r="Y70" s="665"/>
      <c r="Z70" s="522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33">((B69*B68)*7)/1000</f>
        <v>52.969000000000001</v>
      </c>
      <c r="C71" s="280">
        <f t="shared" si="33"/>
        <v>52.969000000000001</v>
      </c>
      <c r="D71" s="280">
        <f t="shared" si="33"/>
        <v>11.27</v>
      </c>
      <c r="E71" s="280">
        <f t="shared" si="33"/>
        <v>53.927999999999997</v>
      </c>
      <c r="F71" s="281">
        <f t="shared" si="33"/>
        <v>52.969000000000001</v>
      </c>
      <c r="G71" s="464">
        <f t="shared" si="33"/>
        <v>52.64</v>
      </c>
      <c r="H71" s="459">
        <f>((H69*H68)*7)/1000</f>
        <v>53.927999999999997</v>
      </c>
      <c r="I71" s="459">
        <f t="shared" si="33"/>
        <v>11.34</v>
      </c>
      <c r="J71" s="459">
        <f t="shared" si="33"/>
        <v>52.969000000000001</v>
      </c>
      <c r="K71" s="458">
        <f t="shared" si="33"/>
        <v>53.591999999999999</v>
      </c>
      <c r="L71" s="279">
        <f t="shared" si="33"/>
        <v>43.134</v>
      </c>
      <c r="M71" s="280">
        <f t="shared" si="33"/>
        <v>43.816499999999998</v>
      </c>
      <c r="N71" s="280">
        <f t="shared" si="33"/>
        <v>13.188000000000001</v>
      </c>
      <c r="O71" s="280">
        <f t="shared" si="33"/>
        <v>41.569499999999998</v>
      </c>
      <c r="P71" s="282">
        <f t="shared" si="33"/>
        <v>43.953000000000003</v>
      </c>
      <c r="Q71" s="279">
        <f t="shared" si="33"/>
        <v>45.22</v>
      </c>
      <c r="R71" s="280">
        <f t="shared" si="33"/>
        <v>46.207000000000001</v>
      </c>
      <c r="S71" s="280">
        <f t="shared" si="33"/>
        <v>14.742000000000001</v>
      </c>
      <c r="T71" s="280">
        <f t="shared" si="33"/>
        <v>46.350499999999997</v>
      </c>
      <c r="U71" s="282">
        <f t="shared" si="33"/>
        <v>45.08</v>
      </c>
      <c r="V71" s="112"/>
      <c r="W71" s="651"/>
      <c r="X71" s="666"/>
      <c r="Y71" s="666"/>
      <c r="Z71" s="666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U72" si="34">+(B67/B69)/7*1000</f>
        <v>161.09422492401217</v>
      </c>
      <c r="C72" s="38">
        <f t="shared" si="34"/>
        <v>161.09422492401217</v>
      </c>
      <c r="D72" s="38">
        <f t="shared" si="34"/>
        <v>161.42857142857142</v>
      </c>
      <c r="E72" s="38">
        <f t="shared" si="34"/>
        <v>160.41666666666669</v>
      </c>
      <c r="F72" s="207">
        <f t="shared" si="34"/>
        <v>161.09422492401217</v>
      </c>
      <c r="G72" s="727">
        <f t="shared" si="34"/>
        <v>159.87841945288753</v>
      </c>
      <c r="H72" s="704">
        <f t="shared" si="34"/>
        <v>160.41666666666669</v>
      </c>
      <c r="I72" s="704">
        <f t="shared" si="34"/>
        <v>161.42857142857142</v>
      </c>
      <c r="J72" s="704">
        <f t="shared" si="34"/>
        <v>161.09422492401217</v>
      </c>
      <c r="K72" s="461">
        <f t="shared" si="34"/>
        <v>159.52380952380955</v>
      </c>
      <c r="L72" s="37">
        <f t="shared" si="34"/>
        <v>157.8754578754579</v>
      </c>
      <c r="M72" s="38">
        <f t="shared" si="34"/>
        <v>160.43956043956047</v>
      </c>
      <c r="N72" s="38">
        <f t="shared" si="34"/>
        <v>157.14285714285717</v>
      </c>
      <c r="O72" s="38">
        <f t="shared" si="34"/>
        <v>164.86486486486487</v>
      </c>
      <c r="P72" s="39">
        <f t="shared" si="34"/>
        <v>161.1721611721612</v>
      </c>
      <c r="Q72" s="37">
        <f t="shared" si="34"/>
        <v>161.42857142857142</v>
      </c>
      <c r="R72" s="38">
        <f t="shared" si="34"/>
        <v>160.97560975609755</v>
      </c>
      <c r="S72" s="38">
        <f t="shared" si="34"/>
        <v>161.53846153846155</v>
      </c>
      <c r="T72" s="38">
        <f t="shared" si="34"/>
        <v>161.67247386759584</v>
      </c>
      <c r="U72" s="39">
        <f t="shared" si="34"/>
        <v>161.07142857142856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43">
        <f>B71-B67</f>
        <v>-3.0999999999998806E-2</v>
      </c>
      <c r="C73" s="43">
        <f t="shared" ref="C73:F73" si="35">C71-C67</f>
        <v>-3.0999999999998806E-2</v>
      </c>
      <c r="D73" s="43">
        <f t="shared" si="35"/>
        <v>-2.9999999999999361E-2</v>
      </c>
      <c r="E73" s="43">
        <f t="shared" si="35"/>
        <v>2.7999999999991587E-2</v>
      </c>
      <c r="F73" s="43">
        <f t="shared" si="35"/>
        <v>-3.0999999999998806E-2</v>
      </c>
      <c r="G73" s="143">
        <f>G71-G67</f>
        <v>3.9999999999999147E-2</v>
      </c>
      <c r="H73" s="143">
        <f t="shared" ref="H73:U74" si="36">H71-H67</f>
        <v>2.7999999999991587E-2</v>
      </c>
      <c r="I73" s="143">
        <f t="shared" si="36"/>
        <v>4.0000000000000924E-2</v>
      </c>
      <c r="J73" s="143">
        <f t="shared" si="36"/>
        <v>-3.0999999999998806E-2</v>
      </c>
      <c r="K73" s="143">
        <f t="shared" si="36"/>
        <v>-8.0000000000026716E-3</v>
      </c>
      <c r="L73" s="43">
        <f>L71-L67</f>
        <v>3.399999999999892E-2</v>
      </c>
      <c r="M73" s="43">
        <f t="shared" ref="M73:P73" si="37">M71-M67</f>
        <v>1.649999999999352E-2</v>
      </c>
      <c r="N73" s="43">
        <f t="shared" si="37"/>
        <v>-1.2000000000000455E-2</v>
      </c>
      <c r="O73" s="43">
        <f t="shared" si="37"/>
        <v>-1.1305000000000049</v>
      </c>
      <c r="P73" s="43">
        <f t="shared" si="37"/>
        <v>-4.6999999999997044E-2</v>
      </c>
      <c r="Q73" s="43">
        <f>Q71-Q67</f>
        <v>2.0000000000003126E-2</v>
      </c>
      <c r="R73" s="43">
        <f t="shared" ref="R73:U73" si="38">R71-R67</f>
        <v>6.9999999999978968E-3</v>
      </c>
      <c r="S73" s="43">
        <f>S71-S67</f>
        <v>4.2000000000001592E-2</v>
      </c>
      <c r="T73" s="43">
        <f>T71-T67</f>
        <v>-4.9500000000008981E-2</v>
      </c>
      <c r="U73" s="43">
        <f t="shared" si="38"/>
        <v>-1.9999999999996021E-2</v>
      </c>
      <c r="W73" s="144"/>
      <c r="X73" s="522"/>
      <c r="Y73" s="522"/>
      <c r="Z73" s="522"/>
    </row>
    <row r="74" spans="1:50" ht="33.75" customHeight="1" x14ac:dyDescent="0.25">
      <c r="B74" s="42">
        <f t="shared" ref="B74:J74" si="39">B72-B68</f>
        <v>9.4224924012166866E-2</v>
      </c>
      <c r="C74" s="42">
        <f t="shared" si="39"/>
        <v>9.4224924012166866E-2</v>
      </c>
      <c r="D74" s="42">
        <f t="shared" si="39"/>
        <v>0.42857142857141639</v>
      </c>
      <c r="E74" s="42">
        <f t="shared" si="39"/>
        <v>-8.3333333333314386E-2</v>
      </c>
      <c r="F74" s="42">
        <f t="shared" si="39"/>
        <v>9.4224924012166866E-2</v>
      </c>
      <c r="G74" s="705">
        <f t="shared" si="39"/>
        <v>-0.12158054711247246</v>
      </c>
      <c r="H74" s="705">
        <f t="shared" si="39"/>
        <v>-8.3333333333314386E-2</v>
      </c>
      <c r="I74" s="705">
        <f>I72-I68</f>
        <v>-0.57142857142858361</v>
      </c>
      <c r="J74" s="705">
        <f t="shared" si="39"/>
        <v>9.4224924012166866E-2</v>
      </c>
      <c r="K74" s="705">
        <f t="shared" si="36"/>
        <v>2.3809523809546818E-2</v>
      </c>
      <c r="L74" s="42">
        <f t="shared" si="36"/>
        <v>-0.12454212454210278</v>
      </c>
      <c r="M74" s="42">
        <f t="shared" si="36"/>
        <v>-6.0439560439533579E-2</v>
      </c>
      <c r="N74" s="42">
        <f t="shared" si="36"/>
        <v>0.14285714285716722</v>
      </c>
      <c r="O74" s="42">
        <f t="shared" si="36"/>
        <v>4.3648648648648702</v>
      </c>
      <c r="P74" s="42">
        <f t="shared" si="36"/>
        <v>0.17216117216119642</v>
      </c>
      <c r="Q74" s="42">
        <f t="shared" si="36"/>
        <v>-7.1428571428583609E-2</v>
      </c>
      <c r="R74" s="42">
        <f t="shared" si="36"/>
        <v>-2.4390243902445263E-2</v>
      </c>
      <c r="S74" s="42">
        <f t="shared" si="36"/>
        <v>-0.46153846153845279</v>
      </c>
      <c r="T74" s="42">
        <f t="shared" si="36"/>
        <v>0.1724738675958406</v>
      </c>
      <c r="U74" s="42">
        <f t="shared" si="36"/>
        <v>7.1428571428555188E-2</v>
      </c>
      <c r="V74" s="45"/>
      <c r="W74" s="651"/>
      <c r="X74" s="657"/>
      <c r="Y74" s="657"/>
      <c r="Z74" s="657"/>
      <c r="AA74" s="45"/>
      <c r="AB74" s="45"/>
      <c r="AC74" s="45"/>
      <c r="AD74" s="52"/>
    </row>
    <row r="75" spans="1:50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</row>
    <row r="76" spans="1:50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0" ht="33.75" customHeight="1" x14ac:dyDescent="0.25">
      <c r="A77" s="45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5">
    <mergeCell ref="B39:F39"/>
    <mergeCell ref="G39:G40"/>
    <mergeCell ref="M39:Q39"/>
    <mergeCell ref="B58:F58"/>
    <mergeCell ref="G58:K58"/>
    <mergeCell ref="L58:P58"/>
    <mergeCell ref="Q58:U58"/>
    <mergeCell ref="A3:C3"/>
    <mergeCell ref="E9:G9"/>
    <mergeCell ref="W9:X9"/>
    <mergeCell ref="O11:P11"/>
    <mergeCell ref="B16:H16"/>
    <mergeCell ref="I16:O16"/>
    <mergeCell ref="P16:T16"/>
    <mergeCell ref="U16:Y16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1"/>
  <sheetViews>
    <sheetView topLeftCell="A14" zoomScale="26" zoomScaleNormal="26" workbookViewId="0">
      <selection activeCell="Z18" sqref="Z18:Z24"/>
    </sheetView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48</v>
      </c>
      <c r="P11" s="965"/>
      <c r="Q11" s="6"/>
      <c r="R11" s="6"/>
      <c r="S11" s="6"/>
      <c r="T11" s="1"/>
      <c r="U11" s="1"/>
      <c r="V11" s="1" t="s">
        <v>6</v>
      </c>
      <c r="W11" s="95">
        <v>45669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594"/>
      <c r="I17" s="386" t="s">
        <v>100</v>
      </c>
      <c r="J17" s="438">
        <v>1</v>
      </c>
      <c r="K17" s="438">
        <v>2</v>
      </c>
      <c r="L17" s="438">
        <v>3</v>
      </c>
      <c r="M17" s="438">
        <v>4</v>
      </c>
      <c r="N17" s="439">
        <v>5</v>
      </c>
      <c r="O17" s="594"/>
      <c r="P17" s="202">
        <v>1</v>
      </c>
      <c r="Q17" s="174">
        <v>2</v>
      </c>
      <c r="R17" s="174">
        <v>3</v>
      </c>
      <c r="S17" s="174">
        <v>4</v>
      </c>
      <c r="T17" s="203">
        <v>5</v>
      </c>
      <c r="U17" s="186">
        <v>1</v>
      </c>
      <c r="V17" s="174">
        <v>2</v>
      </c>
      <c r="W17" s="174">
        <v>3</v>
      </c>
      <c r="X17" s="174">
        <v>4</v>
      </c>
      <c r="Y17" s="175">
        <v>5</v>
      </c>
      <c r="Z17" s="126"/>
      <c r="AD17" s="2"/>
      <c r="AE17" s="15"/>
    </row>
    <row r="18" spans="1:40" ht="39.950000000000003" customHeight="1" x14ac:dyDescent="0.25">
      <c r="A18" s="171" t="s">
        <v>53</v>
      </c>
      <c r="B18" s="743">
        <v>308.5</v>
      </c>
      <c r="C18" s="739">
        <v>15.5</v>
      </c>
      <c r="D18" s="739">
        <v>15.9</v>
      </c>
      <c r="E18" s="739">
        <v>3.1</v>
      </c>
      <c r="F18" s="739">
        <v>15.9</v>
      </c>
      <c r="G18" s="744">
        <v>15.9</v>
      </c>
      <c r="H18" s="506">
        <f>+SUM(B18:G18)</f>
        <v>374.79999999999995</v>
      </c>
      <c r="I18" s="745">
        <v>309.89999999999998</v>
      </c>
      <c r="J18" s="739">
        <v>15.6</v>
      </c>
      <c r="K18" s="739">
        <v>15.9</v>
      </c>
      <c r="L18" s="739">
        <v>3.1</v>
      </c>
      <c r="M18" s="739">
        <v>15.9</v>
      </c>
      <c r="N18" s="746">
        <v>15.9</v>
      </c>
      <c r="O18" s="506">
        <f t="shared" ref="O18:O24" si="0">+SUM(I18:N18)</f>
        <v>376.29999999999995</v>
      </c>
      <c r="P18" s="747">
        <v>75</v>
      </c>
      <c r="Q18" s="459">
        <v>75</v>
      </c>
      <c r="R18" s="739">
        <v>21.3</v>
      </c>
      <c r="S18" s="739">
        <v>75.099999999999994</v>
      </c>
      <c r="T18" s="746">
        <v>74.7</v>
      </c>
      <c r="U18" s="748">
        <v>77.2</v>
      </c>
      <c r="V18" s="739">
        <v>79.400000000000006</v>
      </c>
      <c r="W18" s="459">
        <v>21.3</v>
      </c>
      <c r="X18" s="459">
        <v>79</v>
      </c>
      <c r="Y18" s="746">
        <v>78.3</v>
      </c>
      <c r="Z18" s="638">
        <f t="shared" ref="Z18:Z24" si="1">SUM(H18,O18,P18:Y18)</f>
        <v>1407.3999999999999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743">
        <v>308.5</v>
      </c>
      <c r="C19" s="739">
        <v>15.5</v>
      </c>
      <c r="D19" s="739">
        <v>15.9</v>
      </c>
      <c r="E19" s="739">
        <v>3.1</v>
      </c>
      <c r="F19" s="739">
        <v>15.9</v>
      </c>
      <c r="G19" s="744">
        <v>15.9</v>
      </c>
      <c r="H19" s="506">
        <f t="shared" ref="H19:H24" si="2">+SUM(B19:G19)</f>
        <v>374.79999999999995</v>
      </c>
      <c r="I19" s="745">
        <v>309.89999999999998</v>
      </c>
      <c r="J19" s="739">
        <v>15.6</v>
      </c>
      <c r="K19" s="739">
        <v>15.9</v>
      </c>
      <c r="L19" s="739">
        <v>3.1</v>
      </c>
      <c r="M19" s="739">
        <v>15.9</v>
      </c>
      <c r="N19" s="746">
        <v>15.9</v>
      </c>
      <c r="O19" s="506">
        <f t="shared" si="0"/>
        <v>376.29999999999995</v>
      </c>
      <c r="P19" s="747">
        <v>75</v>
      </c>
      <c r="Q19" s="459">
        <v>75</v>
      </c>
      <c r="R19" s="739">
        <v>21.4</v>
      </c>
      <c r="S19" s="739">
        <v>75.099999999999994</v>
      </c>
      <c r="T19" s="746">
        <v>74.8</v>
      </c>
      <c r="U19" s="748">
        <v>77.3</v>
      </c>
      <c r="V19" s="739">
        <v>79.3</v>
      </c>
      <c r="W19" s="459">
        <v>21.4</v>
      </c>
      <c r="X19" s="459">
        <v>79</v>
      </c>
      <c r="Y19" s="746">
        <v>78.3</v>
      </c>
      <c r="Z19" s="638">
        <f t="shared" si="1"/>
        <v>1407.6999999999998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743">
        <v>308.5</v>
      </c>
      <c r="C20" s="739">
        <v>15.5</v>
      </c>
      <c r="D20" s="739">
        <v>15.9</v>
      </c>
      <c r="E20" s="739">
        <v>3.1</v>
      </c>
      <c r="F20" s="739">
        <v>15.9</v>
      </c>
      <c r="G20" s="744">
        <v>15.9</v>
      </c>
      <c r="H20" s="506">
        <f t="shared" si="2"/>
        <v>374.79999999999995</v>
      </c>
      <c r="I20" s="745">
        <v>309.89999999999998</v>
      </c>
      <c r="J20" s="739">
        <v>15.6</v>
      </c>
      <c r="K20" s="739">
        <v>15.9</v>
      </c>
      <c r="L20" s="739">
        <v>3.1</v>
      </c>
      <c r="M20" s="739">
        <v>15.9</v>
      </c>
      <c r="N20" s="746">
        <v>15.9</v>
      </c>
      <c r="O20" s="506">
        <f t="shared" si="0"/>
        <v>376.29999999999995</v>
      </c>
      <c r="P20" s="747">
        <v>73.900000000000006</v>
      </c>
      <c r="Q20" s="459">
        <v>74.5</v>
      </c>
      <c r="R20" s="739">
        <v>20.8</v>
      </c>
      <c r="S20" s="739">
        <v>74.900000000000006</v>
      </c>
      <c r="T20" s="746">
        <v>74.3</v>
      </c>
      <c r="U20" s="748">
        <v>77</v>
      </c>
      <c r="V20" s="739">
        <v>79.3</v>
      </c>
      <c r="W20" s="459">
        <v>20.399999999999999</v>
      </c>
      <c r="X20" s="459">
        <v>78.5</v>
      </c>
      <c r="Y20" s="746">
        <v>78</v>
      </c>
      <c r="Z20" s="638">
        <f t="shared" si="1"/>
        <v>1402.6999999999998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743">
        <v>308.5</v>
      </c>
      <c r="C21" s="739">
        <v>15.5</v>
      </c>
      <c r="D21" s="739">
        <v>15.9</v>
      </c>
      <c r="E21" s="739">
        <v>3.1</v>
      </c>
      <c r="F21" s="739">
        <v>15.9</v>
      </c>
      <c r="G21" s="744">
        <v>15.9</v>
      </c>
      <c r="H21" s="506">
        <f t="shared" si="2"/>
        <v>374.79999999999995</v>
      </c>
      <c r="I21" s="745">
        <v>309.89999999999998</v>
      </c>
      <c r="J21" s="739">
        <v>15.6</v>
      </c>
      <c r="K21" s="739">
        <v>15.9</v>
      </c>
      <c r="L21" s="739">
        <v>3.1</v>
      </c>
      <c r="M21" s="739">
        <v>15.9</v>
      </c>
      <c r="N21" s="746">
        <v>15.9</v>
      </c>
      <c r="O21" s="506">
        <f t="shared" si="0"/>
        <v>376.29999999999995</v>
      </c>
      <c r="P21" s="747">
        <v>73.8</v>
      </c>
      <c r="Q21" s="459">
        <v>74.5</v>
      </c>
      <c r="R21" s="739">
        <v>20.8</v>
      </c>
      <c r="S21" s="739">
        <v>74.900000000000006</v>
      </c>
      <c r="T21" s="746">
        <v>74.3</v>
      </c>
      <c r="U21" s="748">
        <v>77.099999999999994</v>
      </c>
      <c r="V21" s="739">
        <v>79.3</v>
      </c>
      <c r="W21" s="459">
        <v>20.3</v>
      </c>
      <c r="X21" s="459">
        <v>78.3</v>
      </c>
      <c r="Y21" s="746">
        <v>78</v>
      </c>
      <c r="Z21" s="638">
        <f t="shared" si="1"/>
        <v>1402.3999999999996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743">
        <v>308.5</v>
      </c>
      <c r="C22" s="739">
        <v>15.5</v>
      </c>
      <c r="D22" s="739">
        <v>15.9</v>
      </c>
      <c r="E22" s="739">
        <v>3.1</v>
      </c>
      <c r="F22" s="739">
        <v>15.9</v>
      </c>
      <c r="G22" s="744">
        <v>15.9</v>
      </c>
      <c r="H22" s="506">
        <f t="shared" si="2"/>
        <v>374.79999999999995</v>
      </c>
      <c r="I22" s="745">
        <v>309.89999999999998</v>
      </c>
      <c r="J22" s="739">
        <v>15.6</v>
      </c>
      <c r="K22" s="739">
        <v>15.9</v>
      </c>
      <c r="L22" s="739">
        <v>3.1</v>
      </c>
      <c r="M22" s="739">
        <v>15.9</v>
      </c>
      <c r="N22" s="746">
        <v>15.9</v>
      </c>
      <c r="O22" s="506">
        <f t="shared" si="0"/>
        <v>376.29999999999995</v>
      </c>
      <c r="P22" s="747">
        <v>73.400000000000006</v>
      </c>
      <c r="Q22" s="747">
        <v>74.099999999999994</v>
      </c>
      <c r="R22" s="739">
        <v>20.7</v>
      </c>
      <c r="S22" s="739">
        <v>74.900000000000006</v>
      </c>
      <c r="T22" s="746">
        <v>74.400000000000006</v>
      </c>
      <c r="U22" s="748">
        <v>76.8</v>
      </c>
      <c r="V22" s="739">
        <v>79.3</v>
      </c>
      <c r="W22" s="459">
        <v>20.3</v>
      </c>
      <c r="X22" s="459">
        <v>78.3</v>
      </c>
      <c r="Y22" s="746">
        <v>78</v>
      </c>
      <c r="Z22" s="638">
        <f t="shared" si="1"/>
        <v>1401.2999999999997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743">
        <v>308.5</v>
      </c>
      <c r="C23" s="739">
        <v>15.5</v>
      </c>
      <c r="D23" s="739">
        <v>15.9</v>
      </c>
      <c r="E23" s="739">
        <v>3.1</v>
      </c>
      <c r="F23" s="739">
        <v>15.9</v>
      </c>
      <c r="G23" s="744">
        <v>15.9</v>
      </c>
      <c r="H23" s="506">
        <f t="shared" si="2"/>
        <v>374.79999999999995</v>
      </c>
      <c r="I23" s="745">
        <v>309.89999999999998</v>
      </c>
      <c r="J23" s="739">
        <v>15.6</v>
      </c>
      <c r="K23" s="739">
        <v>15.9</v>
      </c>
      <c r="L23" s="739">
        <v>3.1</v>
      </c>
      <c r="M23" s="739">
        <v>15.9</v>
      </c>
      <c r="N23" s="746">
        <v>15.9</v>
      </c>
      <c r="O23" s="506">
        <f t="shared" si="0"/>
        <v>376.29999999999995</v>
      </c>
      <c r="P23" s="747">
        <v>73.400000000000006</v>
      </c>
      <c r="Q23" s="747">
        <v>74.099999999999994</v>
      </c>
      <c r="R23" s="739">
        <v>20.7</v>
      </c>
      <c r="S23" s="739">
        <v>74.900000000000006</v>
      </c>
      <c r="T23" s="746">
        <v>74.400000000000006</v>
      </c>
      <c r="U23" s="748">
        <v>76.7</v>
      </c>
      <c r="V23" s="739">
        <v>79.3</v>
      </c>
      <c r="W23" s="459">
        <v>20.3</v>
      </c>
      <c r="X23" s="459">
        <v>78.3</v>
      </c>
      <c r="Y23" s="746">
        <v>77.900000000000006</v>
      </c>
      <c r="Z23" s="638">
        <f t="shared" si="1"/>
        <v>1401.1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743">
        <v>308.5</v>
      </c>
      <c r="C24" s="739">
        <v>15.5</v>
      </c>
      <c r="D24" s="739">
        <v>15.9</v>
      </c>
      <c r="E24" s="739">
        <v>3.1</v>
      </c>
      <c r="F24" s="739">
        <v>15.9</v>
      </c>
      <c r="G24" s="744">
        <v>15.9</v>
      </c>
      <c r="H24" s="506">
        <f t="shared" si="2"/>
        <v>374.79999999999995</v>
      </c>
      <c r="I24" s="745">
        <v>309.89999999999998</v>
      </c>
      <c r="J24" s="739">
        <v>15.6</v>
      </c>
      <c r="K24" s="739">
        <v>15.9</v>
      </c>
      <c r="L24" s="739">
        <v>3.1</v>
      </c>
      <c r="M24" s="739">
        <v>15.9</v>
      </c>
      <c r="N24" s="746">
        <v>15.9</v>
      </c>
      <c r="O24" s="506">
        <f t="shared" si="0"/>
        <v>376.29999999999995</v>
      </c>
      <c r="P24" s="747">
        <v>73.5</v>
      </c>
      <c r="Q24" s="747">
        <v>74.099999999999994</v>
      </c>
      <c r="R24" s="739">
        <v>20.7</v>
      </c>
      <c r="S24" s="739">
        <v>74.8</v>
      </c>
      <c r="T24" s="746">
        <v>74.400000000000006</v>
      </c>
      <c r="U24" s="748">
        <v>76.7</v>
      </c>
      <c r="V24" s="739">
        <v>79.3</v>
      </c>
      <c r="W24" s="459">
        <v>20.3</v>
      </c>
      <c r="X24" s="459">
        <v>78.3</v>
      </c>
      <c r="Y24" s="746">
        <v>77.900000000000006</v>
      </c>
      <c r="Z24" s="412">
        <f t="shared" si="1"/>
        <v>1401.1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298">
        <f t="shared" ref="C25:G25" si="3">SUM(C18:C24)</f>
        <v>108.5</v>
      </c>
      <c r="D25" s="298">
        <f t="shared" si="3"/>
        <v>111.30000000000001</v>
      </c>
      <c r="E25" s="298">
        <f t="shared" si="3"/>
        <v>21.700000000000003</v>
      </c>
      <c r="F25" s="298">
        <f t="shared" si="3"/>
        <v>111.30000000000001</v>
      </c>
      <c r="G25" s="448">
        <f t="shared" si="3"/>
        <v>111.30000000000001</v>
      </c>
      <c r="H25" s="436"/>
      <c r="I25" s="297"/>
      <c r="J25" s="298">
        <f t="shared" ref="J25:N25" si="4">SUM(J18:J24)</f>
        <v>109.19999999999999</v>
      </c>
      <c r="K25" s="298">
        <f>SUM(K18:K24)</f>
        <v>111.30000000000001</v>
      </c>
      <c r="L25" s="298">
        <f t="shared" si="4"/>
        <v>21.700000000000003</v>
      </c>
      <c r="M25" s="298">
        <f t="shared" si="4"/>
        <v>111.30000000000001</v>
      </c>
      <c r="N25" s="299">
        <f t="shared" si="4"/>
        <v>111.30000000000001</v>
      </c>
      <c r="O25" s="436"/>
      <c r="P25" s="297">
        <f t="shared" ref="P25:W25" si="5">SUM(P18:P24)</f>
        <v>518</v>
      </c>
      <c r="Q25" s="297">
        <f t="shared" si="5"/>
        <v>521.30000000000007</v>
      </c>
      <c r="R25" s="297">
        <f t="shared" si="5"/>
        <v>146.4</v>
      </c>
      <c r="S25" s="297">
        <f t="shared" si="5"/>
        <v>524.59999999999991</v>
      </c>
      <c r="T25" s="297">
        <f t="shared" si="5"/>
        <v>521.29999999999995</v>
      </c>
      <c r="U25" s="297">
        <f t="shared" si="5"/>
        <v>538.80000000000007</v>
      </c>
      <c r="V25" s="297">
        <f t="shared" si="5"/>
        <v>555.20000000000005</v>
      </c>
      <c r="W25" s="297">
        <f t="shared" si="5"/>
        <v>144.30000000000001</v>
      </c>
      <c r="X25" s="297">
        <f>SUM(X18:X24)</f>
        <v>549.70000000000005</v>
      </c>
      <c r="Y25" s="792">
        <f>SUM(Y18:Y24)</f>
        <v>546.4</v>
      </c>
      <c r="Z25" s="449">
        <f>SUM(Z18,Z19,Z20,Z21,Z22,Z23,Z24)</f>
        <v>9823.6999999999989</v>
      </c>
      <c r="AA25" s="301"/>
    </row>
    <row r="26" spans="1:40" s="2" customFormat="1" ht="36.75" customHeight="1" x14ac:dyDescent="0.25">
      <c r="A26" s="192" t="s">
        <v>11</v>
      </c>
      <c r="B26" s="293"/>
      <c r="C26" s="603">
        <v>157.81999999999985</v>
      </c>
      <c r="D26" s="603">
        <v>157.81999999999985</v>
      </c>
      <c r="E26" s="603">
        <v>157.81999999999985</v>
      </c>
      <c r="F26" s="603">
        <v>157.81999999999985</v>
      </c>
      <c r="G26" s="603">
        <v>157.81999999999985</v>
      </c>
      <c r="H26" s="678"/>
      <c r="I26" s="796"/>
      <c r="J26" s="603">
        <v>157.81999999999985</v>
      </c>
      <c r="K26" s="603">
        <v>157.81999999999985</v>
      </c>
      <c r="L26" s="603">
        <v>157.81999999999985</v>
      </c>
      <c r="M26" s="603">
        <v>157.81999999999985</v>
      </c>
      <c r="N26" s="603">
        <v>157.81999999999985</v>
      </c>
      <c r="O26" s="678"/>
      <c r="P26" s="603">
        <v>156.11999999999983</v>
      </c>
      <c r="Q26" s="603">
        <v>156.11999999999983</v>
      </c>
      <c r="R26" s="603">
        <v>156.11999999999983</v>
      </c>
      <c r="S26" s="603">
        <v>156.11999999999983</v>
      </c>
      <c r="T26" s="603">
        <v>156.11999999999983</v>
      </c>
      <c r="U26" s="603">
        <v>156.11999999999983</v>
      </c>
      <c r="V26" s="603">
        <v>156.11999999999983</v>
      </c>
      <c r="W26" s="603">
        <v>156.11999999999983</v>
      </c>
      <c r="X26" s="603">
        <v>156.11999999999983</v>
      </c>
      <c r="Y26" s="603">
        <v>156.11999999999983</v>
      </c>
      <c r="Z26" s="793">
        <f>(((Z25*1000)/7)/Z27)</f>
        <v>157.68378812199035</v>
      </c>
    </row>
    <row r="27" spans="1:40" s="2" customFormat="1" ht="33" customHeight="1" x14ac:dyDescent="0.25">
      <c r="A27" s="193" t="s">
        <v>12</v>
      </c>
      <c r="B27" s="257"/>
      <c r="C27" s="27">
        <v>544</v>
      </c>
      <c r="D27" s="27">
        <v>568</v>
      </c>
      <c r="E27" s="27">
        <v>107</v>
      </c>
      <c r="F27" s="27">
        <v>568</v>
      </c>
      <c r="G27" s="183">
        <v>570</v>
      </c>
      <c r="H27" s="679"/>
      <c r="I27" s="184"/>
      <c r="J27" s="26">
        <v>559</v>
      </c>
      <c r="K27" s="27">
        <v>568</v>
      </c>
      <c r="L27" s="483">
        <v>102</v>
      </c>
      <c r="M27" s="27">
        <v>570</v>
      </c>
      <c r="N27" s="28">
        <v>569</v>
      </c>
      <c r="O27" s="679"/>
      <c r="P27" s="64">
        <v>474</v>
      </c>
      <c r="Q27" s="27">
        <v>477</v>
      </c>
      <c r="R27" s="27">
        <v>132</v>
      </c>
      <c r="S27" s="27">
        <v>480</v>
      </c>
      <c r="T27" s="756">
        <v>477</v>
      </c>
      <c r="U27" s="26">
        <v>492</v>
      </c>
      <c r="V27" s="27">
        <v>508</v>
      </c>
      <c r="W27" s="27">
        <v>132</v>
      </c>
      <c r="X27" s="27">
        <v>503</v>
      </c>
      <c r="Y27" s="28">
        <v>500</v>
      </c>
      <c r="Z27" s="211">
        <f>SUM(C27:Y27)</f>
        <v>8900</v>
      </c>
      <c r="AA27" s="402"/>
    </row>
    <row r="28" spans="1:40" s="2" customFormat="1" ht="33" customHeight="1" x14ac:dyDescent="0.25">
      <c r="A28" s="444" t="s">
        <v>13</v>
      </c>
      <c r="B28" s="445"/>
      <c r="C28" s="31">
        <f>(C33*C27)/1000</f>
        <v>15.134079999999917</v>
      </c>
      <c r="D28" s="31">
        <f>(D33*D27)/1000</f>
        <v>15.801759999999915</v>
      </c>
      <c r="E28" s="31">
        <f t="shared" ref="E28:F28" si="6">(E33*E27)/1000</f>
        <v>2.976739999999984</v>
      </c>
      <c r="F28" s="31">
        <f t="shared" si="6"/>
        <v>15.801759999999915</v>
      </c>
      <c r="G28" s="163">
        <f>(G33*G27)/1000</f>
        <v>15.857399999999917</v>
      </c>
      <c r="H28" s="286"/>
      <c r="I28" s="324"/>
      <c r="J28" s="30">
        <f>(J33*J27)/1000</f>
        <v>15.551379999999916</v>
      </c>
      <c r="K28" s="31">
        <f t="shared" ref="K28:N28" si="7">(K33*K27)/1000</f>
        <v>15.801759999999915</v>
      </c>
      <c r="L28" s="31">
        <f t="shared" si="7"/>
        <v>2.8376399999999848</v>
      </c>
      <c r="M28" s="31">
        <f t="shared" si="7"/>
        <v>15.857399999999917</v>
      </c>
      <c r="N28" s="32">
        <f t="shared" si="7"/>
        <v>15.829579999999915</v>
      </c>
      <c r="O28" s="286"/>
      <c r="P28" s="65">
        <f>((((P26*7)*P27)/1000)/7)</f>
        <v>74.000879999999924</v>
      </c>
      <c r="Q28" s="65">
        <f t="shared" ref="Q28:Y28" si="8">((((Q26*7)*Q27)/1000)/7)</f>
        <v>74.469239999999914</v>
      </c>
      <c r="R28" s="65">
        <f t="shared" si="8"/>
        <v>20.607839999999978</v>
      </c>
      <c r="S28" s="65">
        <f t="shared" si="8"/>
        <v>74.937599999999904</v>
      </c>
      <c r="T28" s="65">
        <f t="shared" si="8"/>
        <v>74.469239999999914</v>
      </c>
      <c r="U28" s="65">
        <f t="shared" si="8"/>
        <v>76.81103999999992</v>
      </c>
      <c r="V28" s="65">
        <f t="shared" si="8"/>
        <v>79.308959999999914</v>
      </c>
      <c r="W28" s="65">
        <f t="shared" si="8"/>
        <v>20.607839999999978</v>
      </c>
      <c r="X28" s="65">
        <f t="shared" si="8"/>
        <v>78.528359999999921</v>
      </c>
      <c r="Y28" s="65">
        <f t="shared" si="8"/>
        <v>78.059999999999917</v>
      </c>
      <c r="Z28" s="212"/>
    </row>
    <row r="29" spans="1:40" ht="33.75" customHeight="1" x14ac:dyDescent="0.25">
      <c r="A29" s="185" t="s">
        <v>14</v>
      </c>
      <c r="B29" s="34"/>
      <c r="C29" s="280">
        <f>((C27*C30)*7)/1000</f>
        <v>108.50000000000001</v>
      </c>
      <c r="D29" s="280">
        <f t="shared" ref="D29:G29" si="9">((D27*D30)*7)/1000</f>
        <v>111.30000000000001</v>
      </c>
      <c r="E29" s="280">
        <f>((E27*E30)*7)/1000</f>
        <v>21.700000000000003</v>
      </c>
      <c r="F29" s="280">
        <f t="shared" si="9"/>
        <v>111.30000000000001</v>
      </c>
      <c r="G29" s="281">
        <f t="shared" si="9"/>
        <v>111.30000000000001</v>
      </c>
      <c r="H29" s="680"/>
      <c r="I29" s="797"/>
      <c r="J29" s="279">
        <f>((J27*J30)*7)/1000</f>
        <v>109.19999999999999</v>
      </c>
      <c r="K29" s="280">
        <f t="shared" ref="K29:N29" si="10">((K27*K30)*7)/1000</f>
        <v>111.30000000000001</v>
      </c>
      <c r="L29" s="280">
        <f t="shared" si="10"/>
        <v>21.7</v>
      </c>
      <c r="M29" s="280">
        <f t="shared" si="10"/>
        <v>111.30000000000001</v>
      </c>
      <c r="N29" s="282">
        <f t="shared" si="10"/>
        <v>111.3</v>
      </c>
      <c r="O29" s="680"/>
      <c r="P29" s="325">
        <f t="shared" ref="P29:Y29" si="11">((P27*P26)*7)/1000</f>
        <v>518.00615999999945</v>
      </c>
      <c r="Q29" s="280">
        <f t="shared" si="11"/>
        <v>521.28467999999941</v>
      </c>
      <c r="R29" s="280">
        <f t="shared" si="11"/>
        <v>144.25487999999987</v>
      </c>
      <c r="S29" s="280">
        <f t="shared" si="11"/>
        <v>524.56319999999948</v>
      </c>
      <c r="T29" s="281">
        <f t="shared" si="11"/>
        <v>521.28467999999941</v>
      </c>
      <c r="U29" s="279">
        <f t="shared" si="11"/>
        <v>537.67727999999943</v>
      </c>
      <c r="V29" s="280">
        <f t="shared" si="11"/>
        <v>555.16271999999935</v>
      </c>
      <c r="W29" s="280">
        <f t="shared" si="11"/>
        <v>144.25487999999987</v>
      </c>
      <c r="X29" s="280">
        <f t="shared" si="11"/>
        <v>549.69851999999946</v>
      </c>
      <c r="Y29" s="282">
        <f t="shared" si="11"/>
        <v>546.41999999999939</v>
      </c>
      <c r="Z29" s="213"/>
    </row>
    <row r="30" spans="1:40" ht="33.75" customHeight="1" thickBot="1" x14ac:dyDescent="0.3">
      <c r="A30" s="195" t="s">
        <v>15</v>
      </c>
      <c r="B30" s="423"/>
      <c r="C30" s="38">
        <f>+(C25/C27)/7*1000</f>
        <v>28.492647058823533</v>
      </c>
      <c r="D30" s="38">
        <f t="shared" ref="D30:X30" si="12">+(D25/D27)/7*1000</f>
        <v>27.992957746478876</v>
      </c>
      <c r="E30" s="38">
        <f>+(E25/E27)/7*1000</f>
        <v>28.971962616822434</v>
      </c>
      <c r="F30" s="38">
        <f t="shared" si="12"/>
        <v>27.992957746478876</v>
      </c>
      <c r="G30" s="207">
        <f t="shared" si="12"/>
        <v>27.894736842105267</v>
      </c>
      <c r="H30" s="262"/>
      <c r="I30" s="798"/>
      <c r="J30" s="37">
        <f t="shared" si="12"/>
        <v>27.906976744186043</v>
      </c>
      <c r="K30" s="38">
        <f t="shared" si="12"/>
        <v>27.992957746478876</v>
      </c>
      <c r="L30" s="38">
        <f t="shared" si="12"/>
        <v>30.3921568627451</v>
      </c>
      <c r="M30" s="38">
        <f t="shared" si="12"/>
        <v>27.894736842105267</v>
      </c>
      <c r="N30" s="39">
        <f>+(N25/N27)/7*1000</f>
        <v>27.943760984182777</v>
      </c>
      <c r="O30" s="262"/>
      <c r="P30" s="67">
        <f t="shared" si="12"/>
        <v>156.11814345991561</v>
      </c>
      <c r="Q30" s="38">
        <f t="shared" si="12"/>
        <v>156.12458820005992</v>
      </c>
      <c r="R30" s="38">
        <f t="shared" si="12"/>
        <v>158.44155844155844</v>
      </c>
      <c r="S30" s="38">
        <f t="shared" si="12"/>
        <v>156.13095238095238</v>
      </c>
      <c r="T30" s="207">
        <f t="shared" si="12"/>
        <v>156.12458820005989</v>
      </c>
      <c r="U30" s="37">
        <f t="shared" si="12"/>
        <v>156.44599303135888</v>
      </c>
      <c r="V30" s="38">
        <f t="shared" si="12"/>
        <v>156.13048368953881</v>
      </c>
      <c r="W30" s="38">
        <f t="shared" si="12"/>
        <v>156.16883116883119</v>
      </c>
      <c r="X30" s="38">
        <f t="shared" si="12"/>
        <v>156.12042033513208</v>
      </c>
      <c r="Y30" s="39">
        <f>+(Y25/Y27)/7*1000</f>
        <v>156.1142857142857</v>
      </c>
      <c r="Z30" s="214"/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3">D29-D25</f>
        <v>0</v>
      </c>
      <c r="E31" s="42">
        <f t="shared" si="13"/>
        <v>0</v>
      </c>
      <c r="F31" s="42">
        <f t="shared" si="13"/>
        <v>0</v>
      </c>
      <c r="G31" s="42">
        <f t="shared" si="13"/>
        <v>0</v>
      </c>
      <c r="H31" s="42"/>
      <c r="I31" s="42"/>
      <c r="J31" s="42">
        <f t="shared" si="13"/>
        <v>0</v>
      </c>
      <c r="K31" s="42">
        <f>K29-K25</f>
        <v>0</v>
      </c>
      <c r="L31" s="42">
        <f t="shared" si="13"/>
        <v>0</v>
      </c>
      <c r="M31" s="42">
        <f t="shared" si="13"/>
        <v>0</v>
      </c>
      <c r="N31" s="42">
        <f t="shared" si="13"/>
        <v>0</v>
      </c>
      <c r="O31" s="42"/>
      <c r="P31" s="42">
        <f>P29-P25</f>
        <v>6.1599999994541577E-3</v>
      </c>
      <c r="Q31" s="42">
        <f>Q29-Q25</f>
        <v>-1.5320000000656364E-2</v>
      </c>
      <c r="R31" s="42">
        <f t="shared" si="13"/>
        <v>-2.1451200000001336</v>
      </c>
      <c r="S31" s="42">
        <f t="shared" si="13"/>
        <v>-3.6800000000425825E-2</v>
      </c>
      <c r="T31" s="42">
        <f t="shared" si="13"/>
        <v>-1.5320000000542677E-2</v>
      </c>
      <c r="U31" s="42">
        <f>U29-U25</f>
        <v>-1.1227200000006405</v>
      </c>
      <c r="V31" s="42">
        <f t="shared" si="13"/>
        <v>-3.7280000000691871E-2</v>
      </c>
      <c r="W31" s="42">
        <f t="shared" si="13"/>
        <v>-4.5120000000139271E-2</v>
      </c>
      <c r="X31" s="42">
        <f t="shared" si="13"/>
        <v>-1.480000000583459E-3</v>
      </c>
      <c r="Y31" s="42">
        <f>Y29-Y25</f>
        <v>1.9999999999413376E-2</v>
      </c>
      <c r="Z31" s="48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0.67264705882368148</v>
      </c>
      <c r="D32" s="42">
        <f t="shared" ref="D32:G32" si="14">D30-D33</f>
        <v>0.17295774647902462</v>
      </c>
      <c r="E32" s="42">
        <f>E30-E33</f>
        <v>1.1519626168225834</v>
      </c>
      <c r="F32" s="42">
        <f t="shared" si="14"/>
        <v>0.17295774647902462</v>
      </c>
      <c r="G32" s="42">
        <f t="shared" si="14"/>
        <v>7.4736842105416201E-2</v>
      </c>
      <c r="H32" s="42"/>
      <c r="I32" s="42"/>
      <c r="J32" s="42">
        <f t="shared" ref="J32:M32" si="15">J30-J33</f>
        <v>8.6976744186191723E-2</v>
      </c>
      <c r="K32" s="42">
        <f t="shared" si="15"/>
        <v>0.17295774647902462</v>
      </c>
      <c r="L32" s="42">
        <f t="shared" si="15"/>
        <v>2.5721568627452491</v>
      </c>
      <c r="M32" s="42">
        <f t="shared" si="15"/>
        <v>7.4736842105416201E-2</v>
      </c>
      <c r="N32" s="42">
        <f>N30-N33</f>
        <v>0.12376098418292614</v>
      </c>
      <c r="O32" s="42"/>
      <c r="P32" s="42">
        <f>P30-P26</f>
        <v>-1.8565400842192048E-3</v>
      </c>
      <c r="Q32" s="42">
        <f t="shared" si="13"/>
        <v>4.5882000600840911E-3</v>
      </c>
      <c r="R32" s="42">
        <f t="shared" si="13"/>
        <v>2.3215584415586079</v>
      </c>
      <c r="S32" s="42">
        <f t="shared" si="13"/>
        <v>1.0952380952545582E-2</v>
      </c>
      <c r="T32" s="42">
        <f t="shared" si="13"/>
        <v>4.5882000600556694E-3</v>
      </c>
      <c r="U32" s="42">
        <f t="shared" si="13"/>
        <v>0.32599303135904734</v>
      </c>
      <c r="V32" s="42">
        <f t="shared" si="13"/>
        <v>1.0483689538972385E-2</v>
      </c>
      <c r="W32" s="42">
        <f t="shared" si="13"/>
        <v>4.8831168831355853E-2</v>
      </c>
      <c r="X32" s="42">
        <f t="shared" si="13"/>
        <v>4.2033513224737362E-4</v>
      </c>
      <c r="Y32" s="42">
        <f t="shared" si="13"/>
        <v>-5.7142857141343484E-3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27.819999999999851</v>
      </c>
      <c r="D33" s="42">
        <f t="shared" ref="D33:G33" si="16">D26-$B$34</f>
        <v>27.819999999999851</v>
      </c>
      <c r="E33" s="42">
        <f>E26-$B$34</f>
        <v>27.819999999999851</v>
      </c>
      <c r="F33" s="42">
        <f t="shared" si="16"/>
        <v>27.819999999999851</v>
      </c>
      <c r="G33" s="42">
        <f t="shared" si="16"/>
        <v>27.819999999999851</v>
      </c>
      <c r="H33" s="42"/>
      <c r="I33" s="42"/>
      <c r="J33" s="42">
        <f>J26-$I$34</f>
        <v>27.819999999999851</v>
      </c>
      <c r="K33" s="42">
        <f t="shared" ref="K33:L33" si="17">K26-$I$34</f>
        <v>27.819999999999851</v>
      </c>
      <c r="L33" s="42">
        <f t="shared" si="17"/>
        <v>27.819999999999851</v>
      </c>
      <c r="M33" s="42">
        <f>M26-$I$34</f>
        <v>27.819999999999851</v>
      </c>
      <c r="N33" s="42">
        <f>N26-$I$34</f>
        <v>27.819999999999851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306.41000000000003</v>
      </c>
      <c r="D34" s="432">
        <f>SUM(C27:G27)</f>
        <v>2357</v>
      </c>
      <c r="E34" s="42"/>
      <c r="F34" s="42"/>
      <c r="G34" s="42"/>
      <c r="H34" s="42"/>
      <c r="I34" s="514">
        <v>130</v>
      </c>
      <c r="J34" s="431">
        <f>(I34*K34)/1000</f>
        <v>307.83999999999997</v>
      </c>
      <c r="K34" s="432">
        <f>SUM(J27:N27)</f>
        <v>2368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1002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674" t="s">
        <v>9</v>
      </c>
      <c r="S39" s="645"/>
      <c r="U39" s="45"/>
      <c r="V39" s="45"/>
      <c r="W39" s="46"/>
      <c r="X39" s="3"/>
      <c r="Y39" s="45"/>
      <c r="Z39" s="45"/>
      <c r="AA39" s="45"/>
      <c r="AB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1003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168">
        <v>5</v>
      </c>
      <c r="R40" s="236"/>
      <c r="S40" s="645"/>
      <c r="U40" s="47"/>
      <c r="X40" s="48"/>
      <c r="Y40" s="2"/>
      <c r="Z40" s="2"/>
      <c r="AA40" s="2"/>
      <c r="AB40" s="2"/>
    </row>
    <row r="41" spans="1:38" ht="33.75" customHeight="1" x14ac:dyDescent="0.25">
      <c r="A41" s="171" t="s">
        <v>32</v>
      </c>
      <c r="B41" s="279">
        <v>86.8</v>
      </c>
      <c r="C41" s="280">
        <v>86.5</v>
      </c>
      <c r="D41" s="280">
        <v>16.3</v>
      </c>
      <c r="E41" s="280">
        <v>88.8</v>
      </c>
      <c r="F41" s="281">
        <v>86.5</v>
      </c>
      <c r="G41" s="638">
        <f t="shared" ref="G41:G48" si="18">SUM(B41:F41)</f>
        <v>364.90000000000003</v>
      </c>
      <c r="H41" s="364"/>
      <c r="I41" s="364"/>
      <c r="J41" s="364"/>
      <c r="K41" s="364"/>
      <c r="L41" s="171" t="s">
        <v>53</v>
      </c>
      <c r="M41" s="279">
        <v>7.1</v>
      </c>
      <c r="N41" s="280">
        <v>7</v>
      </c>
      <c r="O41" s="280">
        <v>1.3</v>
      </c>
      <c r="P41" s="280">
        <v>7.1</v>
      </c>
      <c r="Q41" s="281">
        <v>7.1</v>
      </c>
      <c r="R41" s="800">
        <f t="shared" ref="R41:R48" si="19">SUM(M41:Q41)</f>
        <v>29.6</v>
      </c>
      <c r="S41" s="646"/>
      <c r="T41" s="675"/>
      <c r="U41" s="657"/>
      <c r="X41" s="48"/>
      <c r="Y41" s="2"/>
      <c r="Z41" s="2"/>
      <c r="AA41" s="2"/>
      <c r="AB41" s="2"/>
    </row>
    <row r="42" spans="1:38" ht="33.75" customHeight="1" x14ac:dyDescent="0.25">
      <c r="A42" s="171" t="s">
        <v>24</v>
      </c>
      <c r="B42" s="279">
        <v>86.7</v>
      </c>
      <c r="C42" s="280">
        <v>86.4</v>
      </c>
      <c r="D42" s="280">
        <v>16.399999999999999</v>
      </c>
      <c r="E42" s="280">
        <v>88.8</v>
      </c>
      <c r="F42" s="281">
        <v>86.4</v>
      </c>
      <c r="G42" s="638">
        <f t="shared" si="18"/>
        <v>364.70000000000005</v>
      </c>
      <c r="H42" s="364"/>
      <c r="I42" s="364"/>
      <c r="J42" s="364"/>
      <c r="K42" s="364"/>
      <c r="L42" s="171" t="s">
        <v>24</v>
      </c>
      <c r="M42" s="279">
        <v>7</v>
      </c>
      <c r="N42" s="280">
        <v>7</v>
      </c>
      <c r="O42" s="280">
        <v>1.3</v>
      </c>
      <c r="P42" s="280">
        <v>7.1</v>
      </c>
      <c r="Q42" s="281">
        <v>7.1</v>
      </c>
      <c r="R42" s="638">
        <f t="shared" si="19"/>
        <v>29.5</v>
      </c>
      <c r="S42" s="646"/>
      <c r="T42" s="647"/>
      <c r="U42" s="658"/>
      <c r="X42" s="48"/>
      <c r="Y42" s="2"/>
      <c r="Z42" s="2"/>
      <c r="AA42" s="2"/>
      <c r="AB42" s="2"/>
    </row>
    <row r="43" spans="1:38" ht="33.75" customHeight="1" x14ac:dyDescent="0.25">
      <c r="A43" s="171" t="s">
        <v>20</v>
      </c>
      <c r="B43" s="279">
        <v>85.7</v>
      </c>
      <c r="C43" s="280">
        <v>85.4</v>
      </c>
      <c r="D43" s="280">
        <v>16</v>
      </c>
      <c r="E43" s="280">
        <v>87.7</v>
      </c>
      <c r="F43" s="281">
        <v>84.8</v>
      </c>
      <c r="G43" s="638">
        <f t="shared" si="18"/>
        <v>359.6</v>
      </c>
      <c r="H43" s="364"/>
      <c r="I43" s="364"/>
      <c r="J43" s="364"/>
      <c r="K43" s="364"/>
      <c r="L43" s="171" t="s">
        <v>20</v>
      </c>
      <c r="M43" s="279">
        <v>7</v>
      </c>
      <c r="N43" s="280">
        <v>7</v>
      </c>
      <c r="O43" s="280">
        <v>1.1000000000000001</v>
      </c>
      <c r="P43" s="280">
        <v>7.1</v>
      </c>
      <c r="Q43" s="281">
        <v>7.1</v>
      </c>
      <c r="R43" s="638">
        <f t="shared" si="19"/>
        <v>29.299999999999997</v>
      </c>
      <c r="S43" s="646"/>
      <c r="T43" s="647"/>
      <c r="U43" s="658"/>
      <c r="X43" s="48"/>
      <c r="Y43" s="2"/>
      <c r="Z43" s="2"/>
      <c r="AA43" s="2"/>
      <c r="AB43" s="2"/>
    </row>
    <row r="44" spans="1:38" ht="33.75" customHeight="1" x14ac:dyDescent="0.25">
      <c r="A44" s="171" t="s">
        <v>28</v>
      </c>
      <c r="B44" s="279">
        <v>85.4</v>
      </c>
      <c r="C44" s="280">
        <v>85.1</v>
      </c>
      <c r="D44" s="280">
        <v>16</v>
      </c>
      <c r="E44" s="280">
        <v>87.1</v>
      </c>
      <c r="F44" s="281">
        <v>84.7</v>
      </c>
      <c r="G44" s="638">
        <f t="shared" si="18"/>
        <v>358.3</v>
      </c>
      <c r="H44" s="651"/>
      <c r="I44" s="364"/>
      <c r="J44" s="364"/>
      <c r="K44" s="364"/>
      <c r="L44" s="171" t="s">
        <v>28</v>
      </c>
      <c r="M44" s="279">
        <v>7</v>
      </c>
      <c r="N44" s="280">
        <v>7</v>
      </c>
      <c r="O44" s="280">
        <v>1</v>
      </c>
      <c r="P44" s="280">
        <v>7.1</v>
      </c>
      <c r="Q44" s="281">
        <v>7</v>
      </c>
      <c r="R44" s="638">
        <f t="shared" si="19"/>
        <v>29.1</v>
      </c>
      <c r="S44" s="646"/>
      <c r="T44" s="647"/>
      <c r="U44" s="658"/>
      <c r="X44" s="48"/>
      <c r="Y44" s="2"/>
      <c r="Z44" s="2"/>
      <c r="AA44" s="2"/>
      <c r="AB44" s="2"/>
    </row>
    <row r="45" spans="1:38" ht="33.75" customHeight="1" x14ac:dyDescent="0.25">
      <c r="A45" s="171" t="s">
        <v>21</v>
      </c>
      <c r="B45" s="279">
        <v>85.3</v>
      </c>
      <c r="C45" s="280">
        <v>84.6</v>
      </c>
      <c r="D45" s="280">
        <v>16</v>
      </c>
      <c r="E45" s="280">
        <v>87.1</v>
      </c>
      <c r="F45" s="281">
        <v>84.6</v>
      </c>
      <c r="G45" s="638">
        <f t="shared" si="18"/>
        <v>357.6</v>
      </c>
      <c r="H45" s="651"/>
      <c r="I45" s="364"/>
      <c r="J45" s="364"/>
      <c r="K45" s="364"/>
      <c r="L45" s="171" t="s">
        <v>21</v>
      </c>
      <c r="M45" s="279">
        <v>7</v>
      </c>
      <c r="N45" s="280">
        <v>6.9</v>
      </c>
      <c r="O45" s="280">
        <v>1</v>
      </c>
      <c r="P45" s="280">
        <v>7.1</v>
      </c>
      <c r="Q45" s="281">
        <v>7</v>
      </c>
      <c r="R45" s="638">
        <f t="shared" si="19"/>
        <v>29</v>
      </c>
      <c r="S45" s="646"/>
      <c r="T45" s="647"/>
      <c r="U45" s="658"/>
      <c r="X45" s="48"/>
      <c r="Y45" s="2"/>
      <c r="Z45" s="2"/>
      <c r="AA45" s="2"/>
      <c r="AB45" s="2"/>
    </row>
    <row r="46" spans="1:38" ht="33.75" customHeight="1" x14ac:dyDescent="0.25">
      <c r="A46" s="171" t="s">
        <v>22</v>
      </c>
      <c r="B46" s="279">
        <v>84.8</v>
      </c>
      <c r="C46" s="280">
        <v>84.6</v>
      </c>
      <c r="D46" s="280">
        <v>15.4</v>
      </c>
      <c r="E46" s="280">
        <v>87</v>
      </c>
      <c r="F46" s="281">
        <v>84.6</v>
      </c>
      <c r="G46" s="638">
        <f t="shared" si="18"/>
        <v>356.4</v>
      </c>
      <c r="H46" s="651"/>
      <c r="I46" s="364"/>
      <c r="J46" s="364"/>
      <c r="K46" s="364"/>
      <c r="L46" s="171" t="s">
        <v>22</v>
      </c>
      <c r="M46" s="279">
        <v>7</v>
      </c>
      <c r="N46" s="280">
        <v>6.9</v>
      </c>
      <c r="O46" s="280">
        <v>1</v>
      </c>
      <c r="P46" s="280">
        <v>7.1</v>
      </c>
      <c r="Q46" s="281">
        <v>7</v>
      </c>
      <c r="R46" s="638">
        <f t="shared" si="19"/>
        <v>29</v>
      </c>
      <c r="S46" s="646"/>
      <c r="T46" s="647"/>
      <c r="U46" s="658"/>
      <c r="X46" s="48"/>
      <c r="Y46" s="2"/>
      <c r="Z46" s="2"/>
      <c r="AA46" s="2"/>
      <c r="AB46" s="2"/>
    </row>
    <row r="47" spans="1:38" ht="33.75" customHeight="1" thickBot="1" x14ac:dyDescent="0.3">
      <c r="A47" s="285" t="s">
        <v>23</v>
      </c>
      <c r="B47" s="279">
        <v>84.8</v>
      </c>
      <c r="C47" s="280">
        <v>84.7</v>
      </c>
      <c r="D47" s="280">
        <v>15.4</v>
      </c>
      <c r="E47" s="280">
        <v>87</v>
      </c>
      <c r="F47" s="281">
        <v>84.6</v>
      </c>
      <c r="G47" s="376">
        <f t="shared" si="18"/>
        <v>356.5</v>
      </c>
      <c r="H47" s="651"/>
      <c r="I47" s="364"/>
      <c r="J47" s="364"/>
      <c r="K47" s="364"/>
      <c r="L47" s="285" t="s">
        <v>23</v>
      </c>
      <c r="M47" s="279">
        <v>7</v>
      </c>
      <c r="N47" s="280">
        <v>6.9</v>
      </c>
      <c r="O47" s="280">
        <v>1</v>
      </c>
      <c r="P47" s="280">
        <v>7</v>
      </c>
      <c r="Q47" s="281">
        <v>7</v>
      </c>
      <c r="R47" s="412">
        <f t="shared" si="19"/>
        <v>28.9</v>
      </c>
      <c r="S47" s="646"/>
      <c r="T47" s="647"/>
      <c r="U47" s="658"/>
      <c r="X47" s="48"/>
      <c r="Y47" s="48"/>
      <c r="Z47" s="48"/>
      <c r="AA47" s="2"/>
      <c r="AB47" s="2"/>
      <c r="AC47" s="2"/>
      <c r="AD47" s="2"/>
    </row>
    <row r="48" spans="1:38" ht="33.75" customHeight="1" thickBot="1" x14ac:dyDescent="0.3">
      <c r="A48" s="290" t="s">
        <v>9</v>
      </c>
      <c r="B48" s="297">
        <f>SUM(B41:B47)</f>
        <v>599.5</v>
      </c>
      <c r="C48" s="298">
        <f t="shared" ref="C48:F48" si="20">SUM(C41:C47)</f>
        <v>597.30000000000007</v>
      </c>
      <c r="D48" s="298">
        <f t="shared" si="20"/>
        <v>111.50000000000001</v>
      </c>
      <c r="E48" s="298">
        <f t="shared" si="20"/>
        <v>613.5</v>
      </c>
      <c r="F48" s="448">
        <f t="shared" si="20"/>
        <v>596.20000000000005</v>
      </c>
      <c r="G48" s="729">
        <f t="shared" si="18"/>
        <v>2518</v>
      </c>
      <c r="H48" s="364"/>
      <c r="I48" s="364"/>
      <c r="J48" s="364"/>
      <c r="K48" s="364"/>
      <c r="L48" s="290" t="s">
        <v>9</v>
      </c>
      <c r="M48" s="687">
        <f>SUM(M41:M47)</f>
        <v>49.1</v>
      </c>
      <c r="N48" s="688">
        <f>SUM(N41:N47)</f>
        <v>48.699999999999996</v>
      </c>
      <c r="O48" s="688">
        <f>SUM(O41:O47)</f>
        <v>7.7</v>
      </c>
      <c r="P48" s="688">
        <f t="shared" ref="P48:Q48" si="21">SUM(P41:P47)</f>
        <v>49.6</v>
      </c>
      <c r="Q48" s="790">
        <f t="shared" si="21"/>
        <v>49.3</v>
      </c>
      <c r="R48" s="449">
        <f t="shared" si="19"/>
        <v>204.39999999999998</v>
      </c>
      <c r="S48" s="647"/>
      <c r="T48" s="647"/>
      <c r="U48" s="658"/>
      <c r="X48" s="2"/>
      <c r="Y48" s="2"/>
      <c r="Z48" s="2"/>
      <c r="AA48" s="2"/>
      <c r="AB48" s="2"/>
      <c r="AC48" s="2"/>
      <c r="AD48" s="2"/>
    </row>
    <row r="49" spans="1:50" ht="33.75" customHeight="1" x14ac:dyDescent="0.25">
      <c r="A49" s="192" t="s">
        <v>11</v>
      </c>
      <c r="B49" s="751">
        <v>154.57899999999989</v>
      </c>
      <c r="C49" s="751">
        <v>154.57899999999989</v>
      </c>
      <c r="D49" s="751">
        <v>154.57899999999989</v>
      </c>
      <c r="E49" s="751">
        <v>154.57899999999989</v>
      </c>
      <c r="F49" s="751">
        <v>154.57899999999989</v>
      </c>
      <c r="G49" s="730">
        <f>+((G48/G50)/7)*1000</f>
        <v>154.7823948856651</v>
      </c>
      <c r="H49" s="609"/>
      <c r="I49" s="364"/>
      <c r="J49" s="364"/>
      <c r="K49" s="364"/>
      <c r="L49" s="273" t="s">
        <v>11</v>
      </c>
      <c r="M49" s="293">
        <v>159.5</v>
      </c>
      <c r="N49" s="294">
        <v>158</v>
      </c>
      <c r="O49" s="294">
        <v>157.5</v>
      </c>
      <c r="P49" s="294">
        <v>157.5</v>
      </c>
      <c r="Q49" s="791">
        <v>156.5</v>
      </c>
      <c r="R49" s="730">
        <f>+((R48/R50)/7)*1000</f>
        <v>157.83783783783781</v>
      </c>
      <c r="S49" s="648"/>
      <c r="T49" s="647"/>
      <c r="U49" s="658"/>
      <c r="V49" s="50"/>
    </row>
    <row r="50" spans="1:50" ht="33.75" customHeight="1" x14ac:dyDescent="0.25">
      <c r="A50" s="193" t="s">
        <v>12</v>
      </c>
      <c r="B50" s="26">
        <v>553</v>
      </c>
      <c r="C50" s="27">
        <v>550</v>
      </c>
      <c r="D50" s="27">
        <v>103</v>
      </c>
      <c r="E50" s="27">
        <v>567</v>
      </c>
      <c r="F50" s="183">
        <v>551</v>
      </c>
      <c r="G50" s="731">
        <f>SUM(B50:F50)</f>
        <v>2324</v>
      </c>
      <c r="H50" s="609"/>
      <c r="I50" s="364"/>
      <c r="J50" s="364"/>
      <c r="K50" s="364"/>
      <c r="L50" s="193" t="s">
        <v>12</v>
      </c>
      <c r="M50" s="257">
        <v>44</v>
      </c>
      <c r="N50" s="275">
        <v>44</v>
      </c>
      <c r="O50" s="275">
        <v>7</v>
      </c>
      <c r="P50" s="275">
        <v>45</v>
      </c>
      <c r="Q50" s="527">
        <v>45</v>
      </c>
      <c r="R50" s="233">
        <f>SUM(M50:Q50)</f>
        <v>185</v>
      </c>
      <c r="S50" s="649"/>
      <c r="T50" s="301"/>
      <c r="U50" s="52"/>
      <c r="V50" s="52"/>
    </row>
    <row r="51" spans="1:50" ht="33.75" customHeight="1" x14ac:dyDescent="0.25">
      <c r="A51" s="194" t="s">
        <v>13</v>
      </c>
      <c r="B51" s="30">
        <f>((((B49*7)*B50)/1000))/7</f>
        <v>85.482186999999939</v>
      </c>
      <c r="C51" s="30">
        <f t="shared" ref="C51:F51" si="22">((((C49*7)*C50)/1000))/7</f>
        <v>85.01844999999993</v>
      </c>
      <c r="D51" s="30">
        <f t="shared" si="22"/>
        <v>15.921636999999988</v>
      </c>
      <c r="E51" s="30">
        <f t="shared" si="22"/>
        <v>87.646292999999929</v>
      </c>
      <c r="F51" s="30">
        <f t="shared" si="22"/>
        <v>85.173028999999929</v>
      </c>
      <c r="G51" s="732">
        <f>((G48*1000)/G50)/7</f>
        <v>154.7823948856651</v>
      </c>
      <c r="H51" s="609"/>
      <c r="I51" s="364"/>
      <c r="J51" s="364"/>
      <c r="K51" s="364"/>
      <c r="L51" s="194" t="s">
        <v>13</v>
      </c>
      <c r="M51" s="30">
        <f>((((M49*7)*M50)/1000)/7)</f>
        <v>7.0179999999999998</v>
      </c>
      <c r="N51" s="30">
        <f t="shared" ref="N51:Q51" si="23">((((N49*7)*N50)/1000)/7)</f>
        <v>6.952</v>
      </c>
      <c r="O51" s="30">
        <f t="shared" si="23"/>
        <v>1.1025</v>
      </c>
      <c r="P51" s="30">
        <f t="shared" si="23"/>
        <v>7.0874999999999995</v>
      </c>
      <c r="Q51" s="30">
        <f t="shared" si="23"/>
        <v>7.0424999999999995</v>
      </c>
      <c r="R51" s="234">
        <f>((R48*1000)/R50)/7</f>
        <v>157.83783783783784</v>
      </c>
      <c r="S51" s="650"/>
      <c r="T51" s="301"/>
      <c r="U51" s="52"/>
      <c r="V51" s="52"/>
    </row>
    <row r="52" spans="1:50" ht="33.75" customHeight="1" x14ac:dyDescent="0.25">
      <c r="A52" s="185" t="s">
        <v>14</v>
      </c>
      <c r="B52" s="279">
        <f>((B50*B49)*7)/1000</f>
        <v>598.37530899999967</v>
      </c>
      <c r="C52" s="280">
        <f>((C50*C49)*7)/1000</f>
        <v>595.12914999999953</v>
      </c>
      <c r="D52" s="280">
        <f>((D50*D49)*7)/1000</f>
        <v>111.45145899999993</v>
      </c>
      <c r="E52" s="280">
        <f>((E50*E49)*7)/1000</f>
        <v>613.52405099999964</v>
      </c>
      <c r="F52" s="281">
        <f>((F50*F49)*7)/1000</f>
        <v>596.2112029999995</v>
      </c>
      <c r="G52" s="73"/>
      <c r="H52" s="609"/>
      <c r="I52" s="364"/>
      <c r="J52" s="364"/>
      <c r="K52" s="364"/>
      <c r="L52" s="185" t="s">
        <v>14</v>
      </c>
      <c r="M52" s="279">
        <f>((M50*M49)*7)/1000</f>
        <v>49.125999999999998</v>
      </c>
      <c r="N52" s="280">
        <f>((N50*N49)*7)/1000</f>
        <v>48.664000000000001</v>
      </c>
      <c r="O52" s="280">
        <f>((O50*O49)*7)/1000</f>
        <v>7.7175000000000002</v>
      </c>
      <c r="P52" s="280">
        <f t="shared" ref="P52" si="24">((P50*P49)*7)/1000</f>
        <v>49.612499999999997</v>
      </c>
      <c r="Q52" s="281">
        <f>((Q50*Q49)*7)/1000</f>
        <v>49.297499999999999</v>
      </c>
      <c r="R52" s="213"/>
      <c r="S52" s="522"/>
    </row>
    <row r="53" spans="1:50" ht="33.75" customHeight="1" thickBot="1" x14ac:dyDescent="0.3">
      <c r="A53" s="195" t="s">
        <v>15</v>
      </c>
      <c r="B53" s="37">
        <f>+(B48/B50)/7*1000</f>
        <v>154.86954275381041</v>
      </c>
      <c r="C53" s="38">
        <f t="shared" ref="C53:E53" si="25">+(C48/C50)/7*1000</f>
        <v>155.14285714285717</v>
      </c>
      <c r="D53" s="38">
        <f t="shared" si="25"/>
        <v>154.64632454923719</v>
      </c>
      <c r="E53" s="38">
        <f t="shared" si="25"/>
        <v>154.572940287226</v>
      </c>
      <c r="F53" s="207">
        <f>+(F48/F50)/7*1000</f>
        <v>154.57609541094118</v>
      </c>
      <c r="G53" s="74"/>
      <c r="H53" s="609"/>
      <c r="I53" s="364"/>
      <c r="J53" s="364"/>
      <c r="K53" s="364"/>
      <c r="L53" s="195" t="s">
        <v>15</v>
      </c>
      <c r="M53" s="37">
        <f>+(M48/M50)/7*1000</f>
        <v>159.41558441558442</v>
      </c>
      <c r="N53" s="38">
        <f>+(N48/N50)/7*1000</f>
        <v>158.11688311688309</v>
      </c>
      <c r="O53" s="38">
        <f>+(O48/O50)/7*1000</f>
        <v>157.14285714285717</v>
      </c>
      <c r="P53" s="38">
        <f t="shared" ref="P53:Q53" si="26">+(P48/P50)/7*1000</f>
        <v>157.46031746031747</v>
      </c>
      <c r="Q53" s="207">
        <f t="shared" si="26"/>
        <v>156.50793650793648</v>
      </c>
      <c r="R53" s="262"/>
      <c r="S53" s="651"/>
      <c r="U53" s="42"/>
      <c r="V53" s="42"/>
    </row>
    <row r="54" spans="1:50" ht="33.75" customHeight="1" x14ac:dyDescent="0.25">
      <c r="A54" s="41"/>
      <c r="B54" s="43">
        <f>B52-B48</f>
        <v>-1.1246910000003254</v>
      </c>
      <c r="C54" s="43">
        <f t="shared" ref="C54:D55" si="27">C52-C48</f>
        <v>-2.1708500000005415</v>
      </c>
      <c r="D54" s="43">
        <f t="shared" si="27"/>
        <v>-4.8541000000085432E-2</v>
      </c>
      <c r="E54" s="43">
        <f>E52-E48</f>
        <v>2.4050999999644773E-2</v>
      </c>
      <c r="F54" s="43">
        <f>F52-F48</f>
        <v>1.1202999999454732E-2</v>
      </c>
      <c r="G54" s="41"/>
      <c r="H54" s="41"/>
      <c r="I54" s="41"/>
      <c r="J54" s="41"/>
      <c r="K54" s="41"/>
      <c r="L54" s="42"/>
      <c r="M54" s="42">
        <f>M52-M48</f>
        <v>2.5999999999996248E-2</v>
      </c>
      <c r="N54" s="42">
        <f>N52-N48</f>
        <v>-3.5999999999994259E-2</v>
      </c>
      <c r="O54" s="42">
        <f t="shared" ref="N54:Q55" si="28">O52-O48</f>
        <v>1.7500000000000071E-2</v>
      </c>
      <c r="P54" s="42">
        <f t="shared" si="28"/>
        <v>1.2499999999995737E-2</v>
      </c>
      <c r="Q54" s="42">
        <f t="shared" si="28"/>
        <v>-2.4999999999977263E-3</v>
      </c>
      <c r="R54" s="42"/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0.29054275381051298</v>
      </c>
      <c r="C55" s="42">
        <f>C53-C49</f>
        <v>0.56385714285727317</v>
      </c>
      <c r="D55" s="42">
        <f t="shared" si="27"/>
        <v>6.732454923729847E-2</v>
      </c>
      <c r="E55" s="42">
        <f>E53-E49</f>
        <v>-6.059712773890169E-3</v>
      </c>
      <c r="F55" s="42">
        <f>F53-F49</f>
        <v>-2.9045890587156009E-3</v>
      </c>
      <c r="G55" s="41"/>
      <c r="H55" s="41"/>
      <c r="I55" s="41"/>
      <c r="J55" s="41"/>
      <c r="K55" s="42"/>
      <c r="L55" s="42"/>
      <c r="M55" s="42">
        <f>M53-M49</f>
        <v>-8.4415584415580724E-2</v>
      </c>
      <c r="N55" s="42">
        <f t="shared" si="28"/>
        <v>0.11688311688308772</v>
      </c>
      <c r="O55" s="42">
        <f>O53-O49</f>
        <v>-0.35714285714283278</v>
      </c>
      <c r="P55" s="42">
        <f>P53-P49</f>
        <v>-3.968253968253066E-2</v>
      </c>
      <c r="Q55" s="42">
        <f t="shared" si="28"/>
        <v>7.9365079364777102E-3</v>
      </c>
      <c r="R55" s="42"/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283"/>
      <c r="N57" s="283"/>
      <c r="O57" s="283"/>
      <c r="P57" s="283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99" t="s">
        <v>30</v>
      </c>
      <c r="H58" s="1000"/>
      <c r="I58" s="1000"/>
      <c r="J58" s="1000"/>
      <c r="K58" s="1001"/>
      <c r="L58" s="973" t="s">
        <v>29</v>
      </c>
      <c r="M58" s="974"/>
      <c r="N58" s="974"/>
      <c r="O58" s="974"/>
      <c r="P58" s="991"/>
      <c r="Q58" s="973" t="s">
        <v>31</v>
      </c>
      <c r="R58" s="974"/>
      <c r="S58" s="974"/>
      <c r="T58" s="974"/>
      <c r="U58" s="991"/>
      <c r="V58" s="586" t="s">
        <v>9</v>
      </c>
      <c r="W58" s="661"/>
      <c r="X58" s="662"/>
      <c r="Y58" s="522"/>
      <c r="Z58" s="522"/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692">
        <v>1</v>
      </c>
      <c r="H59" s="693">
        <v>2</v>
      </c>
      <c r="I59" s="693">
        <v>3</v>
      </c>
      <c r="J59" s="693">
        <v>4</v>
      </c>
      <c r="K59" s="693">
        <v>5</v>
      </c>
      <c r="L59" s="188">
        <v>1</v>
      </c>
      <c r="M59" s="168">
        <v>2</v>
      </c>
      <c r="N59" s="168">
        <v>3</v>
      </c>
      <c r="O59" s="168">
        <v>4</v>
      </c>
      <c r="P59" s="414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126"/>
      <c r="W59" s="663"/>
      <c r="X59" s="645"/>
      <c r="Y59" s="657"/>
      <c r="Z59" s="657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45">
      <c r="A60" s="171" t="s">
        <v>53</v>
      </c>
      <c r="B60" s="735">
        <v>7.6</v>
      </c>
      <c r="C60" s="736">
        <v>7.6</v>
      </c>
      <c r="D60" s="736">
        <v>1.7</v>
      </c>
      <c r="E60" s="736">
        <v>7.7</v>
      </c>
      <c r="F60" s="737">
        <v>7.6</v>
      </c>
      <c r="G60" s="738">
        <v>7.6</v>
      </c>
      <c r="H60" s="739">
        <v>7.7</v>
      </c>
      <c r="I60" s="799">
        <v>1.7</v>
      </c>
      <c r="J60" s="739">
        <v>7.6</v>
      </c>
      <c r="K60" s="739">
        <v>7.7</v>
      </c>
      <c r="L60" s="279">
        <v>6.2</v>
      </c>
      <c r="M60" s="280">
        <v>6.3</v>
      </c>
      <c r="N60" s="280">
        <v>1.9</v>
      </c>
      <c r="O60" s="280">
        <v>6</v>
      </c>
      <c r="P60" s="282">
        <v>6.3</v>
      </c>
      <c r="Q60" s="737">
        <v>6.5</v>
      </c>
      <c r="R60" s="736">
        <v>6.6</v>
      </c>
      <c r="S60" s="736">
        <v>2.1</v>
      </c>
      <c r="T60" s="736">
        <v>6.7</v>
      </c>
      <c r="U60" s="742">
        <v>6.5</v>
      </c>
      <c r="V60" s="749">
        <f t="shared" ref="V60:V67" si="29">SUM(B60:U60)</f>
        <v>119.6</v>
      </c>
      <c r="W60" s="651"/>
      <c r="X60" s="646"/>
      <c r="Y60" s="657"/>
      <c r="Z60" s="657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25">
      <c r="A61" s="171" t="s">
        <v>24</v>
      </c>
      <c r="B61" s="735">
        <v>7.6</v>
      </c>
      <c r="C61" s="736">
        <v>7.6</v>
      </c>
      <c r="D61" s="736">
        <v>1.6</v>
      </c>
      <c r="E61" s="736">
        <v>7.7</v>
      </c>
      <c r="F61" s="737">
        <v>7.6</v>
      </c>
      <c r="G61" s="738">
        <v>7.5</v>
      </c>
      <c r="H61" s="739">
        <v>7.7</v>
      </c>
      <c r="I61" s="739">
        <v>1.6</v>
      </c>
      <c r="J61" s="739">
        <v>7.6</v>
      </c>
      <c r="K61" s="739">
        <v>7.7</v>
      </c>
      <c r="L61" s="279">
        <v>6.2</v>
      </c>
      <c r="M61" s="280">
        <v>6.3</v>
      </c>
      <c r="N61" s="280">
        <v>1.9</v>
      </c>
      <c r="O61" s="280">
        <v>6</v>
      </c>
      <c r="P61" s="282">
        <v>6.3</v>
      </c>
      <c r="Q61" s="737">
        <v>6.5</v>
      </c>
      <c r="R61" s="736">
        <v>6.6</v>
      </c>
      <c r="S61" s="736">
        <v>2.1</v>
      </c>
      <c r="T61" s="736">
        <v>6.7</v>
      </c>
      <c r="U61" s="742">
        <v>6.5</v>
      </c>
      <c r="V61" s="749">
        <f t="shared" si="29"/>
        <v>119.3</v>
      </c>
      <c r="W61" s="651"/>
      <c r="X61" s="646"/>
      <c r="Y61" s="651"/>
      <c r="Z61" s="651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25">
      <c r="A62" s="171" t="s">
        <v>20</v>
      </c>
      <c r="B62" s="735">
        <v>7.6</v>
      </c>
      <c r="C62" s="736">
        <v>7.6</v>
      </c>
      <c r="D62" s="736">
        <v>1.6</v>
      </c>
      <c r="E62" s="736">
        <v>7.7</v>
      </c>
      <c r="F62" s="737">
        <v>7.6</v>
      </c>
      <c r="G62" s="738">
        <v>7.5</v>
      </c>
      <c r="H62" s="739">
        <v>7.7</v>
      </c>
      <c r="I62" s="739">
        <v>1.6</v>
      </c>
      <c r="J62" s="739">
        <v>7.6</v>
      </c>
      <c r="K62" s="739">
        <v>7.7</v>
      </c>
      <c r="L62" s="279">
        <v>6.2</v>
      </c>
      <c r="M62" s="280">
        <v>6.3</v>
      </c>
      <c r="N62" s="280">
        <v>1.9</v>
      </c>
      <c r="O62" s="280">
        <v>6</v>
      </c>
      <c r="P62" s="282">
        <v>6.3</v>
      </c>
      <c r="Q62" s="737">
        <v>6.5</v>
      </c>
      <c r="R62" s="736">
        <v>6.6</v>
      </c>
      <c r="S62" s="736">
        <v>2.1</v>
      </c>
      <c r="T62" s="736">
        <v>6.6</v>
      </c>
      <c r="U62" s="742">
        <v>6.5</v>
      </c>
      <c r="V62" s="749">
        <f t="shared" si="29"/>
        <v>119.19999999999999</v>
      </c>
      <c r="W62" s="651"/>
      <c r="X62" s="646"/>
      <c r="Y62" s="651"/>
      <c r="Z62" s="651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25">
      <c r="A63" s="171" t="s">
        <v>28</v>
      </c>
      <c r="B63" s="735">
        <v>7.6</v>
      </c>
      <c r="C63" s="736">
        <v>7.6</v>
      </c>
      <c r="D63" s="736">
        <v>1.6</v>
      </c>
      <c r="E63" s="736">
        <v>7.7</v>
      </c>
      <c r="F63" s="737">
        <v>7.6</v>
      </c>
      <c r="G63" s="738">
        <v>7.5</v>
      </c>
      <c r="H63" s="739">
        <v>7.7</v>
      </c>
      <c r="I63" s="739">
        <v>1.6</v>
      </c>
      <c r="J63" s="739">
        <v>7.6</v>
      </c>
      <c r="K63" s="739">
        <v>7.7</v>
      </c>
      <c r="L63" s="279">
        <v>6.2</v>
      </c>
      <c r="M63" s="280">
        <v>6.3</v>
      </c>
      <c r="N63" s="280">
        <v>1.9</v>
      </c>
      <c r="O63" s="280">
        <v>5.9</v>
      </c>
      <c r="P63" s="282">
        <v>6.3</v>
      </c>
      <c r="Q63" s="737">
        <v>6.5</v>
      </c>
      <c r="R63" s="736">
        <v>6.6</v>
      </c>
      <c r="S63" s="736">
        <v>2.1</v>
      </c>
      <c r="T63" s="736">
        <v>6.6</v>
      </c>
      <c r="U63" s="742">
        <v>6.4</v>
      </c>
      <c r="V63" s="749">
        <f t="shared" si="29"/>
        <v>119</v>
      </c>
      <c r="W63" s="651"/>
      <c r="X63" s="646"/>
      <c r="Y63" s="651"/>
      <c r="Z63" s="651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25">
      <c r="A64" s="171" t="s">
        <v>21</v>
      </c>
      <c r="B64" s="735">
        <v>7.6</v>
      </c>
      <c r="C64" s="736">
        <v>7.6</v>
      </c>
      <c r="D64" s="736">
        <v>1.6</v>
      </c>
      <c r="E64" s="736">
        <v>7.7</v>
      </c>
      <c r="F64" s="737">
        <v>7.6</v>
      </c>
      <c r="G64" s="738">
        <v>7.5</v>
      </c>
      <c r="H64" s="739">
        <v>7.7</v>
      </c>
      <c r="I64" s="739">
        <v>1.6</v>
      </c>
      <c r="J64" s="739">
        <v>7.6</v>
      </c>
      <c r="K64" s="739">
        <v>7.6</v>
      </c>
      <c r="L64" s="279">
        <v>6.1</v>
      </c>
      <c r="M64" s="280">
        <v>6.2</v>
      </c>
      <c r="N64" s="280">
        <v>1.9</v>
      </c>
      <c r="O64" s="280">
        <v>5.9</v>
      </c>
      <c r="P64" s="282">
        <v>6.3</v>
      </c>
      <c r="Q64" s="737">
        <v>6.4</v>
      </c>
      <c r="R64" s="736">
        <v>6.6</v>
      </c>
      <c r="S64" s="736">
        <v>2.1</v>
      </c>
      <c r="T64" s="736">
        <v>6.6</v>
      </c>
      <c r="U64" s="742">
        <v>6.4</v>
      </c>
      <c r="V64" s="749">
        <f t="shared" si="29"/>
        <v>118.60000000000001</v>
      </c>
      <c r="W64" s="651"/>
      <c r="X64" s="646"/>
      <c r="Y64" s="651"/>
      <c r="Z64" s="651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25">
      <c r="A65" s="171" t="s">
        <v>22</v>
      </c>
      <c r="B65" s="735">
        <v>7.5</v>
      </c>
      <c r="C65" s="736">
        <v>7.5</v>
      </c>
      <c r="D65" s="736">
        <v>1.6</v>
      </c>
      <c r="E65" s="736">
        <v>7.7</v>
      </c>
      <c r="F65" s="737">
        <v>7.5</v>
      </c>
      <c r="G65" s="738">
        <v>7.5</v>
      </c>
      <c r="H65" s="739">
        <v>7.7</v>
      </c>
      <c r="I65" s="739">
        <v>1.6</v>
      </c>
      <c r="J65" s="739">
        <v>7.5</v>
      </c>
      <c r="K65" s="739">
        <v>7.6</v>
      </c>
      <c r="L65" s="279">
        <v>6.1</v>
      </c>
      <c r="M65" s="280">
        <v>6.2</v>
      </c>
      <c r="N65" s="280">
        <v>1.9</v>
      </c>
      <c r="O65" s="280">
        <v>5.9</v>
      </c>
      <c r="P65" s="282">
        <v>6.3</v>
      </c>
      <c r="Q65" s="737">
        <v>6.4</v>
      </c>
      <c r="R65" s="736">
        <v>6.6</v>
      </c>
      <c r="S65" s="736">
        <v>2.1</v>
      </c>
      <c r="T65" s="736">
        <v>6.6</v>
      </c>
      <c r="U65" s="742">
        <v>6.4</v>
      </c>
      <c r="V65" s="749">
        <f t="shared" si="29"/>
        <v>118.2</v>
      </c>
      <c r="W65" s="651"/>
      <c r="X65" s="646"/>
      <c r="Y65" s="651"/>
      <c r="Z65" s="651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3">
      <c r="A66" s="171" t="s">
        <v>23</v>
      </c>
      <c r="B66" s="735">
        <v>7.5</v>
      </c>
      <c r="C66" s="736">
        <v>7.5</v>
      </c>
      <c r="D66" s="736">
        <v>1.6</v>
      </c>
      <c r="E66" s="736">
        <v>7.7</v>
      </c>
      <c r="F66" s="737">
        <v>7.5</v>
      </c>
      <c r="G66" s="738">
        <v>7.5</v>
      </c>
      <c r="H66" s="739">
        <v>7.7</v>
      </c>
      <c r="I66" s="739">
        <v>1.6</v>
      </c>
      <c r="J66" s="739">
        <v>7.5</v>
      </c>
      <c r="K66" s="739">
        <v>7.6</v>
      </c>
      <c r="L66" s="279">
        <v>6.1</v>
      </c>
      <c r="M66" s="280">
        <v>6.2</v>
      </c>
      <c r="N66" s="280">
        <v>1.8</v>
      </c>
      <c r="O66" s="280">
        <v>5.9</v>
      </c>
      <c r="P66" s="282">
        <v>6.2</v>
      </c>
      <c r="Q66" s="737">
        <v>6.4</v>
      </c>
      <c r="R66" s="736">
        <v>6.6</v>
      </c>
      <c r="S66" s="736">
        <v>2.1</v>
      </c>
      <c r="T66" s="736">
        <v>6.6</v>
      </c>
      <c r="U66" s="742">
        <v>6.4</v>
      </c>
      <c r="V66" s="412">
        <f t="shared" si="29"/>
        <v>118</v>
      </c>
      <c r="W66" s="651"/>
      <c r="X66" s="646"/>
      <c r="Y66" s="651"/>
      <c r="Z66" s="651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297">
        <f t="shared" ref="B67:U67" si="30">SUM(B60:B66)</f>
        <v>53</v>
      </c>
      <c r="C67" s="298">
        <f t="shared" si="30"/>
        <v>53</v>
      </c>
      <c r="D67" s="298">
        <f t="shared" si="30"/>
        <v>11.299999999999999</v>
      </c>
      <c r="E67" s="298">
        <f t="shared" si="30"/>
        <v>53.900000000000006</v>
      </c>
      <c r="F67" s="448">
        <f t="shared" si="30"/>
        <v>53</v>
      </c>
      <c r="G67" s="719">
        <f t="shared" si="30"/>
        <v>52.6</v>
      </c>
      <c r="H67" s="696">
        <f t="shared" si="30"/>
        <v>53.900000000000006</v>
      </c>
      <c r="I67" s="696">
        <f t="shared" si="30"/>
        <v>11.299999999999999</v>
      </c>
      <c r="J67" s="696">
        <f t="shared" si="30"/>
        <v>53</v>
      </c>
      <c r="K67" s="720">
        <f t="shared" si="30"/>
        <v>53.6</v>
      </c>
      <c r="L67" s="618">
        <f t="shared" si="30"/>
        <v>43.1</v>
      </c>
      <c r="M67" s="616">
        <f t="shared" si="30"/>
        <v>43.800000000000004</v>
      </c>
      <c r="N67" s="616">
        <f t="shared" si="30"/>
        <v>13.200000000000001</v>
      </c>
      <c r="O67" s="616">
        <f t="shared" si="30"/>
        <v>41.599999999999994</v>
      </c>
      <c r="P67" s="616">
        <f t="shared" si="30"/>
        <v>44</v>
      </c>
      <c r="Q67" s="615">
        <f t="shared" si="30"/>
        <v>45.199999999999996</v>
      </c>
      <c r="R67" s="616">
        <f t="shared" si="30"/>
        <v>46.2</v>
      </c>
      <c r="S67" s="616">
        <f t="shared" si="30"/>
        <v>14.7</v>
      </c>
      <c r="T67" s="616">
        <f t="shared" si="30"/>
        <v>46.400000000000006</v>
      </c>
      <c r="U67" s="617">
        <f t="shared" si="30"/>
        <v>45.099999999999994</v>
      </c>
      <c r="V67" s="449">
        <f t="shared" si="29"/>
        <v>831.90000000000032</v>
      </c>
      <c r="W67" s="664"/>
      <c r="X67" s="646"/>
      <c r="Y67" s="651"/>
      <c r="Z67" s="651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161</v>
      </c>
      <c r="C68" s="358">
        <v>161</v>
      </c>
      <c r="D68" s="358">
        <v>161</v>
      </c>
      <c r="E68" s="358">
        <v>160.5</v>
      </c>
      <c r="F68" s="718">
        <v>161</v>
      </c>
      <c r="G68" s="721">
        <v>160</v>
      </c>
      <c r="H68" s="698">
        <v>160.5</v>
      </c>
      <c r="I68" s="698">
        <v>162</v>
      </c>
      <c r="J68" s="698">
        <v>161</v>
      </c>
      <c r="K68" s="794">
        <v>159.5</v>
      </c>
      <c r="L68" s="357">
        <v>158</v>
      </c>
      <c r="M68" s="358">
        <v>160.5</v>
      </c>
      <c r="N68" s="358">
        <v>157</v>
      </c>
      <c r="O68" s="358">
        <v>160.5</v>
      </c>
      <c r="P68" s="624">
        <v>161</v>
      </c>
      <c r="Q68" s="357">
        <v>161.5</v>
      </c>
      <c r="R68" s="358">
        <v>161</v>
      </c>
      <c r="S68" s="358">
        <v>162</v>
      </c>
      <c r="T68" s="358">
        <v>161.5</v>
      </c>
      <c r="U68" s="624">
        <v>161</v>
      </c>
      <c r="V68" s="296">
        <f>+((V67/V69)/7)*1000</f>
        <v>160.815774212256</v>
      </c>
      <c r="W68" s="145"/>
      <c r="X68" s="648"/>
      <c r="Y68" s="665"/>
      <c r="Z68" s="522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47</v>
      </c>
      <c r="C69" s="275">
        <v>47</v>
      </c>
      <c r="D69" s="275">
        <v>10</v>
      </c>
      <c r="E69" s="275">
        <v>48</v>
      </c>
      <c r="F69" s="527">
        <v>46</v>
      </c>
      <c r="G69" s="723">
        <v>47</v>
      </c>
      <c r="H69" s="700">
        <v>48</v>
      </c>
      <c r="I69" s="700">
        <v>10</v>
      </c>
      <c r="J69" s="700">
        <v>47</v>
      </c>
      <c r="K69" s="795">
        <v>48</v>
      </c>
      <c r="L69" s="257">
        <v>39</v>
      </c>
      <c r="M69" s="275">
        <v>39</v>
      </c>
      <c r="N69" s="275">
        <v>12</v>
      </c>
      <c r="O69" s="275">
        <v>37</v>
      </c>
      <c r="P69" s="276">
        <v>39</v>
      </c>
      <c r="Q69" s="257">
        <v>40</v>
      </c>
      <c r="R69" s="275">
        <v>41</v>
      </c>
      <c r="S69" s="275">
        <v>13</v>
      </c>
      <c r="T69" s="275">
        <v>41</v>
      </c>
      <c r="U69" s="276">
        <v>40</v>
      </c>
      <c r="V69" s="254">
        <f>SUM(B69:U69)</f>
        <v>739</v>
      </c>
      <c r="W69" s="145"/>
      <c r="X69" s="649"/>
      <c r="Y69" s="665"/>
      <c r="Z69" s="522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>((((B68*7)*B69)/1000)/7)</f>
        <v>7.5670000000000002</v>
      </c>
      <c r="C70" s="30">
        <f t="shared" ref="C70:U70" si="31">((((C68*7)*C69)/1000)/7)</f>
        <v>7.5670000000000002</v>
      </c>
      <c r="D70" s="30">
        <f t="shared" si="31"/>
        <v>1.6099999999999999</v>
      </c>
      <c r="E70" s="30">
        <f t="shared" si="31"/>
        <v>7.7039999999999997</v>
      </c>
      <c r="F70" s="30">
        <f t="shared" si="31"/>
        <v>7.4059999999999997</v>
      </c>
      <c r="G70" s="30">
        <f t="shared" si="31"/>
        <v>7.5200000000000005</v>
      </c>
      <c r="H70" s="30">
        <f t="shared" si="31"/>
        <v>7.7039999999999997</v>
      </c>
      <c r="I70" s="30">
        <f t="shared" si="31"/>
        <v>1.6199999999999999</v>
      </c>
      <c r="J70" s="30">
        <f t="shared" si="31"/>
        <v>7.5670000000000002</v>
      </c>
      <c r="K70" s="30">
        <f t="shared" si="31"/>
        <v>7.6559999999999997</v>
      </c>
      <c r="L70" s="30">
        <f t="shared" si="31"/>
        <v>6.1619999999999999</v>
      </c>
      <c r="M70" s="30">
        <f t="shared" si="31"/>
        <v>6.2595000000000001</v>
      </c>
      <c r="N70" s="30">
        <f t="shared" si="31"/>
        <v>1.8840000000000001</v>
      </c>
      <c r="O70" s="30">
        <f t="shared" si="31"/>
        <v>5.9384999999999994</v>
      </c>
      <c r="P70" s="30">
        <f t="shared" si="31"/>
        <v>6.2790000000000008</v>
      </c>
      <c r="Q70" s="30">
        <f t="shared" si="31"/>
        <v>6.46</v>
      </c>
      <c r="R70" s="30">
        <f t="shared" si="31"/>
        <v>6.601</v>
      </c>
      <c r="S70" s="30">
        <f t="shared" si="31"/>
        <v>2.1060000000000003</v>
      </c>
      <c r="T70" s="30">
        <f t="shared" si="31"/>
        <v>6.6214999999999993</v>
      </c>
      <c r="U70" s="30">
        <f t="shared" si="31"/>
        <v>6.4399999999999995</v>
      </c>
      <c r="V70" s="139">
        <f>((V67*1000)/V69)/7</f>
        <v>160.815774212256</v>
      </c>
      <c r="W70" s="144"/>
      <c r="X70" s="650"/>
      <c r="Y70" s="665"/>
      <c r="Z70" s="522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32">((B69*B68)*7)/1000</f>
        <v>52.969000000000001</v>
      </c>
      <c r="C71" s="280">
        <f t="shared" si="32"/>
        <v>52.969000000000001</v>
      </c>
      <c r="D71" s="280">
        <f t="shared" si="32"/>
        <v>11.27</v>
      </c>
      <c r="E71" s="280">
        <f t="shared" si="32"/>
        <v>53.927999999999997</v>
      </c>
      <c r="F71" s="281">
        <f t="shared" si="32"/>
        <v>51.841999999999999</v>
      </c>
      <c r="G71" s="464">
        <f t="shared" si="32"/>
        <v>52.64</v>
      </c>
      <c r="H71" s="459">
        <f>((H69*H68)*7)/1000</f>
        <v>53.927999999999997</v>
      </c>
      <c r="I71" s="459">
        <f t="shared" si="32"/>
        <v>11.34</v>
      </c>
      <c r="J71" s="459">
        <f t="shared" si="32"/>
        <v>52.969000000000001</v>
      </c>
      <c r="K71" s="458">
        <f t="shared" si="32"/>
        <v>53.591999999999999</v>
      </c>
      <c r="L71" s="279">
        <f t="shared" si="32"/>
        <v>43.134</v>
      </c>
      <c r="M71" s="280">
        <f t="shared" si="32"/>
        <v>43.816499999999998</v>
      </c>
      <c r="N71" s="280">
        <f t="shared" si="32"/>
        <v>13.188000000000001</v>
      </c>
      <c r="O71" s="280">
        <f t="shared" si="32"/>
        <v>41.569499999999998</v>
      </c>
      <c r="P71" s="282">
        <f t="shared" si="32"/>
        <v>43.953000000000003</v>
      </c>
      <c r="Q71" s="279">
        <f t="shared" si="32"/>
        <v>45.22</v>
      </c>
      <c r="R71" s="280">
        <f t="shared" si="32"/>
        <v>46.207000000000001</v>
      </c>
      <c r="S71" s="280">
        <f t="shared" si="32"/>
        <v>14.742000000000001</v>
      </c>
      <c r="T71" s="280">
        <f t="shared" si="32"/>
        <v>46.350499999999997</v>
      </c>
      <c r="U71" s="282">
        <f t="shared" si="32"/>
        <v>45.08</v>
      </c>
      <c r="V71" s="112"/>
      <c r="W71" s="651"/>
      <c r="X71" s="666"/>
      <c r="Y71" s="666"/>
      <c r="Z71" s="666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U72" si="33">+(B67/B69)/7*1000</f>
        <v>161.09422492401217</v>
      </c>
      <c r="C72" s="38">
        <f t="shared" si="33"/>
        <v>161.09422492401217</v>
      </c>
      <c r="D72" s="38">
        <f t="shared" si="33"/>
        <v>161.42857142857142</v>
      </c>
      <c r="E72" s="38">
        <f t="shared" si="33"/>
        <v>160.41666666666669</v>
      </c>
      <c r="F72" s="207">
        <f t="shared" si="33"/>
        <v>164.59627329192548</v>
      </c>
      <c r="G72" s="727">
        <f t="shared" si="33"/>
        <v>159.87841945288753</v>
      </c>
      <c r="H72" s="704">
        <f t="shared" si="33"/>
        <v>160.41666666666669</v>
      </c>
      <c r="I72" s="704">
        <f t="shared" si="33"/>
        <v>161.42857142857142</v>
      </c>
      <c r="J72" s="704">
        <f t="shared" si="33"/>
        <v>161.09422492401217</v>
      </c>
      <c r="K72" s="461">
        <f t="shared" si="33"/>
        <v>159.52380952380955</v>
      </c>
      <c r="L72" s="37">
        <f t="shared" si="33"/>
        <v>157.8754578754579</v>
      </c>
      <c r="M72" s="38">
        <f t="shared" si="33"/>
        <v>160.43956043956047</v>
      </c>
      <c r="N72" s="38">
        <f t="shared" si="33"/>
        <v>157.14285714285717</v>
      </c>
      <c r="O72" s="38">
        <f t="shared" si="33"/>
        <v>160.61776061776058</v>
      </c>
      <c r="P72" s="39">
        <f t="shared" si="33"/>
        <v>161.1721611721612</v>
      </c>
      <c r="Q72" s="37">
        <f t="shared" si="33"/>
        <v>161.42857142857142</v>
      </c>
      <c r="R72" s="38">
        <f t="shared" si="33"/>
        <v>160.97560975609755</v>
      </c>
      <c r="S72" s="38">
        <f t="shared" si="33"/>
        <v>161.53846153846155</v>
      </c>
      <c r="T72" s="38">
        <f t="shared" si="33"/>
        <v>161.67247386759584</v>
      </c>
      <c r="U72" s="39">
        <f t="shared" si="33"/>
        <v>161.07142857142856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43">
        <f>B71-B67</f>
        <v>-3.0999999999998806E-2</v>
      </c>
      <c r="C73" s="43">
        <f t="shared" ref="C73:F73" si="34">C71-C67</f>
        <v>-3.0999999999998806E-2</v>
      </c>
      <c r="D73" s="43">
        <f t="shared" si="34"/>
        <v>-2.9999999999999361E-2</v>
      </c>
      <c r="E73" s="43">
        <f t="shared" si="34"/>
        <v>2.7999999999991587E-2</v>
      </c>
      <c r="F73" s="43">
        <f t="shared" si="34"/>
        <v>-1.1580000000000013</v>
      </c>
      <c r="G73" s="143">
        <f>G71-G67</f>
        <v>3.9999999999999147E-2</v>
      </c>
      <c r="H73" s="143">
        <f t="shared" ref="H73:U74" si="35">H71-H67</f>
        <v>2.7999999999991587E-2</v>
      </c>
      <c r="I73" s="143">
        <f t="shared" si="35"/>
        <v>4.0000000000000924E-2</v>
      </c>
      <c r="J73" s="143">
        <f t="shared" si="35"/>
        <v>-3.0999999999998806E-2</v>
      </c>
      <c r="K73" s="143">
        <f t="shared" si="35"/>
        <v>-8.0000000000026716E-3</v>
      </c>
      <c r="L73" s="43">
        <f>L71-L67</f>
        <v>3.399999999999892E-2</v>
      </c>
      <c r="M73" s="43">
        <f t="shared" ref="M73:P73" si="36">M71-M67</f>
        <v>1.649999999999352E-2</v>
      </c>
      <c r="N73" s="43">
        <f t="shared" si="36"/>
        <v>-1.2000000000000455E-2</v>
      </c>
      <c r="O73" s="43">
        <f t="shared" si="36"/>
        <v>-3.0499999999996419E-2</v>
      </c>
      <c r="P73" s="43">
        <f t="shared" si="36"/>
        <v>-4.6999999999997044E-2</v>
      </c>
      <c r="Q73" s="43">
        <f>Q71-Q67</f>
        <v>2.0000000000003126E-2</v>
      </c>
      <c r="R73" s="43">
        <f t="shared" ref="R73:U73" si="37">R71-R67</f>
        <v>6.9999999999978968E-3</v>
      </c>
      <c r="S73" s="43">
        <f>S71-S67</f>
        <v>4.2000000000001592E-2</v>
      </c>
      <c r="T73" s="43">
        <f>T71-T67</f>
        <v>-4.9500000000008981E-2</v>
      </c>
      <c r="U73" s="43">
        <f t="shared" si="37"/>
        <v>-1.9999999999996021E-2</v>
      </c>
      <c r="W73" s="144"/>
      <c r="X73" s="522"/>
      <c r="Y73" s="522"/>
      <c r="Z73" s="522"/>
    </row>
    <row r="74" spans="1:50" ht="33.75" customHeight="1" x14ac:dyDescent="0.25">
      <c r="B74" s="42">
        <f t="shared" ref="B74:J74" si="38">B72-B68</f>
        <v>9.4224924012166866E-2</v>
      </c>
      <c r="C74" s="42">
        <f t="shared" si="38"/>
        <v>9.4224924012166866E-2</v>
      </c>
      <c r="D74" s="42">
        <f t="shared" si="38"/>
        <v>0.42857142857141639</v>
      </c>
      <c r="E74" s="42">
        <f t="shared" si="38"/>
        <v>-8.3333333333314386E-2</v>
      </c>
      <c r="F74" s="42">
        <f t="shared" si="38"/>
        <v>3.5962732919254847</v>
      </c>
      <c r="G74" s="705">
        <f t="shared" si="38"/>
        <v>-0.12158054711247246</v>
      </c>
      <c r="H74" s="705">
        <f t="shared" si="38"/>
        <v>-8.3333333333314386E-2</v>
      </c>
      <c r="I74" s="705">
        <f>I72-I68</f>
        <v>-0.57142857142858361</v>
      </c>
      <c r="J74" s="705">
        <f t="shared" si="38"/>
        <v>9.4224924012166866E-2</v>
      </c>
      <c r="K74" s="705">
        <f t="shared" si="35"/>
        <v>2.3809523809546818E-2</v>
      </c>
      <c r="L74" s="42">
        <f t="shared" si="35"/>
        <v>-0.12454212454210278</v>
      </c>
      <c r="M74" s="42">
        <f t="shared" si="35"/>
        <v>-6.0439560439533579E-2</v>
      </c>
      <c r="N74" s="42">
        <f t="shared" si="35"/>
        <v>0.14285714285716722</v>
      </c>
      <c r="O74" s="42">
        <f t="shared" si="35"/>
        <v>0.117760617760581</v>
      </c>
      <c r="P74" s="42">
        <f t="shared" si="35"/>
        <v>0.17216117216119642</v>
      </c>
      <c r="Q74" s="42">
        <f t="shared" si="35"/>
        <v>-7.1428571428583609E-2</v>
      </c>
      <c r="R74" s="42">
        <f t="shared" si="35"/>
        <v>-2.4390243902445263E-2</v>
      </c>
      <c r="S74" s="42">
        <f t="shared" si="35"/>
        <v>-0.46153846153845279</v>
      </c>
      <c r="T74" s="42">
        <f t="shared" si="35"/>
        <v>0.1724738675958406</v>
      </c>
      <c r="U74" s="42">
        <f t="shared" si="35"/>
        <v>7.1428571428555188E-2</v>
      </c>
      <c r="V74" s="45"/>
      <c r="W74" s="651"/>
      <c r="X74" s="657"/>
      <c r="Y74" s="657"/>
      <c r="Z74" s="657"/>
      <c r="AA74" s="45"/>
      <c r="AB74" s="45"/>
      <c r="AC74" s="45"/>
      <c r="AD74" s="52"/>
    </row>
    <row r="75" spans="1:50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</row>
    <row r="76" spans="1:50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0" ht="33.75" customHeight="1" x14ac:dyDescent="0.25">
      <c r="A77" s="45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5">
    <mergeCell ref="B39:F39"/>
    <mergeCell ref="G39:G40"/>
    <mergeCell ref="M39:Q39"/>
    <mergeCell ref="B58:F58"/>
    <mergeCell ref="G58:K58"/>
    <mergeCell ref="L58:P58"/>
    <mergeCell ref="Q58:U58"/>
    <mergeCell ref="A3:C3"/>
    <mergeCell ref="E9:G9"/>
    <mergeCell ref="W9:X9"/>
    <mergeCell ref="O11:P11"/>
    <mergeCell ref="B16:H16"/>
    <mergeCell ref="I16:O16"/>
    <mergeCell ref="P16:T16"/>
    <mergeCell ref="U16:Y16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1"/>
  <sheetViews>
    <sheetView topLeftCell="A38" zoomScale="26" zoomScaleNormal="26" workbookViewId="0">
      <selection activeCell="B69" sqref="B69:U69"/>
    </sheetView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48</v>
      </c>
      <c r="P11" s="965"/>
      <c r="Q11" s="6"/>
      <c r="R11" s="6"/>
      <c r="S11" s="6"/>
      <c r="T11" s="1"/>
      <c r="U11" s="1"/>
      <c r="V11" s="1" t="s">
        <v>6</v>
      </c>
      <c r="W11" s="95">
        <v>45675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594"/>
      <c r="I17" s="386" t="s">
        <v>100</v>
      </c>
      <c r="J17" s="438">
        <v>1</v>
      </c>
      <c r="K17" s="438">
        <v>2</v>
      </c>
      <c r="L17" s="438">
        <v>3</v>
      </c>
      <c r="M17" s="438">
        <v>4</v>
      </c>
      <c r="N17" s="439">
        <v>5</v>
      </c>
      <c r="O17" s="594"/>
      <c r="P17" s="202">
        <v>1</v>
      </c>
      <c r="Q17" s="174">
        <v>2</v>
      </c>
      <c r="R17" s="174">
        <v>3</v>
      </c>
      <c r="S17" s="174">
        <v>4</v>
      </c>
      <c r="T17" s="203">
        <v>5</v>
      </c>
      <c r="U17" s="186">
        <v>1</v>
      </c>
      <c r="V17" s="174">
        <v>2</v>
      </c>
      <c r="W17" s="174">
        <v>3</v>
      </c>
      <c r="X17" s="174">
        <v>4</v>
      </c>
      <c r="Y17" s="175">
        <v>5</v>
      </c>
      <c r="Z17" s="126"/>
      <c r="AD17" s="2"/>
      <c r="AE17" s="15"/>
    </row>
    <row r="18" spans="1:40" ht="39.950000000000003" customHeight="1" x14ac:dyDescent="0.25">
      <c r="A18" s="171" t="s">
        <v>53</v>
      </c>
      <c r="B18" s="743">
        <v>308.39999999999998</v>
      </c>
      <c r="C18" s="739">
        <v>14.8</v>
      </c>
      <c r="D18" s="739">
        <v>15.5</v>
      </c>
      <c r="E18" s="739">
        <v>3.1</v>
      </c>
      <c r="F18" s="739">
        <v>15.5</v>
      </c>
      <c r="G18" s="744">
        <v>15.5</v>
      </c>
      <c r="H18" s="506">
        <f>+SUM(B18:G18)</f>
        <v>372.8</v>
      </c>
      <c r="I18" s="745">
        <v>309.8</v>
      </c>
      <c r="J18" s="739">
        <v>15.2</v>
      </c>
      <c r="K18" s="739">
        <v>15.5</v>
      </c>
      <c r="L18" s="739">
        <v>3.1</v>
      </c>
      <c r="M18" s="739">
        <v>15.5</v>
      </c>
      <c r="N18" s="746">
        <v>15.5</v>
      </c>
      <c r="O18" s="506">
        <f t="shared" ref="O18:O24" si="0">+SUM(I18:N18)</f>
        <v>374.6</v>
      </c>
      <c r="P18" s="747">
        <v>73.8</v>
      </c>
      <c r="Q18" s="459">
        <v>74.2</v>
      </c>
      <c r="R18" s="739">
        <v>20.6</v>
      </c>
      <c r="S18" s="739">
        <v>74.599999999999994</v>
      </c>
      <c r="T18" s="746">
        <v>74.2</v>
      </c>
      <c r="U18" s="748">
        <v>76.599999999999994</v>
      </c>
      <c r="V18" s="739">
        <v>79.099999999999994</v>
      </c>
      <c r="W18" s="459">
        <v>20.6</v>
      </c>
      <c r="X18" s="459">
        <v>78.2</v>
      </c>
      <c r="Y18" s="746">
        <v>77.7</v>
      </c>
      <c r="Z18" s="638">
        <f t="shared" ref="Z18:Z24" si="1">SUM(H18,O18,P18:Y18)</f>
        <v>1397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743">
        <v>308.39999999999998</v>
      </c>
      <c r="C19" s="739">
        <v>15.5</v>
      </c>
      <c r="D19" s="739">
        <v>15.5</v>
      </c>
      <c r="E19" s="739">
        <v>3.1</v>
      </c>
      <c r="F19" s="739">
        <v>15.5</v>
      </c>
      <c r="G19" s="744">
        <v>15.5</v>
      </c>
      <c r="H19" s="506">
        <f t="shared" ref="H19:H24" si="2">+SUM(B19:G19)</f>
        <v>373.5</v>
      </c>
      <c r="I19" s="745">
        <v>309.8</v>
      </c>
      <c r="J19" s="739">
        <v>15.2</v>
      </c>
      <c r="K19" s="739">
        <v>15.5</v>
      </c>
      <c r="L19" s="739">
        <v>3.1</v>
      </c>
      <c r="M19" s="739">
        <v>15.5</v>
      </c>
      <c r="N19" s="746">
        <v>15.5</v>
      </c>
      <c r="O19" s="506">
        <f t="shared" si="0"/>
        <v>374.6</v>
      </c>
      <c r="P19" s="747">
        <v>73.8</v>
      </c>
      <c r="Q19" s="459">
        <v>74.2</v>
      </c>
      <c r="R19" s="739">
        <v>20.6</v>
      </c>
      <c r="S19" s="739">
        <v>74.599999999999994</v>
      </c>
      <c r="T19" s="746">
        <v>74.2</v>
      </c>
      <c r="U19" s="748">
        <v>76.599999999999994</v>
      </c>
      <c r="V19" s="739">
        <v>79.099999999999994</v>
      </c>
      <c r="W19" s="459">
        <v>20.6</v>
      </c>
      <c r="X19" s="459">
        <v>78.2</v>
      </c>
      <c r="Y19" s="746">
        <v>77.8</v>
      </c>
      <c r="Z19" s="638">
        <f t="shared" si="1"/>
        <v>1397.7999999999997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743">
        <v>308.39999999999998</v>
      </c>
      <c r="C20" s="739">
        <v>15.5</v>
      </c>
      <c r="D20" s="739">
        <v>15.5</v>
      </c>
      <c r="E20" s="739">
        <v>3.1</v>
      </c>
      <c r="F20" s="739">
        <v>15.5</v>
      </c>
      <c r="G20" s="744">
        <v>15.5</v>
      </c>
      <c r="H20" s="506">
        <f t="shared" si="2"/>
        <v>373.5</v>
      </c>
      <c r="I20" s="745">
        <v>309.8</v>
      </c>
      <c r="J20" s="739">
        <v>15.2</v>
      </c>
      <c r="K20" s="739">
        <v>15.5</v>
      </c>
      <c r="L20" s="739">
        <v>3.1</v>
      </c>
      <c r="M20" s="739">
        <v>15.5</v>
      </c>
      <c r="N20" s="746">
        <v>15.5</v>
      </c>
      <c r="O20" s="506">
        <f t="shared" si="0"/>
        <v>374.6</v>
      </c>
      <c r="P20" s="747">
        <v>73.8</v>
      </c>
      <c r="Q20" s="459">
        <v>74.2</v>
      </c>
      <c r="R20" s="739">
        <v>20.5</v>
      </c>
      <c r="S20" s="739">
        <v>74.3</v>
      </c>
      <c r="T20" s="746">
        <v>74.2</v>
      </c>
      <c r="U20" s="748">
        <v>76.3</v>
      </c>
      <c r="V20" s="739">
        <v>79</v>
      </c>
      <c r="W20" s="459">
        <v>20.3</v>
      </c>
      <c r="X20" s="459">
        <v>78.2</v>
      </c>
      <c r="Y20" s="746">
        <v>77.8</v>
      </c>
      <c r="Z20" s="638">
        <f t="shared" si="1"/>
        <v>1396.6999999999998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743">
        <v>308.39999999999998</v>
      </c>
      <c r="C21" s="739">
        <v>15.5</v>
      </c>
      <c r="D21" s="739">
        <v>15.5</v>
      </c>
      <c r="E21" s="739">
        <v>3.1</v>
      </c>
      <c r="F21" s="739">
        <v>15.5</v>
      </c>
      <c r="G21" s="744">
        <v>15.5</v>
      </c>
      <c r="H21" s="506">
        <f t="shared" si="2"/>
        <v>373.5</v>
      </c>
      <c r="I21" s="745">
        <v>309.8</v>
      </c>
      <c r="J21" s="739">
        <v>15.2</v>
      </c>
      <c r="K21" s="739">
        <v>15.5</v>
      </c>
      <c r="L21" s="739">
        <v>3.1</v>
      </c>
      <c r="M21" s="739">
        <v>15.5</v>
      </c>
      <c r="N21" s="746">
        <v>15.5</v>
      </c>
      <c r="O21" s="506">
        <f t="shared" si="0"/>
        <v>374.6</v>
      </c>
      <c r="P21" s="747">
        <v>73.7</v>
      </c>
      <c r="Q21" s="459">
        <v>74.2</v>
      </c>
      <c r="R21" s="739">
        <v>20</v>
      </c>
      <c r="S21" s="739">
        <v>74.3</v>
      </c>
      <c r="T21" s="746">
        <v>74.2</v>
      </c>
      <c r="U21" s="748">
        <v>76.3</v>
      </c>
      <c r="V21" s="739">
        <v>79</v>
      </c>
      <c r="W21" s="459">
        <v>19.5</v>
      </c>
      <c r="X21" s="459">
        <v>77.8</v>
      </c>
      <c r="Y21" s="746">
        <v>77.8</v>
      </c>
      <c r="Z21" s="638">
        <f t="shared" si="1"/>
        <v>1394.8999999999999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743">
        <v>308.39999999999998</v>
      </c>
      <c r="C22" s="739">
        <v>15.5</v>
      </c>
      <c r="D22" s="739">
        <v>15.5</v>
      </c>
      <c r="E22" s="739">
        <v>3.1</v>
      </c>
      <c r="F22" s="739">
        <v>15.5</v>
      </c>
      <c r="G22" s="744">
        <v>15.5</v>
      </c>
      <c r="H22" s="506">
        <f t="shared" si="2"/>
        <v>373.5</v>
      </c>
      <c r="I22" s="745">
        <v>309.8</v>
      </c>
      <c r="J22" s="739">
        <v>15.2</v>
      </c>
      <c r="K22" s="739">
        <v>15.5</v>
      </c>
      <c r="L22" s="739">
        <v>3.1</v>
      </c>
      <c r="M22" s="739">
        <v>15.5</v>
      </c>
      <c r="N22" s="746">
        <v>15.5</v>
      </c>
      <c r="O22" s="506">
        <f t="shared" si="0"/>
        <v>374.6</v>
      </c>
      <c r="P22" s="747">
        <v>73.7</v>
      </c>
      <c r="Q22" s="459">
        <v>74.2</v>
      </c>
      <c r="R22" s="739">
        <v>20</v>
      </c>
      <c r="S22" s="739">
        <v>74.3</v>
      </c>
      <c r="T22" s="746">
        <v>74.2</v>
      </c>
      <c r="U22" s="748">
        <v>76.3</v>
      </c>
      <c r="V22" s="739">
        <v>79</v>
      </c>
      <c r="W22" s="459">
        <v>19.5</v>
      </c>
      <c r="X22" s="459">
        <v>77.8</v>
      </c>
      <c r="Y22" s="746">
        <v>77.8</v>
      </c>
      <c r="Z22" s="638">
        <f t="shared" si="1"/>
        <v>1394.8999999999999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743">
        <v>308.39999999999998</v>
      </c>
      <c r="C23" s="739">
        <v>15.5</v>
      </c>
      <c r="D23" s="739">
        <v>15.5</v>
      </c>
      <c r="E23" s="739">
        <v>3.1</v>
      </c>
      <c r="F23" s="739">
        <v>15.5</v>
      </c>
      <c r="G23" s="744">
        <v>15.5</v>
      </c>
      <c r="H23" s="506">
        <f t="shared" si="2"/>
        <v>373.5</v>
      </c>
      <c r="I23" s="745">
        <v>309.8</v>
      </c>
      <c r="J23" s="739">
        <v>15.2</v>
      </c>
      <c r="K23" s="739">
        <v>15.5</v>
      </c>
      <c r="L23" s="739">
        <v>3.1</v>
      </c>
      <c r="M23" s="739">
        <v>15.5</v>
      </c>
      <c r="N23" s="746">
        <v>15.5</v>
      </c>
      <c r="O23" s="506">
        <f t="shared" si="0"/>
        <v>374.6</v>
      </c>
      <c r="P23" s="747">
        <v>73.7</v>
      </c>
      <c r="Q23" s="459">
        <v>74.2</v>
      </c>
      <c r="R23" s="739">
        <v>20</v>
      </c>
      <c r="S23" s="739">
        <v>74.2</v>
      </c>
      <c r="T23" s="746">
        <v>74.2</v>
      </c>
      <c r="U23" s="748">
        <v>76.3</v>
      </c>
      <c r="V23" s="739">
        <v>79</v>
      </c>
      <c r="W23" s="459">
        <v>19.5</v>
      </c>
      <c r="X23" s="459">
        <v>77.7</v>
      </c>
      <c r="Y23" s="746">
        <v>77.8</v>
      </c>
      <c r="Z23" s="209">
        <f t="shared" si="1"/>
        <v>1394.7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743">
        <v>308.39999999999998</v>
      </c>
      <c r="C24" s="739">
        <v>15.5</v>
      </c>
      <c r="D24" s="739">
        <v>15.5</v>
      </c>
      <c r="E24" s="739">
        <v>3.1</v>
      </c>
      <c r="F24" s="739">
        <v>15.5</v>
      </c>
      <c r="G24" s="744">
        <v>15.5</v>
      </c>
      <c r="H24" s="506">
        <f t="shared" si="2"/>
        <v>373.5</v>
      </c>
      <c r="I24" s="745">
        <v>309.8</v>
      </c>
      <c r="J24" s="739">
        <v>15.2</v>
      </c>
      <c r="K24" s="739">
        <v>15.5</v>
      </c>
      <c r="L24" s="739">
        <v>3.1</v>
      </c>
      <c r="M24" s="739">
        <v>15.5</v>
      </c>
      <c r="N24" s="746">
        <v>15.5</v>
      </c>
      <c r="O24" s="506">
        <f t="shared" si="0"/>
        <v>374.6</v>
      </c>
      <c r="P24" s="747">
        <v>73.7</v>
      </c>
      <c r="Q24" s="459">
        <v>74.2</v>
      </c>
      <c r="R24" s="739">
        <v>19.899999999999999</v>
      </c>
      <c r="S24" s="739">
        <v>74.2</v>
      </c>
      <c r="T24" s="746">
        <v>74.2</v>
      </c>
      <c r="U24" s="748">
        <v>76.3</v>
      </c>
      <c r="V24" s="739">
        <v>79</v>
      </c>
      <c r="W24" s="459">
        <v>19.399999999999999</v>
      </c>
      <c r="X24" s="459">
        <v>77.7</v>
      </c>
      <c r="Y24" s="746">
        <v>77.8</v>
      </c>
      <c r="Z24" s="412">
        <f t="shared" si="1"/>
        <v>1394.5000000000002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298">
        <f t="shared" ref="C25:G25" si="3">SUM(C18:C24)</f>
        <v>107.8</v>
      </c>
      <c r="D25" s="298">
        <f t="shared" si="3"/>
        <v>108.5</v>
      </c>
      <c r="E25" s="298">
        <f t="shared" si="3"/>
        <v>21.700000000000003</v>
      </c>
      <c r="F25" s="298">
        <f t="shared" si="3"/>
        <v>108.5</v>
      </c>
      <c r="G25" s="448">
        <f t="shared" si="3"/>
        <v>108.5</v>
      </c>
      <c r="H25" s="436"/>
      <c r="I25" s="297"/>
      <c r="J25" s="298">
        <f t="shared" ref="J25:N25" si="4">SUM(J18:J24)</f>
        <v>106.4</v>
      </c>
      <c r="K25" s="298">
        <f>SUM(K18:K24)</f>
        <v>108.5</v>
      </c>
      <c r="L25" s="298">
        <f t="shared" si="4"/>
        <v>21.700000000000003</v>
      </c>
      <c r="M25" s="298">
        <f t="shared" si="4"/>
        <v>108.5</v>
      </c>
      <c r="N25" s="299">
        <f t="shared" si="4"/>
        <v>108.5</v>
      </c>
      <c r="O25" s="436"/>
      <c r="P25" s="297">
        <f t="shared" ref="P25:W25" si="5">SUM(P18:P24)</f>
        <v>516.19999999999993</v>
      </c>
      <c r="Q25" s="297">
        <f t="shared" si="5"/>
        <v>519.4</v>
      </c>
      <c r="R25" s="297">
        <f t="shared" si="5"/>
        <v>141.6</v>
      </c>
      <c r="S25" s="297">
        <f t="shared" si="5"/>
        <v>520.5</v>
      </c>
      <c r="T25" s="297">
        <f t="shared" si="5"/>
        <v>519.4</v>
      </c>
      <c r="U25" s="297">
        <f t="shared" si="5"/>
        <v>534.70000000000005</v>
      </c>
      <c r="V25" s="297">
        <f t="shared" si="5"/>
        <v>553.20000000000005</v>
      </c>
      <c r="W25" s="297">
        <f t="shared" si="5"/>
        <v>139.4</v>
      </c>
      <c r="X25" s="297">
        <f>SUM(X18:X24)</f>
        <v>545.6</v>
      </c>
      <c r="Y25" s="792">
        <f>SUM(Y18:Y24)</f>
        <v>544.5</v>
      </c>
      <c r="Z25" s="449">
        <f>SUM(Z18,Z19,Z20,Z21,Z22,Z23,Z24)</f>
        <v>9770.5</v>
      </c>
      <c r="AA25" s="301"/>
    </row>
    <row r="26" spans="1:40" s="2" customFormat="1" ht="36.75" customHeight="1" x14ac:dyDescent="0.25">
      <c r="A26" s="192" t="s">
        <v>11</v>
      </c>
      <c r="B26" s="293"/>
      <c r="C26" s="603">
        <v>157.26999999999984</v>
      </c>
      <c r="D26" s="603">
        <v>157.26999999999984</v>
      </c>
      <c r="E26" s="603">
        <v>157.26999999999984</v>
      </c>
      <c r="F26" s="603">
        <v>157.26999999999984</v>
      </c>
      <c r="G26" s="603">
        <v>157.26999999999984</v>
      </c>
      <c r="H26" s="678"/>
      <c r="I26" s="796"/>
      <c r="J26" s="603">
        <v>157.26999999999984</v>
      </c>
      <c r="K26" s="603">
        <v>157.26999999999984</v>
      </c>
      <c r="L26" s="603">
        <v>157.26999999999984</v>
      </c>
      <c r="M26" s="603">
        <v>157.26999999999984</v>
      </c>
      <c r="N26" s="603">
        <v>157.26999999999984</v>
      </c>
      <c r="O26" s="678"/>
      <c r="P26" s="603">
        <v>155.56999999999982</v>
      </c>
      <c r="Q26" s="603">
        <v>155.56999999999982</v>
      </c>
      <c r="R26" s="603">
        <v>155.56999999999982</v>
      </c>
      <c r="S26" s="603">
        <v>155.56999999999982</v>
      </c>
      <c r="T26" s="603">
        <v>155.56999999999982</v>
      </c>
      <c r="U26" s="603">
        <v>155.56999999999982</v>
      </c>
      <c r="V26" s="603">
        <v>155.56999999999982</v>
      </c>
      <c r="W26" s="603">
        <v>155.56999999999982</v>
      </c>
      <c r="X26" s="603">
        <v>155.56999999999982</v>
      </c>
      <c r="Y26" s="603">
        <v>155.56999999999982</v>
      </c>
      <c r="Z26" s="793">
        <f>(((Z25*1000)/7)/Z27)</f>
        <v>157.94791380397356</v>
      </c>
    </row>
    <row r="27" spans="1:40" s="2" customFormat="1" ht="33" customHeight="1" x14ac:dyDescent="0.25">
      <c r="A27" s="193" t="s">
        <v>12</v>
      </c>
      <c r="B27" s="257"/>
      <c r="C27" s="27">
        <v>541</v>
      </c>
      <c r="D27" s="27">
        <v>564</v>
      </c>
      <c r="E27" s="27">
        <v>96</v>
      </c>
      <c r="F27" s="27">
        <v>564</v>
      </c>
      <c r="G27" s="183">
        <v>568</v>
      </c>
      <c r="H27" s="679"/>
      <c r="I27" s="184"/>
      <c r="J27" s="26">
        <v>554</v>
      </c>
      <c r="K27" s="27">
        <v>566</v>
      </c>
      <c r="L27" s="483">
        <v>99</v>
      </c>
      <c r="M27" s="27">
        <v>566</v>
      </c>
      <c r="N27" s="28">
        <v>568</v>
      </c>
      <c r="O27" s="679"/>
      <c r="P27" s="64">
        <v>474</v>
      </c>
      <c r="Q27" s="27">
        <v>477</v>
      </c>
      <c r="R27" s="27">
        <v>125</v>
      </c>
      <c r="S27" s="27">
        <v>476</v>
      </c>
      <c r="T27" s="756">
        <v>476</v>
      </c>
      <c r="U27" s="26">
        <v>490</v>
      </c>
      <c r="V27" s="27">
        <v>507</v>
      </c>
      <c r="W27" s="27">
        <v>127</v>
      </c>
      <c r="X27" s="27">
        <v>500</v>
      </c>
      <c r="Y27" s="28">
        <v>499</v>
      </c>
      <c r="Z27" s="211">
        <f>SUM(C27:Y27)</f>
        <v>8837</v>
      </c>
      <c r="AA27" s="402"/>
    </row>
    <row r="28" spans="1:40" s="2" customFormat="1" ht="33" customHeight="1" x14ac:dyDescent="0.25">
      <c r="A28" s="444" t="s">
        <v>13</v>
      </c>
      <c r="B28" s="445"/>
      <c r="C28" s="31">
        <f>(C33*C27)/1000</f>
        <v>14.753069999999912</v>
      </c>
      <c r="D28" s="31">
        <f>(D33*D27)/1000</f>
        <v>15.38027999999991</v>
      </c>
      <c r="E28" s="31">
        <f t="shared" ref="E28:F28" si="6">(E33*E27)/1000</f>
        <v>2.6179199999999847</v>
      </c>
      <c r="F28" s="31">
        <f t="shared" si="6"/>
        <v>15.38027999999991</v>
      </c>
      <c r="G28" s="163">
        <f>(G33*G27)/1000</f>
        <v>15.489359999999909</v>
      </c>
      <c r="H28" s="286"/>
      <c r="I28" s="324"/>
      <c r="J28" s="30">
        <f>(J33*J27)/1000</f>
        <v>15.107579999999912</v>
      </c>
      <c r="K28" s="31">
        <f t="shared" ref="K28:N28" si="7">(K33*K27)/1000</f>
        <v>15.43481999999991</v>
      </c>
      <c r="L28" s="31">
        <f t="shared" si="7"/>
        <v>2.6997299999999842</v>
      </c>
      <c r="M28" s="31">
        <f t="shared" si="7"/>
        <v>15.43481999999991</v>
      </c>
      <c r="N28" s="32">
        <f t="shared" si="7"/>
        <v>15.489359999999909</v>
      </c>
      <c r="O28" s="286"/>
      <c r="P28" s="65">
        <f>((((P26*7)*P27)/1000)/7)</f>
        <v>73.740179999999924</v>
      </c>
      <c r="Q28" s="65">
        <f t="shared" ref="Q28:Y28" si="8">((((Q26*7)*Q27)/1000)/7)</f>
        <v>74.20688999999993</v>
      </c>
      <c r="R28" s="65">
        <f t="shared" si="8"/>
        <v>19.446249999999981</v>
      </c>
      <c r="S28" s="65">
        <f t="shared" si="8"/>
        <v>74.051319999999919</v>
      </c>
      <c r="T28" s="65">
        <f t="shared" si="8"/>
        <v>74.051319999999919</v>
      </c>
      <c r="U28" s="65">
        <f t="shared" si="8"/>
        <v>76.229299999999924</v>
      </c>
      <c r="V28" s="65">
        <f t="shared" si="8"/>
        <v>78.873989999999921</v>
      </c>
      <c r="W28" s="65">
        <f t="shared" si="8"/>
        <v>19.757389999999983</v>
      </c>
      <c r="X28" s="65">
        <f t="shared" si="8"/>
        <v>77.784999999999926</v>
      </c>
      <c r="Y28" s="65">
        <f t="shared" si="8"/>
        <v>77.629429999999928</v>
      </c>
      <c r="Z28" s="212"/>
    </row>
    <row r="29" spans="1:40" ht="33.75" customHeight="1" x14ac:dyDescent="0.25">
      <c r="A29" s="185" t="s">
        <v>14</v>
      </c>
      <c r="B29" s="34"/>
      <c r="C29" s="280">
        <f>((C27*C30)*7)/1000</f>
        <v>107.8</v>
      </c>
      <c r="D29" s="280">
        <f t="shared" ref="D29:G29" si="9">((D27*D30)*7)/1000</f>
        <v>108.49999999999999</v>
      </c>
      <c r="E29" s="280">
        <f>((E27*E30)*7)/1000</f>
        <v>21.700000000000003</v>
      </c>
      <c r="F29" s="280">
        <f t="shared" si="9"/>
        <v>108.49999999999999</v>
      </c>
      <c r="G29" s="281">
        <f t="shared" si="9"/>
        <v>108.5</v>
      </c>
      <c r="H29" s="680"/>
      <c r="I29" s="797"/>
      <c r="J29" s="279">
        <f>((J27*J30)*7)/1000</f>
        <v>106.40000000000002</v>
      </c>
      <c r="K29" s="280">
        <f t="shared" ref="K29:N29" si="10">((K27*K30)*7)/1000</f>
        <v>108.5</v>
      </c>
      <c r="L29" s="280">
        <f t="shared" si="10"/>
        <v>21.7</v>
      </c>
      <c r="M29" s="280">
        <f t="shared" si="10"/>
        <v>108.5</v>
      </c>
      <c r="N29" s="282">
        <f t="shared" si="10"/>
        <v>108.5</v>
      </c>
      <c r="O29" s="680"/>
      <c r="P29" s="325">
        <f t="shared" ref="P29:Y29" si="11">((P27*P26)*7)/1000</f>
        <v>516.18125999999938</v>
      </c>
      <c r="Q29" s="280">
        <f t="shared" si="11"/>
        <v>519.4482299999994</v>
      </c>
      <c r="R29" s="280">
        <f t="shared" si="11"/>
        <v>136.12374999999986</v>
      </c>
      <c r="S29" s="280">
        <f t="shared" si="11"/>
        <v>518.35923999999943</v>
      </c>
      <c r="T29" s="281">
        <f t="shared" si="11"/>
        <v>518.35923999999943</v>
      </c>
      <c r="U29" s="279">
        <f t="shared" si="11"/>
        <v>533.60509999999942</v>
      </c>
      <c r="V29" s="280">
        <f t="shared" si="11"/>
        <v>552.11792999999932</v>
      </c>
      <c r="W29" s="280">
        <f t="shared" si="11"/>
        <v>138.30172999999985</v>
      </c>
      <c r="X29" s="280">
        <f t="shared" si="11"/>
        <v>544.49499999999944</v>
      </c>
      <c r="Y29" s="282">
        <f t="shared" si="11"/>
        <v>543.40600999999936</v>
      </c>
      <c r="Z29" s="213"/>
    </row>
    <row r="30" spans="1:40" ht="33.75" customHeight="1" thickBot="1" x14ac:dyDescent="0.3">
      <c r="A30" s="195" t="s">
        <v>15</v>
      </c>
      <c r="B30" s="423"/>
      <c r="C30" s="38">
        <f>+(C25/C27)/7*1000</f>
        <v>28.465804066543438</v>
      </c>
      <c r="D30" s="38">
        <f t="shared" ref="D30:X30" si="12">+(D25/D27)/7*1000</f>
        <v>27.482269503546096</v>
      </c>
      <c r="E30" s="38">
        <f>+(E25/E27)/7*1000</f>
        <v>32.291666666666671</v>
      </c>
      <c r="F30" s="38">
        <f t="shared" si="12"/>
        <v>27.482269503546096</v>
      </c>
      <c r="G30" s="207">
        <f t="shared" si="12"/>
        <v>27.288732394366196</v>
      </c>
      <c r="H30" s="262"/>
      <c r="I30" s="798"/>
      <c r="J30" s="37">
        <f t="shared" si="12"/>
        <v>27.436823104693143</v>
      </c>
      <c r="K30" s="38">
        <f t="shared" si="12"/>
        <v>27.385159010600706</v>
      </c>
      <c r="L30" s="38">
        <f t="shared" si="12"/>
        <v>31.313131313131315</v>
      </c>
      <c r="M30" s="38">
        <f t="shared" si="12"/>
        <v>27.385159010600706</v>
      </c>
      <c r="N30" s="39">
        <f>+(N25/N27)/7*1000</f>
        <v>27.288732394366196</v>
      </c>
      <c r="O30" s="262"/>
      <c r="P30" s="67">
        <f t="shared" si="12"/>
        <v>155.57564798071127</v>
      </c>
      <c r="Q30" s="38">
        <f t="shared" si="12"/>
        <v>155.55555555555554</v>
      </c>
      <c r="R30" s="38">
        <f t="shared" si="12"/>
        <v>161.82857142857142</v>
      </c>
      <c r="S30" s="38">
        <f t="shared" si="12"/>
        <v>156.21248499399758</v>
      </c>
      <c r="T30" s="207">
        <f t="shared" si="12"/>
        <v>155.88235294117644</v>
      </c>
      <c r="U30" s="37">
        <f t="shared" si="12"/>
        <v>155.88921282798833</v>
      </c>
      <c r="V30" s="38">
        <f t="shared" si="12"/>
        <v>155.87489433643282</v>
      </c>
      <c r="W30" s="38">
        <f t="shared" si="12"/>
        <v>156.80539932508438</v>
      </c>
      <c r="X30" s="38">
        <f t="shared" si="12"/>
        <v>155.88571428571427</v>
      </c>
      <c r="Y30" s="39">
        <f>+(Y25/Y27)/7*1000</f>
        <v>155.88319496135128</v>
      </c>
      <c r="Z30" s="214"/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3">D29-D25</f>
        <v>0</v>
      </c>
      <c r="E31" s="42">
        <f t="shared" si="13"/>
        <v>0</v>
      </c>
      <c r="F31" s="42">
        <f t="shared" si="13"/>
        <v>0</v>
      </c>
      <c r="G31" s="42">
        <f t="shared" si="13"/>
        <v>0</v>
      </c>
      <c r="H31" s="42"/>
      <c r="I31" s="42"/>
      <c r="J31" s="42">
        <f t="shared" si="13"/>
        <v>0</v>
      </c>
      <c r="K31" s="42">
        <f>K29-K25</f>
        <v>0</v>
      </c>
      <c r="L31" s="42">
        <f t="shared" si="13"/>
        <v>0</v>
      </c>
      <c r="M31" s="42">
        <f t="shared" si="13"/>
        <v>0</v>
      </c>
      <c r="N31" s="42">
        <f t="shared" si="13"/>
        <v>0</v>
      </c>
      <c r="O31" s="42"/>
      <c r="P31" s="42">
        <f>P29-P25</f>
        <v>-1.8740000000548207E-2</v>
      </c>
      <c r="Q31" s="42">
        <f>Q29-Q25</f>
        <v>4.8229999999421125E-2</v>
      </c>
      <c r="R31" s="42">
        <f t="shared" si="13"/>
        <v>-5.4762500000001353</v>
      </c>
      <c r="S31" s="42">
        <f t="shared" si="13"/>
        <v>-2.1407600000005687</v>
      </c>
      <c r="T31" s="42">
        <f t="shared" si="13"/>
        <v>-1.0407600000005459</v>
      </c>
      <c r="U31" s="42">
        <f>U29-U25</f>
        <v>-1.0949000000006208</v>
      </c>
      <c r="V31" s="42">
        <f t="shared" si="13"/>
        <v>-1.0820700000007264</v>
      </c>
      <c r="W31" s="42">
        <f t="shared" si="13"/>
        <v>-1.0982700000001557</v>
      </c>
      <c r="X31" s="42">
        <f t="shared" si="13"/>
        <v>-1.1050000000005866</v>
      </c>
      <c r="Y31" s="42">
        <f>Y29-Y25</f>
        <v>-1.0939900000006446</v>
      </c>
      <c r="Z31" s="48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1.1958040665435981</v>
      </c>
      <c r="D32" s="42">
        <f t="shared" ref="D32:G32" si="14">D30-D33</f>
        <v>0.21226950354625629</v>
      </c>
      <c r="E32" s="42">
        <f>E30-E33</f>
        <v>5.0216666666668317</v>
      </c>
      <c r="F32" s="42">
        <f t="shared" si="14"/>
        <v>0.21226950354625629</v>
      </c>
      <c r="G32" s="42">
        <f t="shared" si="14"/>
        <v>1.8732394366356431E-2</v>
      </c>
      <c r="H32" s="42"/>
      <c r="I32" s="42"/>
      <c r="J32" s="42">
        <f t="shared" ref="J32:M32" si="15">J30-J33</f>
        <v>0.16682310469330375</v>
      </c>
      <c r="K32" s="42">
        <f t="shared" si="15"/>
        <v>0.1151590106008662</v>
      </c>
      <c r="L32" s="42">
        <f t="shared" si="15"/>
        <v>4.0431313131314752</v>
      </c>
      <c r="M32" s="42">
        <f t="shared" si="15"/>
        <v>0.1151590106008662</v>
      </c>
      <c r="N32" s="42">
        <f>N30-N33</f>
        <v>1.8732394366356431E-2</v>
      </c>
      <c r="O32" s="42"/>
      <c r="P32" s="42">
        <f>P30-P26</f>
        <v>5.6479807114442337E-3</v>
      </c>
      <c r="Q32" s="42">
        <f t="shared" si="13"/>
        <v>-1.4444444444279725E-2</v>
      </c>
      <c r="R32" s="42">
        <f t="shared" si="13"/>
        <v>6.2585714285715994</v>
      </c>
      <c r="S32" s="42">
        <f t="shared" si="13"/>
        <v>0.64248499399775483</v>
      </c>
      <c r="T32" s="42">
        <f t="shared" si="13"/>
        <v>0.31235294117661283</v>
      </c>
      <c r="U32" s="42">
        <f t="shared" si="13"/>
        <v>0.31921282798850825</v>
      </c>
      <c r="V32" s="42">
        <f t="shared" si="13"/>
        <v>0.30489433643299435</v>
      </c>
      <c r="W32" s="42">
        <f t="shared" si="13"/>
        <v>1.2353993250845576</v>
      </c>
      <c r="X32" s="42">
        <f t="shared" si="13"/>
        <v>0.31571428571444926</v>
      </c>
      <c r="Y32" s="42">
        <f t="shared" si="13"/>
        <v>0.31319496135145641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27.26999999999984</v>
      </c>
      <c r="D33" s="42">
        <f t="shared" ref="D33:G33" si="16">D26-$B$34</f>
        <v>27.26999999999984</v>
      </c>
      <c r="E33" s="42">
        <f>E26-$B$34</f>
        <v>27.26999999999984</v>
      </c>
      <c r="F33" s="42">
        <f t="shared" si="16"/>
        <v>27.26999999999984</v>
      </c>
      <c r="G33" s="42">
        <f t="shared" si="16"/>
        <v>27.26999999999984</v>
      </c>
      <c r="H33" s="42"/>
      <c r="I33" s="42"/>
      <c r="J33" s="42">
        <f>J26-$I$34</f>
        <v>27.26999999999984</v>
      </c>
      <c r="K33" s="42">
        <f t="shared" ref="K33:L33" si="17">K26-$I$34</f>
        <v>27.26999999999984</v>
      </c>
      <c r="L33" s="42">
        <f t="shared" si="17"/>
        <v>27.26999999999984</v>
      </c>
      <c r="M33" s="42">
        <f>M26-$I$34</f>
        <v>27.26999999999984</v>
      </c>
      <c r="N33" s="42">
        <f>N26-$I$34</f>
        <v>27.26999999999984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303.29000000000002</v>
      </c>
      <c r="D34" s="432">
        <f>SUM(C27:G27)</f>
        <v>2333</v>
      </c>
      <c r="E34" s="42"/>
      <c r="F34" s="42"/>
      <c r="G34" s="42"/>
      <c r="H34" s="42"/>
      <c r="I34" s="514">
        <v>130</v>
      </c>
      <c r="J34" s="431">
        <f>(I34*K34)/1000</f>
        <v>305.89</v>
      </c>
      <c r="K34" s="432">
        <f>SUM(J27:N27)</f>
        <v>2353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1002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674" t="s">
        <v>9</v>
      </c>
      <c r="S39" s="645"/>
      <c r="U39" s="45"/>
      <c r="V39" s="45"/>
      <c r="W39" s="46"/>
      <c r="X39" s="3"/>
      <c r="Y39" s="45"/>
      <c r="Z39" s="45"/>
      <c r="AA39" s="45"/>
      <c r="AB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1003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168">
        <v>5</v>
      </c>
      <c r="R40" s="236"/>
      <c r="S40" s="645"/>
      <c r="U40" s="47"/>
      <c r="X40" s="48"/>
      <c r="Y40" s="2"/>
      <c r="Z40" s="2"/>
      <c r="AA40" s="2"/>
      <c r="AB40" s="2"/>
    </row>
    <row r="41" spans="1:38" ht="33.75" customHeight="1" x14ac:dyDescent="0.25">
      <c r="A41" s="171" t="s">
        <v>32</v>
      </c>
      <c r="B41" s="279">
        <v>85.3</v>
      </c>
      <c r="C41" s="280">
        <v>84.9</v>
      </c>
      <c r="D41" s="280">
        <v>15.8</v>
      </c>
      <c r="E41" s="280">
        <v>87.4</v>
      </c>
      <c r="F41" s="281">
        <v>85</v>
      </c>
      <c r="G41" s="638">
        <f t="shared" ref="G41:G48" si="18">SUM(B41:F41)</f>
        <v>358.4</v>
      </c>
      <c r="H41" s="364"/>
      <c r="I41" s="364"/>
      <c r="J41" s="364"/>
      <c r="K41" s="364"/>
      <c r="L41" s="171" t="s">
        <v>53</v>
      </c>
      <c r="M41" s="279">
        <v>7.1</v>
      </c>
      <c r="N41" s="280">
        <v>7</v>
      </c>
      <c r="O41" s="280">
        <v>1.3</v>
      </c>
      <c r="P41" s="280">
        <v>7.1</v>
      </c>
      <c r="Q41" s="281">
        <v>7.1</v>
      </c>
      <c r="R41" s="800">
        <f t="shared" ref="R41:R48" si="19">SUM(M41:Q41)</f>
        <v>29.6</v>
      </c>
      <c r="S41" s="646"/>
      <c r="T41" s="675"/>
      <c r="U41" s="657"/>
      <c r="X41" s="48"/>
      <c r="Y41" s="2"/>
      <c r="Z41" s="2"/>
      <c r="AA41" s="2"/>
      <c r="AB41" s="2"/>
    </row>
    <row r="42" spans="1:38" ht="33.75" customHeight="1" x14ac:dyDescent="0.25">
      <c r="A42" s="171" t="s">
        <v>24</v>
      </c>
      <c r="B42" s="279">
        <v>85.3</v>
      </c>
      <c r="C42" s="280">
        <v>84.9</v>
      </c>
      <c r="D42" s="280">
        <v>15.9</v>
      </c>
      <c r="E42" s="280">
        <v>87.4</v>
      </c>
      <c r="F42" s="281">
        <v>85</v>
      </c>
      <c r="G42" s="638">
        <f t="shared" si="18"/>
        <v>358.5</v>
      </c>
      <c r="H42" s="364"/>
      <c r="I42" s="364"/>
      <c r="J42" s="364"/>
      <c r="K42" s="364"/>
      <c r="L42" s="171" t="s">
        <v>24</v>
      </c>
      <c r="M42" s="279">
        <v>7</v>
      </c>
      <c r="N42" s="280">
        <v>7</v>
      </c>
      <c r="O42" s="280">
        <v>1.3</v>
      </c>
      <c r="P42" s="280">
        <v>7.1</v>
      </c>
      <c r="Q42" s="281">
        <v>7.1</v>
      </c>
      <c r="R42" s="638">
        <f t="shared" si="19"/>
        <v>29.5</v>
      </c>
      <c r="S42" s="646"/>
      <c r="T42" s="647"/>
      <c r="U42" s="658"/>
      <c r="X42" s="48"/>
      <c r="Y42" s="2"/>
      <c r="Z42" s="2"/>
      <c r="AA42" s="2"/>
      <c r="AB42" s="2"/>
    </row>
    <row r="43" spans="1:38" ht="33.75" customHeight="1" x14ac:dyDescent="0.25">
      <c r="A43" s="171" t="s">
        <v>20</v>
      </c>
      <c r="B43" s="279">
        <v>85.1</v>
      </c>
      <c r="C43" s="280">
        <v>84.6</v>
      </c>
      <c r="D43" s="280">
        <v>15.7</v>
      </c>
      <c r="E43" s="280">
        <v>87.5</v>
      </c>
      <c r="F43" s="281">
        <v>84.8</v>
      </c>
      <c r="G43" s="638">
        <f>SUM(B43:F43)</f>
        <v>357.7</v>
      </c>
      <c r="H43" s="364"/>
      <c r="I43" s="364"/>
      <c r="J43" s="364"/>
      <c r="K43" s="364"/>
      <c r="L43" s="171" t="s">
        <v>20</v>
      </c>
      <c r="M43" s="279">
        <v>7</v>
      </c>
      <c r="N43" s="280">
        <v>7</v>
      </c>
      <c r="O43" s="280">
        <v>1.1000000000000001</v>
      </c>
      <c r="P43" s="280">
        <v>7.1</v>
      </c>
      <c r="Q43" s="281">
        <v>7.1</v>
      </c>
      <c r="R43" s="638">
        <f t="shared" si="19"/>
        <v>29.299999999999997</v>
      </c>
      <c r="S43" s="646"/>
      <c r="T43" s="647"/>
      <c r="U43" s="658"/>
      <c r="X43" s="48"/>
      <c r="Y43" s="2"/>
      <c r="Z43" s="2"/>
      <c r="AA43" s="2"/>
      <c r="AB43" s="2"/>
    </row>
    <row r="44" spans="1:38" ht="33.75" customHeight="1" x14ac:dyDescent="0.25">
      <c r="A44" s="171" t="s">
        <v>28</v>
      </c>
      <c r="B44" s="279">
        <v>84</v>
      </c>
      <c r="C44" s="280">
        <v>84.4</v>
      </c>
      <c r="D44" s="280">
        <v>15.5</v>
      </c>
      <c r="E44" s="280">
        <v>87</v>
      </c>
      <c r="F44" s="281">
        <v>84.8</v>
      </c>
      <c r="G44" s="638">
        <f t="shared" si="18"/>
        <v>355.7</v>
      </c>
      <c r="H44" s="651"/>
      <c r="I44" s="364"/>
      <c r="J44" s="364"/>
      <c r="K44" s="364"/>
      <c r="L44" s="171" t="s">
        <v>28</v>
      </c>
      <c r="M44" s="279">
        <v>7</v>
      </c>
      <c r="N44" s="280">
        <v>7</v>
      </c>
      <c r="O44" s="280">
        <v>1</v>
      </c>
      <c r="P44" s="280">
        <v>7.1</v>
      </c>
      <c r="Q44" s="281">
        <v>7</v>
      </c>
      <c r="R44" s="638">
        <f t="shared" si="19"/>
        <v>29.1</v>
      </c>
      <c r="S44" s="646"/>
      <c r="T44" s="647"/>
      <c r="U44" s="658"/>
      <c r="X44" s="48"/>
      <c r="Y44" s="2"/>
      <c r="Z44" s="2"/>
      <c r="AA44" s="2"/>
      <c r="AB44" s="2"/>
    </row>
    <row r="45" spans="1:38" ht="33.75" customHeight="1" x14ac:dyDescent="0.25">
      <c r="A45" s="171" t="s">
        <v>21</v>
      </c>
      <c r="B45" s="279">
        <v>84</v>
      </c>
      <c r="C45" s="280">
        <v>84.3</v>
      </c>
      <c r="D45" s="280">
        <v>15.1</v>
      </c>
      <c r="E45" s="280">
        <v>86.6</v>
      </c>
      <c r="F45" s="281">
        <v>84.8</v>
      </c>
      <c r="G45" s="638">
        <f t="shared" si="18"/>
        <v>354.8</v>
      </c>
      <c r="H45" s="651"/>
      <c r="I45" s="364"/>
      <c r="J45" s="364"/>
      <c r="K45" s="364"/>
      <c r="L45" s="171" t="s">
        <v>21</v>
      </c>
      <c r="M45" s="279">
        <v>7</v>
      </c>
      <c r="N45" s="280">
        <v>6.9</v>
      </c>
      <c r="O45" s="280">
        <v>1</v>
      </c>
      <c r="P45" s="280">
        <v>7.1</v>
      </c>
      <c r="Q45" s="281">
        <v>7</v>
      </c>
      <c r="R45" s="638">
        <f t="shared" si="19"/>
        <v>29</v>
      </c>
      <c r="S45" s="646"/>
      <c r="T45" s="647"/>
      <c r="U45" s="658"/>
      <c r="X45" s="48"/>
      <c r="Y45" s="2"/>
      <c r="Z45" s="2"/>
      <c r="AA45" s="2"/>
      <c r="AB45" s="2"/>
    </row>
    <row r="46" spans="1:38" ht="33.75" customHeight="1" x14ac:dyDescent="0.25">
      <c r="A46" s="171" t="s">
        <v>22</v>
      </c>
      <c r="B46" s="279">
        <v>84</v>
      </c>
      <c r="C46" s="280">
        <v>84.3</v>
      </c>
      <c r="D46" s="280">
        <v>15</v>
      </c>
      <c r="E46" s="280">
        <v>86.5</v>
      </c>
      <c r="F46" s="281">
        <v>84.8</v>
      </c>
      <c r="G46" s="209">
        <f t="shared" si="18"/>
        <v>354.6</v>
      </c>
      <c r="H46" s="651"/>
      <c r="I46" s="364"/>
      <c r="J46" s="364"/>
      <c r="K46" s="364"/>
      <c r="L46" s="171" t="s">
        <v>22</v>
      </c>
      <c r="M46" s="279">
        <v>7</v>
      </c>
      <c r="N46" s="280">
        <v>6.9</v>
      </c>
      <c r="O46" s="280">
        <v>1</v>
      </c>
      <c r="P46" s="280">
        <v>7.1</v>
      </c>
      <c r="Q46" s="281">
        <v>7</v>
      </c>
      <c r="R46" s="209">
        <f t="shared" si="19"/>
        <v>29</v>
      </c>
      <c r="S46" s="646"/>
      <c r="T46" s="647"/>
      <c r="U46" s="658"/>
      <c r="X46" s="48"/>
      <c r="Y46" s="2"/>
      <c r="Z46" s="2"/>
      <c r="AA46" s="2"/>
      <c r="AB46" s="2"/>
    </row>
    <row r="47" spans="1:38" ht="33.75" customHeight="1" thickBot="1" x14ac:dyDescent="0.3">
      <c r="A47" s="285" t="s">
        <v>23</v>
      </c>
      <c r="B47" s="279">
        <v>84</v>
      </c>
      <c r="C47" s="280">
        <v>84.3</v>
      </c>
      <c r="D47" s="280">
        <v>15</v>
      </c>
      <c r="E47" s="280">
        <v>85.5</v>
      </c>
      <c r="F47" s="281">
        <v>84.7</v>
      </c>
      <c r="G47" s="376">
        <f t="shared" si="18"/>
        <v>353.5</v>
      </c>
      <c r="H47" s="651"/>
      <c r="I47" s="364"/>
      <c r="J47" s="364"/>
      <c r="K47" s="364"/>
      <c r="L47" s="285" t="s">
        <v>23</v>
      </c>
      <c r="M47" s="279">
        <v>7</v>
      </c>
      <c r="N47" s="280">
        <v>6.9</v>
      </c>
      <c r="O47" s="280">
        <v>1</v>
      </c>
      <c r="P47" s="280">
        <v>7</v>
      </c>
      <c r="Q47" s="281">
        <v>7</v>
      </c>
      <c r="R47" s="412">
        <f t="shared" si="19"/>
        <v>28.9</v>
      </c>
      <c r="S47" s="646"/>
      <c r="T47" s="647"/>
      <c r="U47" s="658"/>
      <c r="X47" s="48"/>
      <c r="Y47" s="48"/>
      <c r="Z47" s="48"/>
      <c r="AA47" s="2"/>
      <c r="AB47" s="2"/>
      <c r="AC47" s="2"/>
      <c r="AD47" s="2"/>
    </row>
    <row r="48" spans="1:38" ht="33.75" customHeight="1" thickBot="1" x14ac:dyDescent="0.3">
      <c r="A48" s="290" t="s">
        <v>9</v>
      </c>
      <c r="B48" s="297">
        <f>SUM(B41:B47)</f>
        <v>591.70000000000005</v>
      </c>
      <c r="C48" s="298">
        <f t="shared" ref="C48:F48" si="20">SUM(C41:C47)</f>
        <v>591.70000000000005</v>
      </c>
      <c r="D48" s="298">
        <f t="shared" si="20"/>
        <v>108</v>
      </c>
      <c r="E48" s="298">
        <f t="shared" si="20"/>
        <v>607.9</v>
      </c>
      <c r="F48" s="448">
        <f t="shared" si="20"/>
        <v>593.90000000000009</v>
      </c>
      <c r="G48" s="729">
        <f t="shared" si="18"/>
        <v>2493.2000000000003</v>
      </c>
      <c r="H48" s="364"/>
      <c r="I48" s="364"/>
      <c r="J48" s="364"/>
      <c r="K48" s="364"/>
      <c r="L48" s="290" t="s">
        <v>9</v>
      </c>
      <c r="M48" s="687">
        <f>SUM(M41:M47)</f>
        <v>49.1</v>
      </c>
      <c r="N48" s="688">
        <f>SUM(N41:N47)</f>
        <v>48.699999999999996</v>
      </c>
      <c r="O48" s="688">
        <f>SUM(O41:O47)</f>
        <v>7.7</v>
      </c>
      <c r="P48" s="688">
        <f t="shared" ref="P48:Q48" si="21">SUM(P41:P47)</f>
        <v>49.6</v>
      </c>
      <c r="Q48" s="790">
        <f t="shared" si="21"/>
        <v>49.3</v>
      </c>
      <c r="R48" s="449">
        <f t="shared" si="19"/>
        <v>204.39999999999998</v>
      </c>
      <c r="S48" s="647"/>
      <c r="T48" s="647"/>
      <c r="U48" s="658"/>
      <c r="X48" s="2"/>
      <c r="Y48" s="2"/>
      <c r="Z48" s="2"/>
      <c r="AA48" s="2"/>
      <c r="AB48" s="2"/>
      <c r="AC48" s="2"/>
      <c r="AD48" s="2"/>
    </row>
    <row r="49" spans="1:50" ht="33.75" customHeight="1" x14ac:dyDescent="0.25">
      <c r="A49" s="192" t="s">
        <v>11</v>
      </c>
      <c r="B49" s="751">
        <v>154.26199999999989</v>
      </c>
      <c r="C49" s="751">
        <v>154.26199999999989</v>
      </c>
      <c r="D49" s="751">
        <v>154.26199999999989</v>
      </c>
      <c r="E49" s="751">
        <v>154.26199999999989</v>
      </c>
      <c r="F49" s="751">
        <v>154.26199999999989</v>
      </c>
      <c r="G49" s="730">
        <f>+((G48/G50)/7)*1000</f>
        <v>155.26217461701333</v>
      </c>
      <c r="H49" s="609"/>
      <c r="I49" s="364"/>
      <c r="J49" s="364"/>
      <c r="K49" s="364"/>
      <c r="L49" s="273" t="s">
        <v>11</v>
      </c>
      <c r="M49" s="293">
        <v>159.5</v>
      </c>
      <c r="N49" s="294">
        <v>158</v>
      </c>
      <c r="O49" s="294">
        <v>157.5</v>
      </c>
      <c r="P49" s="294">
        <v>157.5</v>
      </c>
      <c r="Q49" s="791">
        <v>156.5</v>
      </c>
      <c r="R49" s="730">
        <f>+((R48/R50)/7)*1000</f>
        <v>157.83783783783781</v>
      </c>
      <c r="S49" s="648"/>
      <c r="T49" s="647"/>
      <c r="U49" s="658"/>
      <c r="V49" s="50"/>
    </row>
    <row r="50" spans="1:50" ht="33.75" customHeight="1" x14ac:dyDescent="0.25">
      <c r="A50" s="193" t="s">
        <v>12</v>
      </c>
      <c r="B50" s="26">
        <v>546</v>
      </c>
      <c r="C50" s="27">
        <v>543</v>
      </c>
      <c r="D50" s="27">
        <v>98</v>
      </c>
      <c r="E50" s="27">
        <v>563</v>
      </c>
      <c r="F50" s="183">
        <v>544</v>
      </c>
      <c r="G50" s="731">
        <f>SUM(B50:F50)</f>
        <v>2294</v>
      </c>
      <c r="H50" s="609"/>
      <c r="I50" s="364"/>
      <c r="J50" s="364"/>
      <c r="K50" s="364"/>
      <c r="L50" s="193" t="s">
        <v>12</v>
      </c>
      <c r="M50" s="257">
        <v>44</v>
      </c>
      <c r="N50" s="275">
        <v>44</v>
      </c>
      <c r="O50" s="275">
        <v>7</v>
      </c>
      <c r="P50" s="275">
        <v>45</v>
      </c>
      <c r="Q50" s="527">
        <v>45</v>
      </c>
      <c r="R50" s="233">
        <f>SUM(M50:Q50)</f>
        <v>185</v>
      </c>
      <c r="S50" s="649"/>
      <c r="T50" s="301"/>
      <c r="U50" s="52"/>
      <c r="V50" s="52"/>
    </row>
    <row r="51" spans="1:50" ht="33.75" customHeight="1" x14ac:dyDescent="0.25">
      <c r="A51" s="194" t="s">
        <v>13</v>
      </c>
      <c r="B51" s="30">
        <f>((((B49*7)*B50)/1000))/7</f>
        <v>84.227051999999944</v>
      </c>
      <c r="C51" s="30">
        <f t="shared" ref="C51:F51" si="22">((((C49*7)*C50)/1000))/7</f>
        <v>83.764265999999921</v>
      </c>
      <c r="D51" s="30">
        <f t="shared" si="22"/>
        <v>15.117675999999989</v>
      </c>
      <c r="E51" s="30">
        <f t="shared" si="22"/>
        <v>86.849505999999934</v>
      </c>
      <c r="F51" s="30">
        <f t="shared" si="22"/>
        <v>83.918527999999938</v>
      </c>
      <c r="G51" s="732">
        <f>((G48*1000)/G50)/7</f>
        <v>155.26217461701336</v>
      </c>
      <c r="H51" s="609"/>
      <c r="I51" s="364"/>
      <c r="J51" s="364"/>
      <c r="K51" s="364"/>
      <c r="L51" s="194" t="s">
        <v>13</v>
      </c>
      <c r="M51" s="30">
        <f>((((M49*7)*M50)/1000)/7)</f>
        <v>7.0179999999999998</v>
      </c>
      <c r="N51" s="30">
        <f t="shared" ref="N51:Q51" si="23">((((N49*7)*N50)/1000)/7)</f>
        <v>6.952</v>
      </c>
      <c r="O51" s="30">
        <f t="shared" si="23"/>
        <v>1.1025</v>
      </c>
      <c r="P51" s="30">
        <f t="shared" si="23"/>
        <v>7.0874999999999995</v>
      </c>
      <c r="Q51" s="30">
        <f t="shared" si="23"/>
        <v>7.0424999999999995</v>
      </c>
      <c r="R51" s="234">
        <f>((R48*1000)/R50)/7</f>
        <v>157.83783783783784</v>
      </c>
      <c r="S51" s="650"/>
      <c r="T51" s="301"/>
      <c r="U51" s="52"/>
      <c r="V51" s="52"/>
    </row>
    <row r="52" spans="1:50" ht="33.75" customHeight="1" x14ac:dyDescent="0.25">
      <c r="A52" s="185" t="s">
        <v>14</v>
      </c>
      <c r="B52" s="279">
        <f>((B50*B49)*7)/1000</f>
        <v>589.58936399999959</v>
      </c>
      <c r="C52" s="280">
        <f>((C50*C49)*7)/1000</f>
        <v>586.34986199999958</v>
      </c>
      <c r="D52" s="280">
        <f>((D50*D49)*7)/1000</f>
        <v>105.82373199999992</v>
      </c>
      <c r="E52" s="280">
        <f>((E50*E49)*7)/1000</f>
        <v>607.94654199999957</v>
      </c>
      <c r="F52" s="281">
        <f>((F50*F49)*7)/1000</f>
        <v>587.42969599999958</v>
      </c>
      <c r="G52" s="73"/>
      <c r="H52" s="609"/>
      <c r="I52" s="364"/>
      <c r="J52" s="364"/>
      <c r="K52" s="364"/>
      <c r="L52" s="185" t="s">
        <v>14</v>
      </c>
      <c r="M52" s="279">
        <f>((M50*M49)*7)/1000</f>
        <v>49.125999999999998</v>
      </c>
      <c r="N52" s="280">
        <f>((N50*N49)*7)/1000</f>
        <v>48.664000000000001</v>
      </c>
      <c r="O52" s="280">
        <f>((O50*O49)*7)/1000</f>
        <v>7.7175000000000002</v>
      </c>
      <c r="P52" s="280">
        <f t="shared" ref="P52" si="24">((P50*P49)*7)/1000</f>
        <v>49.612499999999997</v>
      </c>
      <c r="Q52" s="281">
        <f>((Q50*Q49)*7)/1000</f>
        <v>49.297499999999999</v>
      </c>
      <c r="R52" s="213"/>
      <c r="S52" s="522"/>
    </row>
    <row r="53" spans="1:50" ht="33.75" customHeight="1" thickBot="1" x14ac:dyDescent="0.3">
      <c r="A53" s="195" t="s">
        <v>15</v>
      </c>
      <c r="B53" s="37">
        <f>+(B48/B50)/7*1000</f>
        <v>154.81423338566196</v>
      </c>
      <c r="C53" s="38">
        <f t="shared" ref="C53:E53" si="25">+(C48/C50)/7*1000</f>
        <v>155.66956064193633</v>
      </c>
      <c r="D53" s="38">
        <f t="shared" si="25"/>
        <v>157.43440233236151</v>
      </c>
      <c r="E53" s="38">
        <f t="shared" si="25"/>
        <v>154.25019030702867</v>
      </c>
      <c r="F53" s="207">
        <f>+(F48/F50)/7*1000</f>
        <v>155.96113445378151</v>
      </c>
      <c r="G53" s="74"/>
      <c r="H53" s="609"/>
      <c r="I53" s="364"/>
      <c r="J53" s="364"/>
      <c r="K53" s="364"/>
      <c r="L53" s="195" t="s">
        <v>15</v>
      </c>
      <c r="M53" s="37">
        <f>+(M48/M50)/7*1000</f>
        <v>159.41558441558442</v>
      </c>
      <c r="N53" s="38">
        <f>+(N48/N50)/7*1000</f>
        <v>158.11688311688309</v>
      </c>
      <c r="O53" s="38">
        <f>+(O48/O50)/7*1000</f>
        <v>157.14285714285717</v>
      </c>
      <c r="P53" s="38">
        <f t="shared" ref="P53:Q53" si="26">+(P48/P50)/7*1000</f>
        <v>157.46031746031747</v>
      </c>
      <c r="Q53" s="207">
        <f t="shared" si="26"/>
        <v>156.50793650793648</v>
      </c>
      <c r="R53" s="262"/>
      <c r="S53" s="651"/>
      <c r="U53" s="42"/>
      <c r="V53" s="42"/>
    </row>
    <row r="54" spans="1:50" ht="33.75" customHeight="1" x14ac:dyDescent="0.25">
      <c r="A54" s="41"/>
      <c r="B54" s="43">
        <f>B52-B48</f>
        <v>-2.1106360000004543</v>
      </c>
      <c r="C54" s="43">
        <f t="shared" ref="C54:D55" si="27">C52-C48</f>
        <v>-5.3501380000004701</v>
      </c>
      <c r="D54" s="43">
        <f t="shared" si="27"/>
        <v>-2.1762680000000785</v>
      </c>
      <c r="E54" s="43">
        <f>E52-E48</f>
        <v>4.6541999999590189E-2</v>
      </c>
      <c r="F54" s="43">
        <f>F52-F48</f>
        <v>-6.4703040000005103</v>
      </c>
      <c r="G54" s="41"/>
      <c r="H54" s="41"/>
      <c r="I54" s="41"/>
      <c r="J54" s="41"/>
      <c r="K54" s="41"/>
      <c r="L54" s="42"/>
      <c r="M54" s="42">
        <f>M52-M48</f>
        <v>2.5999999999996248E-2</v>
      </c>
      <c r="N54" s="42">
        <f>N52-N48</f>
        <v>-3.5999999999994259E-2</v>
      </c>
      <c r="O54" s="42">
        <f t="shared" ref="N54:Q55" si="28">O52-O48</f>
        <v>1.7500000000000071E-2</v>
      </c>
      <c r="P54" s="42">
        <f t="shared" si="28"/>
        <v>1.2499999999995737E-2</v>
      </c>
      <c r="Q54" s="42">
        <f t="shared" si="28"/>
        <v>-2.4999999999977263E-3</v>
      </c>
      <c r="R54" s="42"/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0.55223338566207758</v>
      </c>
      <c r="C55" s="42">
        <f>C53-C49</f>
        <v>1.4075606419364419</v>
      </c>
      <c r="D55" s="42">
        <f t="shared" si="27"/>
        <v>3.1724023323616279</v>
      </c>
      <c r="E55" s="42">
        <f>E53-E49</f>
        <v>-1.1809692971212371E-2</v>
      </c>
      <c r="F55" s="42">
        <f>F53-F49</f>
        <v>1.6991344537816246</v>
      </c>
      <c r="G55" s="41"/>
      <c r="H55" s="41"/>
      <c r="I55" s="41"/>
      <c r="J55" s="41"/>
      <c r="K55" s="42"/>
      <c r="L55" s="42"/>
      <c r="M55" s="42">
        <f>M53-M49</f>
        <v>-8.4415584415580724E-2</v>
      </c>
      <c r="N55" s="42">
        <f t="shared" si="28"/>
        <v>0.11688311688308772</v>
      </c>
      <c r="O55" s="42">
        <f>O53-O49</f>
        <v>-0.35714285714283278</v>
      </c>
      <c r="P55" s="42">
        <f>P53-P49</f>
        <v>-3.968253968253066E-2</v>
      </c>
      <c r="Q55" s="42">
        <f t="shared" si="28"/>
        <v>7.9365079364777102E-3</v>
      </c>
      <c r="R55" s="42"/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283"/>
      <c r="N57" s="283"/>
      <c r="O57" s="283"/>
      <c r="P57" s="283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99" t="s">
        <v>30</v>
      </c>
      <c r="H58" s="1000"/>
      <c r="I58" s="1000"/>
      <c r="J58" s="1000"/>
      <c r="K58" s="1001"/>
      <c r="L58" s="973" t="s">
        <v>29</v>
      </c>
      <c r="M58" s="974"/>
      <c r="N58" s="974"/>
      <c r="O58" s="974"/>
      <c r="P58" s="991"/>
      <c r="Q58" s="973" t="s">
        <v>31</v>
      </c>
      <c r="R58" s="974"/>
      <c r="S58" s="974"/>
      <c r="T58" s="974"/>
      <c r="U58" s="991"/>
      <c r="V58" s="586" t="s">
        <v>9</v>
      </c>
      <c r="W58" s="661"/>
      <c r="X58" s="662"/>
      <c r="Y58" s="522"/>
      <c r="Z58" s="522"/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692">
        <v>1</v>
      </c>
      <c r="H59" s="693">
        <v>2</v>
      </c>
      <c r="I59" s="693">
        <v>3</v>
      </c>
      <c r="J59" s="693">
        <v>4</v>
      </c>
      <c r="K59" s="693">
        <v>5</v>
      </c>
      <c r="L59" s="188">
        <v>1</v>
      </c>
      <c r="M59" s="168">
        <v>2</v>
      </c>
      <c r="N59" s="168">
        <v>3</v>
      </c>
      <c r="O59" s="168">
        <v>4</v>
      </c>
      <c r="P59" s="414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126"/>
      <c r="W59" s="663"/>
      <c r="X59" s="645"/>
      <c r="Y59" s="657"/>
      <c r="Z59" s="657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45">
      <c r="A60" s="171" t="s">
        <v>53</v>
      </c>
      <c r="B60" s="735">
        <v>7.6</v>
      </c>
      <c r="C60" s="736">
        <v>7.6</v>
      </c>
      <c r="D60" s="736">
        <v>1.7</v>
      </c>
      <c r="E60" s="736">
        <v>7.7</v>
      </c>
      <c r="F60" s="737">
        <v>7.6</v>
      </c>
      <c r="G60" s="738">
        <v>7.6</v>
      </c>
      <c r="H60" s="739">
        <v>7.7</v>
      </c>
      <c r="I60" s="799">
        <v>1.7</v>
      </c>
      <c r="J60" s="739">
        <v>7.6</v>
      </c>
      <c r="K60" s="739">
        <v>7.7</v>
      </c>
      <c r="L60" s="279">
        <v>6.2</v>
      </c>
      <c r="M60" s="280">
        <v>6.3</v>
      </c>
      <c r="N60" s="280">
        <v>1.9</v>
      </c>
      <c r="O60" s="280">
        <v>6</v>
      </c>
      <c r="P60" s="282">
        <v>6.3</v>
      </c>
      <c r="Q60" s="737">
        <v>6.5</v>
      </c>
      <c r="R60" s="736">
        <v>6.6</v>
      </c>
      <c r="S60" s="736">
        <v>2.1</v>
      </c>
      <c r="T60" s="736">
        <v>6.7</v>
      </c>
      <c r="U60" s="742">
        <v>6.5</v>
      </c>
      <c r="V60" s="749">
        <f t="shared" ref="V60:V67" si="29">SUM(B60:U60)</f>
        <v>119.6</v>
      </c>
      <c r="W60" s="651"/>
      <c r="X60" s="646"/>
      <c r="Y60" s="657"/>
      <c r="Z60" s="657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25">
      <c r="A61" s="171" t="s">
        <v>24</v>
      </c>
      <c r="B61" s="735">
        <v>7.6</v>
      </c>
      <c r="C61" s="736">
        <v>7.6</v>
      </c>
      <c r="D61" s="736">
        <v>1.6</v>
      </c>
      <c r="E61" s="736">
        <v>7.7</v>
      </c>
      <c r="F61" s="737">
        <v>7.6</v>
      </c>
      <c r="G61" s="738">
        <v>7.5</v>
      </c>
      <c r="H61" s="739">
        <v>7.7</v>
      </c>
      <c r="I61" s="739">
        <v>1.6</v>
      </c>
      <c r="J61" s="739">
        <v>7.6</v>
      </c>
      <c r="K61" s="739">
        <v>7.7</v>
      </c>
      <c r="L61" s="279">
        <v>6.2</v>
      </c>
      <c r="M61" s="280">
        <v>6.3</v>
      </c>
      <c r="N61" s="280">
        <v>1.9</v>
      </c>
      <c r="O61" s="280">
        <v>6</v>
      </c>
      <c r="P61" s="282">
        <v>6.3</v>
      </c>
      <c r="Q61" s="737">
        <v>6.5</v>
      </c>
      <c r="R61" s="736">
        <v>6.6</v>
      </c>
      <c r="S61" s="736">
        <v>2.1</v>
      </c>
      <c r="T61" s="736">
        <v>6.7</v>
      </c>
      <c r="U61" s="742">
        <v>6.5</v>
      </c>
      <c r="V61" s="749">
        <f t="shared" si="29"/>
        <v>119.3</v>
      </c>
      <c r="W61" s="651"/>
      <c r="X61" s="646"/>
      <c r="Y61" s="651"/>
      <c r="Z61" s="651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25">
      <c r="A62" s="171" t="s">
        <v>20</v>
      </c>
      <c r="B62" s="735">
        <v>7.6</v>
      </c>
      <c r="C62" s="736">
        <v>7.6</v>
      </c>
      <c r="D62" s="736">
        <v>1.6</v>
      </c>
      <c r="E62" s="736">
        <v>7.7</v>
      </c>
      <c r="F62" s="737">
        <v>7.6</v>
      </c>
      <c r="G62" s="738">
        <v>7.5</v>
      </c>
      <c r="H62" s="739">
        <v>7.7</v>
      </c>
      <c r="I62" s="739">
        <v>1.6</v>
      </c>
      <c r="J62" s="739">
        <v>7.6</v>
      </c>
      <c r="K62" s="739">
        <v>7.7</v>
      </c>
      <c r="L62" s="279">
        <v>6.2</v>
      </c>
      <c r="M62" s="280">
        <v>6.3</v>
      </c>
      <c r="N62" s="280">
        <v>1.9</v>
      </c>
      <c r="O62" s="280">
        <v>6</v>
      </c>
      <c r="P62" s="282">
        <v>6.3</v>
      </c>
      <c r="Q62" s="737">
        <v>6.5</v>
      </c>
      <c r="R62" s="736">
        <v>6.6</v>
      </c>
      <c r="S62" s="736">
        <v>2.1</v>
      </c>
      <c r="T62" s="736">
        <v>6.6</v>
      </c>
      <c r="U62" s="742">
        <v>6.5</v>
      </c>
      <c r="V62" s="749">
        <f t="shared" si="29"/>
        <v>119.19999999999999</v>
      </c>
      <c r="W62" s="651"/>
      <c r="X62" s="646"/>
      <c r="Y62" s="651"/>
      <c r="Z62" s="651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25">
      <c r="A63" s="171" t="s">
        <v>28</v>
      </c>
      <c r="B63" s="735">
        <v>7.6</v>
      </c>
      <c r="C63" s="736">
        <v>7.6</v>
      </c>
      <c r="D63" s="736">
        <v>1.6</v>
      </c>
      <c r="E63" s="736">
        <v>7.7</v>
      </c>
      <c r="F63" s="737">
        <v>7.3</v>
      </c>
      <c r="G63" s="738">
        <v>7.5</v>
      </c>
      <c r="H63" s="739">
        <v>7.7</v>
      </c>
      <c r="I63" s="739">
        <v>1.6</v>
      </c>
      <c r="J63" s="739">
        <v>7.6</v>
      </c>
      <c r="K63" s="739">
        <v>7.7</v>
      </c>
      <c r="L63" s="279">
        <v>6.2</v>
      </c>
      <c r="M63" s="280">
        <v>6.3</v>
      </c>
      <c r="N63" s="280">
        <v>1.9</v>
      </c>
      <c r="O63" s="280">
        <v>5.9</v>
      </c>
      <c r="P63" s="282">
        <v>6.3</v>
      </c>
      <c r="Q63" s="737">
        <v>6.5</v>
      </c>
      <c r="R63" s="736">
        <v>6.6</v>
      </c>
      <c r="S63" s="736">
        <v>2.1</v>
      </c>
      <c r="T63" s="736">
        <v>6.6</v>
      </c>
      <c r="U63" s="742">
        <v>6.4</v>
      </c>
      <c r="V63" s="749">
        <f t="shared" si="29"/>
        <v>118.7</v>
      </c>
      <c r="W63" s="651"/>
      <c r="X63" s="646"/>
      <c r="Y63" s="651"/>
      <c r="Z63" s="651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25">
      <c r="A64" s="171" t="s">
        <v>21</v>
      </c>
      <c r="B64" s="735">
        <v>7.6</v>
      </c>
      <c r="C64" s="736">
        <v>7.6</v>
      </c>
      <c r="D64" s="736">
        <v>1.6</v>
      </c>
      <c r="E64" s="736">
        <v>7.7</v>
      </c>
      <c r="F64" s="737">
        <v>7.3</v>
      </c>
      <c r="G64" s="738">
        <v>7.5</v>
      </c>
      <c r="H64" s="739">
        <v>7.7</v>
      </c>
      <c r="I64" s="739">
        <v>1.6</v>
      </c>
      <c r="J64" s="739">
        <v>7.6</v>
      </c>
      <c r="K64" s="739">
        <v>7.6</v>
      </c>
      <c r="L64" s="279">
        <v>6.1</v>
      </c>
      <c r="M64" s="280">
        <v>6.2</v>
      </c>
      <c r="N64" s="280">
        <v>1.9</v>
      </c>
      <c r="O64" s="280">
        <v>5.9</v>
      </c>
      <c r="P64" s="282">
        <v>6.3</v>
      </c>
      <c r="Q64" s="737">
        <v>6.4</v>
      </c>
      <c r="R64" s="736">
        <v>6.6</v>
      </c>
      <c r="S64" s="736">
        <v>2.1</v>
      </c>
      <c r="T64" s="736">
        <v>6.6</v>
      </c>
      <c r="U64" s="742">
        <v>6.4</v>
      </c>
      <c r="V64" s="749">
        <f t="shared" si="29"/>
        <v>118.30000000000001</v>
      </c>
      <c r="W64" s="651"/>
      <c r="X64" s="646"/>
      <c r="Y64" s="651"/>
      <c r="Z64" s="651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25">
      <c r="A65" s="171" t="s">
        <v>22</v>
      </c>
      <c r="B65" s="735">
        <v>7.5</v>
      </c>
      <c r="C65" s="736">
        <v>7.5</v>
      </c>
      <c r="D65" s="736">
        <v>1.6</v>
      </c>
      <c r="E65" s="736">
        <v>7.7</v>
      </c>
      <c r="F65" s="737">
        <v>7.2</v>
      </c>
      <c r="G65" s="738">
        <v>7.5</v>
      </c>
      <c r="H65" s="739">
        <v>7.7</v>
      </c>
      <c r="I65" s="739">
        <v>1.6</v>
      </c>
      <c r="J65" s="739">
        <v>7.5</v>
      </c>
      <c r="K65" s="739">
        <v>7.6</v>
      </c>
      <c r="L65" s="279">
        <v>6.1</v>
      </c>
      <c r="M65" s="280">
        <v>6.2</v>
      </c>
      <c r="N65" s="280">
        <v>1.9</v>
      </c>
      <c r="O65" s="280">
        <v>5.9</v>
      </c>
      <c r="P65" s="282">
        <v>6.3</v>
      </c>
      <c r="Q65" s="737">
        <v>6.4</v>
      </c>
      <c r="R65" s="736">
        <v>6.6</v>
      </c>
      <c r="S65" s="736">
        <v>2.1</v>
      </c>
      <c r="T65" s="736">
        <v>6.6</v>
      </c>
      <c r="U65" s="742">
        <v>6.4</v>
      </c>
      <c r="V65" s="412">
        <f t="shared" si="29"/>
        <v>117.9</v>
      </c>
      <c r="W65" s="651"/>
      <c r="X65" s="646"/>
      <c r="Y65" s="651"/>
      <c r="Z65" s="651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3">
      <c r="A66" s="171" t="s">
        <v>23</v>
      </c>
      <c r="B66" s="735">
        <v>7.5</v>
      </c>
      <c r="C66" s="736">
        <v>7.5</v>
      </c>
      <c r="D66" s="736">
        <v>1.6</v>
      </c>
      <c r="E66" s="736">
        <v>7.7</v>
      </c>
      <c r="F66" s="737">
        <v>7.2</v>
      </c>
      <c r="G66" s="738">
        <v>7.5</v>
      </c>
      <c r="H66" s="739">
        <v>7.7</v>
      </c>
      <c r="I66" s="739">
        <v>1.6</v>
      </c>
      <c r="J66" s="739">
        <v>7.5</v>
      </c>
      <c r="K66" s="739">
        <v>7.6</v>
      </c>
      <c r="L66" s="279">
        <v>6.1</v>
      </c>
      <c r="M66" s="280">
        <v>6.2</v>
      </c>
      <c r="N66" s="280">
        <v>1.8</v>
      </c>
      <c r="O66" s="280">
        <v>5.9</v>
      </c>
      <c r="P66" s="282">
        <v>6.2</v>
      </c>
      <c r="Q66" s="737">
        <v>6.4</v>
      </c>
      <c r="R66" s="736">
        <v>6.6</v>
      </c>
      <c r="S66" s="736">
        <v>2.1</v>
      </c>
      <c r="T66" s="736">
        <v>6.6</v>
      </c>
      <c r="U66" s="742">
        <v>6.4</v>
      </c>
      <c r="V66" s="412">
        <f t="shared" si="29"/>
        <v>117.7</v>
      </c>
      <c r="W66" s="651"/>
      <c r="X66" s="646"/>
      <c r="Y66" s="651"/>
      <c r="Z66" s="651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297">
        <f t="shared" ref="B67:U67" si="30">SUM(B60:B66)</f>
        <v>53</v>
      </c>
      <c r="C67" s="298">
        <f t="shared" si="30"/>
        <v>53</v>
      </c>
      <c r="D67" s="298">
        <f t="shared" si="30"/>
        <v>11.299999999999999</v>
      </c>
      <c r="E67" s="298">
        <f t="shared" si="30"/>
        <v>53.900000000000006</v>
      </c>
      <c r="F67" s="448">
        <f t="shared" si="30"/>
        <v>51.800000000000004</v>
      </c>
      <c r="G67" s="719">
        <f t="shared" si="30"/>
        <v>52.6</v>
      </c>
      <c r="H67" s="696">
        <f t="shared" si="30"/>
        <v>53.900000000000006</v>
      </c>
      <c r="I67" s="696">
        <f t="shared" si="30"/>
        <v>11.299999999999999</v>
      </c>
      <c r="J67" s="696">
        <f t="shared" si="30"/>
        <v>53</v>
      </c>
      <c r="K67" s="720">
        <f t="shared" si="30"/>
        <v>53.6</v>
      </c>
      <c r="L67" s="618">
        <f t="shared" si="30"/>
        <v>43.1</v>
      </c>
      <c r="M67" s="616">
        <f t="shared" si="30"/>
        <v>43.800000000000004</v>
      </c>
      <c r="N67" s="616">
        <f t="shared" si="30"/>
        <v>13.200000000000001</v>
      </c>
      <c r="O67" s="616">
        <f t="shared" si="30"/>
        <v>41.599999999999994</v>
      </c>
      <c r="P67" s="616">
        <f t="shared" si="30"/>
        <v>44</v>
      </c>
      <c r="Q67" s="615">
        <f t="shared" si="30"/>
        <v>45.199999999999996</v>
      </c>
      <c r="R67" s="616">
        <f t="shared" si="30"/>
        <v>46.2</v>
      </c>
      <c r="S67" s="616">
        <f t="shared" si="30"/>
        <v>14.7</v>
      </c>
      <c r="T67" s="616">
        <f t="shared" si="30"/>
        <v>46.400000000000006</v>
      </c>
      <c r="U67" s="617">
        <f t="shared" si="30"/>
        <v>45.099999999999994</v>
      </c>
      <c r="V67" s="449">
        <f t="shared" si="29"/>
        <v>830.70000000000027</v>
      </c>
      <c r="W67" s="664"/>
      <c r="X67" s="646"/>
      <c r="Y67" s="651"/>
      <c r="Z67" s="651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161</v>
      </c>
      <c r="C68" s="358">
        <v>161</v>
      </c>
      <c r="D68" s="358">
        <v>161</v>
      </c>
      <c r="E68" s="358">
        <v>160.5</v>
      </c>
      <c r="F68" s="718">
        <v>161</v>
      </c>
      <c r="G68" s="721">
        <v>160</v>
      </c>
      <c r="H68" s="698">
        <v>160.5</v>
      </c>
      <c r="I68" s="698">
        <v>162</v>
      </c>
      <c r="J68" s="698">
        <v>161</v>
      </c>
      <c r="K68" s="794">
        <v>159.5</v>
      </c>
      <c r="L68" s="357">
        <v>158</v>
      </c>
      <c r="M68" s="358">
        <v>160.5</v>
      </c>
      <c r="N68" s="358">
        <v>157</v>
      </c>
      <c r="O68" s="358">
        <v>160.5</v>
      </c>
      <c r="P68" s="624">
        <v>161</v>
      </c>
      <c r="Q68" s="357">
        <v>161.5</v>
      </c>
      <c r="R68" s="358">
        <v>161</v>
      </c>
      <c r="S68" s="358">
        <v>162</v>
      </c>
      <c r="T68" s="358">
        <v>161.5</v>
      </c>
      <c r="U68" s="624">
        <v>161</v>
      </c>
      <c r="V68" s="296">
        <f>+((V67/V69)/7)*1000</f>
        <v>160.80139372822305</v>
      </c>
      <c r="W68" s="145"/>
      <c r="X68" s="648"/>
      <c r="Y68" s="665"/>
      <c r="Z68" s="522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47</v>
      </c>
      <c r="C69" s="275">
        <v>47</v>
      </c>
      <c r="D69" s="275">
        <v>10</v>
      </c>
      <c r="E69" s="275">
        <v>48</v>
      </c>
      <c r="F69" s="527">
        <v>46</v>
      </c>
      <c r="G69" s="723">
        <v>47</v>
      </c>
      <c r="H69" s="700">
        <v>48</v>
      </c>
      <c r="I69" s="700">
        <v>9</v>
      </c>
      <c r="J69" s="700">
        <v>47</v>
      </c>
      <c r="K69" s="795">
        <v>48</v>
      </c>
      <c r="L69" s="257">
        <v>39</v>
      </c>
      <c r="M69" s="275">
        <v>39</v>
      </c>
      <c r="N69" s="275">
        <v>12</v>
      </c>
      <c r="O69" s="275">
        <v>37</v>
      </c>
      <c r="P69" s="276">
        <v>39</v>
      </c>
      <c r="Q69" s="257">
        <v>40</v>
      </c>
      <c r="R69" s="275">
        <v>41</v>
      </c>
      <c r="S69" s="275">
        <v>13</v>
      </c>
      <c r="T69" s="275">
        <v>41</v>
      </c>
      <c r="U69" s="276">
        <v>40</v>
      </c>
      <c r="V69" s="254">
        <f>SUM(B69:U69)</f>
        <v>738</v>
      </c>
      <c r="W69" s="145"/>
      <c r="X69" s="649"/>
      <c r="Y69" s="665"/>
      <c r="Z69" s="522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>((((B68*7)*B69)/1000)/7)</f>
        <v>7.5670000000000002</v>
      </c>
      <c r="C70" s="30">
        <f t="shared" ref="C70:U70" si="31">((((C68*7)*C69)/1000)/7)</f>
        <v>7.5670000000000002</v>
      </c>
      <c r="D70" s="30">
        <f t="shared" si="31"/>
        <v>1.6099999999999999</v>
      </c>
      <c r="E70" s="30">
        <f t="shared" si="31"/>
        <v>7.7039999999999997</v>
      </c>
      <c r="F70" s="30">
        <f t="shared" si="31"/>
        <v>7.4059999999999997</v>
      </c>
      <c r="G70" s="30">
        <f t="shared" si="31"/>
        <v>7.5200000000000005</v>
      </c>
      <c r="H70" s="30">
        <f t="shared" si="31"/>
        <v>7.7039999999999997</v>
      </c>
      <c r="I70" s="30">
        <f t="shared" si="31"/>
        <v>1.458</v>
      </c>
      <c r="J70" s="30">
        <f t="shared" si="31"/>
        <v>7.5670000000000002</v>
      </c>
      <c r="K70" s="30">
        <f t="shared" si="31"/>
        <v>7.6559999999999997</v>
      </c>
      <c r="L70" s="30">
        <f t="shared" si="31"/>
        <v>6.1619999999999999</v>
      </c>
      <c r="M70" s="30">
        <f t="shared" si="31"/>
        <v>6.2595000000000001</v>
      </c>
      <c r="N70" s="30">
        <f t="shared" si="31"/>
        <v>1.8840000000000001</v>
      </c>
      <c r="O70" s="30">
        <f t="shared" si="31"/>
        <v>5.9384999999999994</v>
      </c>
      <c r="P70" s="30">
        <f t="shared" si="31"/>
        <v>6.2790000000000008</v>
      </c>
      <c r="Q70" s="30">
        <f t="shared" si="31"/>
        <v>6.46</v>
      </c>
      <c r="R70" s="30">
        <f t="shared" si="31"/>
        <v>6.601</v>
      </c>
      <c r="S70" s="30">
        <f t="shared" si="31"/>
        <v>2.1060000000000003</v>
      </c>
      <c r="T70" s="30">
        <f t="shared" si="31"/>
        <v>6.6214999999999993</v>
      </c>
      <c r="U70" s="30">
        <f t="shared" si="31"/>
        <v>6.4399999999999995</v>
      </c>
      <c r="V70" s="139">
        <f>((V67*1000)/V69)/7</f>
        <v>160.80139372822305</v>
      </c>
      <c r="W70" s="144"/>
      <c r="X70" s="650"/>
      <c r="Y70" s="665"/>
      <c r="Z70" s="522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32">((B69*B68)*7)/1000</f>
        <v>52.969000000000001</v>
      </c>
      <c r="C71" s="280">
        <f t="shared" si="32"/>
        <v>52.969000000000001</v>
      </c>
      <c r="D71" s="280">
        <f t="shared" si="32"/>
        <v>11.27</v>
      </c>
      <c r="E71" s="280">
        <f t="shared" si="32"/>
        <v>53.927999999999997</v>
      </c>
      <c r="F71" s="281">
        <f t="shared" si="32"/>
        <v>51.841999999999999</v>
      </c>
      <c r="G71" s="464">
        <f t="shared" si="32"/>
        <v>52.64</v>
      </c>
      <c r="H71" s="459">
        <f>((H69*H68)*7)/1000</f>
        <v>53.927999999999997</v>
      </c>
      <c r="I71" s="459">
        <f t="shared" si="32"/>
        <v>10.206</v>
      </c>
      <c r="J71" s="459">
        <f t="shared" si="32"/>
        <v>52.969000000000001</v>
      </c>
      <c r="K71" s="458">
        <f t="shared" si="32"/>
        <v>53.591999999999999</v>
      </c>
      <c r="L71" s="279">
        <f t="shared" si="32"/>
        <v>43.134</v>
      </c>
      <c r="M71" s="280">
        <f t="shared" si="32"/>
        <v>43.816499999999998</v>
      </c>
      <c r="N71" s="280">
        <f t="shared" si="32"/>
        <v>13.188000000000001</v>
      </c>
      <c r="O71" s="280">
        <f t="shared" si="32"/>
        <v>41.569499999999998</v>
      </c>
      <c r="P71" s="282">
        <f t="shared" si="32"/>
        <v>43.953000000000003</v>
      </c>
      <c r="Q71" s="279">
        <f t="shared" si="32"/>
        <v>45.22</v>
      </c>
      <c r="R71" s="280">
        <f t="shared" si="32"/>
        <v>46.207000000000001</v>
      </c>
      <c r="S71" s="280">
        <f t="shared" si="32"/>
        <v>14.742000000000001</v>
      </c>
      <c r="T71" s="280">
        <f t="shared" si="32"/>
        <v>46.350499999999997</v>
      </c>
      <c r="U71" s="282">
        <f t="shared" si="32"/>
        <v>45.08</v>
      </c>
      <c r="V71" s="112"/>
      <c r="W71" s="651"/>
      <c r="X71" s="666"/>
      <c r="Y71" s="666"/>
      <c r="Z71" s="666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U72" si="33">+(B67/B69)/7*1000</f>
        <v>161.09422492401217</v>
      </c>
      <c r="C72" s="38">
        <f t="shared" si="33"/>
        <v>161.09422492401217</v>
      </c>
      <c r="D72" s="38">
        <f t="shared" si="33"/>
        <v>161.42857142857142</v>
      </c>
      <c r="E72" s="38">
        <f t="shared" si="33"/>
        <v>160.41666666666669</v>
      </c>
      <c r="F72" s="207">
        <f t="shared" si="33"/>
        <v>160.86956521739131</v>
      </c>
      <c r="G72" s="727">
        <f t="shared" si="33"/>
        <v>159.87841945288753</v>
      </c>
      <c r="H72" s="704">
        <f t="shared" si="33"/>
        <v>160.41666666666669</v>
      </c>
      <c r="I72" s="704">
        <f t="shared" si="33"/>
        <v>179.36507936507937</v>
      </c>
      <c r="J72" s="704">
        <f t="shared" si="33"/>
        <v>161.09422492401217</v>
      </c>
      <c r="K72" s="461">
        <f t="shared" si="33"/>
        <v>159.52380952380955</v>
      </c>
      <c r="L72" s="37">
        <f t="shared" si="33"/>
        <v>157.8754578754579</v>
      </c>
      <c r="M72" s="38">
        <f t="shared" si="33"/>
        <v>160.43956043956047</v>
      </c>
      <c r="N72" s="38">
        <f t="shared" si="33"/>
        <v>157.14285714285717</v>
      </c>
      <c r="O72" s="38">
        <f t="shared" si="33"/>
        <v>160.61776061776058</v>
      </c>
      <c r="P72" s="39">
        <f t="shared" si="33"/>
        <v>161.1721611721612</v>
      </c>
      <c r="Q72" s="37">
        <f t="shared" si="33"/>
        <v>161.42857142857142</v>
      </c>
      <c r="R72" s="38">
        <f t="shared" si="33"/>
        <v>160.97560975609755</v>
      </c>
      <c r="S72" s="38">
        <f t="shared" si="33"/>
        <v>161.53846153846155</v>
      </c>
      <c r="T72" s="38">
        <f t="shared" si="33"/>
        <v>161.67247386759584</v>
      </c>
      <c r="U72" s="39">
        <f t="shared" si="33"/>
        <v>161.07142857142856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43">
        <f>B71-B67</f>
        <v>-3.0999999999998806E-2</v>
      </c>
      <c r="C73" s="43">
        <f t="shared" ref="C73:F73" si="34">C71-C67</f>
        <v>-3.0999999999998806E-2</v>
      </c>
      <c r="D73" s="43">
        <f t="shared" si="34"/>
        <v>-2.9999999999999361E-2</v>
      </c>
      <c r="E73" s="43">
        <f t="shared" si="34"/>
        <v>2.7999999999991587E-2</v>
      </c>
      <c r="F73" s="43">
        <f t="shared" si="34"/>
        <v>4.1999999999994486E-2</v>
      </c>
      <c r="G73" s="143">
        <f>G71-G67</f>
        <v>3.9999999999999147E-2</v>
      </c>
      <c r="H73" s="143">
        <f t="shared" ref="H73:U74" si="35">H71-H67</f>
        <v>2.7999999999991587E-2</v>
      </c>
      <c r="I73" s="143">
        <f t="shared" si="35"/>
        <v>-1.0939999999999994</v>
      </c>
      <c r="J73" s="143">
        <f t="shared" si="35"/>
        <v>-3.0999999999998806E-2</v>
      </c>
      <c r="K73" s="143">
        <f t="shared" si="35"/>
        <v>-8.0000000000026716E-3</v>
      </c>
      <c r="L73" s="43">
        <f>L71-L67</f>
        <v>3.399999999999892E-2</v>
      </c>
      <c r="M73" s="43">
        <f t="shared" ref="M73:P73" si="36">M71-M67</f>
        <v>1.649999999999352E-2</v>
      </c>
      <c r="N73" s="43">
        <f t="shared" si="36"/>
        <v>-1.2000000000000455E-2</v>
      </c>
      <c r="O73" s="43">
        <f t="shared" si="36"/>
        <v>-3.0499999999996419E-2</v>
      </c>
      <c r="P73" s="43">
        <f t="shared" si="36"/>
        <v>-4.6999999999997044E-2</v>
      </c>
      <c r="Q73" s="43">
        <f>Q71-Q67</f>
        <v>2.0000000000003126E-2</v>
      </c>
      <c r="R73" s="43">
        <f t="shared" ref="R73:U73" si="37">R71-R67</f>
        <v>6.9999999999978968E-3</v>
      </c>
      <c r="S73" s="43">
        <f>S71-S67</f>
        <v>4.2000000000001592E-2</v>
      </c>
      <c r="T73" s="43">
        <f>T71-T67</f>
        <v>-4.9500000000008981E-2</v>
      </c>
      <c r="U73" s="43">
        <f t="shared" si="37"/>
        <v>-1.9999999999996021E-2</v>
      </c>
      <c r="W73" s="144"/>
      <c r="X73" s="522"/>
      <c r="Y73" s="522"/>
      <c r="Z73" s="522"/>
    </row>
    <row r="74" spans="1:50" ht="33.75" customHeight="1" x14ac:dyDescent="0.25">
      <c r="B74" s="42">
        <f t="shared" ref="B74:J74" si="38">B72-B68</f>
        <v>9.4224924012166866E-2</v>
      </c>
      <c r="C74" s="42">
        <f t="shared" si="38"/>
        <v>9.4224924012166866E-2</v>
      </c>
      <c r="D74" s="42">
        <f t="shared" si="38"/>
        <v>0.42857142857141639</v>
      </c>
      <c r="E74" s="42">
        <f t="shared" si="38"/>
        <v>-8.3333333333314386E-2</v>
      </c>
      <c r="F74" s="42">
        <f t="shared" si="38"/>
        <v>-0.13043478260868824</v>
      </c>
      <c r="G74" s="705">
        <f t="shared" si="38"/>
        <v>-0.12158054711247246</v>
      </c>
      <c r="H74" s="705">
        <f t="shared" si="38"/>
        <v>-8.3333333333314386E-2</v>
      </c>
      <c r="I74" s="705">
        <f>I72-I68</f>
        <v>17.365079365079367</v>
      </c>
      <c r="J74" s="705">
        <f t="shared" si="38"/>
        <v>9.4224924012166866E-2</v>
      </c>
      <c r="K74" s="705">
        <f t="shared" si="35"/>
        <v>2.3809523809546818E-2</v>
      </c>
      <c r="L74" s="42">
        <f t="shared" si="35"/>
        <v>-0.12454212454210278</v>
      </c>
      <c r="M74" s="42">
        <f t="shared" si="35"/>
        <v>-6.0439560439533579E-2</v>
      </c>
      <c r="N74" s="42">
        <f t="shared" si="35"/>
        <v>0.14285714285716722</v>
      </c>
      <c r="O74" s="42">
        <f t="shared" si="35"/>
        <v>0.117760617760581</v>
      </c>
      <c r="P74" s="42">
        <f t="shared" si="35"/>
        <v>0.17216117216119642</v>
      </c>
      <c r="Q74" s="42">
        <f t="shared" si="35"/>
        <v>-7.1428571428583609E-2</v>
      </c>
      <c r="R74" s="42">
        <f t="shared" si="35"/>
        <v>-2.4390243902445263E-2</v>
      </c>
      <c r="S74" s="42">
        <f t="shared" si="35"/>
        <v>-0.46153846153845279</v>
      </c>
      <c r="T74" s="42">
        <f t="shared" si="35"/>
        <v>0.1724738675958406</v>
      </c>
      <c r="U74" s="42">
        <f t="shared" si="35"/>
        <v>7.1428571428555188E-2</v>
      </c>
      <c r="V74" s="45"/>
      <c r="W74" s="651"/>
      <c r="X74" s="657"/>
      <c r="Y74" s="657"/>
      <c r="Z74" s="657"/>
      <c r="AA74" s="45"/>
      <c r="AB74" s="45"/>
      <c r="AC74" s="45"/>
      <c r="AD74" s="52"/>
    </row>
    <row r="75" spans="1:50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</row>
    <row r="76" spans="1:50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0" ht="33.75" customHeight="1" x14ac:dyDescent="0.25">
      <c r="A77" s="45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5">
    <mergeCell ref="A3:C3"/>
    <mergeCell ref="E9:G9"/>
    <mergeCell ref="W9:X9"/>
    <mergeCell ref="O11:P11"/>
    <mergeCell ref="B16:H16"/>
    <mergeCell ref="I16:O16"/>
    <mergeCell ref="P16:T16"/>
    <mergeCell ref="U16:Y16"/>
    <mergeCell ref="B39:F39"/>
    <mergeCell ref="G39:G40"/>
    <mergeCell ref="M39:Q39"/>
    <mergeCell ref="B58:F58"/>
    <mergeCell ref="G58:K58"/>
    <mergeCell ref="L58:P58"/>
    <mergeCell ref="Q58:U58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241"/>
  <sheetViews>
    <sheetView topLeftCell="A16" zoomScale="26" zoomScaleNormal="26" workbookViewId="0">
      <selection activeCell="Q69" sqref="Q69"/>
    </sheetView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50</v>
      </c>
      <c r="P11" s="965"/>
      <c r="Q11" s="6"/>
      <c r="R11" s="6"/>
      <c r="S11" s="6"/>
      <c r="T11" s="1"/>
      <c r="U11" s="1"/>
      <c r="V11" s="1" t="s">
        <v>6</v>
      </c>
      <c r="W11" s="95">
        <v>45684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594"/>
      <c r="I17" s="386" t="s">
        <v>100</v>
      </c>
      <c r="J17" s="438">
        <v>1</v>
      </c>
      <c r="K17" s="438">
        <v>2</v>
      </c>
      <c r="L17" s="438">
        <v>3</v>
      </c>
      <c r="M17" s="438">
        <v>4</v>
      </c>
      <c r="N17" s="439">
        <v>5</v>
      </c>
      <c r="O17" s="594"/>
      <c r="P17" s="202">
        <v>1</v>
      </c>
      <c r="Q17" s="174">
        <v>2</v>
      </c>
      <c r="R17" s="174">
        <v>3</v>
      </c>
      <c r="S17" s="174">
        <v>4</v>
      </c>
      <c r="T17" s="203">
        <v>5</v>
      </c>
      <c r="U17" s="186">
        <v>1</v>
      </c>
      <c r="V17" s="174">
        <v>2</v>
      </c>
      <c r="W17" s="174">
        <v>3</v>
      </c>
      <c r="X17" s="174">
        <v>4</v>
      </c>
      <c r="Y17" s="175">
        <v>5</v>
      </c>
      <c r="Z17" s="126"/>
      <c r="AD17" s="2"/>
      <c r="AE17" s="15"/>
    </row>
    <row r="18" spans="1:40" ht="39.950000000000003" customHeight="1" x14ac:dyDescent="0.25">
      <c r="A18" s="171" t="s">
        <v>53</v>
      </c>
      <c r="B18" s="743">
        <v>305.3</v>
      </c>
      <c r="C18" s="739">
        <v>14.5</v>
      </c>
      <c r="D18" s="739">
        <v>15.2</v>
      </c>
      <c r="E18" s="739">
        <v>2.7</v>
      </c>
      <c r="F18" s="739">
        <v>15.1</v>
      </c>
      <c r="G18" s="744">
        <v>15.2</v>
      </c>
      <c r="H18" s="506">
        <v>368</v>
      </c>
      <c r="I18" s="745">
        <v>306.39999999999998</v>
      </c>
      <c r="J18" s="739">
        <v>15.2</v>
      </c>
      <c r="K18" s="739">
        <v>15.5</v>
      </c>
      <c r="L18" s="739">
        <v>2.7</v>
      </c>
      <c r="M18" s="739">
        <v>15.5</v>
      </c>
      <c r="N18" s="746">
        <v>15.5</v>
      </c>
      <c r="O18" s="506">
        <v>370.79999999999995</v>
      </c>
      <c r="P18" s="747">
        <v>73.5</v>
      </c>
      <c r="Q18" s="459">
        <v>74</v>
      </c>
      <c r="R18" s="739">
        <v>19.399999999999999</v>
      </c>
      <c r="S18" s="739">
        <v>73.900000000000006</v>
      </c>
      <c r="T18" s="746">
        <v>73.8</v>
      </c>
      <c r="U18" s="748">
        <v>76</v>
      </c>
      <c r="V18" s="739">
        <v>78.599999999999994</v>
      </c>
      <c r="W18" s="459">
        <v>19.7</v>
      </c>
      <c r="X18" s="459">
        <v>77.7</v>
      </c>
      <c r="Y18" s="746">
        <v>77.400000000000006</v>
      </c>
      <c r="Z18" s="209">
        <f t="shared" ref="Z18:Z24" si="0">SUM(H18,O18,P18:Y18)</f>
        <v>1382.8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743">
        <v>305.3</v>
      </c>
      <c r="C19" s="739">
        <v>14.5</v>
      </c>
      <c r="D19" s="739">
        <v>15.2</v>
      </c>
      <c r="E19" s="739">
        <v>2.7</v>
      </c>
      <c r="F19" s="739">
        <v>15.1</v>
      </c>
      <c r="G19" s="744">
        <v>15.2</v>
      </c>
      <c r="H19" s="506">
        <v>368</v>
      </c>
      <c r="I19" s="745">
        <v>306.39999999999998</v>
      </c>
      <c r="J19" s="739">
        <v>15.2</v>
      </c>
      <c r="K19" s="739">
        <v>15.5</v>
      </c>
      <c r="L19" s="739">
        <v>2.7</v>
      </c>
      <c r="M19" s="739">
        <v>15.5</v>
      </c>
      <c r="N19" s="746">
        <v>15.5</v>
      </c>
      <c r="O19" s="506">
        <v>370.79999999999995</v>
      </c>
      <c r="P19" s="747">
        <v>73.5</v>
      </c>
      <c r="Q19" s="459">
        <v>74</v>
      </c>
      <c r="R19" s="739">
        <v>19.399999999999999</v>
      </c>
      <c r="S19" s="739">
        <v>73.900000000000006</v>
      </c>
      <c r="T19" s="746">
        <v>73.8</v>
      </c>
      <c r="U19" s="748">
        <v>76</v>
      </c>
      <c r="V19" s="739">
        <v>78.599999999999994</v>
      </c>
      <c r="W19" s="459">
        <v>19.7</v>
      </c>
      <c r="X19" s="459">
        <v>77.7</v>
      </c>
      <c r="Y19" s="746">
        <v>77.400000000000006</v>
      </c>
      <c r="Z19" s="209">
        <f t="shared" si="0"/>
        <v>1382.8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743">
        <v>305.3</v>
      </c>
      <c r="C20" s="739">
        <v>14.4</v>
      </c>
      <c r="D20" s="739">
        <v>15</v>
      </c>
      <c r="E20" s="739">
        <v>2.5</v>
      </c>
      <c r="F20" s="739">
        <v>15</v>
      </c>
      <c r="G20" s="744">
        <v>15.2</v>
      </c>
      <c r="H20" s="506">
        <v>367.4</v>
      </c>
      <c r="I20" s="745">
        <v>306.39999999999998</v>
      </c>
      <c r="J20" s="739">
        <v>14.7</v>
      </c>
      <c r="K20" s="739">
        <v>15</v>
      </c>
      <c r="L20" s="739">
        <v>2.6</v>
      </c>
      <c r="M20" s="739">
        <v>15</v>
      </c>
      <c r="N20" s="746">
        <v>15</v>
      </c>
      <c r="O20" s="506">
        <v>368.7</v>
      </c>
      <c r="P20" s="747">
        <v>73.5</v>
      </c>
      <c r="Q20" s="459">
        <v>74</v>
      </c>
      <c r="R20" s="739">
        <v>19.399999999999999</v>
      </c>
      <c r="S20" s="739">
        <v>73.7</v>
      </c>
      <c r="T20" s="746">
        <v>73.8</v>
      </c>
      <c r="U20" s="748">
        <v>76</v>
      </c>
      <c r="V20" s="739">
        <v>78.599999999999994</v>
      </c>
      <c r="W20" s="459">
        <v>19.7</v>
      </c>
      <c r="X20" s="459">
        <v>77.7</v>
      </c>
      <c r="Y20" s="746">
        <v>77.400000000000006</v>
      </c>
      <c r="Z20" s="209">
        <f t="shared" si="0"/>
        <v>1379.9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743">
        <v>305.3</v>
      </c>
      <c r="C21" s="739">
        <v>14.4</v>
      </c>
      <c r="D21" s="739">
        <v>15</v>
      </c>
      <c r="E21" s="739">
        <v>2.5</v>
      </c>
      <c r="F21" s="739">
        <v>15.1</v>
      </c>
      <c r="G21" s="744">
        <v>15.2</v>
      </c>
      <c r="H21" s="506">
        <f t="shared" ref="H21:H24" si="1">+SUM(B21:G21)</f>
        <v>367.5</v>
      </c>
      <c r="I21" s="745">
        <v>306.39999999999998</v>
      </c>
      <c r="J21" s="739">
        <v>14.7</v>
      </c>
      <c r="K21" s="739">
        <v>15</v>
      </c>
      <c r="L21" s="739">
        <v>2.6</v>
      </c>
      <c r="M21" s="739">
        <v>15</v>
      </c>
      <c r="N21" s="746">
        <v>15.1</v>
      </c>
      <c r="O21" s="506">
        <f t="shared" ref="O21:O24" si="2">+SUM(I21:N21)</f>
        <v>368.8</v>
      </c>
      <c r="P21" s="747">
        <v>73.5</v>
      </c>
      <c r="Q21" s="459">
        <v>73.900000000000006</v>
      </c>
      <c r="R21" s="739">
        <v>19.399999999999999</v>
      </c>
      <c r="S21" s="739">
        <v>73.7</v>
      </c>
      <c r="T21" s="746">
        <v>73.8</v>
      </c>
      <c r="U21" s="748">
        <v>76</v>
      </c>
      <c r="V21" s="739">
        <v>78.599999999999994</v>
      </c>
      <c r="W21" s="459">
        <v>19.7</v>
      </c>
      <c r="X21" s="459">
        <v>77.400000000000006</v>
      </c>
      <c r="Y21" s="746">
        <v>77.400000000000006</v>
      </c>
      <c r="Z21" s="209">
        <f t="shared" si="0"/>
        <v>1379.7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743">
        <v>305.3</v>
      </c>
      <c r="C22" s="739">
        <v>14.5</v>
      </c>
      <c r="D22" s="739">
        <v>15</v>
      </c>
      <c r="E22" s="739">
        <v>2.6</v>
      </c>
      <c r="F22" s="739">
        <v>15.1</v>
      </c>
      <c r="G22" s="744">
        <v>15.2</v>
      </c>
      <c r="H22" s="506">
        <f t="shared" si="1"/>
        <v>367.70000000000005</v>
      </c>
      <c r="I22" s="745">
        <v>306.39999999999998</v>
      </c>
      <c r="J22" s="739">
        <v>14.7</v>
      </c>
      <c r="K22" s="739">
        <v>15</v>
      </c>
      <c r="L22" s="739">
        <v>2.6</v>
      </c>
      <c r="M22" s="739">
        <v>15</v>
      </c>
      <c r="N22" s="746">
        <v>15.1</v>
      </c>
      <c r="O22" s="506">
        <f t="shared" si="2"/>
        <v>368.8</v>
      </c>
      <c r="P22" s="747">
        <v>73.5</v>
      </c>
      <c r="Q22" s="459">
        <v>73.900000000000006</v>
      </c>
      <c r="R22" s="739">
        <v>19.399999999999999</v>
      </c>
      <c r="S22" s="739">
        <v>73.7</v>
      </c>
      <c r="T22" s="746">
        <v>73.8</v>
      </c>
      <c r="U22" s="748">
        <v>75.900000000000006</v>
      </c>
      <c r="V22" s="739">
        <v>78.599999999999994</v>
      </c>
      <c r="W22" s="459">
        <v>19.7</v>
      </c>
      <c r="X22" s="459">
        <v>77.400000000000006</v>
      </c>
      <c r="Y22" s="746">
        <v>77.3</v>
      </c>
      <c r="Z22" s="209">
        <f t="shared" si="0"/>
        <v>1379.7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743">
        <v>305.3</v>
      </c>
      <c r="C23" s="739">
        <v>14.5</v>
      </c>
      <c r="D23" s="739">
        <v>15.1</v>
      </c>
      <c r="E23" s="739">
        <v>2.6</v>
      </c>
      <c r="F23" s="739">
        <v>15.1</v>
      </c>
      <c r="G23" s="744">
        <v>15.2</v>
      </c>
      <c r="H23" s="506">
        <f t="shared" si="1"/>
        <v>367.80000000000007</v>
      </c>
      <c r="I23" s="745">
        <v>306.39999999999998</v>
      </c>
      <c r="J23" s="739">
        <v>14.7</v>
      </c>
      <c r="K23" s="739">
        <v>15</v>
      </c>
      <c r="L23" s="739">
        <v>2.6</v>
      </c>
      <c r="M23" s="739">
        <v>15</v>
      </c>
      <c r="N23" s="746">
        <v>15.1</v>
      </c>
      <c r="O23" s="506">
        <f t="shared" si="2"/>
        <v>368.8</v>
      </c>
      <c r="P23" s="747">
        <v>73.5</v>
      </c>
      <c r="Q23" s="459">
        <v>73.900000000000006</v>
      </c>
      <c r="R23" s="739">
        <v>19.3</v>
      </c>
      <c r="S23" s="739">
        <v>73.8</v>
      </c>
      <c r="T23" s="746">
        <v>73.8</v>
      </c>
      <c r="U23" s="748">
        <v>75.900000000000006</v>
      </c>
      <c r="V23" s="739">
        <v>78.599999999999994</v>
      </c>
      <c r="W23" s="459">
        <v>19.7</v>
      </c>
      <c r="X23" s="459">
        <v>77.400000000000006</v>
      </c>
      <c r="Y23" s="746">
        <v>77.3</v>
      </c>
      <c r="Z23" s="209">
        <f t="shared" si="0"/>
        <v>1379.8000000000002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743">
        <v>305.3</v>
      </c>
      <c r="C24" s="739">
        <v>14.5</v>
      </c>
      <c r="D24" s="739">
        <v>15.1</v>
      </c>
      <c r="E24" s="739">
        <v>2.6</v>
      </c>
      <c r="F24" s="739">
        <v>15.1</v>
      </c>
      <c r="G24" s="744">
        <v>15.2</v>
      </c>
      <c r="H24" s="506">
        <f t="shared" si="1"/>
        <v>367.80000000000007</v>
      </c>
      <c r="I24" s="745">
        <v>306.39999999999998</v>
      </c>
      <c r="J24" s="739">
        <v>14.8</v>
      </c>
      <c r="K24" s="739">
        <v>15</v>
      </c>
      <c r="L24" s="739">
        <v>2.7</v>
      </c>
      <c r="M24" s="739">
        <v>15</v>
      </c>
      <c r="N24" s="746">
        <v>15</v>
      </c>
      <c r="O24" s="506">
        <f t="shared" si="2"/>
        <v>368.9</v>
      </c>
      <c r="P24" s="747">
        <v>73.400000000000006</v>
      </c>
      <c r="Q24" s="459">
        <v>73.900000000000006</v>
      </c>
      <c r="R24" s="739">
        <v>19.3</v>
      </c>
      <c r="S24" s="739">
        <v>73.8</v>
      </c>
      <c r="T24" s="746">
        <v>73.7</v>
      </c>
      <c r="U24" s="748">
        <v>75.900000000000006</v>
      </c>
      <c r="V24" s="739">
        <v>78.599999999999994</v>
      </c>
      <c r="W24" s="459">
        <v>19.600000000000001</v>
      </c>
      <c r="X24" s="459">
        <v>77.3</v>
      </c>
      <c r="Y24" s="746">
        <v>77.3</v>
      </c>
      <c r="Z24" s="412">
        <f t="shared" si="0"/>
        <v>1379.4999999999998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298">
        <f t="shared" ref="C25:G25" si="3">SUM(C18:C24)</f>
        <v>101.3</v>
      </c>
      <c r="D25" s="298">
        <f t="shared" si="3"/>
        <v>105.6</v>
      </c>
      <c r="E25" s="298">
        <f t="shared" si="3"/>
        <v>18.2</v>
      </c>
      <c r="F25" s="298">
        <f t="shared" si="3"/>
        <v>105.6</v>
      </c>
      <c r="G25" s="448">
        <f t="shared" si="3"/>
        <v>106.4</v>
      </c>
      <c r="H25" s="436"/>
      <c r="I25" s="297"/>
      <c r="J25" s="298">
        <f t="shared" ref="J25:N25" si="4">SUM(J18:J24)</f>
        <v>104</v>
      </c>
      <c r="K25" s="298">
        <f>SUM(K18:K24)</f>
        <v>106</v>
      </c>
      <c r="L25" s="298">
        <f t="shared" si="4"/>
        <v>18.5</v>
      </c>
      <c r="M25" s="298">
        <f t="shared" si="4"/>
        <v>106</v>
      </c>
      <c r="N25" s="299">
        <f t="shared" si="4"/>
        <v>106.3</v>
      </c>
      <c r="O25" s="436"/>
      <c r="P25" s="297">
        <f t="shared" ref="P25:W25" si="5">SUM(P18:P24)</f>
        <v>514.4</v>
      </c>
      <c r="Q25" s="297">
        <f t="shared" si="5"/>
        <v>517.59999999999991</v>
      </c>
      <c r="R25" s="297">
        <f t="shared" si="5"/>
        <v>135.6</v>
      </c>
      <c r="S25" s="297">
        <f t="shared" si="5"/>
        <v>516.5</v>
      </c>
      <c r="T25" s="297">
        <f t="shared" si="5"/>
        <v>516.5</v>
      </c>
      <c r="U25" s="297">
        <f t="shared" si="5"/>
        <v>531.69999999999993</v>
      </c>
      <c r="V25" s="297">
        <f t="shared" si="5"/>
        <v>550.20000000000005</v>
      </c>
      <c r="W25" s="297">
        <f t="shared" si="5"/>
        <v>137.80000000000001</v>
      </c>
      <c r="X25" s="297">
        <f>SUM(X18:X24)</f>
        <v>542.59999999999991</v>
      </c>
      <c r="Y25" s="792">
        <f>SUM(Y18:Y24)</f>
        <v>541.5</v>
      </c>
      <c r="Z25" s="449">
        <f>SUM(Z18,Z19,Z20,Z21,Z22,Z23,Z24)</f>
        <v>9664.2000000000007</v>
      </c>
      <c r="AA25" s="301"/>
    </row>
    <row r="26" spans="1:40" s="2" customFormat="1" ht="36.75" customHeight="1" x14ac:dyDescent="0.25">
      <c r="A26" s="192" t="s">
        <v>11</v>
      </c>
      <c r="B26" s="293"/>
      <c r="C26" s="603">
        <v>156.16999999999982</v>
      </c>
      <c r="D26" s="603">
        <v>156.16999999999982</v>
      </c>
      <c r="E26" s="603">
        <v>156.16999999999982</v>
      </c>
      <c r="F26" s="603">
        <v>156.16999999999982</v>
      </c>
      <c r="G26" s="603">
        <v>156.16999999999982</v>
      </c>
      <c r="H26" s="678"/>
      <c r="I26" s="796"/>
      <c r="J26" s="603">
        <v>156.16999999999982</v>
      </c>
      <c r="K26" s="603">
        <v>156.16999999999982</v>
      </c>
      <c r="L26" s="603">
        <v>156.16999999999982</v>
      </c>
      <c r="M26" s="603">
        <v>156.16999999999982</v>
      </c>
      <c r="N26" s="603">
        <v>156.16999999999982</v>
      </c>
      <c r="O26" s="678"/>
      <c r="P26" s="603">
        <v>154.4699999999998</v>
      </c>
      <c r="Q26" s="603">
        <v>154.4699999999998</v>
      </c>
      <c r="R26" s="603">
        <v>154.4699999999998</v>
      </c>
      <c r="S26" s="603">
        <v>154.4699999999998</v>
      </c>
      <c r="T26" s="603">
        <v>154.4699999999998</v>
      </c>
      <c r="U26" s="603">
        <v>154.4699999999998</v>
      </c>
      <c r="V26" s="603">
        <v>154.4699999999998</v>
      </c>
      <c r="W26" s="603">
        <v>154.4699999999998</v>
      </c>
      <c r="X26" s="603">
        <v>154.4699999999998</v>
      </c>
      <c r="Y26" s="603">
        <v>154.4699999999998</v>
      </c>
      <c r="Z26" s="793">
        <f>(((Z25*1000)/7)/Z27)</f>
        <v>156.56611476525291</v>
      </c>
    </row>
    <row r="27" spans="1:40" s="2" customFormat="1" ht="33" customHeight="1" x14ac:dyDescent="0.25">
      <c r="A27" s="193" t="s">
        <v>12</v>
      </c>
      <c r="B27" s="257"/>
      <c r="C27" s="27">
        <v>541</v>
      </c>
      <c r="D27" s="27">
        <v>563</v>
      </c>
      <c r="E27" s="27">
        <v>93</v>
      </c>
      <c r="F27" s="27">
        <v>564</v>
      </c>
      <c r="G27" s="183">
        <v>567</v>
      </c>
      <c r="H27" s="679"/>
      <c r="I27" s="184"/>
      <c r="J27" s="26">
        <v>553</v>
      </c>
      <c r="K27" s="27">
        <v>564</v>
      </c>
      <c r="L27" s="483">
        <v>95</v>
      </c>
      <c r="M27" s="27">
        <v>566</v>
      </c>
      <c r="N27" s="28">
        <v>568</v>
      </c>
      <c r="O27" s="679"/>
      <c r="P27" s="64">
        <v>473</v>
      </c>
      <c r="Q27" s="27">
        <v>477</v>
      </c>
      <c r="R27" s="27">
        <v>125</v>
      </c>
      <c r="S27" s="27">
        <v>475</v>
      </c>
      <c r="T27" s="756">
        <v>476</v>
      </c>
      <c r="U27" s="26">
        <v>487</v>
      </c>
      <c r="V27" s="27">
        <v>507</v>
      </c>
      <c r="W27" s="27">
        <v>126</v>
      </c>
      <c r="X27" s="27">
        <v>499</v>
      </c>
      <c r="Y27" s="28">
        <v>499</v>
      </c>
      <c r="Z27" s="211">
        <f>SUM(C27:Y27)</f>
        <v>8818</v>
      </c>
      <c r="AA27" s="402"/>
    </row>
    <row r="28" spans="1:40" s="2" customFormat="1" ht="33" customHeight="1" x14ac:dyDescent="0.25">
      <c r="A28" s="444" t="s">
        <v>13</v>
      </c>
      <c r="B28" s="445"/>
      <c r="C28" s="31">
        <f>(C33*C27)/1000</f>
        <v>14.157969999999901</v>
      </c>
      <c r="D28" s="31">
        <f>(D33*D27)/1000</f>
        <v>14.733709999999897</v>
      </c>
      <c r="E28" s="31">
        <f t="shared" ref="E28:F28" si="6">(E33*E27)/1000</f>
        <v>2.4338099999999829</v>
      </c>
      <c r="F28" s="31">
        <f t="shared" si="6"/>
        <v>14.759879999999898</v>
      </c>
      <c r="G28" s="163">
        <f>(G33*G27)/1000</f>
        <v>14.838389999999896</v>
      </c>
      <c r="H28" s="286"/>
      <c r="I28" s="324"/>
      <c r="J28" s="30">
        <f>(J33*J27)/1000</f>
        <v>14.472009999999898</v>
      </c>
      <c r="K28" s="31">
        <f t="shared" ref="K28:N28" si="7">(K33*K27)/1000</f>
        <v>14.759879999999898</v>
      </c>
      <c r="L28" s="31">
        <f t="shared" si="7"/>
        <v>2.486149999999983</v>
      </c>
      <c r="M28" s="31">
        <f t="shared" si="7"/>
        <v>14.812219999999895</v>
      </c>
      <c r="N28" s="32">
        <f t="shared" si="7"/>
        <v>14.864559999999896</v>
      </c>
      <c r="O28" s="286"/>
      <c r="P28" s="65">
        <f>((((P26*7)*P27)/1000)/7)</f>
        <v>73.064309999999907</v>
      </c>
      <c r="Q28" s="65">
        <f t="shared" ref="Q28:Z28" si="8">((((Q26*7)*Q27)/1000)/7)</f>
        <v>73.682189999999906</v>
      </c>
      <c r="R28" s="65">
        <f t="shared" si="8"/>
        <v>19.308749999999975</v>
      </c>
      <c r="S28" s="65">
        <f t="shared" si="8"/>
        <v>73.373249999999899</v>
      </c>
      <c r="T28" s="65">
        <f t="shared" si="8"/>
        <v>73.527719999999903</v>
      </c>
      <c r="U28" s="65">
        <f t="shared" si="8"/>
        <v>75.226889999999898</v>
      </c>
      <c r="V28" s="65">
        <f t="shared" si="8"/>
        <v>78.316289999999896</v>
      </c>
      <c r="W28" s="65">
        <f t="shared" si="8"/>
        <v>19.463219999999975</v>
      </c>
      <c r="X28" s="65">
        <f t="shared" si="8"/>
        <v>77.080529999999882</v>
      </c>
      <c r="Y28" s="65">
        <f t="shared" si="8"/>
        <v>77.080529999999882</v>
      </c>
      <c r="Z28" s="65">
        <f t="shared" si="8"/>
        <v>1380.6000000000001</v>
      </c>
    </row>
    <row r="29" spans="1:40" ht="33.75" customHeight="1" x14ac:dyDescent="0.25">
      <c r="A29" s="185" t="s">
        <v>14</v>
      </c>
      <c r="B29" s="34"/>
      <c r="C29" s="280">
        <f>((C27*C30)*7)/1000</f>
        <v>101.3</v>
      </c>
      <c r="D29" s="280">
        <f t="shared" ref="D29:G29" si="9">((D27*D30)*7)/1000</f>
        <v>105.59999999999998</v>
      </c>
      <c r="E29" s="280">
        <f>((E27*E30)*7)/1000</f>
        <v>18.199999999999996</v>
      </c>
      <c r="F29" s="280">
        <f t="shared" si="9"/>
        <v>105.59999999999998</v>
      </c>
      <c r="G29" s="281">
        <f t="shared" si="9"/>
        <v>106.40000000000002</v>
      </c>
      <c r="H29" s="680"/>
      <c r="I29" s="797"/>
      <c r="J29" s="279">
        <f>((J27*J30)*7)/1000</f>
        <v>104</v>
      </c>
      <c r="K29" s="280">
        <f t="shared" ref="K29:N29" si="10">((K27*K30)*7)/1000</f>
        <v>106</v>
      </c>
      <c r="L29" s="280">
        <f t="shared" si="10"/>
        <v>18.5</v>
      </c>
      <c r="M29" s="280">
        <f t="shared" si="10"/>
        <v>106</v>
      </c>
      <c r="N29" s="282">
        <f t="shared" si="10"/>
        <v>106.3</v>
      </c>
      <c r="O29" s="680"/>
      <c r="P29" s="325">
        <f t="shared" ref="P29:Z29" si="11">((P27*P26)*7)/1000</f>
        <v>511.45016999999933</v>
      </c>
      <c r="Q29" s="280">
        <f t="shared" si="11"/>
        <v>515.77532999999937</v>
      </c>
      <c r="R29" s="280">
        <f t="shared" si="11"/>
        <v>135.16124999999982</v>
      </c>
      <c r="S29" s="280">
        <f t="shared" si="11"/>
        <v>513.61274999999932</v>
      </c>
      <c r="T29" s="281">
        <f t="shared" si="11"/>
        <v>514.69403999999929</v>
      </c>
      <c r="U29" s="279">
        <f t="shared" si="11"/>
        <v>526.58822999999927</v>
      </c>
      <c r="V29" s="280">
        <f t="shared" si="11"/>
        <v>548.21402999999918</v>
      </c>
      <c r="W29" s="280">
        <f t="shared" si="11"/>
        <v>136.24253999999982</v>
      </c>
      <c r="X29" s="280">
        <f t="shared" si="11"/>
        <v>539.56370999999922</v>
      </c>
      <c r="Y29" s="282">
        <f t="shared" si="11"/>
        <v>539.56370999999922</v>
      </c>
      <c r="Z29" s="282">
        <f t="shared" si="11"/>
        <v>9664.2000000000025</v>
      </c>
    </row>
    <row r="30" spans="1:40" ht="33.75" customHeight="1" thickBot="1" x14ac:dyDescent="0.3">
      <c r="A30" s="195" t="s">
        <v>15</v>
      </c>
      <c r="B30" s="423"/>
      <c r="C30" s="38">
        <f>+(C25/C27)/7*1000</f>
        <v>26.749405862160021</v>
      </c>
      <c r="D30" s="38">
        <f t="shared" ref="D30:X30" si="12">+(D25/D27)/7*1000</f>
        <v>26.79522963714793</v>
      </c>
      <c r="E30" s="38">
        <f>+(E25/E27)/7*1000</f>
        <v>27.956989247311824</v>
      </c>
      <c r="F30" s="38">
        <f t="shared" si="12"/>
        <v>26.747720364741639</v>
      </c>
      <c r="G30" s="207">
        <f t="shared" si="12"/>
        <v>26.807760141093478</v>
      </c>
      <c r="H30" s="262"/>
      <c r="I30" s="798"/>
      <c r="J30" s="37">
        <f t="shared" si="12"/>
        <v>26.866442779643503</v>
      </c>
      <c r="K30" s="38">
        <f t="shared" si="12"/>
        <v>26.849037487335359</v>
      </c>
      <c r="L30" s="38">
        <f t="shared" si="12"/>
        <v>27.819548872180448</v>
      </c>
      <c r="M30" s="38">
        <f t="shared" si="12"/>
        <v>26.754164563351843</v>
      </c>
      <c r="N30" s="39">
        <f>+(N25/N27)/7*1000</f>
        <v>26.735412474849095</v>
      </c>
      <c r="O30" s="262"/>
      <c r="P30" s="67">
        <f t="shared" si="12"/>
        <v>155.36091815161581</v>
      </c>
      <c r="Q30" s="38">
        <f t="shared" si="12"/>
        <v>155.01647199760407</v>
      </c>
      <c r="R30" s="38">
        <f t="shared" si="12"/>
        <v>154.97142857142856</v>
      </c>
      <c r="S30" s="38">
        <f t="shared" si="12"/>
        <v>155.33834586466165</v>
      </c>
      <c r="T30" s="207">
        <f t="shared" si="12"/>
        <v>155.01200480192077</v>
      </c>
      <c r="U30" s="37">
        <f t="shared" si="12"/>
        <v>155.96949251980053</v>
      </c>
      <c r="V30" s="38">
        <f t="shared" si="12"/>
        <v>155.02958579881658</v>
      </c>
      <c r="W30" s="38">
        <f t="shared" si="12"/>
        <v>156.23582766439912</v>
      </c>
      <c r="X30" s="38">
        <f t="shared" si="12"/>
        <v>155.33924992842827</v>
      </c>
      <c r="Y30" s="39">
        <f>+(Y25/Y27)/7*1000</f>
        <v>155.02433438305181</v>
      </c>
      <c r="Z30" s="39">
        <f>+(Z25/Z27)/7*1000</f>
        <v>156.56611476525291</v>
      </c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3">D29-D25</f>
        <v>0</v>
      </c>
      <c r="E31" s="42">
        <f t="shared" si="13"/>
        <v>0</v>
      </c>
      <c r="F31" s="42">
        <f t="shared" si="13"/>
        <v>0</v>
      </c>
      <c r="G31" s="42">
        <f t="shared" si="13"/>
        <v>0</v>
      </c>
      <c r="H31" s="42"/>
      <c r="I31" s="42"/>
      <c r="J31" s="42">
        <f t="shared" si="13"/>
        <v>0</v>
      </c>
      <c r="K31" s="42">
        <f>K29-K25</f>
        <v>0</v>
      </c>
      <c r="L31" s="42">
        <f t="shared" si="13"/>
        <v>0</v>
      </c>
      <c r="M31" s="42">
        <f t="shared" si="13"/>
        <v>0</v>
      </c>
      <c r="N31" s="42">
        <f t="shared" si="13"/>
        <v>0</v>
      </c>
      <c r="O31" s="42"/>
      <c r="P31" s="42">
        <f>P29-P25</f>
        <v>-2.9498300000006452</v>
      </c>
      <c r="Q31" s="42">
        <f>Q29-Q25</f>
        <v>-1.8246700000005376</v>
      </c>
      <c r="R31" s="42">
        <f t="shared" si="13"/>
        <v>-0.43875000000016939</v>
      </c>
      <c r="S31" s="42">
        <f t="shared" si="13"/>
        <v>-2.8872500000006767</v>
      </c>
      <c r="T31" s="42">
        <f t="shared" si="13"/>
        <v>-1.8059600000007094</v>
      </c>
      <c r="U31" s="42">
        <f>U29-U25</f>
        <v>-5.1117700000006607</v>
      </c>
      <c r="V31" s="42">
        <f t="shared" si="13"/>
        <v>-1.9859700000008615</v>
      </c>
      <c r="W31" s="42">
        <f t="shared" si="13"/>
        <v>-1.5574600000001908</v>
      </c>
      <c r="X31" s="42">
        <f t="shared" si="13"/>
        <v>-3.0362900000006903</v>
      </c>
      <c r="Y31" s="42">
        <f>Y29-Y25</f>
        <v>-1.9362900000007812</v>
      </c>
      <c r="Z31" s="42">
        <f>Z29-Z25</f>
        <v>0</v>
      </c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0.57940586216020407</v>
      </c>
      <c r="D32" s="42">
        <f t="shared" ref="D32:G32" si="14">D30-D33</f>
        <v>0.62522963714811297</v>
      </c>
      <c r="E32" s="42">
        <f>E30-E33</f>
        <v>1.7869892473120075</v>
      </c>
      <c r="F32" s="42">
        <f t="shared" si="14"/>
        <v>0.57772036474182187</v>
      </c>
      <c r="G32" s="42">
        <f t="shared" si="14"/>
        <v>0.6377601410936613</v>
      </c>
      <c r="H32" s="42"/>
      <c r="I32" s="42"/>
      <c r="J32" s="42">
        <f t="shared" ref="J32:M32" si="15">J30-J33</f>
        <v>0.69644277964368584</v>
      </c>
      <c r="K32" s="42">
        <f t="shared" si="15"/>
        <v>0.67903748733554181</v>
      </c>
      <c r="L32" s="42">
        <f t="shared" si="15"/>
        <v>1.6495488721806311</v>
      </c>
      <c r="M32" s="42">
        <f t="shared" si="15"/>
        <v>0.58416456335202582</v>
      </c>
      <c r="N32" s="42">
        <f>N30-N33</f>
        <v>0.56541247484927837</v>
      </c>
      <c r="O32" s="42"/>
      <c r="P32" s="42">
        <f>P30-P26</f>
        <v>0.89091815161600607</v>
      </c>
      <c r="Q32" s="42">
        <f t="shared" si="13"/>
        <v>0.54647199760427156</v>
      </c>
      <c r="R32" s="42">
        <f t="shared" si="13"/>
        <v>0.50142857142876096</v>
      </c>
      <c r="S32" s="42">
        <f t="shared" si="13"/>
        <v>0.8683458646618476</v>
      </c>
      <c r="T32" s="42">
        <f t="shared" si="13"/>
        <v>0.54200480192096734</v>
      </c>
      <c r="U32" s="42">
        <f t="shared" si="13"/>
        <v>1.4994925198007252</v>
      </c>
      <c r="V32" s="42">
        <f t="shared" si="13"/>
        <v>0.55958579881678361</v>
      </c>
      <c r="W32" s="42">
        <f t="shared" si="13"/>
        <v>1.7658276643993247</v>
      </c>
      <c r="X32" s="42">
        <f t="shared" si="13"/>
        <v>0.86924992842847359</v>
      </c>
      <c r="Y32" s="42">
        <f t="shared" si="13"/>
        <v>0.55433438305200866</v>
      </c>
      <c r="Z32" s="42">
        <f t="shared" ref="Z32" si="16">Z30-Z26</f>
        <v>0</v>
      </c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26.169999999999817</v>
      </c>
      <c r="D33" s="42">
        <f t="shared" ref="D33:G33" si="17">D26-$B$34</f>
        <v>26.169999999999817</v>
      </c>
      <c r="E33" s="42">
        <f>E26-$B$34</f>
        <v>26.169999999999817</v>
      </c>
      <c r="F33" s="42">
        <f t="shared" si="17"/>
        <v>26.169999999999817</v>
      </c>
      <c r="G33" s="42">
        <f t="shared" si="17"/>
        <v>26.169999999999817</v>
      </c>
      <c r="H33" s="42"/>
      <c r="I33" s="42"/>
      <c r="J33" s="42">
        <f>J26-$I$34</f>
        <v>26.169999999999817</v>
      </c>
      <c r="K33" s="42">
        <f t="shared" ref="K33:L33" si="18">K26-$I$34</f>
        <v>26.169999999999817</v>
      </c>
      <c r="L33" s="42">
        <f t="shared" si="18"/>
        <v>26.169999999999817</v>
      </c>
      <c r="M33" s="42">
        <f>M26-$I$34</f>
        <v>26.169999999999817</v>
      </c>
      <c r="N33" s="42">
        <f>N26-$I$34</f>
        <v>26.169999999999817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302.64</v>
      </c>
      <c r="D34" s="432">
        <f>SUM(C27:G27)</f>
        <v>2328</v>
      </c>
      <c r="E34" s="42"/>
      <c r="F34" s="42"/>
      <c r="G34" s="42"/>
      <c r="H34" s="42"/>
      <c r="I34" s="514">
        <v>130</v>
      </c>
      <c r="J34" s="431">
        <f>(I34*K34)/1000</f>
        <v>304.98</v>
      </c>
      <c r="K34" s="432">
        <f>SUM(J27:N27)</f>
        <v>2346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1002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674" t="s">
        <v>9</v>
      </c>
      <c r="S39" s="645"/>
      <c r="U39" s="45"/>
      <c r="V39" s="45"/>
      <c r="W39" s="46"/>
      <c r="X39" s="3"/>
      <c r="Y39" s="45"/>
      <c r="Z39" s="45"/>
      <c r="AA39" s="45"/>
      <c r="AB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1003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168">
        <v>5</v>
      </c>
      <c r="R40" s="236"/>
      <c r="S40" s="645"/>
      <c r="U40" s="47"/>
      <c r="X40" s="48"/>
      <c r="Y40" s="2"/>
      <c r="Z40" s="2"/>
      <c r="AA40" s="2"/>
      <c r="AB40" s="2"/>
    </row>
    <row r="41" spans="1:38" ht="33.75" customHeight="1" x14ac:dyDescent="0.25">
      <c r="A41" s="171" t="s">
        <v>32</v>
      </c>
      <c r="B41" s="279">
        <v>84.1</v>
      </c>
      <c r="C41" s="280">
        <v>83.9</v>
      </c>
      <c r="D41" s="280">
        <v>15.3</v>
      </c>
      <c r="E41" s="280">
        <v>86.7</v>
      </c>
      <c r="F41" s="281">
        <v>83.9</v>
      </c>
      <c r="G41" s="209">
        <f t="shared" ref="G41:G48" si="19">SUM(B41:F41)</f>
        <v>353.9</v>
      </c>
      <c r="H41" s="364"/>
      <c r="I41" s="364"/>
      <c r="J41" s="364"/>
      <c r="K41" s="364"/>
      <c r="L41" s="171" t="s">
        <v>53</v>
      </c>
      <c r="M41" s="279">
        <v>7.1</v>
      </c>
      <c r="N41" s="280">
        <v>7</v>
      </c>
      <c r="O41" s="280">
        <v>1.3</v>
      </c>
      <c r="P41" s="280">
        <v>7.1</v>
      </c>
      <c r="Q41" s="281">
        <v>7.1</v>
      </c>
      <c r="R41" s="801">
        <f t="shared" ref="R41:R48" si="20">SUM(M41:Q41)</f>
        <v>29.6</v>
      </c>
      <c r="S41" s="646"/>
      <c r="T41" s="675"/>
      <c r="U41" s="657"/>
      <c r="X41" s="48"/>
      <c r="Y41" s="2"/>
      <c r="Z41" s="2"/>
      <c r="AA41" s="2"/>
      <c r="AB41" s="2"/>
    </row>
    <row r="42" spans="1:38" ht="33.75" customHeight="1" x14ac:dyDescent="0.25">
      <c r="A42" s="171" t="s">
        <v>24</v>
      </c>
      <c r="B42" s="279">
        <v>84.1</v>
      </c>
      <c r="C42" s="280">
        <v>83.9</v>
      </c>
      <c r="D42" s="280">
        <v>15.3</v>
      </c>
      <c r="E42" s="280">
        <v>86.7</v>
      </c>
      <c r="F42" s="281">
        <v>83.9</v>
      </c>
      <c r="G42" s="209">
        <f t="shared" si="19"/>
        <v>353.9</v>
      </c>
      <c r="H42" s="364"/>
      <c r="I42" s="364"/>
      <c r="J42" s="364"/>
      <c r="K42" s="364"/>
      <c r="L42" s="171" t="s">
        <v>24</v>
      </c>
      <c r="M42" s="279">
        <v>7</v>
      </c>
      <c r="N42" s="280">
        <v>7</v>
      </c>
      <c r="O42" s="280">
        <v>1.3</v>
      </c>
      <c r="P42" s="280">
        <v>7.1</v>
      </c>
      <c r="Q42" s="281">
        <v>7.1</v>
      </c>
      <c r="R42" s="209">
        <f t="shared" si="20"/>
        <v>29.5</v>
      </c>
      <c r="S42" s="646"/>
      <c r="T42" s="647"/>
      <c r="U42" s="658"/>
      <c r="X42" s="48"/>
      <c r="Y42" s="2"/>
      <c r="Z42" s="2"/>
      <c r="AA42" s="2"/>
      <c r="AB42" s="2"/>
    </row>
    <row r="43" spans="1:38" ht="33.75" customHeight="1" x14ac:dyDescent="0.25">
      <c r="A43" s="171" t="s">
        <v>20</v>
      </c>
      <c r="B43" s="279">
        <v>84.1</v>
      </c>
      <c r="C43" s="280">
        <v>83.4</v>
      </c>
      <c r="D43" s="280">
        <v>15.1</v>
      </c>
      <c r="E43" s="280">
        <v>86.7</v>
      </c>
      <c r="F43" s="281">
        <v>83.7</v>
      </c>
      <c r="G43" s="209">
        <f>SUM(B43:F43)</f>
        <v>353</v>
      </c>
      <c r="H43" s="364"/>
      <c r="I43" s="364"/>
      <c r="J43" s="364"/>
      <c r="K43" s="364"/>
      <c r="L43" s="171" t="s">
        <v>20</v>
      </c>
      <c r="M43" s="279">
        <v>7</v>
      </c>
      <c r="N43" s="280">
        <v>7</v>
      </c>
      <c r="O43" s="280">
        <v>1.1000000000000001</v>
      </c>
      <c r="P43" s="280">
        <v>7.1</v>
      </c>
      <c r="Q43" s="281">
        <v>7.1</v>
      </c>
      <c r="R43" s="209">
        <f t="shared" si="20"/>
        <v>29.299999999999997</v>
      </c>
      <c r="S43" s="646"/>
      <c r="T43" s="647"/>
      <c r="U43" s="658"/>
      <c r="X43" s="48"/>
      <c r="Y43" s="2"/>
      <c r="Z43" s="2"/>
      <c r="AA43" s="2"/>
      <c r="AB43" s="2"/>
    </row>
    <row r="44" spans="1:38" ht="33.75" customHeight="1" x14ac:dyDescent="0.25">
      <c r="A44" s="171" t="s">
        <v>28</v>
      </c>
      <c r="B44" s="279">
        <v>84.1</v>
      </c>
      <c r="C44" s="280">
        <v>83.4</v>
      </c>
      <c r="D44" s="280">
        <v>15</v>
      </c>
      <c r="E44" s="280">
        <v>86.7</v>
      </c>
      <c r="F44" s="281">
        <v>83.7</v>
      </c>
      <c r="G44" s="209">
        <f t="shared" si="19"/>
        <v>352.9</v>
      </c>
      <c r="H44" s="651"/>
      <c r="I44" s="364"/>
      <c r="J44" s="364"/>
      <c r="K44" s="364"/>
      <c r="L44" s="171" t="s">
        <v>28</v>
      </c>
      <c r="M44" s="279">
        <v>7</v>
      </c>
      <c r="N44" s="280">
        <v>7</v>
      </c>
      <c r="O44" s="280">
        <v>1</v>
      </c>
      <c r="P44" s="280">
        <v>7.1</v>
      </c>
      <c r="Q44" s="281">
        <v>7</v>
      </c>
      <c r="R44" s="209">
        <f t="shared" si="20"/>
        <v>29.1</v>
      </c>
      <c r="S44" s="646"/>
      <c r="T44" s="647"/>
      <c r="U44" s="658"/>
      <c r="X44" s="48"/>
      <c r="Y44" s="2"/>
      <c r="Z44" s="2"/>
      <c r="AA44" s="2"/>
      <c r="AB44" s="2"/>
    </row>
    <row r="45" spans="1:38" ht="33.75" customHeight="1" x14ac:dyDescent="0.25">
      <c r="A45" s="171" t="s">
        <v>21</v>
      </c>
      <c r="B45" s="279">
        <v>84</v>
      </c>
      <c r="C45" s="280">
        <v>83.5</v>
      </c>
      <c r="D45" s="280">
        <v>15</v>
      </c>
      <c r="E45" s="280">
        <v>86.7</v>
      </c>
      <c r="F45" s="281">
        <v>83.7</v>
      </c>
      <c r="G45" s="209">
        <f t="shared" si="19"/>
        <v>352.9</v>
      </c>
      <c r="H45" s="651"/>
      <c r="I45" s="364"/>
      <c r="J45" s="364"/>
      <c r="K45" s="364"/>
      <c r="L45" s="171" t="s">
        <v>21</v>
      </c>
      <c r="M45" s="279">
        <v>7</v>
      </c>
      <c r="N45" s="280">
        <v>6.9</v>
      </c>
      <c r="O45" s="280">
        <v>1</v>
      </c>
      <c r="P45" s="280">
        <v>7.1</v>
      </c>
      <c r="Q45" s="281">
        <v>7</v>
      </c>
      <c r="R45" s="209">
        <f t="shared" si="20"/>
        <v>29</v>
      </c>
      <c r="S45" s="646"/>
      <c r="T45" s="647"/>
      <c r="U45" s="658"/>
      <c r="X45" s="48"/>
      <c r="Y45" s="2"/>
      <c r="Z45" s="2"/>
      <c r="AA45" s="2"/>
      <c r="AB45" s="2"/>
    </row>
    <row r="46" spans="1:38" ht="33.75" customHeight="1" x14ac:dyDescent="0.25">
      <c r="A46" s="171" t="s">
        <v>22</v>
      </c>
      <c r="B46" s="279">
        <v>84</v>
      </c>
      <c r="C46" s="280">
        <v>83.5</v>
      </c>
      <c r="D46" s="280">
        <v>14.9</v>
      </c>
      <c r="E46" s="280">
        <v>86.6</v>
      </c>
      <c r="F46" s="281">
        <v>83.7</v>
      </c>
      <c r="G46" s="209">
        <f t="shared" si="19"/>
        <v>352.7</v>
      </c>
      <c r="H46" s="651"/>
      <c r="I46" s="364"/>
      <c r="J46" s="364"/>
      <c r="K46" s="364"/>
      <c r="L46" s="171" t="s">
        <v>22</v>
      </c>
      <c r="M46" s="279">
        <v>7</v>
      </c>
      <c r="N46" s="280">
        <v>6.9</v>
      </c>
      <c r="O46" s="280">
        <v>1</v>
      </c>
      <c r="P46" s="280">
        <v>7.1</v>
      </c>
      <c r="Q46" s="281">
        <v>7</v>
      </c>
      <c r="R46" s="209">
        <f t="shared" si="20"/>
        <v>29</v>
      </c>
      <c r="S46" s="646"/>
      <c r="T46" s="647"/>
      <c r="U46" s="658"/>
      <c r="X46" s="48"/>
      <c r="Y46" s="2"/>
      <c r="Z46" s="2"/>
      <c r="AA46" s="2"/>
      <c r="AB46" s="2"/>
    </row>
    <row r="47" spans="1:38" ht="33.75" customHeight="1" thickBot="1" x14ac:dyDescent="0.3">
      <c r="A47" s="285" t="s">
        <v>23</v>
      </c>
      <c r="B47" s="279">
        <v>84</v>
      </c>
      <c r="C47" s="280">
        <v>83.5</v>
      </c>
      <c r="D47" s="280">
        <v>15</v>
      </c>
      <c r="E47" s="280">
        <v>86.6</v>
      </c>
      <c r="F47" s="281">
        <v>83.6</v>
      </c>
      <c r="G47" s="376">
        <f t="shared" si="19"/>
        <v>352.70000000000005</v>
      </c>
      <c r="H47" s="651"/>
      <c r="I47" s="364"/>
      <c r="J47" s="364"/>
      <c r="K47" s="364"/>
      <c r="L47" s="285" t="s">
        <v>23</v>
      </c>
      <c r="M47" s="279">
        <v>7</v>
      </c>
      <c r="N47" s="280">
        <v>6.9</v>
      </c>
      <c r="O47" s="280">
        <v>1</v>
      </c>
      <c r="P47" s="280">
        <v>7</v>
      </c>
      <c r="Q47" s="281">
        <v>7</v>
      </c>
      <c r="R47" s="412">
        <f t="shared" si="20"/>
        <v>28.9</v>
      </c>
      <c r="S47" s="646"/>
      <c r="T47" s="647"/>
      <c r="U47" s="658"/>
      <c r="X47" s="48"/>
      <c r="Y47" s="48"/>
      <c r="Z47" s="48"/>
      <c r="AA47" s="2"/>
      <c r="AB47" s="2"/>
      <c r="AC47" s="2"/>
      <c r="AD47" s="2"/>
    </row>
    <row r="48" spans="1:38" ht="33.75" customHeight="1" thickBot="1" x14ac:dyDescent="0.3">
      <c r="A48" s="290" t="s">
        <v>9</v>
      </c>
      <c r="B48" s="297">
        <f>SUM(B41:B47)</f>
        <v>588.4</v>
      </c>
      <c r="C48" s="298">
        <f t="shared" ref="C48:F48" si="21">SUM(C41:C47)</f>
        <v>585.1</v>
      </c>
      <c r="D48" s="298">
        <f t="shared" si="21"/>
        <v>105.60000000000001</v>
      </c>
      <c r="E48" s="298">
        <f t="shared" si="21"/>
        <v>606.70000000000005</v>
      </c>
      <c r="F48" s="448">
        <f t="shared" si="21"/>
        <v>586.19999999999993</v>
      </c>
      <c r="G48" s="729">
        <f t="shared" si="19"/>
        <v>2472</v>
      </c>
      <c r="H48" s="364"/>
      <c r="I48" s="364"/>
      <c r="J48" s="364"/>
      <c r="K48" s="364"/>
      <c r="L48" s="290" t="s">
        <v>9</v>
      </c>
      <c r="M48" s="687">
        <f>SUM(M41:M47)</f>
        <v>49.1</v>
      </c>
      <c r="N48" s="688">
        <f>SUM(N41:N47)</f>
        <v>48.699999999999996</v>
      </c>
      <c r="O48" s="688">
        <f>SUM(O41:O47)</f>
        <v>7.7</v>
      </c>
      <c r="P48" s="688">
        <f t="shared" ref="P48:Q48" si="22">SUM(P41:P47)</f>
        <v>49.6</v>
      </c>
      <c r="Q48" s="790">
        <f t="shared" si="22"/>
        <v>49.3</v>
      </c>
      <c r="R48" s="449">
        <f t="shared" si="20"/>
        <v>204.39999999999998</v>
      </c>
      <c r="S48" s="647"/>
      <c r="T48" s="647"/>
      <c r="U48" s="658"/>
      <c r="X48" s="2"/>
      <c r="Y48" s="2"/>
      <c r="Z48" s="2"/>
      <c r="AA48" s="2"/>
      <c r="AB48" s="2"/>
      <c r="AC48" s="2"/>
      <c r="AD48" s="2"/>
    </row>
    <row r="49" spans="1:50" ht="33.75" customHeight="1" x14ac:dyDescent="0.25">
      <c r="A49" s="192" t="s">
        <v>11</v>
      </c>
      <c r="B49" s="751">
        <v>153.62799999999987</v>
      </c>
      <c r="C49" s="751">
        <v>153.62799999999987</v>
      </c>
      <c r="D49" s="751">
        <v>153.62799999999987</v>
      </c>
      <c r="E49" s="751">
        <v>153.62799999999987</v>
      </c>
      <c r="F49" s="751">
        <v>153.62799999999987</v>
      </c>
      <c r="G49" s="730">
        <f>+((G48/G50)/7)*1000</f>
        <v>154.54829634260705</v>
      </c>
      <c r="H49" s="609"/>
      <c r="I49" s="364"/>
      <c r="J49" s="364"/>
      <c r="K49" s="364"/>
      <c r="L49" s="273" t="s">
        <v>11</v>
      </c>
      <c r="M49" s="293">
        <v>159.5</v>
      </c>
      <c r="N49" s="294">
        <v>158</v>
      </c>
      <c r="O49" s="294">
        <v>157.5</v>
      </c>
      <c r="P49" s="294">
        <v>157.5</v>
      </c>
      <c r="Q49" s="791">
        <v>156.5</v>
      </c>
      <c r="R49" s="730">
        <f>+((R48/R50)/7)*1000</f>
        <v>157.83783783783781</v>
      </c>
      <c r="S49" s="648"/>
      <c r="T49" s="647"/>
      <c r="U49" s="658"/>
      <c r="V49" s="50"/>
    </row>
    <row r="50" spans="1:50" ht="33.75" customHeight="1" x14ac:dyDescent="0.25">
      <c r="A50" s="193" t="s">
        <v>12</v>
      </c>
      <c r="B50" s="26">
        <v>546</v>
      </c>
      <c r="C50" s="27">
        <v>539</v>
      </c>
      <c r="D50" s="27">
        <v>96</v>
      </c>
      <c r="E50" s="27">
        <v>562</v>
      </c>
      <c r="F50" s="183">
        <v>542</v>
      </c>
      <c r="G50" s="731">
        <f>SUM(B50:F50)</f>
        <v>2285</v>
      </c>
      <c r="H50" s="609"/>
      <c r="I50" s="364"/>
      <c r="J50" s="364"/>
      <c r="K50" s="364"/>
      <c r="L50" s="193" t="s">
        <v>12</v>
      </c>
      <c r="M50" s="257">
        <v>44</v>
      </c>
      <c r="N50" s="275">
        <v>44</v>
      </c>
      <c r="O50" s="275">
        <v>7</v>
      </c>
      <c r="P50" s="275">
        <v>45</v>
      </c>
      <c r="Q50" s="527">
        <v>45</v>
      </c>
      <c r="R50" s="233">
        <f>SUM(M50:Q50)</f>
        <v>185</v>
      </c>
      <c r="S50" s="649"/>
      <c r="T50" s="301"/>
      <c r="U50" s="52"/>
      <c r="V50" s="52"/>
    </row>
    <row r="51" spans="1:50" ht="33.75" customHeight="1" x14ac:dyDescent="0.25">
      <c r="A51" s="194" t="s">
        <v>13</v>
      </c>
      <c r="B51" s="30">
        <f>((((B49*7)*B50)/1000))/7</f>
        <v>83.880887999999914</v>
      </c>
      <c r="C51" s="30">
        <f t="shared" ref="C51:F51" si="23">((((C49*7)*C50)/1000))/7</f>
        <v>82.80549199999993</v>
      </c>
      <c r="D51" s="30">
        <f t="shared" si="23"/>
        <v>14.748287999999988</v>
      </c>
      <c r="E51" s="30">
        <f t="shared" si="23"/>
        <v>86.338935999999919</v>
      </c>
      <c r="F51" s="30">
        <f t="shared" si="23"/>
        <v>83.266375999999937</v>
      </c>
      <c r="G51" s="732">
        <f>((G48*1000)/G50)/7</f>
        <v>154.54829634260707</v>
      </c>
      <c r="H51" s="609"/>
      <c r="I51" s="364"/>
      <c r="J51" s="364"/>
      <c r="K51" s="364"/>
      <c r="L51" s="194" t="s">
        <v>13</v>
      </c>
      <c r="M51" s="30">
        <f>((((M49*7)*M50)/1000)/7)</f>
        <v>7.0179999999999998</v>
      </c>
      <c r="N51" s="30">
        <f t="shared" ref="N51:Q51" si="24">((((N49*7)*N50)/1000)/7)</f>
        <v>6.952</v>
      </c>
      <c r="O51" s="30">
        <f t="shared" si="24"/>
        <v>1.1025</v>
      </c>
      <c r="P51" s="30">
        <f t="shared" si="24"/>
        <v>7.0874999999999995</v>
      </c>
      <c r="Q51" s="30">
        <f t="shared" si="24"/>
        <v>7.0424999999999995</v>
      </c>
      <c r="R51" s="234">
        <f>((R48*1000)/R50)/7</f>
        <v>157.83783783783784</v>
      </c>
      <c r="S51" s="650"/>
      <c r="T51" s="301"/>
      <c r="U51" s="52"/>
      <c r="V51" s="52"/>
    </row>
    <row r="52" spans="1:50" ht="33.75" customHeight="1" x14ac:dyDescent="0.25">
      <c r="A52" s="185" t="s">
        <v>14</v>
      </c>
      <c r="B52" s="279">
        <f>((B50*B49)*7)/1000</f>
        <v>587.16621599999951</v>
      </c>
      <c r="C52" s="280">
        <f>((C50*C49)*7)/1000</f>
        <v>579.63844399999948</v>
      </c>
      <c r="D52" s="280">
        <f>((D50*D49)*7)/1000</f>
        <v>103.23801599999992</v>
      </c>
      <c r="E52" s="280">
        <f>((E50*E49)*7)/1000</f>
        <v>604.37255199999947</v>
      </c>
      <c r="F52" s="281">
        <f>((F50*F49)*7)/1000</f>
        <v>582.86463199999957</v>
      </c>
      <c r="G52" s="73"/>
      <c r="H52" s="609"/>
      <c r="I52" s="364"/>
      <c r="J52" s="364"/>
      <c r="K52" s="364"/>
      <c r="L52" s="185" t="s">
        <v>14</v>
      </c>
      <c r="M52" s="279">
        <f>((M50*M49)*7)/1000</f>
        <v>49.125999999999998</v>
      </c>
      <c r="N52" s="280">
        <f>((N50*N49)*7)/1000</f>
        <v>48.664000000000001</v>
      </c>
      <c r="O52" s="280">
        <f>((O50*O49)*7)/1000</f>
        <v>7.7175000000000002</v>
      </c>
      <c r="P52" s="280">
        <f t="shared" ref="P52" si="25">((P50*P49)*7)/1000</f>
        <v>49.612499999999997</v>
      </c>
      <c r="Q52" s="281">
        <f>((Q50*Q49)*7)/1000</f>
        <v>49.297499999999999</v>
      </c>
      <c r="R52" s="213"/>
      <c r="S52" s="522"/>
    </row>
    <row r="53" spans="1:50" ht="33.75" customHeight="1" thickBot="1" x14ac:dyDescent="0.3">
      <c r="A53" s="195" t="s">
        <v>15</v>
      </c>
      <c r="B53" s="37">
        <f>+(B48/B50)/7*1000</f>
        <v>153.95081109366822</v>
      </c>
      <c r="C53" s="38">
        <f t="shared" ref="C53:E53" si="26">+(C48/C50)/7*1000</f>
        <v>155.07553670818976</v>
      </c>
      <c r="D53" s="38">
        <f t="shared" si="26"/>
        <v>157.14285714285717</v>
      </c>
      <c r="E53" s="38">
        <f t="shared" si="26"/>
        <v>154.21962379257752</v>
      </c>
      <c r="F53" s="207">
        <f>+(F48/F50)/7*1000</f>
        <v>154.50711649973641</v>
      </c>
      <c r="G53" s="74"/>
      <c r="H53" s="609"/>
      <c r="I53" s="364"/>
      <c r="J53" s="364"/>
      <c r="K53" s="364"/>
      <c r="L53" s="195" t="s">
        <v>15</v>
      </c>
      <c r="M53" s="37">
        <f>+(M48/M50)/7*1000</f>
        <v>159.41558441558442</v>
      </c>
      <c r="N53" s="38">
        <f>+(N48/N50)/7*1000</f>
        <v>158.11688311688309</v>
      </c>
      <c r="O53" s="38">
        <f>+(O48/O50)/7*1000</f>
        <v>157.14285714285717</v>
      </c>
      <c r="P53" s="38">
        <f t="shared" ref="P53:Q53" si="27">+(P48/P50)/7*1000</f>
        <v>157.46031746031747</v>
      </c>
      <c r="Q53" s="207">
        <f t="shared" si="27"/>
        <v>156.50793650793648</v>
      </c>
      <c r="R53" s="262"/>
      <c r="S53" s="651"/>
      <c r="U53" s="42"/>
      <c r="V53" s="42"/>
    </row>
    <row r="54" spans="1:50" ht="33.75" customHeight="1" x14ac:dyDescent="0.25">
      <c r="A54" s="41"/>
      <c r="B54" s="43">
        <f>B52-B48</f>
        <v>-1.233784000000469</v>
      </c>
      <c r="C54" s="43">
        <f t="shared" ref="C54:D55" si="28">C52-C48</f>
        <v>-5.4615560000005416</v>
      </c>
      <c r="D54" s="43">
        <f t="shared" si="28"/>
        <v>-2.361984000000092</v>
      </c>
      <c r="E54" s="43">
        <f>E52-E48</f>
        <v>-2.3274480000005724</v>
      </c>
      <c r="F54" s="43">
        <f>F52-F48</f>
        <v>-3.3353680000003578</v>
      </c>
      <c r="G54" s="41"/>
      <c r="H54" s="41"/>
      <c r="I54" s="41"/>
      <c r="J54" s="41"/>
      <c r="K54" s="41"/>
      <c r="L54" s="42"/>
      <c r="M54" s="42">
        <f>M52-M48</f>
        <v>2.5999999999996248E-2</v>
      </c>
      <c r="N54" s="42">
        <f>N52-N48</f>
        <v>-3.5999999999994259E-2</v>
      </c>
      <c r="O54" s="42">
        <f t="shared" ref="N54:Q55" si="29">O52-O48</f>
        <v>1.7500000000000071E-2</v>
      </c>
      <c r="P54" s="42">
        <f t="shared" si="29"/>
        <v>1.2499999999995737E-2</v>
      </c>
      <c r="Q54" s="42">
        <f t="shared" si="29"/>
        <v>-2.4999999999977263E-3</v>
      </c>
      <c r="R54" s="42"/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0.32281109366834926</v>
      </c>
      <c r="C55" s="42">
        <f>C53-C49</f>
        <v>1.4475367081898867</v>
      </c>
      <c r="D55" s="42">
        <f t="shared" si="28"/>
        <v>3.514857142857295</v>
      </c>
      <c r="E55" s="42">
        <f>E53-E49</f>
        <v>0.59162379257764997</v>
      </c>
      <c r="F55" s="42">
        <f>F53-F49</f>
        <v>0.87911649973653994</v>
      </c>
      <c r="G55" s="41"/>
      <c r="H55" s="41"/>
      <c r="I55" s="41"/>
      <c r="J55" s="41"/>
      <c r="K55" s="42"/>
      <c r="L55" s="42"/>
      <c r="M55" s="42">
        <f>M53-M49</f>
        <v>-8.4415584415580724E-2</v>
      </c>
      <c r="N55" s="42">
        <f t="shared" si="29"/>
        <v>0.11688311688308772</v>
      </c>
      <c r="O55" s="42">
        <f>O53-O49</f>
        <v>-0.35714285714283278</v>
      </c>
      <c r="P55" s="42">
        <f>P53-P49</f>
        <v>-3.968253968253066E-2</v>
      </c>
      <c r="Q55" s="42">
        <f t="shared" si="29"/>
        <v>7.9365079364777102E-3</v>
      </c>
      <c r="R55" s="42"/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283"/>
      <c r="N57" s="283"/>
      <c r="O57" s="283"/>
      <c r="P57" s="283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99" t="s">
        <v>30</v>
      </c>
      <c r="H58" s="1000"/>
      <c r="I58" s="1000"/>
      <c r="J58" s="1000"/>
      <c r="K58" s="1001"/>
      <c r="L58" s="973" t="s">
        <v>29</v>
      </c>
      <c r="M58" s="974"/>
      <c r="N58" s="974"/>
      <c r="O58" s="974"/>
      <c r="P58" s="991"/>
      <c r="Q58" s="973" t="s">
        <v>31</v>
      </c>
      <c r="R58" s="974"/>
      <c r="S58" s="974"/>
      <c r="T58" s="974"/>
      <c r="U58" s="991"/>
      <c r="V58" s="586" t="s">
        <v>9</v>
      </c>
      <c r="W58" s="661"/>
      <c r="X58" s="662"/>
      <c r="Y58" s="522"/>
      <c r="Z58" s="522"/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692">
        <v>1</v>
      </c>
      <c r="H59" s="693">
        <v>2</v>
      </c>
      <c r="I59" s="693">
        <v>3</v>
      </c>
      <c r="J59" s="693">
        <v>4</v>
      </c>
      <c r="K59" s="693">
        <v>5</v>
      </c>
      <c r="L59" s="188">
        <v>1</v>
      </c>
      <c r="M59" s="168">
        <v>2</v>
      </c>
      <c r="N59" s="168">
        <v>3</v>
      </c>
      <c r="O59" s="168">
        <v>4</v>
      </c>
      <c r="P59" s="414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126"/>
      <c r="W59" s="663"/>
      <c r="X59" s="645"/>
      <c r="Y59" s="657"/>
      <c r="Z59" s="657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45">
      <c r="A60" s="171" t="s">
        <v>53</v>
      </c>
      <c r="B60" s="735">
        <v>7.6</v>
      </c>
      <c r="C60" s="736">
        <v>7.6</v>
      </c>
      <c r="D60" s="736">
        <v>1.7</v>
      </c>
      <c r="E60" s="736">
        <v>7.7</v>
      </c>
      <c r="F60" s="737">
        <v>7.6</v>
      </c>
      <c r="G60" s="738">
        <v>7.6</v>
      </c>
      <c r="H60" s="739">
        <v>7.7</v>
      </c>
      <c r="I60" s="799">
        <v>1.5</v>
      </c>
      <c r="J60" s="739">
        <v>7.6</v>
      </c>
      <c r="K60" s="739">
        <v>7.7</v>
      </c>
      <c r="L60" s="279">
        <v>6.2</v>
      </c>
      <c r="M60" s="280">
        <v>6.3</v>
      </c>
      <c r="N60" s="280">
        <v>1.9</v>
      </c>
      <c r="O60" s="280">
        <v>6</v>
      </c>
      <c r="P60" s="282">
        <v>6.3</v>
      </c>
      <c r="Q60" s="737">
        <v>6.5</v>
      </c>
      <c r="R60" s="736">
        <v>6.6</v>
      </c>
      <c r="S60" s="736">
        <v>2.1</v>
      </c>
      <c r="T60" s="736">
        <v>6.7</v>
      </c>
      <c r="U60" s="742">
        <v>6.5</v>
      </c>
      <c r="V60" s="412">
        <f t="shared" ref="V60:V67" si="30">SUM(B60:U60)</f>
        <v>119.39999999999999</v>
      </c>
      <c r="W60" s="651"/>
      <c r="X60" s="646"/>
      <c r="Y60" s="657"/>
      <c r="Z60" s="657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45">
      <c r="A61" s="171" t="s">
        <v>24</v>
      </c>
      <c r="B61" s="735">
        <v>7.6</v>
      </c>
      <c r="C61" s="736">
        <v>7.6</v>
      </c>
      <c r="D61" s="736">
        <v>1.6</v>
      </c>
      <c r="E61" s="736">
        <v>7.7</v>
      </c>
      <c r="F61" s="737">
        <v>7.6</v>
      </c>
      <c r="G61" s="738">
        <v>7.5</v>
      </c>
      <c r="H61" s="739">
        <v>7.7</v>
      </c>
      <c r="I61" s="799">
        <v>1.5</v>
      </c>
      <c r="J61" s="739">
        <v>7.6</v>
      </c>
      <c r="K61" s="739">
        <v>7.7</v>
      </c>
      <c r="L61" s="279">
        <v>6.2</v>
      </c>
      <c r="M61" s="280">
        <v>6.3</v>
      </c>
      <c r="N61" s="280">
        <v>1.9</v>
      </c>
      <c r="O61" s="280">
        <v>6</v>
      </c>
      <c r="P61" s="282">
        <v>6.3</v>
      </c>
      <c r="Q61" s="737">
        <v>6.5</v>
      </c>
      <c r="R61" s="736">
        <v>6.6</v>
      </c>
      <c r="S61" s="736">
        <v>2.1</v>
      </c>
      <c r="T61" s="736">
        <v>6.7</v>
      </c>
      <c r="U61" s="742">
        <v>6.5</v>
      </c>
      <c r="V61" s="412">
        <f t="shared" si="30"/>
        <v>119.2</v>
      </c>
      <c r="W61" s="651"/>
      <c r="X61" s="646"/>
      <c r="Y61" s="651"/>
      <c r="Z61" s="651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45">
      <c r="A62" s="171" t="s">
        <v>20</v>
      </c>
      <c r="B62" s="735">
        <v>7.6</v>
      </c>
      <c r="C62" s="736">
        <v>7.6</v>
      </c>
      <c r="D62" s="736">
        <v>1.6</v>
      </c>
      <c r="E62" s="736">
        <v>7.7</v>
      </c>
      <c r="F62" s="737">
        <v>7.6</v>
      </c>
      <c r="G62" s="738">
        <v>7.5</v>
      </c>
      <c r="H62" s="739">
        <v>7.7</v>
      </c>
      <c r="I62" s="799">
        <v>1.5</v>
      </c>
      <c r="J62" s="739">
        <v>7.6</v>
      </c>
      <c r="K62" s="739">
        <v>7.7</v>
      </c>
      <c r="L62" s="279">
        <v>6.2</v>
      </c>
      <c r="M62" s="280">
        <v>6.3</v>
      </c>
      <c r="N62" s="280">
        <v>1.9</v>
      </c>
      <c r="O62" s="280">
        <v>6</v>
      </c>
      <c r="P62" s="282">
        <v>6.3</v>
      </c>
      <c r="Q62" s="737">
        <v>6.5</v>
      </c>
      <c r="R62" s="736">
        <v>6.6</v>
      </c>
      <c r="S62" s="736">
        <v>2.1</v>
      </c>
      <c r="T62" s="736">
        <v>6.6</v>
      </c>
      <c r="U62" s="742">
        <v>6.5</v>
      </c>
      <c r="V62" s="412">
        <f t="shared" si="30"/>
        <v>119.1</v>
      </c>
      <c r="W62" s="651"/>
      <c r="X62" s="646"/>
      <c r="Y62" s="651"/>
      <c r="Z62" s="651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45">
      <c r="A63" s="171" t="s">
        <v>28</v>
      </c>
      <c r="B63" s="735">
        <v>7.6</v>
      </c>
      <c r="C63" s="736">
        <v>7.6</v>
      </c>
      <c r="D63" s="736">
        <v>1.6</v>
      </c>
      <c r="E63" s="736">
        <v>7.7</v>
      </c>
      <c r="F63" s="737">
        <v>7.3</v>
      </c>
      <c r="G63" s="738">
        <v>7.5</v>
      </c>
      <c r="H63" s="739">
        <v>7.7</v>
      </c>
      <c r="I63" s="799">
        <v>1.5</v>
      </c>
      <c r="J63" s="739">
        <v>7.6</v>
      </c>
      <c r="K63" s="739">
        <v>7.7</v>
      </c>
      <c r="L63" s="279">
        <v>6.2</v>
      </c>
      <c r="M63" s="280">
        <v>6.3</v>
      </c>
      <c r="N63" s="280">
        <v>1.9</v>
      </c>
      <c r="O63" s="280">
        <v>5.9</v>
      </c>
      <c r="P63" s="282">
        <v>6.3</v>
      </c>
      <c r="Q63" s="737">
        <v>6.5</v>
      </c>
      <c r="R63" s="736">
        <v>6.6</v>
      </c>
      <c r="S63" s="736">
        <v>2.1</v>
      </c>
      <c r="T63" s="736">
        <v>6.6</v>
      </c>
      <c r="U63" s="742">
        <v>6.4</v>
      </c>
      <c r="V63" s="412">
        <f t="shared" si="30"/>
        <v>118.6</v>
      </c>
      <c r="W63" s="651"/>
      <c r="X63" s="646"/>
      <c r="Y63" s="651"/>
      <c r="Z63" s="651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45">
      <c r="A64" s="171" t="s">
        <v>21</v>
      </c>
      <c r="B64" s="735">
        <v>7.6</v>
      </c>
      <c r="C64" s="736">
        <v>7.6</v>
      </c>
      <c r="D64" s="736">
        <v>1.6</v>
      </c>
      <c r="E64" s="736">
        <v>7.7</v>
      </c>
      <c r="F64" s="737">
        <v>7.3</v>
      </c>
      <c r="G64" s="738">
        <v>7.5</v>
      </c>
      <c r="H64" s="739">
        <v>7.7</v>
      </c>
      <c r="I64" s="799">
        <v>1.4</v>
      </c>
      <c r="J64" s="739">
        <v>7.6</v>
      </c>
      <c r="K64" s="739">
        <v>7.6</v>
      </c>
      <c r="L64" s="279">
        <v>6.1</v>
      </c>
      <c r="M64" s="280">
        <v>6.2</v>
      </c>
      <c r="N64" s="280">
        <v>1.9</v>
      </c>
      <c r="O64" s="280">
        <v>5.9</v>
      </c>
      <c r="P64" s="282">
        <v>6.3</v>
      </c>
      <c r="Q64" s="737">
        <v>6.4</v>
      </c>
      <c r="R64" s="736">
        <v>6.6</v>
      </c>
      <c r="S64" s="736">
        <v>2.1</v>
      </c>
      <c r="T64" s="736">
        <v>6.6</v>
      </c>
      <c r="U64" s="742">
        <v>6.4</v>
      </c>
      <c r="V64" s="412">
        <f t="shared" si="30"/>
        <v>118.10000000000001</v>
      </c>
      <c r="W64" s="651"/>
      <c r="X64" s="646"/>
      <c r="Y64" s="651"/>
      <c r="Z64" s="651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45">
      <c r="A65" s="171" t="s">
        <v>22</v>
      </c>
      <c r="B65" s="735">
        <v>7.5</v>
      </c>
      <c r="C65" s="736">
        <v>7.5</v>
      </c>
      <c r="D65" s="736">
        <v>1.6</v>
      </c>
      <c r="E65" s="736">
        <v>7.7</v>
      </c>
      <c r="F65" s="737">
        <v>7.2</v>
      </c>
      <c r="G65" s="738">
        <v>7.5</v>
      </c>
      <c r="H65" s="739">
        <v>7.7</v>
      </c>
      <c r="I65" s="799">
        <v>1.4</v>
      </c>
      <c r="J65" s="739">
        <v>7.5</v>
      </c>
      <c r="K65" s="739">
        <v>7.6</v>
      </c>
      <c r="L65" s="279">
        <v>6.1</v>
      </c>
      <c r="M65" s="280">
        <v>6.2</v>
      </c>
      <c r="N65" s="280">
        <v>1.9</v>
      </c>
      <c r="O65" s="280">
        <v>5.9</v>
      </c>
      <c r="P65" s="282">
        <v>6.3</v>
      </c>
      <c r="Q65" s="737">
        <v>6.4</v>
      </c>
      <c r="R65" s="736">
        <v>6.6</v>
      </c>
      <c r="S65" s="736">
        <v>2.1</v>
      </c>
      <c r="T65" s="736">
        <v>6.6</v>
      </c>
      <c r="U65" s="742">
        <v>6.4</v>
      </c>
      <c r="V65" s="412">
        <f t="shared" si="30"/>
        <v>117.7</v>
      </c>
      <c r="W65" s="651"/>
      <c r="X65" s="646"/>
      <c r="Y65" s="651"/>
      <c r="Z65" s="651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5">
      <c r="A66" s="171" t="s">
        <v>23</v>
      </c>
      <c r="B66" s="735">
        <v>7.5</v>
      </c>
      <c r="C66" s="736">
        <v>7.5</v>
      </c>
      <c r="D66" s="736">
        <v>1.6</v>
      </c>
      <c r="E66" s="736">
        <v>7.7</v>
      </c>
      <c r="F66" s="737">
        <v>7.2</v>
      </c>
      <c r="G66" s="738">
        <v>7.5</v>
      </c>
      <c r="H66" s="739">
        <v>7.7</v>
      </c>
      <c r="I66" s="799">
        <v>1.4</v>
      </c>
      <c r="J66" s="739">
        <v>7.5</v>
      </c>
      <c r="K66" s="739">
        <v>7.6</v>
      </c>
      <c r="L66" s="279">
        <v>6.1</v>
      </c>
      <c r="M66" s="280">
        <v>6.2</v>
      </c>
      <c r="N66" s="280">
        <v>1.8</v>
      </c>
      <c r="O66" s="280">
        <v>5.9</v>
      </c>
      <c r="P66" s="282">
        <v>6.2</v>
      </c>
      <c r="Q66" s="737">
        <v>6.4</v>
      </c>
      <c r="R66" s="736">
        <v>6.6</v>
      </c>
      <c r="S66" s="736">
        <v>2.1</v>
      </c>
      <c r="T66" s="736">
        <v>6.6</v>
      </c>
      <c r="U66" s="742">
        <v>6.4</v>
      </c>
      <c r="V66" s="412">
        <f t="shared" si="30"/>
        <v>117.5</v>
      </c>
      <c r="W66" s="651"/>
      <c r="X66" s="646"/>
      <c r="Y66" s="651"/>
      <c r="Z66" s="651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297">
        <f t="shared" ref="B67:U67" si="31">SUM(B60:B66)</f>
        <v>53</v>
      </c>
      <c r="C67" s="298">
        <f t="shared" si="31"/>
        <v>53</v>
      </c>
      <c r="D67" s="298">
        <f t="shared" si="31"/>
        <v>11.299999999999999</v>
      </c>
      <c r="E67" s="298">
        <f t="shared" si="31"/>
        <v>53.900000000000006</v>
      </c>
      <c r="F67" s="448">
        <f t="shared" si="31"/>
        <v>51.800000000000004</v>
      </c>
      <c r="G67" s="719">
        <f t="shared" si="31"/>
        <v>52.6</v>
      </c>
      <c r="H67" s="696">
        <f t="shared" si="31"/>
        <v>53.900000000000006</v>
      </c>
      <c r="I67" s="696">
        <f t="shared" si="31"/>
        <v>10.200000000000001</v>
      </c>
      <c r="J67" s="696">
        <f t="shared" si="31"/>
        <v>53</v>
      </c>
      <c r="K67" s="720">
        <f t="shared" si="31"/>
        <v>53.6</v>
      </c>
      <c r="L67" s="618">
        <f t="shared" si="31"/>
        <v>43.1</v>
      </c>
      <c r="M67" s="616">
        <f t="shared" si="31"/>
        <v>43.800000000000004</v>
      </c>
      <c r="N67" s="616">
        <f t="shared" si="31"/>
        <v>13.200000000000001</v>
      </c>
      <c r="O67" s="616">
        <f t="shared" si="31"/>
        <v>41.599999999999994</v>
      </c>
      <c r="P67" s="616">
        <f t="shared" si="31"/>
        <v>44</v>
      </c>
      <c r="Q67" s="615">
        <f t="shared" si="31"/>
        <v>45.199999999999996</v>
      </c>
      <c r="R67" s="616">
        <f t="shared" si="31"/>
        <v>46.2</v>
      </c>
      <c r="S67" s="616">
        <f t="shared" si="31"/>
        <v>14.7</v>
      </c>
      <c r="T67" s="616">
        <f t="shared" si="31"/>
        <v>46.400000000000006</v>
      </c>
      <c r="U67" s="617">
        <f t="shared" si="31"/>
        <v>45.099999999999994</v>
      </c>
      <c r="V67" s="449">
        <f t="shared" si="30"/>
        <v>829.60000000000025</v>
      </c>
      <c r="W67" s="664"/>
      <c r="X67" s="646"/>
      <c r="Y67" s="651"/>
      <c r="Z67" s="651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161</v>
      </c>
      <c r="C68" s="358">
        <v>161</v>
      </c>
      <c r="D68" s="358">
        <v>161</v>
      </c>
      <c r="E68" s="358">
        <v>160.5</v>
      </c>
      <c r="F68" s="718">
        <v>161</v>
      </c>
      <c r="G68" s="721">
        <v>160</v>
      </c>
      <c r="H68" s="698">
        <v>160.5</v>
      </c>
      <c r="I68" s="698">
        <v>162</v>
      </c>
      <c r="J68" s="698">
        <v>161</v>
      </c>
      <c r="K68" s="794">
        <v>159.5</v>
      </c>
      <c r="L68" s="357">
        <v>158</v>
      </c>
      <c r="M68" s="358">
        <v>160.5</v>
      </c>
      <c r="N68" s="358">
        <v>157</v>
      </c>
      <c r="O68" s="358">
        <v>160.5</v>
      </c>
      <c r="P68" s="624">
        <v>161</v>
      </c>
      <c r="Q68" s="357">
        <v>161.5</v>
      </c>
      <c r="R68" s="358">
        <v>161</v>
      </c>
      <c r="S68" s="358">
        <v>162</v>
      </c>
      <c r="T68" s="358">
        <v>161.5</v>
      </c>
      <c r="U68" s="624">
        <v>161</v>
      </c>
      <c r="V68" s="296">
        <f>+((V67/V69)/7)*1000</f>
        <v>160.58846302748748</v>
      </c>
      <c r="W68" s="145"/>
      <c r="X68" s="648"/>
      <c r="Y68" s="665"/>
      <c r="Z68" s="522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47</v>
      </c>
      <c r="C69" s="275">
        <v>47</v>
      </c>
      <c r="D69" s="275">
        <v>10</v>
      </c>
      <c r="E69" s="275">
        <v>48</v>
      </c>
      <c r="F69" s="527">
        <v>46</v>
      </c>
      <c r="G69" s="723">
        <v>47</v>
      </c>
      <c r="H69" s="700">
        <v>48</v>
      </c>
      <c r="I69" s="700">
        <v>9</v>
      </c>
      <c r="J69" s="700">
        <v>47</v>
      </c>
      <c r="K69" s="795">
        <v>48</v>
      </c>
      <c r="L69" s="257">
        <v>39</v>
      </c>
      <c r="M69" s="275">
        <v>39</v>
      </c>
      <c r="N69" s="275">
        <v>12</v>
      </c>
      <c r="O69" s="275">
        <v>37</v>
      </c>
      <c r="P69" s="276">
        <v>39</v>
      </c>
      <c r="Q69" s="257">
        <v>40</v>
      </c>
      <c r="R69" s="275">
        <v>41</v>
      </c>
      <c r="S69" s="275">
        <v>13</v>
      </c>
      <c r="T69" s="275">
        <v>41</v>
      </c>
      <c r="U69" s="276">
        <v>40</v>
      </c>
      <c r="V69" s="254">
        <f>SUM(B69:U69)</f>
        <v>738</v>
      </c>
      <c r="W69" s="145"/>
      <c r="X69" s="649"/>
      <c r="Y69" s="665"/>
      <c r="Z69" s="522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>((((B68*7)*B69)/1000)/7)</f>
        <v>7.5670000000000002</v>
      </c>
      <c r="C70" s="30">
        <f t="shared" ref="C70:U70" si="32">((((C68*7)*C69)/1000)/7)</f>
        <v>7.5670000000000002</v>
      </c>
      <c r="D70" s="30">
        <f t="shared" si="32"/>
        <v>1.6099999999999999</v>
      </c>
      <c r="E70" s="30">
        <f t="shared" si="32"/>
        <v>7.7039999999999997</v>
      </c>
      <c r="F70" s="30">
        <f t="shared" si="32"/>
        <v>7.4059999999999997</v>
      </c>
      <c r="G70" s="30">
        <f t="shared" si="32"/>
        <v>7.5200000000000005</v>
      </c>
      <c r="H70" s="30">
        <f t="shared" si="32"/>
        <v>7.7039999999999997</v>
      </c>
      <c r="I70" s="30">
        <f t="shared" si="32"/>
        <v>1.458</v>
      </c>
      <c r="J70" s="30">
        <f t="shared" si="32"/>
        <v>7.5670000000000002</v>
      </c>
      <c r="K70" s="30">
        <f t="shared" si="32"/>
        <v>7.6559999999999997</v>
      </c>
      <c r="L70" s="30">
        <f t="shared" si="32"/>
        <v>6.1619999999999999</v>
      </c>
      <c r="M70" s="30">
        <f t="shared" si="32"/>
        <v>6.2595000000000001</v>
      </c>
      <c r="N70" s="30">
        <f t="shared" si="32"/>
        <v>1.8840000000000001</v>
      </c>
      <c r="O70" s="30">
        <f t="shared" si="32"/>
        <v>5.9384999999999994</v>
      </c>
      <c r="P70" s="30">
        <f t="shared" si="32"/>
        <v>6.2790000000000008</v>
      </c>
      <c r="Q70" s="30">
        <f t="shared" si="32"/>
        <v>6.46</v>
      </c>
      <c r="R70" s="30">
        <f t="shared" si="32"/>
        <v>6.601</v>
      </c>
      <c r="S70" s="30">
        <f t="shared" si="32"/>
        <v>2.1060000000000003</v>
      </c>
      <c r="T70" s="30">
        <f t="shared" si="32"/>
        <v>6.6214999999999993</v>
      </c>
      <c r="U70" s="30">
        <f t="shared" si="32"/>
        <v>6.4399999999999995</v>
      </c>
      <c r="V70" s="139">
        <f>((V67*1000)/V69)/7</f>
        <v>160.58846302748748</v>
      </c>
      <c r="W70" s="144"/>
      <c r="X70" s="650"/>
      <c r="Y70" s="665"/>
      <c r="Z70" s="522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33">((B69*B68)*7)/1000</f>
        <v>52.969000000000001</v>
      </c>
      <c r="C71" s="280">
        <f t="shared" si="33"/>
        <v>52.969000000000001</v>
      </c>
      <c r="D71" s="280">
        <f t="shared" si="33"/>
        <v>11.27</v>
      </c>
      <c r="E71" s="280">
        <f t="shared" si="33"/>
        <v>53.927999999999997</v>
      </c>
      <c r="F71" s="281">
        <f t="shared" si="33"/>
        <v>51.841999999999999</v>
      </c>
      <c r="G71" s="464">
        <f t="shared" si="33"/>
        <v>52.64</v>
      </c>
      <c r="H71" s="459">
        <f>((H69*H68)*7)/1000</f>
        <v>53.927999999999997</v>
      </c>
      <c r="I71" s="459">
        <f t="shared" si="33"/>
        <v>10.206</v>
      </c>
      <c r="J71" s="459">
        <f t="shared" si="33"/>
        <v>52.969000000000001</v>
      </c>
      <c r="K71" s="458">
        <f t="shared" si="33"/>
        <v>53.591999999999999</v>
      </c>
      <c r="L71" s="279">
        <f t="shared" si="33"/>
        <v>43.134</v>
      </c>
      <c r="M71" s="280">
        <f t="shared" si="33"/>
        <v>43.816499999999998</v>
      </c>
      <c r="N71" s="280">
        <f t="shared" si="33"/>
        <v>13.188000000000001</v>
      </c>
      <c r="O71" s="280">
        <f t="shared" si="33"/>
        <v>41.569499999999998</v>
      </c>
      <c r="P71" s="282">
        <f t="shared" si="33"/>
        <v>43.953000000000003</v>
      </c>
      <c r="Q71" s="279">
        <f t="shared" si="33"/>
        <v>45.22</v>
      </c>
      <c r="R71" s="280">
        <f t="shared" si="33"/>
        <v>46.207000000000001</v>
      </c>
      <c r="S71" s="280">
        <f t="shared" si="33"/>
        <v>14.742000000000001</v>
      </c>
      <c r="T71" s="280">
        <f t="shared" si="33"/>
        <v>46.350499999999997</v>
      </c>
      <c r="U71" s="282">
        <f t="shared" si="33"/>
        <v>45.08</v>
      </c>
      <c r="V71" s="112"/>
      <c r="W71" s="651"/>
      <c r="X71" s="666"/>
      <c r="Y71" s="666"/>
      <c r="Z71" s="666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U72" si="34">+(B67/B69)/7*1000</f>
        <v>161.09422492401217</v>
      </c>
      <c r="C72" s="38">
        <f t="shared" si="34"/>
        <v>161.09422492401217</v>
      </c>
      <c r="D72" s="38">
        <f t="shared" si="34"/>
        <v>161.42857142857142</v>
      </c>
      <c r="E72" s="38">
        <f t="shared" si="34"/>
        <v>160.41666666666669</v>
      </c>
      <c r="F72" s="207">
        <f t="shared" si="34"/>
        <v>160.86956521739131</v>
      </c>
      <c r="G72" s="727">
        <f t="shared" si="34"/>
        <v>159.87841945288753</v>
      </c>
      <c r="H72" s="704">
        <f t="shared" si="34"/>
        <v>160.41666666666669</v>
      </c>
      <c r="I72" s="704">
        <f t="shared" si="34"/>
        <v>161.90476190476193</v>
      </c>
      <c r="J72" s="704">
        <f t="shared" si="34"/>
        <v>161.09422492401217</v>
      </c>
      <c r="K72" s="461">
        <f t="shared" si="34"/>
        <v>159.52380952380955</v>
      </c>
      <c r="L72" s="37">
        <f t="shared" si="34"/>
        <v>157.8754578754579</v>
      </c>
      <c r="M72" s="38">
        <f t="shared" si="34"/>
        <v>160.43956043956047</v>
      </c>
      <c r="N72" s="38">
        <f t="shared" si="34"/>
        <v>157.14285714285717</v>
      </c>
      <c r="O72" s="38">
        <f t="shared" si="34"/>
        <v>160.61776061776058</v>
      </c>
      <c r="P72" s="39">
        <f t="shared" si="34"/>
        <v>161.1721611721612</v>
      </c>
      <c r="Q72" s="37">
        <f t="shared" si="34"/>
        <v>161.42857142857142</v>
      </c>
      <c r="R72" s="38">
        <f t="shared" si="34"/>
        <v>160.97560975609755</v>
      </c>
      <c r="S72" s="38">
        <f t="shared" si="34"/>
        <v>161.53846153846155</v>
      </c>
      <c r="T72" s="38">
        <f t="shared" si="34"/>
        <v>161.67247386759584</v>
      </c>
      <c r="U72" s="39">
        <f t="shared" si="34"/>
        <v>161.07142857142856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43">
        <f>B71-B67</f>
        <v>-3.0999999999998806E-2</v>
      </c>
      <c r="C73" s="43">
        <f t="shared" ref="C73:F73" si="35">C71-C67</f>
        <v>-3.0999999999998806E-2</v>
      </c>
      <c r="D73" s="43">
        <f t="shared" si="35"/>
        <v>-2.9999999999999361E-2</v>
      </c>
      <c r="E73" s="43">
        <f t="shared" si="35"/>
        <v>2.7999999999991587E-2</v>
      </c>
      <c r="F73" s="43">
        <f t="shared" si="35"/>
        <v>4.1999999999994486E-2</v>
      </c>
      <c r="G73" s="143">
        <f>G71-G67</f>
        <v>3.9999999999999147E-2</v>
      </c>
      <c r="H73" s="143">
        <f t="shared" ref="H73:U74" si="36">H71-H67</f>
        <v>2.7999999999991587E-2</v>
      </c>
      <c r="I73" s="143">
        <f t="shared" si="36"/>
        <v>5.999999999998451E-3</v>
      </c>
      <c r="J73" s="143">
        <f t="shared" si="36"/>
        <v>-3.0999999999998806E-2</v>
      </c>
      <c r="K73" s="143">
        <f t="shared" si="36"/>
        <v>-8.0000000000026716E-3</v>
      </c>
      <c r="L73" s="43">
        <f>L71-L67</f>
        <v>3.399999999999892E-2</v>
      </c>
      <c r="M73" s="43">
        <f t="shared" ref="M73:P73" si="37">M71-M67</f>
        <v>1.649999999999352E-2</v>
      </c>
      <c r="N73" s="43">
        <f t="shared" si="37"/>
        <v>-1.2000000000000455E-2</v>
      </c>
      <c r="O73" s="43">
        <f t="shared" si="37"/>
        <v>-3.0499999999996419E-2</v>
      </c>
      <c r="P73" s="43">
        <f t="shared" si="37"/>
        <v>-4.6999999999997044E-2</v>
      </c>
      <c r="Q73" s="43">
        <f>Q71-Q67</f>
        <v>2.0000000000003126E-2</v>
      </c>
      <c r="R73" s="43">
        <f t="shared" ref="R73:U73" si="38">R71-R67</f>
        <v>6.9999999999978968E-3</v>
      </c>
      <c r="S73" s="43">
        <f>S71-S67</f>
        <v>4.2000000000001592E-2</v>
      </c>
      <c r="T73" s="43">
        <f>T71-T67</f>
        <v>-4.9500000000008981E-2</v>
      </c>
      <c r="U73" s="43">
        <f t="shared" si="38"/>
        <v>-1.9999999999996021E-2</v>
      </c>
      <c r="W73" s="144"/>
      <c r="X73" s="522"/>
      <c r="Y73" s="522"/>
      <c r="Z73" s="522"/>
    </row>
    <row r="74" spans="1:50" ht="33.75" customHeight="1" x14ac:dyDescent="0.25">
      <c r="B74" s="42">
        <f t="shared" ref="B74:J74" si="39">B72-B68</f>
        <v>9.4224924012166866E-2</v>
      </c>
      <c r="C74" s="42">
        <f t="shared" si="39"/>
        <v>9.4224924012166866E-2</v>
      </c>
      <c r="D74" s="42">
        <f t="shared" si="39"/>
        <v>0.42857142857141639</v>
      </c>
      <c r="E74" s="42">
        <f t="shared" si="39"/>
        <v>-8.3333333333314386E-2</v>
      </c>
      <c r="F74" s="42">
        <f t="shared" si="39"/>
        <v>-0.13043478260868824</v>
      </c>
      <c r="G74" s="705">
        <f t="shared" si="39"/>
        <v>-0.12158054711247246</v>
      </c>
      <c r="H74" s="705">
        <f t="shared" si="39"/>
        <v>-8.3333333333314386E-2</v>
      </c>
      <c r="I74" s="705">
        <f>I72-I68</f>
        <v>-9.5238095238073583E-2</v>
      </c>
      <c r="J74" s="705">
        <f t="shared" si="39"/>
        <v>9.4224924012166866E-2</v>
      </c>
      <c r="K74" s="705">
        <f t="shared" si="36"/>
        <v>2.3809523809546818E-2</v>
      </c>
      <c r="L74" s="42">
        <f t="shared" si="36"/>
        <v>-0.12454212454210278</v>
      </c>
      <c r="M74" s="42">
        <f t="shared" si="36"/>
        <v>-6.0439560439533579E-2</v>
      </c>
      <c r="N74" s="42">
        <f t="shared" si="36"/>
        <v>0.14285714285716722</v>
      </c>
      <c r="O74" s="42">
        <f t="shared" si="36"/>
        <v>0.117760617760581</v>
      </c>
      <c r="P74" s="42">
        <f t="shared" si="36"/>
        <v>0.17216117216119642</v>
      </c>
      <c r="Q74" s="42">
        <f t="shared" si="36"/>
        <v>-7.1428571428583609E-2</v>
      </c>
      <c r="R74" s="42">
        <f t="shared" si="36"/>
        <v>-2.4390243902445263E-2</v>
      </c>
      <c r="S74" s="42">
        <f t="shared" si="36"/>
        <v>-0.46153846153845279</v>
      </c>
      <c r="T74" s="42">
        <f t="shared" si="36"/>
        <v>0.1724738675958406</v>
      </c>
      <c r="U74" s="42">
        <f t="shared" si="36"/>
        <v>7.1428571428555188E-2</v>
      </c>
      <c r="V74" s="45"/>
      <c r="W74" s="651"/>
      <c r="X74" s="657"/>
      <c r="Y74" s="657"/>
      <c r="Z74" s="657"/>
      <c r="AA74" s="45"/>
      <c r="AB74" s="45"/>
      <c r="AC74" s="45"/>
      <c r="AD74" s="52"/>
    </row>
    <row r="75" spans="1:50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</row>
    <row r="76" spans="1:50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0" ht="33.75" customHeight="1" x14ac:dyDescent="0.25">
      <c r="A77" s="45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5">
    <mergeCell ref="B39:F39"/>
    <mergeCell ref="G39:G40"/>
    <mergeCell ref="M39:Q39"/>
    <mergeCell ref="B58:F58"/>
    <mergeCell ref="G58:K58"/>
    <mergeCell ref="L58:P58"/>
    <mergeCell ref="Q58:U58"/>
    <mergeCell ref="A3:C3"/>
    <mergeCell ref="E9:G9"/>
    <mergeCell ref="W9:X9"/>
    <mergeCell ref="O11:P11"/>
    <mergeCell ref="B16:H16"/>
    <mergeCell ref="I16:O16"/>
    <mergeCell ref="P16:T16"/>
    <mergeCell ref="U16:Y16"/>
  </mergeCells>
  <pageMargins left="0.23622047244094488" right="0.23622047244094488" top="0.74803149606299213" bottom="0.74803149606299213" header="0.31496062992125984" footer="0.31496062992125984"/>
  <pageSetup paperSize="9" scale="20" fitToWidth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Y241"/>
  <sheetViews>
    <sheetView zoomScale="26" zoomScaleNormal="26" workbookViewId="0">
      <selection activeCell="C27" sqref="C27:G27"/>
    </sheetView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51</v>
      </c>
      <c r="P11" s="965"/>
      <c r="Q11" s="6"/>
      <c r="R11" s="6"/>
      <c r="S11" s="6"/>
      <c r="T11" s="1"/>
      <c r="U11" s="1"/>
      <c r="V11" s="1" t="s">
        <v>6</v>
      </c>
      <c r="W11" s="95">
        <v>45688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  <c r="Z16" s="977" t="s">
        <v>9</v>
      </c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828"/>
      <c r="I17" s="188" t="s">
        <v>100</v>
      </c>
      <c r="J17" s="168">
        <v>1</v>
      </c>
      <c r="K17" s="168">
        <v>2</v>
      </c>
      <c r="L17" s="168">
        <v>3</v>
      </c>
      <c r="M17" s="168">
        <v>4</v>
      </c>
      <c r="N17" s="169">
        <v>5</v>
      </c>
      <c r="O17" s="828"/>
      <c r="P17" s="189">
        <v>1</v>
      </c>
      <c r="Q17" s="168">
        <v>2</v>
      </c>
      <c r="R17" s="168">
        <v>3</v>
      </c>
      <c r="S17" s="168">
        <v>4</v>
      </c>
      <c r="T17" s="204">
        <v>5</v>
      </c>
      <c r="U17" s="188">
        <v>1</v>
      </c>
      <c r="V17" s="168">
        <v>2</v>
      </c>
      <c r="W17" s="168">
        <v>3</v>
      </c>
      <c r="X17" s="168">
        <v>4</v>
      </c>
      <c r="Y17" s="169">
        <v>5</v>
      </c>
      <c r="Z17" s="984"/>
      <c r="AD17" s="2"/>
      <c r="AE17" s="15"/>
    </row>
    <row r="18" spans="1:40" ht="39.950000000000003" customHeight="1" x14ac:dyDescent="0.25">
      <c r="A18" s="171" t="s">
        <v>53</v>
      </c>
      <c r="B18" s="820">
        <v>299</v>
      </c>
      <c r="C18" s="821">
        <v>14.5</v>
      </c>
      <c r="D18" s="821">
        <v>15.2</v>
      </c>
      <c r="E18" s="821">
        <v>2.7</v>
      </c>
      <c r="F18" s="821">
        <v>15.1</v>
      </c>
      <c r="G18" s="822">
        <v>15.2</v>
      </c>
      <c r="H18" s="506">
        <f>+SUM(B18:G18)</f>
        <v>361.7</v>
      </c>
      <c r="I18" s="823">
        <v>302</v>
      </c>
      <c r="J18" s="821">
        <v>15.2</v>
      </c>
      <c r="K18" s="821">
        <v>15.5</v>
      </c>
      <c r="L18" s="821">
        <v>2.7</v>
      </c>
      <c r="M18" s="821">
        <v>15.5</v>
      </c>
      <c r="N18" s="824">
        <v>15.5</v>
      </c>
      <c r="O18" s="506">
        <f t="shared" ref="O18:O24" si="0">+SUM(I18:N18)</f>
        <v>366.4</v>
      </c>
      <c r="P18" s="825">
        <v>73.099999999999994</v>
      </c>
      <c r="Q18" s="826">
        <v>73.7</v>
      </c>
      <c r="R18" s="821">
        <v>19.399999999999999</v>
      </c>
      <c r="S18" s="821">
        <v>73.400000000000006</v>
      </c>
      <c r="T18" s="824">
        <v>73.599999999999994</v>
      </c>
      <c r="U18" s="827">
        <v>75.3</v>
      </c>
      <c r="V18" s="821">
        <v>78.400000000000006</v>
      </c>
      <c r="W18" s="826">
        <v>19.5</v>
      </c>
      <c r="X18" s="826">
        <v>77.099999999999994</v>
      </c>
      <c r="Y18" s="824">
        <v>77.099999999999994</v>
      </c>
      <c r="Z18" s="835">
        <f t="shared" ref="Z18:Z24" si="1">SUM(H18,O18,P18:Y18)</f>
        <v>1368.6999999999998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743">
        <v>299</v>
      </c>
      <c r="C19" s="739">
        <v>14.5</v>
      </c>
      <c r="D19" s="739">
        <v>15.2</v>
      </c>
      <c r="E19" s="739">
        <v>2.7</v>
      </c>
      <c r="F19" s="739">
        <v>15.1</v>
      </c>
      <c r="G19" s="744">
        <v>15.2</v>
      </c>
      <c r="H19" s="506">
        <f t="shared" ref="H19:H24" si="2">+SUM(B19:G19)</f>
        <v>361.7</v>
      </c>
      <c r="I19" s="745">
        <v>302</v>
      </c>
      <c r="J19" s="739">
        <v>15.2</v>
      </c>
      <c r="K19" s="739">
        <v>15.5</v>
      </c>
      <c r="L19" s="739">
        <v>2.7</v>
      </c>
      <c r="M19" s="739">
        <v>15.5</v>
      </c>
      <c r="N19" s="746">
        <v>15.5</v>
      </c>
      <c r="O19" s="506">
        <f t="shared" si="0"/>
        <v>366.4</v>
      </c>
      <c r="P19" s="747">
        <v>73.099999999999994</v>
      </c>
      <c r="Q19" s="459">
        <v>73.5</v>
      </c>
      <c r="R19" s="739">
        <v>19.2</v>
      </c>
      <c r="S19" s="739">
        <v>73.099999999999994</v>
      </c>
      <c r="T19" s="746">
        <v>73.400000000000006</v>
      </c>
      <c r="U19" s="748">
        <v>75.3</v>
      </c>
      <c r="V19" s="739">
        <v>78.3</v>
      </c>
      <c r="W19" s="459">
        <v>19.100000000000001</v>
      </c>
      <c r="X19" s="459">
        <v>77.099999999999994</v>
      </c>
      <c r="Y19" s="746">
        <v>77.099999999999994</v>
      </c>
      <c r="Z19" s="638">
        <f t="shared" si="1"/>
        <v>1367.2999999999997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743">
        <v>299</v>
      </c>
      <c r="C20" s="739">
        <v>14.4</v>
      </c>
      <c r="D20" s="739">
        <v>15</v>
      </c>
      <c r="E20" s="739">
        <v>2.5</v>
      </c>
      <c r="F20" s="739">
        <v>15</v>
      </c>
      <c r="G20" s="744">
        <v>15.2</v>
      </c>
      <c r="H20" s="506">
        <f t="shared" si="2"/>
        <v>361.09999999999997</v>
      </c>
      <c r="I20" s="745">
        <v>302</v>
      </c>
      <c r="J20" s="739">
        <v>14.7</v>
      </c>
      <c r="K20" s="739">
        <v>15</v>
      </c>
      <c r="L20" s="739">
        <v>2.6</v>
      </c>
      <c r="M20" s="739">
        <v>15</v>
      </c>
      <c r="N20" s="746">
        <v>15</v>
      </c>
      <c r="O20" s="506">
        <f t="shared" si="0"/>
        <v>364.3</v>
      </c>
      <c r="P20" s="747">
        <v>73.099999999999994</v>
      </c>
      <c r="Q20" s="459">
        <v>73.5</v>
      </c>
      <c r="R20" s="739">
        <v>19.100000000000001</v>
      </c>
      <c r="S20" s="739">
        <v>73.2</v>
      </c>
      <c r="T20" s="746">
        <v>73.400000000000006</v>
      </c>
      <c r="U20" s="748">
        <v>75.2</v>
      </c>
      <c r="V20" s="739">
        <v>78.3</v>
      </c>
      <c r="W20" s="459">
        <v>18.899999999999999</v>
      </c>
      <c r="X20" s="459">
        <v>76.900000000000006</v>
      </c>
      <c r="Y20" s="746">
        <v>77.099999999999994</v>
      </c>
      <c r="Z20" s="638">
        <f t="shared" si="1"/>
        <v>1364.1000000000001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743">
        <v>299</v>
      </c>
      <c r="C21" s="739">
        <v>14.4</v>
      </c>
      <c r="D21" s="739">
        <v>15</v>
      </c>
      <c r="E21" s="739">
        <v>2.5</v>
      </c>
      <c r="F21" s="739">
        <v>15.1</v>
      </c>
      <c r="G21" s="744">
        <v>15.2</v>
      </c>
      <c r="H21" s="506">
        <f t="shared" si="2"/>
        <v>361.2</v>
      </c>
      <c r="I21" s="745">
        <v>302</v>
      </c>
      <c r="J21" s="739">
        <v>14.7</v>
      </c>
      <c r="K21" s="739">
        <v>15</v>
      </c>
      <c r="L21" s="739">
        <v>2.6</v>
      </c>
      <c r="M21" s="739">
        <v>15</v>
      </c>
      <c r="N21" s="746">
        <v>15.1</v>
      </c>
      <c r="O21" s="506">
        <f t="shared" si="0"/>
        <v>364.40000000000003</v>
      </c>
      <c r="P21" s="747">
        <v>72.8</v>
      </c>
      <c r="Q21" s="459">
        <v>73.5</v>
      </c>
      <c r="R21" s="739">
        <v>19.100000000000001</v>
      </c>
      <c r="S21" s="739">
        <v>73</v>
      </c>
      <c r="T21" s="746">
        <v>73.3</v>
      </c>
      <c r="U21" s="748">
        <v>75</v>
      </c>
      <c r="V21" s="739">
        <v>78.3</v>
      </c>
      <c r="W21" s="459">
        <v>18.399999999999999</v>
      </c>
      <c r="X21" s="459">
        <v>76.599999999999994</v>
      </c>
      <c r="Y21" s="746">
        <v>77.099999999999994</v>
      </c>
      <c r="Z21" s="638">
        <f t="shared" si="1"/>
        <v>1362.6999999999998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743">
        <v>299</v>
      </c>
      <c r="C22" s="739">
        <v>14.5</v>
      </c>
      <c r="D22" s="739">
        <v>15</v>
      </c>
      <c r="E22" s="739">
        <v>2.6</v>
      </c>
      <c r="F22" s="739">
        <v>15.1</v>
      </c>
      <c r="G22" s="744">
        <v>15.2</v>
      </c>
      <c r="H22" s="506">
        <f t="shared" si="2"/>
        <v>361.40000000000003</v>
      </c>
      <c r="I22" s="745">
        <v>302</v>
      </c>
      <c r="J22" s="739">
        <v>14.7</v>
      </c>
      <c r="K22" s="739">
        <v>15</v>
      </c>
      <c r="L22" s="739">
        <v>2.6</v>
      </c>
      <c r="M22" s="739">
        <v>15</v>
      </c>
      <c r="N22" s="746">
        <v>15.1</v>
      </c>
      <c r="O22" s="506">
        <f t="shared" si="0"/>
        <v>364.40000000000003</v>
      </c>
      <c r="P22" s="747">
        <v>72.8</v>
      </c>
      <c r="Q22" s="459">
        <v>73.5</v>
      </c>
      <c r="R22" s="739">
        <v>19.100000000000001</v>
      </c>
      <c r="S22" s="739">
        <v>73</v>
      </c>
      <c r="T22" s="746">
        <v>73.3</v>
      </c>
      <c r="U22" s="748">
        <v>74.900000000000006</v>
      </c>
      <c r="V22" s="739">
        <v>78.3</v>
      </c>
      <c r="W22" s="459">
        <v>18.3</v>
      </c>
      <c r="X22" s="459">
        <v>76.599999999999994</v>
      </c>
      <c r="Y22" s="746">
        <v>77.099999999999994</v>
      </c>
      <c r="Z22" s="638">
        <f t="shared" si="1"/>
        <v>1362.6999999999998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743">
        <v>299</v>
      </c>
      <c r="C23" s="739">
        <v>14.5</v>
      </c>
      <c r="D23" s="739">
        <v>15.1</v>
      </c>
      <c r="E23" s="739">
        <v>2.6</v>
      </c>
      <c r="F23" s="739">
        <v>15.1</v>
      </c>
      <c r="G23" s="744">
        <v>15.2</v>
      </c>
      <c r="H23" s="506">
        <f t="shared" si="2"/>
        <v>361.50000000000006</v>
      </c>
      <c r="I23" s="745">
        <v>302</v>
      </c>
      <c r="J23" s="739">
        <v>14.7</v>
      </c>
      <c r="K23" s="739">
        <v>15</v>
      </c>
      <c r="L23" s="739">
        <v>2.6</v>
      </c>
      <c r="M23" s="739">
        <v>15</v>
      </c>
      <c r="N23" s="746">
        <v>15.1</v>
      </c>
      <c r="O23" s="506">
        <f t="shared" si="0"/>
        <v>364.40000000000003</v>
      </c>
      <c r="P23" s="747">
        <v>72.8</v>
      </c>
      <c r="Q23" s="459">
        <v>73.5</v>
      </c>
      <c r="R23" s="739">
        <v>19.100000000000001</v>
      </c>
      <c r="S23" s="739">
        <v>72.900000000000006</v>
      </c>
      <c r="T23" s="746">
        <v>73.3</v>
      </c>
      <c r="U23" s="748">
        <v>74.900000000000006</v>
      </c>
      <c r="V23" s="739">
        <v>78.3</v>
      </c>
      <c r="W23" s="459">
        <v>18.3</v>
      </c>
      <c r="X23" s="459">
        <v>76.599999999999994</v>
      </c>
      <c r="Y23" s="746">
        <v>77.099999999999994</v>
      </c>
      <c r="Z23" s="209">
        <f t="shared" si="1"/>
        <v>1362.6999999999998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743">
        <v>299</v>
      </c>
      <c r="C24" s="739">
        <v>14.5</v>
      </c>
      <c r="D24" s="739">
        <v>15.1</v>
      </c>
      <c r="E24" s="739">
        <v>2.6</v>
      </c>
      <c r="F24" s="739">
        <v>15.1</v>
      </c>
      <c r="G24" s="744">
        <v>15.2</v>
      </c>
      <c r="H24" s="506">
        <f t="shared" si="2"/>
        <v>361.50000000000006</v>
      </c>
      <c r="I24" s="745">
        <v>302</v>
      </c>
      <c r="J24" s="739">
        <v>14.8</v>
      </c>
      <c r="K24" s="739">
        <v>15</v>
      </c>
      <c r="L24" s="739">
        <v>2.7</v>
      </c>
      <c r="M24" s="739">
        <v>15</v>
      </c>
      <c r="N24" s="746">
        <v>15</v>
      </c>
      <c r="O24" s="506">
        <f t="shared" si="0"/>
        <v>364.5</v>
      </c>
      <c r="P24" s="747">
        <v>72.7</v>
      </c>
      <c r="Q24" s="459">
        <v>72.400000000000006</v>
      </c>
      <c r="R24" s="739">
        <v>19.100000000000001</v>
      </c>
      <c r="S24" s="739">
        <v>72.900000000000006</v>
      </c>
      <c r="T24" s="746">
        <v>73.3</v>
      </c>
      <c r="U24" s="748">
        <v>73.8</v>
      </c>
      <c r="V24" s="739">
        <v>77.2</v>
      </c>
      <c r="W24" s="459">
        <v>16.2</v>
      </c>
      <c r="X24" s="459">
        <v>76.5</v>
      </c>
      <c r="Y24" s="746">
        <v>77</v>
      </c>
      <c r="Z24" s="412">
        <f t="shared" si="1"/>
        <v>1357.1000000000001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616">
        <f t="shared" ref="C25:G25" si="3">SUM(C18:C24)</f>
        <v>101.3</v>
      </c>
      <c r="D25" s="616">
        <f t="shared" si="3"/>
        <v>105.6</v>
      </c>
      <c r="E25" s="616">
        <f t="shared" si="3"/>
        <v>18.2</v>
      </c>
      <c r="F25" s="616">
        <f t="shared" si="3"/>
        <v>105.6</v>
      </c>
      <c r="G25" s="617">
        <f t="shared" si="3"/>
        <v>106.4</v>
      </c>
      <c r="H25" s="436"/>
      <c r="I25" s="618"/>
      <c r="J25" s="616">
        <f t="shared" ref="J25:N25" si="4">SUM(J18:J24)</f>
        <v>104</v>
      </c>
      <c r="K25" s="616">
        <f>SUM(K18:K24)</f>
        <v>106</v>
      </c>
      <c r="L25" s="616">
        <f t="shared" si="4"/>
        <v>18.5</v>
      </c>
      <c r="M25" s="616">
        <f t="shared" si="4"/>
        <v>106</v>
      </c>
      <c r="N25" s="619">
        <f t="shared" si="4"/>
        <v>106.3</v>
      </c>
      <c r="O25" s="436"/>
      <c r="P25" s="618">
        <f t="shared" ref="P25:W25" si="5">SUM(P18:P24)</f>
        <v>510.4</v>
      </c>
      <c r="Q25" s="618">
        <f t="shared" si="5"/>
        <v>513.6</v>
      </c>
      <c r="R25" s="618">
        <f t="shared" si="5"/>
        <v>134.1</v>
      </c>
      <c r="S25" s="618">
        <f t="shared" si="5"/>
        <v>511.5</v>
      </c>
      <c r="T25" s="618">
        <f t="shared" si="5"/>
        <v>513.6</v>
      </c>
      <c r="U25" s="618">
        <f t="shared" si="5"/>
        <v>524.4</v>
      </c>
      <c r="V25" s="618">
        <f t="shared" si="5"/>
        <v>547.1</v>
      </c>
      <c r="W25" s="618">
        <f t="shared" si="5"/>
        <v>128.69999999999999</v>
      </c>
      <c r="X25" s="618">
        <f>SUM(X18:X24)</f>
        <v>537.4</v>
      </c>
      <c r="Y25" s="810">
        <f>SUM(Y18:Y24)</f>
        <v>539.6</v>
      </c>
      <c r="Z25" s="449">
        <f>SUM(Z18,Z19,Z20,Z21,Z22,Z23,Z24)</f>
        <v>9545.2999999999993</v>
      </c>
      <c r="AA25" s="301"/>
    </row>
    <row r="26" spans="1:40" s="2" customFormat="1" ht="36.75" customHeight="1" x14ac:dyDescent="0.25">
      <c r="A26" s="192" t="s">
        <v>11</v>
      </c>
      <c r="B26" s="808"/>
      <c r="C26" s="620">
        <v>156.16999999999982</v>
      </c>
      <c r="D26" s="621">
        <v>156.16999999999982</v>
      </c>
      <c r="E26" s="621">
        <v>156.16999999999982</v>
      </c>
      <c r="F26" s="621">
        <v>156.16999999999982</v>
      </c>
      <c r="G26" s="622">
        <v>156.16999999999982</v>
      </c>
      <c r="H26" s="809"/>
      <c r="I26" s="620"/>
      <c r="J26" s="621">
        <v>156.16999999999982</v>
      </c>
      <c r="K26" s="621">
        <v>156.16999999999982</v>
      </c>
      <c r="L26" s="621">
        <v>156.16999999999982</v>
      </c>
      <c r="M26" s="621">
        <v>156.16999999999982</v>
      </c>
      <c r="N26" s="622">
        <v>156.16999999999982</v>
      </c>
      <c r="O26" s="809"/>
      <c r="P26" s="620">
        <v>154.4699999999998</v>
      </c>
      <c r="Q26" s="621">
        <v>154.4699999999998</v>
      </c>
      <c r="R26" s="621">
        <v>154.4699999999998</v>
      </c>
      <c r="S26" s="621">
        <v>154.4699999999998</v>
      </c>
      <c r="T26" s="621">
        <v>154.4699999999998</v>
      </c>
      <c r="U26" s="620">
        <v>154.4699999999998</v>
      </c>
      <c r="V26" s="621">
        <v>154.4699999999998</v>
      </c>
      <c r="W26" s="621">
        <v>154.4699999999998</v>
      </c>
      <c r="X26" s="621">
        <v>154.4699999999998</v>
      </c>
      <c r="Y26" s="622">
        <v>154.4699999999998</v>
      </c>
      <c r="Z26" s="793">
        <f>(((Z25*1000)/7)/Z27)</f>
        <v>155.59268435808829</v>
      </c>
    </row>
    <row r="27" spans="1:40" s="2" customFormat="1" ht="33" customHeight="1" x14ac:dyDescent="0.25">
      <c r="A27" s="193" t="s">
        <v>12</v>
      </c>
      <c r="B27" s="193"/>
      <c r="C27" s="26">
        <v>538</v>
      </c>
      <c r="D27" s="27">
        <v>562</v>
      </c>
      <c r="E27" s="27">
        <v>88</v>
      </c>
      <c r="F27" s="27">
        <v>561</v>
      </c>
      <c r="G27" s="28">
        <v>563</v>
      </c>
      <c r="H27" s="611"/>
      <c r="I27" s="26"/>
      <c r="J27" s="27">
        <v>550</v>
      </c>
      <c r="K27" s="27">
        <v>562</v>
      </c>
      <c r="L27" s="483">
        <v>88</v>
      </c>
      <c r="M27" s="27">
        <v>564</v>
      </c>
      <c r="N27" s="28">
        <v>565</v>
      </c>
      <c r="O27" s="611"/>
      <c r="P27" s="26">
        <v>472</v>
      </c>
      <c r="Q27" s="27">
        <v>475</v>
      </c>
      <c r="R27" s="27">
        <v>124</v>
      </c>
      <c r="S27" s="27">
        <v>473</v>
      </c>
      <c r="T27" s="483">
        <v>475</v>
      </c>
      <c r="U27" s="26">
        <v>485</v>
      </c>
      <c r="V27" s="27">
        <v>505</v>
      </c>
      <c r="W27" s="27">
        <v>118</v>
      </c>
      <c r="X27" s="27">
        <v>497</v>
      </c>
      <c r="Y27" s="28">
        <v>499</v>
      </c>
      <c r="Z27" s="211">
        <f>SUM(C27:Y27)</f>
        <v>8764</v>
      </c>
      <c r="AA27" s="402"/>
    </row>
    <row r="28" spans="1:40" s="2" customFormat="1" ht="33" customHeight="1" x14ac:dyDescent="0.25">
      <c r="A28" s="444" t="s">
        <v>13</v>
      </c>
      <c r="B28" s="444"/>
      <c r="C28" s="30">
        <f>(C33*C27)/1000</f>
        <v>14.079459999999901</v>
      </c>
      <c r="D28" s="31">
        <f>(D33*D27)/1000</f>
        <v>14.707539999999897</v>
      </c>
      <c r="E28" s="31">
        <f t="shared" ref="E28:F28" si="6">(E33*E27)/1000</f>
        <v>2.3029599999999837</v>
      </c>
      <c r="F28" s="31">
        <f t="shared" si="6"/>
        <v>14.681369999999896</v>
      </c>
      <c r="G28" s="32">
        <f>(G33*G27)/1000</f>
        <v>14.733709999999897</v>
      </c>
      <c r="H28" s="612"/>
      <c r="I28" s="30"/>
      <c r="J28" s="31">
        <f>(J33*J27)/1000</f>
        <v>14.3934999999999</v>
      </c>
      <c r="K28" s="31">
        <f t="shared" ref="K28:N28" si="7">(K33*K27)/1000</f>
        <v>14.707539999999897</v>
      </c>
      <c r="L28" s="31">
        <f t="shared" si="7"/>
        <v>2.3029599999999837</v>
      </c>
      <c r="M28" s="31">
        <f t="shared" si="7"/>
        <v>14.759879999999898</v>
      </c>
      <c r="N28" s="32">
        <f t="shared" si="7"/>
        <v>14.786049999999898</v>
      </c>
      <c r="O28" s="612"/>
      <c r="P28" s="30">
        <f>((((P26*7)*P27)/1000)/7)</f>
        <v>72.909839999999903</v>
      </c>
      <c r="Q28" s="31">
        <f t="shared" ref="Q28:Z28" si="8">((((Q26*7)*Q27)/1000)/7)</f>
        <v>73.373249999999899</v>
      </c>
      <c r="R28" s="31">
        <f t="shared" si="8"/>
        <v>19.154279999999975</v>
      </c>
      <c r="S28" s="31">
        <f t="shared" si="8"/>
        <v>73.064309999999907</v>
      </c>
      <c r="T28" s="31">
        <f t="shared" si="8"/>
        <v>73.373249999999899</v>
      </c>
      <c r="U28" s="30">
        <f t="shared" si="8"/>
        <v>74.917949999999905</v>
      </c>
      <c r="V28" s="31">
        <f t="shared" si="8"/>
        <v>78.007349999999889</v>
      </c>
      <c r="W28" s="31">
        <f t="shared" si="8"/>
        <v>18.227459999999976</v>
      </c>
      <c r="X28" s="31">
        <f t="shared" si="8"/>
        <v>76.771589999999904</v>
      </c>
      <c r="Y28" s="32">
        <f t="shared" si="8"/>
        <v>77.080529999999882</v>
      </c>
      <c r="Z28" s="286">
        <f t="shared" si="8"/>
        <v>1363.6142857142856</v>
      </c>
    </row>
    <row r="29" spans="1:40" ht="33.75" customHeight="1" x14ac:dyDescent="0.25">
      <c r="A29" s="185" t="s">
        <v>14</v>
      </c>
      <c r="B29" s="185"/>
      <c r="C29" s="279">
        <f>((C27*C30)*7)/1000</f>
        <v>101.3</v>
      </c>
      <c r="D29" s="280">
        <f t="shared" ref="D29:G29" si="9">((D27*D30)*7)/1000</f>
        <v>105.59999999999998</v>
      </c>
      <c r="E29" s="280">
        <f>((E27*E30)*7)/1000</f>
        <v>18.2</v>
      </c>
      <c r="F29" s="280">
        <f t="shared" si="9"/>
        <v>105.59999999999998</v>
      </c>
      <c r="G29" s="282">
        <f t="shared" si="9"/>
        <v>106.40000000000002</v>
      </c>
      <c r="H29" s="613"/>
      <c r="I29" s="279"/>
      <c r="J29" s="280">
        <f>((J27*J30)*7)/1000</f>
        <v>104</v>
      </c>
      <c r="K29" s="280">
        <f t="shared" ref="K29:N29" si="10">((K27*K30)*7)/1000</f>
        <v>106</v>
      </c>
      <c r="L29" s="280">
        <f t="shared" si="10"/>
        <v>18.5</v>
      </c>
      <c r="M29" s="280">
        <f t="shared" si="10"/>
        <v>106</v>
      </c>
      <c r="N29" s="282">
        <f t="shared" si="10"/>
        <v>106.3</v>
      </c>
      <c r="O29" s="613"/>
      <c r="P29" s="279">
        <f t="shared" ref="P29:Z29" si="11">((P27*P26)*7)/1000</f>
        <v>510.36887999999936</v>
      </c>
      <c r="Q29" s="280">
        <f t="shared" si="11"/>
        <v>513.61274999999932</v>
      </c>
      <c r="R29" s="280">
        <f t="shared" si="11"/>
        <v>134.07995999999986</v>
      </c>
      <c r="S29" s="280">
        <f t="shared" si="11"/>
        <v>511.45016999999933</v>
      </c>
      <c r="T29" s="280">
        <f t="shared" si="11"/>
        <v>513.61274999999932</v>
      </c>
      <c r="U29" s="279">
        <f t="shared" si="11"/>
        <v>524.42564999999934</v>
      </c>
      <c r="V29" s="280">
        <f t="shared" si="11"/>
        <v>546.05144999999936</v>
      </c>
      <c r="W29" s="280">
        <f t="shared" si="11"/>
        <v>127.59221999999984</v>
      </c>
      <c r="X29" s="280">
        <f t="shared" si="11"/>
        <v>537.40112999999928</v>
      </c>
      <c r="Y29" s="282">
        <f t="shared" si="11"/>
        <v>539.56370999999922</v>
      </c>
      <c r="Z29" s="680">
        <f t="shared" si="11"/>
        <v>9545.2999999999993</v>
      </c>
    </row>
    <row r="30" spans="1:40" ht="33.75" customHeight="1" thickBot="1" x14ac:dyDescent="0.3">
      <c r="A30" s="195" t="s">
        <v>15</v>
      </c>
      <c r="B30" s="195"/>
      <c r="C30" s="37">
        <f>+(C25/C27)/7*1000</f>
        <v>26.898566117896973</v>
      </c>
      <c r="D30" s="38">
        <f t="shared" ref="D30:X30" si="12">+(D25/D27)/7*1000</f>
        <v>26.842907981698016</v>
      </c>
      <c r="E30" s="38">
        <f>+(E25/E27)/7*1000</f>
        <v>29.545454545454543</v>
      </c>
      <c r="F30" s="38">
        <f t="shared" si="12"/>
        <v>26.890756302521005</v>
      </c>
      <c r="G30" s="39">
        <f t="shared" si="12"/>
        <v>26.998223801065723</v>
      </c>
      <c r="H30" s="614"/>
      <c r="I30" s="37"/>
      <c r="J30" s="38">
        <f t="shared" si="12"/>
        <v>27.012987012987011</v>
      </c>
      <c r="K30" s="38">
        <f t="shared" si="12"/>
        <v>26.944585663446873</v>
      </c>
      <c r="L30" s="38">
        <f t="shared" si="12"/>
        <v>30.032467532467532</v>
      </c>
      <c r="M30" s="38">
        <f t="shared" si="12"/>
        <v>26.849037487335359</v>
      </c>
      <c r="N30" s="39">
        <f>+(N25/N27)/7*1000</f>
        <v>26.877370417193426</v>
      </c>
      <c r="O30" s="614"/>
      <c r="P30" s="37">
        <f t="shared" si="12"/>
        <v>154.47941888619857</v>
      </c>
      <c r="Q30" s="38">
        <f t="shared" si="12"/>
        <v>154.46616541353384</v>
      </c>
      <c r="R30" s="38">
        <f t="shared" si="12"/>
        <v>154.49308755760367</v>
      </c>
      <c r="S30" s="38">
        <f t="shared" si="12"/>
        <v>154.48504983388702</v>
      </c>
      <c r="T30" s="38">
        <f t="shared" si="12"/>
        <v>154.46616541353384</v>
      </c>
      <c r="U30" s="37">
        <f t="shared" si="12"/>
        <v>154.46244477172311</v>
      </c>
      <c r="V30" s="38">
        <f t="shared" si="12"/>
        <v>154.7666195190948</v>
      </c>
      <c r="W30" s="38">
        <f t="shared" si="12"/>
        <v>155.81113801452781</v>
      </c>
      <c r="X30" s="38">
        <f t="shared" si="12"/>
        <v>154.46967519402128</v>
      </c>
      <c r="Y30" s="39">
        <f>+(Y25/Y27)/7*1000</f>
        <v>154.48038935012883</v>
      </c>
      <c r="Z30" s="262">
        <f>+(Z25/Z27)/7*1000</f>
        <v>155.59268435808829</v>
      </c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3">D29-D25</f>
        <v>0</v>
      </c>
      <c r="E31" s="42">
        <f t="shared" si="13"/>
        <v>0</v>
      </c>
      <c r="F31" s="42">
        <f t="shared" si="13"/>
        <v>0</v>
      </c>
      <c r="G31" s="42">
        <f t="shared" si="13"/>
        <v>0</v>
      </c>
      <c r="H31" s="42"/>
      <c r="I31" s="42"/>
      <c r="J31" s="42">
        <f>J29-J25</f>
        <v>0</v>
      </c>
      <c r="K31" s="42">
        <f>K29-K25</f>
        <v>0</v>
      </c>
      <c r="L31" s="42">
        <f t="shared" si="13"/>
        <v>0</v>
      </c>
      <c r="M31" s="42">
        <f t="shared" si="13"/>
        <v>0</v>
      </c>
      <c r="N31" s="42">
        <f t="shared" si="13"/>
        <v>0</v>
      </c>
      <c r="O31" s="42"/>
      <c r="P31" s="42">
        <f>P29-P25</f>
        <v>-3.1120000000612436E-2</v>
      </c>
      <c r="Q31" s="42">
        <f>Q29-Q25</f>
        <v>1.2749999999300599E-2</v>
      </c>
      <c r="R31" s="42">
        <f t="shared" si="13"/>
        <v>-2.0040000000136615E-2</v>
      </c>
      <c r="S31" s="42">
        <f t="shared" si="13"/>
        <v>-4.9830000000667951E-2</v>
      </c>
      <c r="T31" s="42">
        <f t="shared" si="13"/>
        <v>1.2749999999300599E-2</v>
      </c>
      <c r="U31" s="42">
        <f>U29-U25</f>
        <v>2.5649999999359352E-2</v>
      </c>
      <c r="V31" s="42">
        <f t="shared" si="13"/>
        <v>-1.0485500000006596</v>
      </c>
      <c r="W31" s="42">
        <f t="shared" si="13"/>
        <v>-1.1077800000001474</v>
      </c>
      <c r="X31" s="42">
        <f t="shared" si="13"/>
        <v>1.1299999993070742E-3</v>
      </c>
      <c r="Y31" s="42">
        <f>Y29-Y25</f>
        <v>-3.6290000000803957E-2</v>
      </c>
      <c r="Z31" s="42">
        <f>Z29-Z25</f>
        <v>0</v>
      </c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0.72856611789715586</v>
      </c>
      <c r="D32" s="42">
        <f t="shared" ref="D32:G32" si="14">D30-D33</f>
        <v>0.67290798169819865</v>
      </c>
      <c r="E32" s="42">
        <f>E30-E33</f>
        <v>3.3754545454547262</v>
      </c>
      <c r="F32" s="42">
        <f t="shared" si="14"/>
        <v>0.72075630252118827</v>
      </c>
      <c r="G32" s="42">
        <f t="shared" si="14"/>
        <v>0.82822380106590643</v>
      </c>
      <c r="H32" s="42"/>
      <c r="I32" s="42"/>
      <c r="J32" s="42">
        <f t="shared" ref="J32:M32" si="15">J30-J33</f>
        <v>0.84298701298719436</v>
      </c>
      <c r="K32" s="42">
        <f t="shared" si="15"/>
        <v>0.77458566344705559</v>
      </c>
      <c r="L32" s="42">
        <f t="shared" si="15"/>
        <v>3.8624675324677149</v>
      </c>
      <c r="M32" s="42">
        <f t="shared" si="15"/>
        <v>0.67903748733554181</v>
      </c>
      <c r="N32" s="42">
        <f>N30-N33</f>
        <v>0.7073704171936086</v>
      </c>
      <c r="O32" s="42"/>
      <c r="P32" s="42">
        <f>P30-P26</f>
        <v>9.4188861987731798E-3</v>
      </c>
      <c r="Q32" s="42">
        <f t="shared" si="13"/>
        <v>-3.8345864659561357E-3</v>
      </c>
      <c r="R32" s="42">
        <f t="shared" si="13"/>
        <v>2.308755760387271E-2</v>
      </c>
      <c r="S32" s="42">
        <f t="shared" si="13"/>
        <v>1.5049833887218256E-2</v>
      </c>
      <c r="T32" s="42">
        <f t="shared" si="13"/>
        <v>-3.8345864659561357E-3</v>
      </c>
      <c r="U32" s="42">
        <f t="shared" si="13"/>
        <v>-7.5552282766864209E-3</v>
      </c>
      <c r="V32" s="42">
        <f t="shared" si="13"/>
        <v>0.29661951909500317</v>
      </c>
      <c r="W32" s="42">
        <f t="shared" si="13"/>
        <v>1.3411380145280134</v>
      </c>
      <c r="X32" s="42">
        <f t="shared" si="13"/>
        <v>-3.2480597852213577E-4</v>
      </c>
      <c r="Y32" s="42">
        <f t="shared" si="13"/>
        <v>1.0389350129031527E-2</v>
      </c>
      <c r="Z32" s="42">
        <f t="shared" ref="Z32" si="16">Z30-Z26</f>
        <v>0</v>
      </c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26.169999999999817</v>
      </c>
      <c r="D33" s="42">
        <f t="shared" ref="D33:G33" si="17">D26-$B$34</f>
        <v>26.169999999999817</v>
      </c>
      <c r="E33" s="42">
        <f>E26-$B$34</f>
        <v>26.169999999999817</v>
      </c>
      <c r="F33" s="42">
        <f t="shared" si="17"/>
        <v>26.169999999999817</v>
      </c>
      <c r="G33" s="42">
        <f t="shared" si="17"/>
        <v>26.169999999999817</v>
      </c>
      <c r="H33" s="42"/>
      <c r="I33" s="42"/>
      <c r="J33" s="42">
        <f>J26-$I$34</f>
        <v>26.169999999999817</v>
      </c>
      <c r="K33" s="42">
        <f t="shared" ref="K33:L33" si="18">K26-$I$34</f>
        <v>26.169999999999817</v>
      </c>
      <c r="L33" s="42">
        <f t="shared" si="18"/>
        <v>26.169999999999817</v>
      </c>
      <c r="M33" s="42">
        <f>M26-$I$34</f>
        <v>26.169999999999817</v>
      </c>
      <c r="N33" s="42">
        <f>N26-$I$34</f>
        <v>26.169999999999817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300.56</v>
      </c>
      <c r="D34" s="432">
        <f>SUM(C27:G27)</f>
        <v>2312</v>
      </c>
      <c r="E34" s="42"/>
      <c r="F34" s="42"/>
      <c r="G34" s="42"/>
      <c r="H34" s="42"/>
      <c r="I34" s="514">
        <v>130</v>
      </c>
      <c r="J34" s="431">
        <f>(I34*K34)/1000</f>
        <v>302.77</v>
      </c>
      <c r="K34" s="432">
        <f>SUM(J27:N27)</f>
        <v>2329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1002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977" t="s">
        <v>9</v>
      </c>
      <c r="T39" s="645"/>
      <c r="V39" s="45"/>
      <c r="W39" s="45"/>
      <c r="X39" s="46"/>
      <c r="Y39" s="3"/>
      <c r="Z39" s="45"/>
      <c r="AA39" s="45"/>
      <c r="AB39" s="45"/>
      <c r="AC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1003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204">
        <v>5</v>
      </c>
      <c r="R40" s="984"/>
      <c r="T40" s="645"/>
      <c r="V40" s="47"/>
      <c r="Y40" s="48"/>
      <c r="Z40" s="2"/>
      <c r="AA40" s="2"/>
      <c r="AB40" s="2"/>
      <c r="AC40" s="2"/>
    </row>
    <row r="41" spans="1:38" ht="33.75" customHeight="1" x14ac:dyDescent="0.25">
      <c r="A41" s="171" t="s">
        <v>32</v>
      </c>
      <c r="B41" s="279">
        <v>83.9</v>
      </c>
      <c r="C41" s="280">
        <v>82.8</v>
      </c>
      <c r="D41" s="280">
        <v>14.7</v>
      </c>
      <c r="E41" s="280">
        <v>86.3</v>
      </c>
      <c r="F41" s="281">
        <v>83.3</v>
      </c>
      <c r="G41" s="638">
        <f t="shared" ref="G41:G48" si="19">SUM(B41:F41)</f>
        <v>351</v>
      </c>
      <c r="H41" s="364"/>
      <c r="I41" s="364"/>
      <c r="J41" s="364"/>
      <c r="K41" s="364"/>
      <c r="L41" s="171" t="s">
        <v>53</v>
      </c>
      <c r="M41" s="279">
        <v>7.1</v>
      </c>
      <c r="N41" s="280">
        <v>7</v>
      </c>
      <c r="O41" s="280">
        <v>1.3</v>
      </c>
      <c r="P41" s="280">
        <v>7.1</v>
      </c>
      <c r="Q41" s="281">
        <v>7.1</v>
      </c>
      <c r="R41" s="800">
        <f>SUM(M41:Q41)</f>
        <v>29.6</v>
      </c>
      <c r="T41" s="646"/>
      <c r="U41" s="675"/>
      <c r="V41" s="657"/>
      <c r="Y41" s="48"/>
      <c r="Z41" s="2"/>
      <c r="AA41" s="2"/>
      <c r="AB41" s="2"/>
      <c r="AC41" s="2"/>
    </row>
    <row r="42" spans="1:38" ht="33.75" customHeight="1" x14ac:dyDescent="0.25">
      <c r="A42" s="171" t="s">
        <v>24</v>
      </c>
      <c r="B42" s="279">
        <v>83</v>
      </c>
      <c r="C42" s="280">
        <v>82.7</v>
      </c>
      <c r="D42" s="280">
        <v>14.7</v>
      </c>
      <c r="E42" s="280">
        <v>86.2</v>
      </c>
      <c r="F42" s="281">
        <v>82.9</v>
      </c>
      <c r="G42" s="638">
        <f t="shared" si="19"/>
        <v>349.5</v>
      </c>
      <c r="H42" s="364"/>
      <c r="I42" s="364"/>
      <c r="J42" s="364"/>
      <c r="K42" s="364"/>
      <c r="L42" s="171" t="s">
        <v>24</v>
      </c>
      <c r="M42" s="279">
        <v>6.5</v>
      </c>
      <c r="N42" s="280">
        <v>6.7</v>
      </c>
      <c r="O42" s="280">
        <v>1.1000000000000001</v>
      </c>
      <c r="P42" s="280">
        <v>6.6</v>
      </c>
      <c r="Q42" s="281">
        <v>6.6</v>
      </c>
      <c r="R42" s="638">
        <f t="shared" ref="R42:R47" si="20">SUM(M42:Q42)</f>
        <v>27.5</v>
      </c>
      <c r="T42" s="646"/>
      <c r="U42" s="647"/>
      <c r="V42" s="658"/>
      <c r="Y42" s="48"/>
      <c r="Z42" s="2"/>
      <c r="AA42" s="2"/>
      <c r="AB42" s="2"/>
      <c r="AC42" s="2"/>
    </row>
    <row r="43" spans="1:38" ht="33.75" customHeight="1" x14ac:dyDescent="0.25">
      <c r="A43" s="171" t="s">
        <v>20</v>
      </c>
      <c r="B43" s="279">
        <v>83</v>
      </c>
      <c r="C43" s="280">
        <v>82.7</v>
      </c>
      <c r="D43" s="280">
        <v>14.7</v>
      </c>
      <c r="E43" s="280">
        <v>86</v>
      </c>
      <c r="F43" s="281">
        <v>82.7</v>
      </c>
      <c r="G43" s="638">
        <f>SUM(B43:F43)</f>
        <v>349.09999999999997</v>
      </c>
      <c r="H43" s="364"/>
      <c r="I43" s="364"/>
      <c r="J43" s="364"/>
      <c r="K43" s="364"/>
      <c r="L43" s="171" t="s">
        <v>20</v>
      </c>
      <c r="M43" s="279">
        <v>6.5</v>
      </c>
      <c r="N43" s="280">
        <v>6.6</v>
      </c>
      <c r="O43" s="280">
        <v>1.1000000000000001</v>
      </c>
      <c r="P43" s="280">
        <v>6.6</v>
      </c>
      <c r="Q43" s="281">
        <v>6.6</v>
      </c>
      <c r="R43" s="638">
        <f t="shared" si="20"/>
        <v>27.4</v>
      </c>
      <c r="T43" s="646"/>
      <c r="U43" s="647"/>
      <c r="V43" s="658"/>
      <c r="Y43" s="48"/>
      <c r="Z43" s="2"/>
      <c r="AA43" s="2"/>
      <c r="AB43" s="2"/>
      <c r="AC43" s="2"/>
    </row>
    <row r="44" spans="1:38" ht="33.75" customHeight="1" x14ac:dyDescent="0.25">
      <c r="A44" s="171" t="s">
        <v>28</v>
      </c>
      <c r="B44" s="279">
        <v>82.7</v>
      </c>
      <c r="C44" s="280">
        <v>82.6</v>
      </c>
      <c r="D44" s="280">
        <v>14.7</v>
      </c>
      <c r="E44" s="280">
        <v>85.7</v>
      </c>
      <c r="F44" s="281">
        <v>82.5</v>
      </c>
      <c r="G44" s="638">
        <f t="shared" si="19"/>
        <v>348.2</v>
      </c>
      <c r="H44" s="651"/>
      <c r="I44" s="364"/>
      <c r="J44" s="364"/>
      <c r="K44" s="364"/>
      <c r="L44" s="171" t="s">
        <v>28</v>
      </c>
      <c r="M44" s="279">
        <v>6.5</v>
      </c>
      <c r="N44" s="280">
        <v>6.6</v>
      </c>
      <c r="O44" s="280">
        <v>1.1000000000000001</v>
      </c>
      <c r="P44" s="280">
        <v>6.6</v>
      </c>
      <c r="Q44" s="281">
        <v>6.6</v>
      </c>
      <c r="R44" s="638">
        <f t="shared" si="20"/>
        <v>27.4</v>
      </c>
      <c r="T44" s="646"/>
      <c r="U44" s="647"/>
      <c r="V44" s="658"/>
      <c r="Y44" s="48"/>
      <c r="Z44" s="2"/>
      <c r="AA44" s="2"/>
      <c r="AB44" s="2"/>
      <c r="AC44" s="2"/>
    </row>
    <row r="45" spans="1:38" ht="33.75" customHeight="1" x14ac:dyDescent="0.25">
      <c r="A45" s="171" t="s">
        <v>21</v>
      </c>
      <c r="B45" s="279">
        <v>82.7</v>
      </c>
      <c r="C45" s="280">
        <v>82.6</v>
      </c>
      <c r="D45" s="280">
        <v>14.8</v>
      </c>
      <c r="E45" s="280">
        <v>85.7</v>
      </c>
      <c r="F45" s="281">
        <v>82.4</v>
      </c>
      <c r="G45" s="638">
        <f t="shared" si="19"/>
        <v>348.20000000000005</v>
      </c>
      <c r="H45" s="651"/>
      <c r="I45" s="364"/>
      <c r="J45" s="364"/>
      <c r="K45" s="364"/>
      <c r="L45" s="171" t="s">
        <v>21</v>
      </c>
      <c r="M45" s="279">
        <v>6.5</v>
      </c>
      <c r="N45" s="280">
        <v>6.6</v>
      </c>
      <c r="O45" s="280">
        <v>1.1000000000000001</v>
      </c>
      <c r="P45" s="280">
        <v>6.6</v>
      </c>
      <c r="Q45" s="281">
        <v>6.6</v>
      </c>
      <c r="R45" s="638">
        <f t="shared" si="20"/>
        <v>27.4</v>
      </c>
      <c r="T45" s="646"/>
      <c r="U45" s="647"/>
      <c r="V45" s="658"/>
      <c r="Y45" s="48"/>
      <c r="Z45" s="2"/>
      <c r="AA45" s="2"/>
      <c r="AB45" s="2"/>
      <c r="AC45" s="2"/>
    </row>
    <row r="46" spans="1:38" ht="33.75" customHeight="1" x14ac:dyDescent="0.25">
      <c r="A46" s="171" t="s">
        <v>22</v>
      </c>
      <c r="B46" s="279">
        <v>82.7</v>
      </c>
      <c r="C46" s="280">
        <v>82.6</v>
      </c>
      <c r="D46" s="280">
        <v>14.8</v>
      </c>
      <c r="E46" s="280">
        <v>85.6</v>
      </c>
      <c r="F46" s="281">
        <v>82.4</v>
      </c>
      <c r="G46" s="209">
        <f t="shared" si="19"/>
        <v>348.1</v>
      </c>
      <c r="H46" s="651"/>
      <c r="I46" s="364"/>
      <c r="J46" s="364"/>
      <c r="K46" s="364"/>
      <c r="L46" s="171" t="s">
        <v>22</v>
      </c>
      <c r="M46" s="279">
        <v>6.5</v>
      </c>
      <c r="N46" s="280">
        <v>6.6</v>
      </c>
      <c r="O46" s="280">
        <v>1.1000000000000001</v>
      </c>
      <c r="P46" s="280">
        <v>6.6</v>
      </c>
      <c r="Q46" s="281">
        <v>6.6</v>
      </c>
      <c r="R46" s="209">
        <f t="shared" si="20"/>
        <v>27.4</v>
      </c>
      <c r="T46" s="646"/>
      <c r="U46" s="647"/>
      <c r="V46" s="658"/>
      <c r="Y46" s="48"/>
      <c r="Z46" s="2"/>
      <c r="AA46" s="2"/>
      <c r="AB46" s="2"/>
      <c r="AC46" s="2"/>
    </row>
    <row r="47" spans="1:38" ht="33.75" customHeight="1" thickBot="1" x14ac:dyDescent="0.3">
      <c r="A47" s="285" t="s">
        <v>23</v>
      </c>
      <c r="B47" s="279">
        <v>80.599999999999994</v>
      </c>
      <c r="C47" s="280">
        <v>77.2</v>
      </c>
      <c r="D47" s="280">
        <v>11.6</v>
      </c>
      <c r="E47" s="280">
        <v>85.6</v>
      </c>
      <c r="F47" s="281">
        <v>82.4</v>
      </c>
      <c r="G47" s="376">
        <f t="shared" si="19"/>
        <v>337.4</v>
      </c>
      <c r="H47" s="651"/>
      <c r="I47" s="364"/>
      <c r="J47" s="364"/>
      <c r="K47" s="364"/>
      <c r="L47" s="285" t="s">
        <v>23</v>
      </c>
      <c r="M47" s="279">
        <v>6.5</v>
      </c>
      <c r="N47" s="280">
        <v>6.6</v>
      </c>
      <c r="O47" s="280">
        <v>1</v>
      </c>
      <c r="P47" s="280">
        <v>6.6</v>
      </c>
      <c r="Q47" s="281">
        <v>6.5</v>
      </c>
      <c r="R47" s="376">
        <f t="shared" si="20"/>
        <v>27.2</v>
      </c>
      <c r="T47" s="646"/>
      <c r="U47" s="647"/>
      <c r="V47" s="658"/>
      <c r="Y47" s="48"/>
      <c r="Z47" s="48"/>
      <c r="AA47" s="48"/>
      <c r="AB47" s="2"/>
      <c r="AC47" s="2"/>
      <c r="AD47" s="2"/>
      <c r="AE47" s="2"/>
    </row>
    <row r="48" spans="1:38" ht="33.75" customHeight="1" thickBot="1" x14ac:dyDescent="0.3">
      <c r="A48" s="290" t="s">
        <v>9</v>
      </c>
      <c r="B48" s="297">
        <f>SUM(B41:B47)</f>
        <v>578.6</v>
      </c>
      <c r="C48" s="298">
        <f t="shared" ref="C48:F48" si="21">SUM(C41:C47)</f>
        <v>573.20000000000005</v>
      </c>
      <c r="D48" s="298">
        <f t="shared" si="21"/>
        <v>99.999999999999986</v>
      </c>
      <c r="E48" s="298">
        <f t="shared" si="21"/>
        <v>601.1</v>
      </c>
      <c r="F48" s="448">
        <f t="shared" si="21"/>
        <v>578.59999999999991</v>
      </c>
      <c r="G48" s="729">
        <f t="shared" si="19"/>
        <v>2431.5</v>
      </c>
      <c r="H48" s="364"/>
      <c r="I48" s="364"/>
      <c r="J48" s="364"/>
      <c r="K48" s="364"/>
      <c r="L48" s="290" t="s">
        <v>9</v>
      </c>
      <c r="M48" s="763">
        <f>SUM(M41:M47)</f>
        <v>46.1</v>
      </c>
      <c r="N48" s="764">
        <f>SUM(N41:N47)</f>
        <v>46.7</v>
      </c>
      <c r="O48" s="764">
        <f>SUM(O41:O47)</f>
        <v>7.8000000000000007</v>
      </c>
      <c r="P48" s="764">
        <f t="shared" ref="P48:Q48" si="22">SUM(P41:P47)</f>
        <v>46.7</v>
      </c>
      <c r="Q48" s="765">
        <f t="shared" si="22"/>
        <v>46.6</v>
      </c>
      <c r="R48" s="815">
        <f>SUM(M48:Q48)</f>
        <v>193.9</v>
      </c>
      <c r="T48" s="647"/>
      <c r="U48" s="647"/>
      <c r="V48" s="658"/>
      <c r="Y48" s="2"/>
      <c r="Z48" s="2"/>
      <c r="AA48" s="2"/>
      <c r="AB48" s="2"/>
      <c r="AC48" s="2"/>
      <c r="AD48" s="2"/>
      <c r="AE48" s="2"/>
    </row>
    <row r="49" spans="1:51" ht="33.75" customHeight="1" x14ac:dyDescent="0.25">
      <c r="A49" s="192" t="s">
        <v>11</v>
      </c>
      <c r="B49" s="751">
        <v>153.62799999999987</v>
      </c>
      <c r="C49" s="751">
        <v>153.62799999999987</v>
      </c>
      <c r="D49" s="751">
        <v>153.62799999999987</v>
      </c>
      <c r="E49" s="751">
        <v>153.62799999999987</v>
      </c>
      <c r="F49" s="751">
        <v>153.62799999999987</v>
      </c>
      <c r="G49" s="730">
        <f>+((G48/G50)/7)*1000</f>
        <v>153.76588882564977</v>
      </c>
      <c r="H49" s="609"/>
      <c r="I49" s="364"/>
      <c r="J49" s="364"/>
      <c r="K49" s="364"/>
      <c r="L49" s="273" t="s">
        <v>11</v>
      </c>
      <c r="M49" s="357">
        <v>160.5</v>
      </c>
      <c r="N49" s="358">
        <v>159</v>
      </c>
      <c r="O49" s="358">
        <v>159.5</v>
      </c>
      <c r="P49" s="358">
        <v>159</v>
      </c>
      <c r="Q49" s="624">
        <v>158.5</v>
      </c>
      <c r="R49" s="730">
        <f ca="1">+((R48/R50)/7)*1000</f>
        <v>157.83783783783781</v>
      </c>
      <c r="T49" s="648" t="s">
        <v>131</v>
      </c>
      <c r="U49" s="647"/>
      <c r="V49" s="658"/>
      <c r="W49" s="50"/>
    </row>
    <row r="50" spans="1:51" ht="33.75" customHeight="1" x14ac:dyDescent="0.25">
      <c r="A50" s="193" t="s">
        <v>12</v>
      </c>
      <c r="B50" s="26">
        <v>538</v>
      </c>
      <c r="C50" s="27">
        <v>533</v>
      </c>
      <c r="D50" s="27">
        <v>92</v>
      </c>
      <c r="E50" s="27">
        <v>558</v>
      </c>
      <c r="F50" s="183">
        <v>538</v>
      </c>
      <c r="G50" s="731">
        <f>SUM(B50:F50)</f>
        <v>2259</v>
      </c>
      <c r="H50" s="609"/>
      <c r="I50" s="364"/>
      <c r="J50" s="364"/>
      <c r="K50" s="364"/>
      <c r="L50" s="193" t="s">
        <v>12</v>
      </c>
      <c r="M50" s="257">
        <v>41</v>
      </c>
      <c r="N50" s="275">
        <v>42</v>
      </c>
      <c r="O50" s="275">
        <v>7</v>
      </c>
      <c r="P50" s="275">
        <v>42</v>
      </c>
      <c r="Q50" s="276">
        <v>42</v>
      </c>
      <c r="R50" s="233">
        <f ca="1">SUM(M50:R50)</f>
        <v>185</v>
      </c>
      <c r="T50" s="649"/>
      <c r="U50" s="301"/>
      <c r="V50" s="52"/>
      <c r="W50" s="52"/>
    </row>
    <row r="51" spans="1:51" ht="33.75" customHeight="1" x14ac:dyDescent="0.25">
      <c r="A51" s="194" t="s">
        <v>13</v>
      </c>
      <c r="B51" s="30">
        <f>((((B49*7)*B50)/1000))/7</f>
        <v>82.651863999999932</v>
      </c>
      <c r="C51" s="30">
        <f t="shared" ref="C51:F51" si="23">((((C49*7)*C50)/1000))/7</f>
        <v>81.88372399999993</v>
      </c>
      <c r="D51" s="30">
        <f t="shared" si="23"/>
        <v>14.133775999999987</v>
      </c>
      <c r="E51" s="30">
        <f t="shared" si="23"/>
        <v>85.724423999999914</v>
      </c>
      <c r="F51" s="30">
        <f t="shared" si="23"/>
        <v>82.651863999999932</v>
      </c>
      <c r="G51" s="732">
        <f>((G48*1000)/G50)/7</f>
        <v>153.7658888256498</v>
      </c>
      <c r="H51" s="609"/>
      <c r="I51" s="364"/>
      <c r="J51" s="364"/>
      <c r="K51" s="364"/>
      <c r="L51" s="194" t="s">
        <v>13</v>
      </c>
      <c r="M51" s="30">
        <f>((((M49*7)*M50)/1000)/7)</f>
        <v>6.5804999999999998</v>
      </c>
      <c r="N51" s="31">
        <f t="shared" ref="N51:Q51" si="24">((((N49*7)*N50)/1000)/7)</f>
        <v>6.6779999999999999</v>
      </c>
      <c r="O51" s="31">
        <f t="shared" si="24"/>
        <v>1.1165</v>
      </c>
      <c r="P51" s="31">
        <f t="shared" si="24"/>
        <v>6.6779999999999999</v>
      </c>
      <c r="Q51" s="32">
        <f t="shared" si="24"/>
        <v>6.6569999999999991</v>
      </c>
      <c r="R51" s="234">
        <f ca="1">((R48*1000)/R50)/7</f>
        <v>157.83783783783784</v>
      </c>
      <c r="T51" s="650"/>
      <c r="U51" s="301"/>
      <c r="V51" s="52"/>
      <c r="W51" s="52"/>
    </row>
    <row r="52" spans="1:51" ht="33.75" customHeight="1" x14ac:dyDescent="0.25">
      <c r="A52" s="185" t="s">
        <v>14</v>
      </c>
      <c r="B52" s="279">
        <f>((B50*B49)*7)/1000</f>
        <v>578.56304799999953</v>
      </c>
      <c r="C52" s="280">
        <f>((C50*C49)*7)/1000</f>
        <v>573.18606799999952</v>
      </c>
      <c r="D52" s="280">
        <f>((D50*D49)*7)/1000</f>
        <v>98.936431999999925</v>
      </c>
      <c r="E52" s="280">
        <f>((E50*E49)*7)/1000</f>
        <v>600.07096799999954</v>
      </c>
      <c r="F52" s="281">
        <f>((F50*F49)*7)/1000</f>
        <v>578.56304799999953</v>
      </c>
      <c r="G52" s="73"/>
      <c r="H52" s="609"/>
      <c r="I52" s="364"/>
      <c r="J52" s="364"/>
      <c r="K52" s="364"/>
      <c r="L52" s="185" t="s">
        <v>14</v>
      </c>
      <c r="M52" s="279">
        <f>((M50*M49)*7)/1000</f>
        <v>46.063499999999998</v>
      </c>
      <c r="N52" s="280">
        <f>((N50*N49)*7)/1000</f>
        <v>46.746000000000002</v>
      </c>
      <c r="O52" s="280">
        <f>((O50*O49)*7)/1000</f>
        <v>7.8155000000000001</v>
      </c>
      <c r="P52" s="280">
        <f t="shared" ref="P52" si="25">((P50*P49)*7)/1000</f>
        <v>46.746000000000002</v>
      </c>
      <c r="Q52" s="282">
        <f>((Q50*Q49)*7)/1000</f>
        <v>46.598999999999997</v>
      </c>
      <c r="R52" s="282">
        <f ca="1">((R50*R49)*7)/1000</f>
        <v>0</v>
      </c>
      <c r="T52" s="522"/>
    </row>
    <row r="53" spans="1:51" ht="33.75" customHeight="1" thickBot="1" x14ac:dyDescent="0.3">
      <c r="A53" s="195" t="s">
        <v>15</v>
      </c>
      <c r="B53" s="37">
        <f>+(B48/B50)/7*1000</f>
        <v>153.63781200212426</v>
      </c>
      <c r="C53" s="38">
        <f t="shared" ref="C53:E53" si="26">+(C48/C50)/7*1000</f>
        <v>153.631734119539</v>
      </c>
      <c r="D53" s="38">
        <f t="shared" si="26"/>
        <v>155.27950310559004</v>
      </c>
      <c r="E53" s="38">
        <f t="shared" si="26"/>
        <v>153.89144905273938</v>
      </c>
      <c r="F53" s="207">
        <f>+(F48/F50)/7*1000</f>
        <v>153.63781200212424</v>
      </c>
      <c r="G53" s="74"/>
      <c r="H53" s="609"/>
      <c r="I53" s="364"/>
      <c r="J53" s="364"/>
      <c r="K53" s="364"/>
      <c r="L53" s="195" t="s">
        <v>15</v>
      </c>
      <c r="M53" s="37">
        <f>+(M48/M50)/7*1000</f>
        <v>160.62717770034845</v>
      </c>
      <c r="N53" s="38">
        <f>+(N48/N50)/7*1000</f>
        <v>158.84353741496599</v>
      </c>
      <c r="O53" s="38">
        <f>+(O48/O50)/7*1000</f>
        <v>159.18367346938774</v>
      </c>
      <c r="P53" s="38">
        <f t="shared" ref="P53:R53" si="27">+(P48/P50)/7*1000</f>
        <v>158.84353741496599</v>
      </c>
      <c r="Q53" s="39">
        <f t="shared" si="27"/>
        <v>158.50340136054422</v>
      </c>
      <c r="R53" s="39">
        <f t="shared" ca="1" si="27"/>
        <v>167.68707482993196</v>
      </c>
      <c r="T53" s="651"/>
      <c r="V53" s="42"/>
      <c r="W53" s="42"/>
    </row>
    <row r="54" spans="1:51" ht="33.75" customHeight="1" x14ac:dyDescent="0.25">
      <c r="A54" s="41"/>
      <c r="B54" s="43">
        <f>B52-B48</f>
        <v>-3.695200000049681E-2</v>
      </c>
      <c r="C54" s="43">
        <f t="shared" ref="C54:D55" si="28">C52-C48</f>
        <v>-1.3932000000522748E-2</v>
      </c>
      <c r="D54" s="43">
        <f t="shared" si="28"/>
        <v>-1.0635680000000605</v>
      </c>
      <c r="E54" s="43">
        <f>E52-E48</f>
        <v>-1.029032000000484</v>
      </c>
      <c r="F54" s="43">
        <f>F52-F48</f>
        <v>-3.6952000000383123E-2</v>
      </c>
      <c r="G54" s="41"/>
      <c r="H54" s="41"/>
      <c r="I54" s="41"/>
      <c r="J54" s="41"/>
      <c r="K54" s="41"/>
      <c r="L54" s="42"/>
      <c r="M54" s="42">
        <f>M52-M48</f>
        <v>-3.6500000000003752E-2</v>
      </c>
      <c r="N54" s="42">
        <f>N52-N48</f>
        <v>4.5999999999999375E-2</v>
      </c>
      <c r="O54" s="42">
        <f t="shared" ref="N54:Q55" si="29">O52-O48</f>
        <v>1.5499999999999403E-2</v>
      </c>
      <c r="P54" s="42">
        <f t="shared" si="29"/>
        <v>4.5999999999999375E-2</v>
      </c>
      <c r="Q54" s="42">
        <f t="shared" si="29"/>
        <v>-1.0000000000047748E-3</v>
      </c>
      <c r="R54" s="42">
        <f ca="1">R52-R48</f>
        <v>0</v>
      </c>
      <c r="S54" s="522"/>
      <c r="T54" s="42"/>
      <c r="U54" s="42"/>
      <c r="V54" s="2"/>
      <c r="W54" s="2"/>
      <c r="X54" s="2"/>
      <c r="Y54" s="2"/>
      <c r="Z54" s="2"/>
    </row>
    <row r="55" spans="1:51" ht="33.75" customHeight="1" x14ac:dyDescent="0.25">
      <c r="A55" s="41"/>
      <c r="B55" s="42">
        <f>B53-B49</f>
        <v>9.8120021243914834E-3</v>
      </c>
      <c r="C55" s="42">
        <f>C53-C49</f>
        <v>3.7341195391320525E-3</v>
      </c>
      <c r="D55" s="42">
        <f t="shared" si="28"/>
        <v>1.6515031055901659</v>
      </c>
      <c r="E55" s="42">
        <f>E53-E49</f>
        <v>0.26344905273950303</v>
      </c>
      <c r="F55" s="42">
        <f>F53-F49</f>
        <v>9.8120021243630617E-3</v>
      </c>
      <c r="G55" s="41"/>
      <c r="H55" s="41"/>
      <c r="I55" s="41"/>
      <c r="J55" s="41"/>
      <c r="K55" s="42"/>
      <c r="L55" s="42"/>
      <c r="M55" s="42">
        <f>M53-M49</f>
        <v>0.12717770034845444</v>
      </c>
      <c r="N55" s="42">
        <f t="shared" si="29"/>
        <v>-0.15646258503400645</v>
      </c>
      <c r="O55" s="42">
        <f>O53-O49</f>
        <v>-0.31632653061225824</v>
      </c>
      <c r="P55" s="42">
        <f>P53-P49</f>
        <v>-0.15646258503400645</v>
      </c>
      <c r="Q55" s="42">
        <f t="shared" si="29"/>
        <v>3.4013605442169137E-3</v>
      </c>
      <c r="R55" s="42">
        <f t="shared" ref="R55" ca="1" si="30">R53-R49</f>
        <v>11.187074829931959</v>
      </c>
      <c r="S55" s="522"/>
      <c r="T55" s="43"/>
      <c r="U55" s="43"/>
      <c r="V55" s="2"/>
      <c r="W55" s="2"/>
      <c r="X55" s="2"/>
      <c r="Y55" s="2"/>
      <c r="AC55" s="3"/>
    </row>
    <row r="56" spans="1:51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1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283"/>
      <c r="N57" s="283"/>
      <c r="O57" s="283"/>
      <c r="P57" s="283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1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99" t="s">
        <v>30</v>
      </c>
      <c r="H58" s="1000"/>
      <c r="I58" s="1000"/>
      <c r="J58" s="1000"/>
      <c r="K58" s="1001"/>
      <c r="L58" s="973" t="s">
        <v>29</v>
      </c>
      <c r="M58" s="974"/>
      <c r="N58" s="974"/>
      <c r="O58" s="974"/>
      <c r="P58" s="974"/>
      <c r="Q58" s="991"/>
      <c r="R58" s="973" t="s">
        <v>31</v>
      </c>
      <c r="S58" s="974"/>
      <c r="T58" s="974"/>
      <c r="U58" s="974"/>
      <c r="V58" s="991"/>
      <c r="W58" s="992" t="s">
        <v>9</v>
      </c>
      <c r="X58" s="661"/>
      <c r="Y58" s="662"/>
      <c r="Z58" s="522"/>
      <c r="AA58" s="522"/>
      <c r="AG58" s="43"/>
      <c r="AH58" s="43"/>
      <c r="AI58" s="43"/>
      <c r="AJ58" s="2"/>
      <c r="AK58" s="2"/>
      <c r="AL58" s="2"/>
      <c r="AM58" s="2"/>
      <c r="AO58" s="2"/>
      <c r="AP58" s="2"/>
      <c r="AQ58" s="2"/>
    </row>
    <row r="59" spans="1:51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692">
        <v>1</v>
      </c>
      <c r="H59" s="693">
        <v>2</v>
      </c>
      <c r="I59" s="693">
        <v>3</v>
      </c>
      <c r="J59" s="693">
        <v>4</v>
      </c>
      <c r="K59" s="693">
        <v>5</v>
      </c>
      <c r="L59" s="188">
        <v>1</v>
      </c>
      <c r="M59" s="168">
        <v>2</v>
      </c>
      <c r="N59" s="168">
        <v>3</v>
      </c>
      <c r="O59" s="168">
        <v>4</v>
      </c>
      <c r="P59" s="806">
        <v>5</v>
      </c>
      <c r="Q59" s="818" t="s">
        <v>117</v>
      </c>
      <c r="R59" s="829">
        <v>1</v>
      </c>
      <c r="S59" s="168">
        <v>2</v>
      </c>
      <c r="T59" s="168">
        <v>3</v>
      </c>
      <c r="U59" s="168">
        <v>4</v>
      </c>
      <c r="V59" s="414">
        <v>5</v>
      </c>
      <c r="W59" s="993"/>
      <c r="X59" s="663"/>
      <c r="Y59" s="645"/>
      <c r="Z59" s="657"/>
      <c r="AA59" s="657"/>
      <c r="AD59" s="45"/>
      <c r="AE59" s="45"/>
      <c r="AF59" s="45"/>
      <c r="AG59" s="45"/>
      <c r="AH59" s="45"/>
      <c r="AI59" s="57"/>
      <c r="AJ59" s="57"/>
      <c r="AK59" s="57"/>
      <c r="AL59" s="57"/>
      <c r="AM59" s="45"/>
      <c r="AN59" s="45"/>
      <c r="AO59" s="58"/>
      <c r="AP59" s="58"/>
      <c r="AQ59" s="58"/>
      <c r="AR59" s="2"/>
      <c r="AS59" s="2"/>
      <c r="AT59" s="2"/>
      <c r="AU59" s="2"/>
      <c r="AV59" s="2"/>
      <c r="AW59" s="2"/>
      <c r="AX59" s="2"/>
      <c r="AY59" s="2"/>
    </row>
    <row r="60" spans="1:51" ht="33.75" customHeight="1" x14ac:dyDescent="0.45">
      <c r="A60" s="171" t="s">
        <v>53</v>
      </c>
      <c r="B60" s="735">
        <v>7.6</v>
      </c>
      <c r="C60" s="736">
        <v>7.6</v>
      </c>
      <c r="D60" s="736">
        <v>1.7</v>
      </c>
      <c r="E60" s="736">
        <v>7.7</v>
      </c>
      <c r="F60" s="737">
        <v>7.6</v>
      </c>
      <c r="G60" s="738">
        <v>7.6</v>
      </c>
      <c r="H60" s="739">
        <v>7.7</v>
      </c>
      <c r="I60" s="799">
        <v>1.5</v>
      </c>
      <c r="J60" s="739">
        <v>7.6</v>
      </c>
      <c r="K60" s="739">
        <v>7.7</v>
      </c>
      <c r="L60" s="279">
        <v>6.2</v>
      </c>
      <c r="M60" s="280">
        <v>6.3</v>
      </c>
      <c r="N60" s="280">
        <v>1.9</v>
      </c>
      <c r="O60" s="280">
        <v>6</v>
      </c>
      <c r="P60" s="281">
        <v>6.3</v>
      </c>
      <c r="Q60" s="807"/>
      <c r="R60" s="737">
        <v>6.5</v>
      </c>
      <c r="S60" s="736">
        <v>6.6</v>
      </c>
      <c r="T60" s="736">
        <v>2.1</v>
      </c>
      <c r="U60" s="736">
        <v>6.7</v>
      </c>
      <c r="V60" s="742">
        <v>6.5</v>
      </c>
      <c r="W60" s="819">
        <f>SUM(B60:V60)</f>
        <v>119.39999999999999</v>
      </c>
      <c r="X60" s="639">
        <f>W60-Q60</f>
        <v>119.39999999999999</v>
      </c>
      <c r="Y60" s="646"/>
      <c r="Z60" s="657"/>
      <c r="AA60" s="657"/>
      <c r="AD60" s="42"/>
      <c r="AE60" s="2"/>
      <c r="AF60" s="45"/>
      <c r="AG60" s="45"/>
      <c r="AH60" s="45"/>
      <c r="AI60" s="57"/>
      <c r="AJ60" s="57"/>
      <c r="AK60" s="57"/>
      <c r="AL60" s="57"/>
      <c r="AM60" s="45"/>
      <c r="AN60" s="45"/>
      <c r="AO60" s="58"/>
      <c r="AP60" s="58"/>
      <c r="AQ60" s="58"/>
      <c r="AR60" s="2"/>
      <c r="AS60" s="2"/>
      <c r="AT60" s="2"/>
      <c r="AU60" s="2"/>
      <c r="AV60" s="2"/>
      <c r="AW60" s="2"/>
      <c r="AX60" s="2"/>
      <c r="AY60" s="2"/>
    </row>
    <row r="61" spans="1:51" ht="33.75" customHeight="1" x14ac:dyDescent="0.45">
      <c r="A61" s="171" t="s">
        <v>24</v>
      </c>
      <c r="B61" s="735">
        <v>6.9</v>
      </c>
      <c r="C61" s="736">
        <v>7.4</v>
      </c>
      <c r="D61" s="736">
        <v>1.1000000000000001</v>
      </c>
      <c r="E61" s="736">
        <v>7.4</v>
      </c>
      <c r="F61" s="737">
        <v>7.4</v>
      </c>
      <c r="G61" s="738">
        <v>7.5</v>
      </c>
      <c r="H61" s="739">
        <v>7.4</v>
      </c>
      <c r="I61" s="799">
        <v>1.1000000000000001</v>
      </c>
      <c r="J61" s="739">
        <v>7.4</v>
      </c>
      <c r="K61" s="739">
        <v>7.3</v>
      </c>
      <c r="L61" s="279">
        <v>6.2</v>
      </c>
      <c r="M61" s="280">
        <v>6.3</v>
      </c>
      <c r="N61" s="280">
        <v>1.9</v>
      </c>
      <c r="O61" s="280">
        <v>6</v>
      </c>
      <c r="P61" s="281">
        <v>6.3</v>
      </c>
      <c r="Q61" s="807"/>
      <c r="R61" s="737">
        <v>6.5</v>
      </c>
      <c r="S61" s="736">
        <v>6.6</v>
      </c>
      <c r="T61" s="736">
        <v>2.1</v>
      </c>
      <c r="U61" s="736">
        <v>6.7</v>
      </c>
      <c r="V61" s="742">
        <v>6.3</v>
      </c>
      <c r="W61" s="412">
        <f t="shared" ref="W61:W67" si="31">SUM(B61:V61)</f>
        <v>115.79999999999998</v>
      </c>
      <c r="X61" s="639">
        <f t="shared" ref="X61:X66" si="32">W61-Q61</f>
        <v>115.79999999999998</v>
      </c>
      <c r="Y61" s="646"/>
      <c r="Z61" s="651"/>
      <c r="AA61" s="651"/>
      <c r="AD61" s="42"/>
      <c r="AE61" s="2"/>
      <c r="AF61" s="45"/>
      <c r="AG61" s="45"/>
      <c r="AH61" s="45"/>
      <c r="AI61" s="57"/>
      <c r="AJ61" s="57"/>
      <c r="AK61" s="57"/>
      <c r="AL61" s="57"/>
      <c r="AM61" s="45"/>
      <c r="AN61" s="45"/>
      <c r="AO61" s="58"/>
      <c r="AP61" s="58"/>
      <c r="AQ61" s="58"/>
      <c r="AR61" s="2"/>
      <c r="AS61" s="2"/>
      <c r="AT61" s="2"/>
      <c r="AU61" s="2"/>
      <c r="AV61" s="2"/>
      <c r="AW61" s="2"/>
      <c r="AX61" s="2"/>
      <c r="AY61" s="2"/>
    </row>
    <row r="62" spans="1:51" ht="33.75" customHeight="1" x14ac:dyDescent="0.45">
      <c r="A62" s="171" t="s">
        <v>20</v>
      </c>
      <c r="B62" s="735">
        <v>6.9</v>
      </c>
      <c r="C62" s="736">
        <v>7.4</v>
      </c>
      <c r="D62" s="736">
        <v>1.1000000000000001</v>
      </c>
      <c r="E62" s="736">
        <v>7.4</v>
      </c>
      <c r="F62" s="737">
        <v>7.3</v>
      </c>
      <c r="G62" s="738">
        <v>7.5</v>
      </c>
      <c r="H62" s="739">
        <v>7.4</v>
      </c>
      <c r="I62" s="799">
        <v>1.1000000000000001</v>
      </c>
      <c r="J62" s="739">
        <v>7.4</v>
      </c>
      <c r="K62" s="739">
        <v>7.3</v>
      </c>
      <c r="L62" s="279">
        <v>6.2</v>
      </c>
      <c r="M62" s="280">
        <v>6.3</v>
      </c>
      <c r="N62" s="280">
        <v>1.9</v>
      </c>
      <c r="O62" s="280">
        <v>6</v>
      </c>
      <c r="P62" s="281">
        <v>6.3</v>
      </c>
      <c r="Q62" s="807"/>
      <c r="R62" s="737">
        <v>6.5</v>
      </c>
      <c r="S62" s="736">
        <v>6.6</v>
      </c>
      <c r="T62" s="736">
        <v>2.1</v>
      </c>
      <c r="U62" s="736">
        <v>6.6</v>
      </c>
      <c r="V62" s="742">
        <v>6.3</v>
      </c>
      <c r="W62" s="412">
        <f t="shared" si="31"/>
        <v>115.59999999999998</v>
      </c>
      <c r="X62" s="639">
        <f t="shared" si="32"/>
        <v>115.59999999999998</v>
      </c>
      <c r="Y62" s="646"/>
      <c r="Z62" s="651"/>
      <c r="AA62" s="651"/>
      <c r="AD62" s="42"/>
      <c r="AE62" s="2"/>
      <c r="AF62" s="45"/>
      <c r="AG62" s="45"/>
      <c r="AH62" s="45"/>
      <c r="AI62" s="57"/>
      <c r="AJ62" s="57"/>
      <c r="AK62" s="57"/>
      <c r="AL62" s="57"/>
      <c r="AM62" s="45"/>
      <c r="AN62" s="45"/>
      <c r="AO62" s="58"/>
      <c r="AP62" s="58"/>
      <c r="AQ62" s="58"/>
      <c r="AR62" s="2"/>
      <c r="AS62" s="2"/>
      <c r="AT62" s="2"/>
      <c r="AU62" s="2"/>
      <c r="AV62" s="2"/>
      <c r="AW62" s="2"/>
      <c r="AX62" s="2"/>
      <c r="AY62" s="2"/>
    </row>
    <row r="63" spans="1:51" ht="33.75" customHeight="1" x14ac:dyDescent="0.45">
      <c r="A63" s="171" t="s">
        <v>28</v>
      </c>
      <c r="B63" s="735">
        <v>6.9</v>
      </c>
      <c r="C63" s="736">
        <v>7.4</v>
      </c>
      <c r="D63" s="736">
        <v>1.1000000000000001</v>
      </c>
      <c r="E63" s="736">
        <v>7.4</v>
      </c>
      <c r="F63" s="737">
        <v>7.3</v>
      </c>
      <c r="G63" s="738">
        <v>7.4</v>
      </c>
      <c r="H63" s="739">
        <v>7.4</v>
      </c>
      <c r="I63" s="799">
        <v>1.1000000000000001</v>
      </c>
      <c r="J63" s="739">
        <v>7.4</v>
      </c>
      <c r="K63" s="739">
        <v>7.3</v>
      </c>
      <c r="L63" s="279">
        <v>5.9</v>
      </c>
      <c r="M63" s="280">
        <v>5.8</v>
      </c>
      <c r="N63" s="280">
        <v>1.4</v>
      </c>
      <c r="O63" s="280">
        <v>5.7</v>
      </c>
      <c r="P63" s="281">
        <v>5.4</v>
      </c>
      <c r="Q63" s="807"/>
      <c r="R63" s="737">
        <v>5.9</v>
      </c>
      <c r="S63" s="736">
        <v>6.1</v>
      </c>
      <c r="T63" s="736">
        <v>1.3</v>
      </c>
      <c r="U63" s="736">
        <v>5.8</v>
      </c>
      <c r="V63" s="742">
        <v>6</v>
      </c>
      <c r="W63" s="412">
        <f t="shared" si="31"/>
        <v>110</v>
      </c>
      <c r="X63" s="639">
        <f t="shared" si="32"/>
        <v>110</v>
      </c>
      <c r="Y63" s="646"/>
      <c r="Z63" s="651"/>
      <c r="AA63" s="651"/>
      <c r="AD63" s="42"/>
      <c r="AE63" s="2"/>
      <c r="AF63" s="45"/>
      <c r="AG63" s="45"/>
      <c r="AH63" s="45"/>
      <c r="AI63" s="57"/>
      <c r="AJ63" s="57"/>
      <c r="AK63" s="57"/>
      <c r="AL63" s="57"/>
      <c r="AM63" s="45"/>
      <c r="AN63" s="45"/>
      <c r="AO63" s="58"/>
      <c r="AP63" s="58"/>
      <c r="AQ63" s="58"/>
      <c r="AR63" s="3"/>
      <c r="AS63" s="3"/>
      <c r="AT63" s="2"/>
      <c r="AU63" s="2"/>
      <c r="AV63" s="2"/>
      <c r="AW63" s="2"/>
      <c r="AX63" s="2"/>
      <c r="AY63" s="2"/>
    </row>
    <row r="64" spans="1:51" ht="33.75" customHeight="1" x14ac:dyDescent="0.45">
      <c r="A64" s="171" t="s">
        <v>21</v>
      </c>
      <c r="B64" s="735">
        <v>6.9</v>
      </c>
      <c r="C64" s="736">
        <v>7.4</v>
      </c>
      <c r="D64" s="736">
        <v>1.1000000000000001</v>
      </c>
      <c r="E64" s="736">
        <v>7.4</v>
      </c>
      <c r="F64" s="737">
        <v>7.3</v>
      </c>
      <c r="G64" s="738">
        <v>7.4</v>
      </c>
      <c r="H64" s="739">
        <v>7.4</v>
      </c>
      <c r="I64" s="799">
        <v>1.1000000000000001</v>
      </c>
      <c r="J64" s="739">
        <v>7.4</v>
      </c>
      <c r="K64" s="739">
        <v>7.3</v>
      </c>
      <c r="L64" s="279">
        <v>5.9</v>
      </c>
      <c r="M64" s="280">
        <v>5.7</v>
      </c>
      <c r="N64" s="280">
        <v>1.4</v>
      </c>
      <c r="O64" s="280">
        <v>5.7</v>
      </c>
      <c r="P64" s="281">
        <v>5.4</v>
      </c>
      <c r="Q64" s="807"/>
      <c r="R64" s="737">
        <v>5.9</v>
      </c>
      <c r="S64" s="736">
        <v>6.1</v>
      </c>
      <c r="T64" s="736">
        <v>1.3</v>
      </c>
      <c r="U64" s="736">
        <v>5.8</v>
      </c>
      <c r="V64" s="742">
        <v>5.9</v>
      </c>
      <c r="W64" s="412">
        <f t="shared" si="31"/>
        <v>109.80000000000001</v>
      </c>
      <c r="X64" s="639">
        <f t="shared" si="32"/>
        <v>109.80000000000001</v>
      </c>
      <c r="Y64" s="646"/>
      <c r="Z64" s="651"/>
      <c r="AA64" s="651"/>
      <c r="AD64" s="42"/>
      <c r="AE64" s="2"/>
      <c r="AF64" s="45"/>
      <c r="AG64" s="45"/>
      <c r="AH64" s="45"/>
      <c r="AI64" s="57"/>
      <c r="AJ64" s="57"/>
      <c r="AK64" s="57"/>
      <c r="AL64" s="57"/>
      <c r="AM64" s="45"/>
      <c r="AN64" s="45"/>
      <c r="AO64" s="58"/>
      <c r="AP64" s="58"/>
      <c r="AQ64" s="58"/>
      <c r="AR64" s="3"/>
      <c r="AS64" s="3"/>
      <c r="AT64" s="2"/>
      <c r="AU64" s="2"/>
      <c r="AV64" s="2"/>
      <c r="AW64" s="2"/>
      <c r="AX64" s="2"/>
      <c r="AY64" s="2"/>
    </row>
    <row r="65" spans="1:51" ht="33.75" customHeight="1" x14ac:dyDescent="0.45">
      <c r="A65" s="171" t="s">
        <v>22</v>
      </c>
      <c r="B65" s="735">
        <v>6.8</v>
      </c>
      <c r="C65" s="736">
        <v>7.4</v>
      </c>
      <c r="D65" s="736">
        <v>1.1000000000000001</v>
      </c>
      <c r="E65" s="736">
        <v>7.4</v>
      </c>
      <c r="F65" s="737">
        <v>7.3</v>
      </c>
      <c r="G65" s="738">
        <v>7.4</v>
      </c>
      <c r="H65" s="739">
        <v>7.4</v>
      </c>
      <c r="I65" s="799">
        <v>1.1000000000000001</v>
      </c>
      <c r="J65" s="739">
        <v>7.4</v>
      </c>
      <c r="K65" s="739">
        <v>7.3</v>
      </c>
      <c r="L65" s="279">
        <v>5.8</v>
      </c>
      <c r="M65" s="280">
        <v>5.7</v>
      </c>
      <c r="N65" s="280">
        <v>1.4</v>
      </c>
      <c r="O65" s="280">
        <v>5.7</v>
      </c>
      <c r="P65" s="281">
        <v>5.3</v>
      </c>
      <c r="Q65" s="807"/>
      <c r="R65" s="737">
        <v>5.9</v>
      </c>
      <c r="S65" s="736">
        <v>6</v>
      </c>
      <c r="T65" s="736">
        <v>1.2</v>
      </c>
      <c r="U65" s="736">
        <v>5.7</v>
      </c>
      <c r="V65" s="742">
        <v>5.9</v>
      </c>
      <c r="W65" s="412">
        <f t="shared" si="31"/>
        <v>109.20000000000002</v>
      </c>
      <c r="X65" s="651">
        <f t="shared" si="32"/>
        <v>109.20000000000002</v>
      </c>
      <c r="Y65" s="646"/>
      <c r="Z65" s="651"/>
      <c r="AA65" s="651"/>
      <c r="AD65" s="42"/>
      <c r="AE65" s="2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3"/>
      <c r="AS65" s="3"/>
      <c r="AV65" s="2"/>
      <c r="AW65" s="2"/>
      <c r="AX65" s="2"/>
      <c r="AY65" s="2"/>
    </row>
    <row r="66" spans="1:51" ht="33.75" customHeight="1" thickBot="1" x14ac:dyDescent="0.5">
      <c r="A66" s="171" t="s">
        <v>23</v>
      </c>
      <c r="B66" s="735">
        <v>6.8</v>
      </c>
      <c r="C66" s="736">
        <v>7.4</v>
      </c>
      <c r="D66" s="736">
        <v>0.7</v>
      </c>
      <c r="E66" s="736">
        <v>7.3</v>
      </c>
      <c r="F66" s="737">
        <v>7.3</v>
      </c>
      <c r="G66" s="738">
        <v>7.4</v>
      </c>
      <c r="H66" s="739">
        <v>7.3</v>
      </c>
      <c r="I66" s="799">
        <v>0.9</v>
      </c>
      <c r="J66" s="739">
        <v>7.4</v>
      </c>
      <c r="K66" s="739">
        <v>6.2</v>
      </c>
      <c r="L66" s="279">
        <v>5.8</v>
      </c>
      <c r="M66" s="280">
        <v>5.7</v>
      </c>
      <c r="N66" s="280">
        <v>1.4</v>
      </c>
      <c r="O66" s="280">
        <v>5.6</v>
      </c>
      <c r="P66" s="281">
        <v>5.3</v>
      </c>
      <c r="Q66" s="807"/>
      <c r="R66" s="737">
        <v>5.8</v>
      </c>
      <c r="S66" s="736">
        <v>6</v>
      </c>
      <c r="T66" s="736">
        <v>1.2</v>
      </c>
      <c r="U66" s="736">
        <v>5.7</v>
      </c>
      <c r="V66" s="742">
        <v>5.9</v>
      </c>
      <c r="W66" s="412">
        <f t="shared" si="31"/>
        <v>107.10000000000001</v>
      </c>
      <c r="X66" s="651">
        <f t="shared" si="32"/>
        <v>107.10000000000001</v>
      </c>
      <c r="Y66" s="646"/>
      <c r="Z66" s="651"/>
      <c r="AA66" s="651"/>
      <c r="AD66" s="42"/>
      <c r="AE66" s="2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3"/>
      <c r="AS66" s="3"/>
      <c r="AV66" s="2"/>
      <c r="AW66" s="2"/>
      <c r="AX66" s="2"/>
      <c r="AY66" s="2"/>
    </row>
    <row r="67" spans="1:51" ht="33.75" customHeight="1" thickBot="1" x14ac:dyDescent="0.3">
      <c r="A67" s="170" t="s">
        <v>9</v>
      </c>
      <c r="B67" s="618">
        <f t="shared" ref="B67:V67" si="33">SUM(B60:B66)</f>
        <v>48.79999999999999</v>
      </c>
      <c r="C67" s="616">
        <f t="shared" si="33"/>
        <v>51.999999999999993</v>
      </c>
      <c r="D67" s="616">
        <f t="shared" si="33"/>
        <v>7.8999999999999995</v>
      </c>
      <c r="E67" s="616">
        <f t="shared" si="33"/>
        <v>51.999999999999993</v>
      </c>
      <c r="F67" s="617">
        <f t="shared" si="33"/>
        <v>51.499999999999993</v>
      </c>
      <c r="G67" s="719">
        <f t="shared" si="33"/>
        <v>52.199999999999996</v>
      </c>
      <c r="H67" s="696">
        <f t="shared" si="33"/>
        <v>51.999999999999993</v>
      </c>
      <c r="I67" s="696">
        <f t="shared" si="33"/>
        <v>7.9</v>
      </c>
      <c r="J67" s="696">
        <f t="shared" si="33"/>
        <v>51.999999999999993</v>
      </c>
      <c r="K67" s="720">
        <f t="shared" si="33"/>
        <v>50.4</v>
      </c>
      <c r="L67" s="618">
        <f t="shared" si="33"/>
        <v>41.999999999999993</v>
      </c>
      <c r="M67" s="616">
        <f t="shared" si="33"/>
        <v>41.800000000000004</v>
      </c>
      <c r="N67" s="616">
        <f t="shared" si="33"/>
        <v>11.3</v>
      </c>
      <c r="O67" s="616">
        <f t="shared" si="33"/>
        <v>40.700000000000003</v>
      </c>
      <c r="P67" s="617">
        <f t="shared" si="33"/>
        <v>40.29999999999999</v>
      </c>
      <c r="Q67" s="816">
        <f t="shared" si="33"/>
        <v>0</v>
      </c>
      <c r="R67" s="615">
        <f t="shared" si="33"/>
        <v>42.999999999999993</v>
      </c>
      <c r="S67" s="616">
        <f t="shared" si="33"/>
        <v>44</v>
      </c>
      <c r="T67" s="616">
        <f t="shared" si="33"/>
        <v>11.299999999999999</v>
      </c>
      <c r="U67" s="616">
        <f t="shared" si="33"/>
        <v>43.000000000000007</v>
      </c>
      <c r="V67" s="617">
        <f t="shared" si="33"/>
        <v>42.8</v>
      </c>
      <c r="W67" s="449">
        <f t="shared" si="31"/>
        <v>786.89999999999986</v>
      </c>
      <c r="X67" s="664"/>
      <c r="Y67" s="646"/>
      <c r="Z67" s="651"/>
      <c r="AA67" s="651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3"/>
      <c r="AS67" s="3"/>
      <c r="AT67" s="3"/>
      <c r="AU67" s="3"/>
      <c r="AV67" s="2"/>
      <c r="AW67" s="2"/>
      <c r="AX67" s="2"/>
      <c r="AY67" s="2"/>
    </row>
    <row r="68" spans="1:51" ht="33.75" customHeight="1" x14ac:dyDescent="0.25">
      <c r="A68" s="192" t="s">
        <v>11</v>
      </c>
      <c r="B68" s="357">
        <v>162</v>
      </c>
      <c r="C68" s="358">
        <v>161.5</v>
      </c>
      <c r="D68" s="358">
        <v>162</v>
      </c>
      <c r="E68" s="358">
        <v>161.5</v>
      </c>
      <c r="F68" s="624">
        <v>160</v>
      </c>
      <c r="G68" s="721">
        <v>162</v>
      </c>
      <c r="H68" s="698">
        <v>161.5</v>
      </c>
      <c r="I68" s="698">
        <v>162</v>
      </c>
      <c r="J68" s="698">
        <v>161.5</v>
      </c>
      <c r="K68" s="722">
        <v>160</v>
      </c>
      <c r="L68" s="721">
        <v>162</v>
      </c>
      <c r="M68" s="698">
        <v>161.5</v>
      </c>
      <c r="N68" s="698">
        <v>162</v>
      </c>
      <c r="O68" s="698">
        <v>161.5</v>
      </c>
      <c r="P68" s="722">
        <v>160</v>
      </c>
      <c r="Q68" s="817">
        <v>162</v>
      </c>
      <c r="R68" s="671">
        <v>161.5</v>
      </c>
      <c r="S68" s="358">
        <v>161</v>
      </c>
      <c r="T68" s="358">
        <v>162</v>
      </c>
      <c r="U68" s="358">
        <v>161.5</v>
      </c>
      <c r="V68" s="624">
        <v>161</v>
      </c>
      <c r="W68" s="296">
        <f>+((W67/W69)/7)*1000</f>
        <v>150.68939103791649</v>
      </c>
      <c r="X68" s="145"/>
      <c r="Y68" s="648"/>
      <c r="Z68" s="665"/>
      <c r="AA68" s="522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3"/>
      <c r="AS68" s="3"/>
      <c r="AT68" s="3"/>
      <c r="AU68" s="3"/>
      <c r="AV68" s="2"/>
      <c r="AW68" s="2"/>
      <c r="AX68" s="2"/>
      <c r="AY68" s="2"/>
    </row>
    <row r="69" spans="1:51" ht="33.75" customHeight="1" x14ac:dyDescent="0.25">
      <c r="A69" s="193" t="s">
        <v>12</v>
      </c>
      <c r="B69" s="257">
        <v>43</v>
      </c>
      <c r="C69" s="275">
        <v>46</v>
      </c>
      <c r="D69" s="275">
        <v>7</v>
      </c>
      <c r="E69" s="275">
        <v>46</v>
      </c>
      <c r="F69" s="276">
        <v>46</v>
      </c>
      <c r="G69" s="723">
        <v>46</v>
      </c>
      <c r="H69" s="700">
        <v>46</v>
      </c>
      <c r="I69" s="700">
        <v>7</v>
      </c>
      <c r="J69" s="700">
        <v>46</v>
      </c>
      <c r="K69" s="724">
        <v>45</v>
      </c>
      <c r="L69" s="257">
        <v>37</v>
      </c>
      <c r="M69" s="275">
        <v>37</v>
      </c>
      <c r="N69" s="275">
        <v>10</v>
      </c>
      <c r="O69" s="275">
        <v>36</v>
      </c>
      <c r="P69" s="527">
        <v>36</v>
      </c>
      <c r="Q69" s="71">
        <v>49</v>
      </c>
      <c r="R69" s="79">
        <v>38</v>
      </c>
      <c r="S69" s="275">
        <v>39</v>
      </c>
      <c r="T69" s="275">
        <v>10</v>
      </c>
      <c r="U69" s="275">
        <v>38</v>
      </c>
      <c r="V69" s="276">
        <v>38</v>
      </c>
      <c r="W69" s="254">
        <f>SUM(B69:V69)</f>
        <v>746</v>
      </c>
      <c r="X69" s="145"/>
      <c r="Y69" s="649"/>
      <c r="Z69" s="665"/>
      <c r="AA69" s="522"/>
      <c r="AE69" s="59"/>
      <c r="AI69" s="3"/>
      <c r="AJ69" s="3"/>
      <c r="AK69" s="3"/>
      <c r="AL69" s="3"/>
      <c r="AM69" s="3"/>
      <c r="AN69" s="3"/>
    </row>
    <row r="70" spans="1:51" ht="33.75" customHeight="1" x14ac:dyDescent="0.25">
      <c r="A70" s="194" t="s">
        <v>13</v>
      </c>
      <c r="B70" s="30">
        <f>((((B68*7)*B69)/1000)/7)</f>
        <v>6.9660000000000002</v>
      </c>
      <c r="C70" s="31">
        <f t="shared" ref="C70:V70" si="34">((((C68*7)*C69)/1000)/7)</f>
        <v>7.4290000000000003</v>
      </c>
      <c r="D70" s="31">
        <f t="shared" si="34"/>
        <v>1.1339999999999999</v>
      </c>
      <c r="E70" s="31">
        <f t="shared" si="34"/>
        <v>7.4290000000000003</v>
      </c>
      <c r="F70" s="32">
        <f t="shared" si="34"/>
        <v>7.36</v>
      </c>
      <c r="G70" s="30">
        <f t="shared" si="34"/>
        <v>7.452</v>
      </c>
      <c r="H70" s="31">
        <f t="shared" si="34"/>
        <v>7.4290000000000003</v>
      </c>
      <c r="I70" s="31">
        <f t="shared" si="34"/>
        <v>1.1339999999999999</v>
      </c>
      <c r="J70" s="31">
        <f t="shared" si="34"/>
        <v>7.4290000000000003</v>
      </c>
      <c r="K70" s="32">
        <f t="shared" si="34"/>
        <v>7.2</v>
      </c>
      <c r="L70" s="30">
        <f t="shared" si="34"/>
        <v>5.9939999999999998</v>
      </c>
      <c r="M70" s="31">
        <f t="shared" si="34"/>
        <v>5.9754999999999994</v>
      </c>
      <c r="N70" s="31">
        <f t="shared" si="34"/>
        <v>1.6199999999999999</v>
      </c>
      <c r="O70" s="31">
        <f t="shared" si="34"/>
        <v>5.8140000000000001</v>
      </c>
      <c r="P70" s="163">
        <f t="shared" si="34"/>
        <v>5.76</v>
      </c>
      <c r="Q70" s="286">
        <f>((((Q68*7)*Q69)/1000)/5)</f>
        <v>11.113200000000001</v>
      </c>
      <c r="R70" s="65">
        <f t="shared" si="34"/>
        <v>6.1370000000000005</v>
      </c>
      <c r="S70" s="31">
        <f t="shared" si="34"/>
        <v>6.2790000000000008</v>
      </c>
      <c r="T70" s="31">
        <f t="shared" si="34"/>
        <v>1.6199999999999999</v>
      </c>
      <c r="U70" s="31">
        <f t="shared" si="34"/>
        <v>6.1370000000000005</v>
      </c>
      <c r="V70" s="32">
        <f t="shared" si="34"/>
        <v>6.1180000000000003</v>
      </c>
      <c r="W70" s="139">
        <f>((W67*1000)/W69)/7</f>
        <v>150.68939103791649</v>
      </c>
      <c r="X70" s="144"/>
      <c r="Y70" s="650"/>
      <c r="Z70" s="665"/>
      <c r="AA70" s="522"/>
      <c r="AI70" s="3"/>
      <c r="AJ70" s="3"/>
      <c r="AK70" s="3"/>
      <c r="AL70" s="3"/>
      <c r="AM70" s="3"/>
      <c r="AN70" s="3"/>
    </row>
    <row r="71" spans="1:51" ht="33.75" customHeight="1" x14ac:dyDescent="0.25">
      <c r="A71" s="185" t="s">
        <v>14</v>
      </c>
      <c r="B71" s="279">
        <f t="shared" ref="B71:V71" si="35">((B69*B68)*7)/1000</f>
        <v>48.762</v>
      </c>
      <c r="C71" s="280">
        <f t="shared" si="35"/>
        <v>52.003</v>
      </c>
      <c r="D71" s="280">
        <f t="shared" si="35"/>
        <v>7.9379999999999997</v>
      </c>
      <c r="E71" s="280">
        <f t="shared" si="35"/>
        <v>52.003</v>
      </c>
      <c r="F71" s="282">
        <f t="shared" si="35"/>
        <v>51.52</v>
      </c>
      <c r="G71" s="464">
        <f t="shared" si="35"/>
        <v>52.164000000000001</v>
      </c>
      <c r="H71" s="459">
        <f>((H69*H68)*7)/1000</f>
        <v>52.003</v>
      </c>
      <c r="I71" s="459">
        <f t="shared" si="35"/>
        <v>7.9379999999999997</v>
      </c>
      <c r="J71" s="459">
        <f t="shared" si="35"/>
        <v>52.003</v>
      </c>
      <c r="K71" s="460">
        <f t="shared" si="35"/>
        <v>50.4</v>
      </c>
      <c r="L71" s="279">
        <f t="shared" si="35"/>
        <v>41.957999999999998</v>
      </c>
      <c r="M71" s="280">
        <f t="shared" si="35"/>
        <v>41.828499999999998</v>
      </c>
      <c r="N71" s="280">
        <f t="shared" si="35"/>
        <v>11.34</v>
      </c>
      <c r="O71" s="280">
        <f t="shared" si="35"/>
        <v>40.698</v>
      </c>
      <c r="P71" s="281">
        <f t="shared" si="35"/>
        <v>40.32</v>
      </c>
      <c r="Q71" s="680">
        <f t="shared" ref="Q71" si="36">((Q69*Q68)*7)/1000</f>
        <v>55.566000000000003</v>
      </c>
      <c r="R71" s="325">
        <f t="shared" si="35"/>
        <v>42.959000000000003</v>
      </c>
      <c r="S71" s="280">
        <f t="shared" si="35"/>
        <v>43.953000000000003</v>
      </c>
      <c r="T71" s="280">
        <f t="shared" si="35"/>
        <v>11.34</v>
      </c>
      <c r="U71" s="280">
        <f t="shared" si="35"/>
        <v>42.959000000000003</v>
      </c>
      <c r="V71" s="282">
        <f t="shared" si="35"/>
        <v>42.826000000000001</v>
      </c>
      <c r="W71" s="112"/>
      <c r="X71" s="651"/>
      <c r="Y71" s="666"/>
      <c r="Z71" s="666"/>
      <c r="AA71" s="666"/>
      <c r="AB71" s="41"/>
      <c r="AC71" s="41"/>
      <c r="AD71" s="41"/>
      <c r="AN71" s="3"/>
    </row>
    <row r="72" spans="1:51" ht="33.75" customHeight="1" thickBot="1" x14ac:dyDescent="0.3">
      <c r="A72" s="195" t="s">
        <v>15</v>
      </c>
      <c r="B72" s="37">
        <f t="shared" ref="B72:V72" si="37">+(B67/B69)/7*1000</f>
        <v>162.12624584717602</v>
      </c>
      <c r="C72" s="38">
        <f t="shared" si="37"/>
        <v>161.49068322981367</v>
      </c>
      <c r="D72" s="38">
        <f t="shared" si="37"/>
        <v>161.22448979591834</v>
      </c>
      <c r="E72" s="38">
        <f t="shared" si="37"/>
        <v>161.49068322981367</v>
      </c>
      <c r="F72" s="39">
        <f t="shared" si="37"/>
        <v>159.93788819875772</v>
      </c>
      <c r="G72" s="727">
        <f t="shared" si="37"/>
        <v>162.111801242236</v>
      </c>
      <c r="H72" s="704">
        <f t="shared" si="37"/>
        <v>161.49068322981367</v>
      </c>
      <c r="I72" s="704">
        <f t="shared" si="37"/>
        <v>161.22448979591834</v>
      </c>
      <c r="J72" s="704">
        <f t="shared" si="37"/>
        <v>161.49068322981367</v>
      </c>
      <c r="K72" s="728">
        <f t="shared" si="37"/>
        <v>159.99999999999997</v>
      </c>
      <c r="L72" s="37">
        <f t="shared" si="37"/>
        <v>162.1621621621621</v>
      </c>
      <c r="M72" s="38">
        <f t="shared" si="37"/>
        <v>161.3899613899614</v>
      </c>
      <c r="N72" s="38">
        <f t="shared" si="37"/>
        <v>161.42857142857144</v>
      </c>
      <c r="O72" s="38">
        <f t="shared" si="37"/>
        <v>161.50793650793651</v>
      </c>
      <c r="P72" s="207">
        <f t="shared" si="37"/>
        <v>159.92063492063488</v>
      </c>
      <c r="Q72" s="262">
        <f t="shared" ref="Q72" si="38">+(Q67/Q69)/7*1000</f>
        <v>0</v>
      </c>
      <c r="R72" s="67">
        <f t="shared" si="37"/>
        <v>161.65413533834584</v>
      </c>
      <c r="S72" s="38">
        <f t="shared" si="37"/>
        <v>161.1721611721612</v>
      </c>
      <c r="T72" s="38">
        <f t="shared" si="37"/>
        <v>161.42857142857142</v>
      </c>
      <c r="U72" s="38">
        <f t="shared" si="37"/>
        <v>161.6541353383459</v>
      </c>
      <c r="V72" s="39">
        <f t="shared" si="37"/>
        <v>160.90225563909775</v>
      </c>
      <c r="W72" s="40"/>
      <c r="X72" s="651"/>
      <c r="Y72" s="522"/>
      <c r="Z72" s="522"/>
      <c r="AA72" s="522"/>
      <c r="AN72" s="3"/>
    </row>
    <row r="73" spans="1:51" ht="33.75" customHeight="1" x14ac:dyDescent="0.25">
      <c r="B73" s="43">
        <f>B71-B67</f>
        <v>-3.7999999999989598E-2</v>
      </c>
      <c r="C73" s="43">
        <f t="shared" ref="C73:F73" si="39">C71-C67</f>
        <v>3.0000000000072191E-3</v>
      </c>
      <c r="D73" s="43">
        <f t="shared" si="39"/>
        <v>3.8000000000000256E-2</v>
      </c>
      <c r="E73" s="43">
        <f t="shared" si="39"/>
        <v>3.0000000000072191E-3</v>
      </c>
      <c r="F73" s="43">
        <f t="shared" si="39"/>
        <v>2.0000000000010232E-2</v>
      </c>
      <c r="G73" s="143">
        <f>G71-G67</f>
        <v>-3.5999999999994259E-2</v>
      </c>
      <c r="H73" s="143">
        <f t="shared" ref="H73:V74" si="40">H71-H67</f>
        <v>3.0000000000072191E-3</v>
      </c>
      <c r="I73" s="143">
        <f t="shared" si="40"/>
        <v>3.7999999999999368E-2</v>
      </c>
      <c r="J73" s="143">
        <f t="shared" si="40"/>
        <v>3.0000000000072191E-3</v>
      </c>
      <c r="K73" s="143">
        <f t="shared" si="40"/>
        <v>0</v>
      </c>
      <c r="L73" s="43">
        <f>L71-L67</f>
        <v>-4.1999999999994486E-2</v>
      </c>
      <c r="M73" s="43">
        <f t="shared" ref="M73:P73" si="41">M71-M67</f>
        <v>2.8499999999993975E-2</v>
      </c>
      <c r="N73" s="43">
        <f t="shared" si="41"/>
        <v>3.9999999999999147E-2</v>
      </c>
      <c r="O73" s="43">
        <f t="shared" si="41"/>
        <v>-2.0000000000024443E-3</v>
      </c>
      <c r="P73" s="43">
        <f t="shared" si="41"/>
        <v>2.0000000000010232E-2</v>
      </c>
      <c r="Q73" s="43">
        <f t="shared" ref="Q73" si="42">Q71-Q67</f>
        <v>55.566000000000003</v>
      </c>
      <c r="R73" s="43">
        <f>R71-R67</f>
        <v>-4.0999999999989711E-2</v>
      </c>
      <c r="S73" s="43">
        <f t="shared" ref="S73:V73" si="43">S71-S67</f>
        <v>-4.6999999999997044E-2</v>
      </c>
      <c r="T73" s="43">
        <f>T71-T67</f>
        <v>4.0000000000000924E-2</v>
      </c>
      <c r="U73" s="43">
        <f>U71-U67</f>
        <v>-4.1000000000003922E-2</v>
      </c>
      <c r="V73" s="43">
        <f t="shared" si="43"/>
        <v>2.6000000000003354E-2</v>
      </c>
      <c r="X73" s="144"/>
      <c r="Y73" s="522"/>
      <c r="Z73" s="522"/>
      <c r="AA73" s="522"/>
    </row>
    <row r="74" spans="1:51" ht="33.75" customHeight="1" x14ac:dyDescent="0.25">
      <c r="B74" s="42">
        <f t="shared" ref="B74:J74" si="44">B72-B68</f>
        <v>0.12624584717602261</v>
      </c>
      <c r="C74" s="42">
        <f t="shared" si="44"/>
        <v>-9.3167701863308139E-3</v>
      </c>
      <c r="D74" s="42">
        <f t="shared" si="44"/>
        <v>-0.77551020408165527</v>
      </c>
      <c r="E74" s="42">
        <f t="shared" si="44"/>
        <v>-9.3167701863308139E-3</v>
      </c>
      <c r="F74" s="42">
        <f t="shared" si="44"/>
        <v>-6.2111801242281217E-2</v>
      </c>
      <c r="G74" s="705">
        <f t="shared" si="44"/>
        <v>0.11180124223599819</v>
      </c>
      <c r="H74" s="705">
        <f t="shared" si="44"/>
        <v>-9.3167701863308139E-3</v>
      </c>
      <c r="I74" s="705">
        <f>I72-I68</f>
        <v>-0.77551020408165527</v>
      </c>
      <c r="J74" s="705">
        <f t="shared" si="44"/>
        <v>-9.3167701863308139E-3</v>
      </c>
      <c r="K74" s="705">
        <f t="shared" si="40"/>
        <v>0</v>
      </c>
      <c r="L74" s="42">
        <f t="shared" si="40"/>
        <v>0.16216216216210455</v>
      </c>
      <c r="M74" s="42">
        <f t="shared" si="40"/>
        <v>-0.11003861003860038</v>
      </c>
      <c r="N74" s="42">
        <f t="shared" si="40"/>
        <v>-0.57142857142855519</v>
      </c>
      <c r="O74" s="42">
        <f t="shared" si="40"/>
        <v>7.936507936506132E-3</v>
      </c>
      <c r="P74" s="42">
        <f t="shared" si="40"/>
        <v>-7.9365079365118163E-2</v>
      </c>
      <c r="Q74" s="42">
        <f t="shared" ref="Q74" si="45">Q72-Q68</f>
        <v>-162</v>
      </c>
      <c r="R74" s="42">
        <f t="shared" si="40"/>
        <v>0.15413533834583859</v>
      </c>
      <c r="S74" s="42">
        <f t="shared" si="40"/>
        <v>0.17216117216119642</v>
      </c>
      <c r="T74" s="42">
        <f t="shared" si="40"/>
        <v>-0.57142857142858361</v>
      </c>
      <c r="U74" s="42">
        <f t="shared" si="40"/>
        <v>0.15413533834589543</v>
      </c>
      <c r="V74" s="42">
        <f t="shared" si="40"/>
        <v>-9.7744360902254357E-2</v>
      </c>
      <c r="W74" s="45"/>
      <c r="X74" s="651"/>
      <c r="Y74" s="657"/>
      <c r="Z74" s="657"/>
      <c r="AA74" s="657"/>
      <c r="AB74" s="45"/>
      <c r="AC74" s="45"/>
      <c r="AD74" s="45"/>
      <c r="AE74" s="52"/>
    </row>
    <row r="75" spans="1:51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</row>
    <row r="76" spans="1:51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1" ht="33.75" customHeight="1" x14ac:dyDescent="0.25">
      <c r="A77" s="45"/>
      <c r="B77" s="58"/>
      <c r="C77" s="58"/>
      <c r="D77" s="648" t="s">
        <v>132</v>
      </c>
      <c r="E77" s="58"/>
      <c r="F77" s="58"/>
      <c r="G77" s="58"/>
      <c r="H77" s="648" t="s">
        <v>132</v>
      </c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1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1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1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8">
    <mergeCell ref="B39:F39"/>
    <mergeCell ref="G39:G40"/>
    <mergeCell ref="M39:Q39"/>
    <mergeCell ref="B58:F58"/>
    <mergeCell ref="A3:C3"/>
    <mergeCell ref="E9:G9"/>
    <mergeCell ref="G58:K58"/>
    <mergeCell ref="L58:Q58"/>
    <mergeCell ref="O11:P11"/>
    <mergeCell ref="B16:H16"/>
    <mergeCell ref="I16:O16"/>
    <mergeCell ref="P16:T16"/>
    <mergeCell ref="W9:X9"/>
    <mergeCell ref="U16:Y16"/>
    <mergeCell ref="Z16:Z17"/>
    <mergeCell ref="R39:R40"/>
    <mergeCell ref="W58:W59"/>
    <mergeCell ref="R58:V58"/>
  </mergeCells>
  <pageMargins left="0.23622047244094488" right="0.23622047244094488" top="0.74803149606299213" bottom="0.74803149606299213" header="0.31496062992125984" footer="0.31496062992125984"/>
  <pageSetup paperSize="9" scale="20" fitToWidth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241"/>
  <sheetViews>
    <sheetView topLeftCell="A18" zoomScale="26" zoomScaleNormal="26" workbookViewId="0">
      <selection activeCell="G41" sqref="G41"/>
    </sheetView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51</v>
      </c>
      <c r="P11" s="965"/>
      <c r="Q11" s="6"/>
      <c r="R11" s="6"/>
      <c r="S11" s="6"/>
      <c r="T11" s="1"/>
      <c r="U11" s="1"/>
      <c r="V11" s="1" t="s">
        <v>6</v>
      </c>
      <c r="W11" s="95">
        <v>45697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  <c r="Z16" s="977" t="s">
        <v>9</v>
      </c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828"/>
      <c r="I17" s="188" t="s">
        <v>100</v>
      </c>
      <c r="J17" s="168">
        <v>1</v>
      </c>
      <c r="K17" s="168">
        <v>2</v>
      </c>
      <c r="L17" s="168">
        <v>3</v>
      </c>
      <c r="M17" s="168">
        <v>4</v>
      </c>
      <c r="N17" s="169">
        <v>5</v>
      </c>
      <c r="O17" s="828"/>
      <c r="P17" s="189">
        <v>1</v>
      </c>
      <c r="Q17" s="168">
        <v>2</v>
      </c>
      <c r="R17" s="168">
        <v>3</v>
      </c>
      <c r="S17" s="168">
        <v>4</v>
      </c>
      <c r="T17" s="204">
        <v>5</v>
      </c>
      <c r="U17" s="188">
        <v>1</v>
      </c>
      <c r="V17" s="168">
        <v>2</v>
      </c>
      <c r="W17" s="168">
        <v>3</v>
      </c>
      <c r="X17" s="168">
        <v>4</v>
      </c>
      <c r="Y17" s="169">
        <v>5</v>
      </c>
      <c r="Z17" s="984"/>
      <c r="AD17" s="2"/>
      <c r="AE17" s="15"/>
    </row>
    <row r="18" spans="1:40" ht="39.950000000000003" customHeight="1" x14ac:dyDescent="0.25">
      <c r="A18" s="171" t="s">
        <v>53</v>
      </c>
      <c r="B18" s="743">
        <v>299</v>
      </c>
      <c r="C18" s="739">
        <v>14.5</v>
      </c>
      <c r="D18" s="739">
        <v>15.1</v>
      </c>
      <c r="E18" s="739">
        <v>2.6</v>
      </c>
      <c r="F18" s="739">
        <v>15.1</v>
      </c>
      <c r="G18" s="744">
        <v>15.2</v>
      </c>
      <c r="H18" s="506">
        <f t="shared" ref="H18" si="0">+SUM(B18:G18)</f>
        <v>361.50000000000006</v>
      </c>
      <c r="I18" s="745">
        <v>302</v>
      </c>
      <c r="J18" s="739">
        <v>14.8</v>
      </c>
      <c r="K18" s="739">
        <v>15</v>
      </c>
      <c r="L18" s="739">
        <v>2.7</v>
      </c>
      <c r="M18" s="739">
        <v>15</v>
      </c>
      <c r="N18" s="746">
        <v>15</v>
      </c>
      <c r="O18" s="506">
        <f t="shared" ref="O18" si="1">+SUM(I18:N18)</f>
        <v>364.5</v>
      </c>
      <c r="P18" s="747">
        <v>72.7</v>
      </c>
      <c r="Q18" s="459">
        <v>72.400000000000006</v>
      </c>
      <c r="R18" s="739">
        <v>19.100000000000001</v>
      </c>
      <c r="S18" s="739">
        <v>72.900000000000006</v>
      </c>
      <c r="T18" s="746">
        <v>73.3</v>
      </c>
      <c r="U18" s="748">
        <v>73.8</v>
      </c>
      <c r="V18" s="739">
        <v>77.2</v>
      </c>
      <c r="W18" s="459">
        <v>16.2</v>
      </c>
      <c r="X18" s="459">
        <v>76.5</v>
      </c>
      <c r="Y18" s="746">
        <v>77</v>
      </c>
      <c r="Z18" s="835">
        <f t="shared" ref="Z18:Z24" si="2">SUM(H18,O18,P18:Y18)</f>
        <v>1357.1000000000001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743">
        <v>300.60000000000002</v>
      </c>
      <c r="C19" s="739">
        <v>13.8</v>
      </c>
      <c r="D19" s="739">
        <v>14.4</v>
      </c>
      <c r="E19" s="739">
        <v>2.2999999999999998</v>
      </c>
      <c r="F19" s="739">
        <v>14.4</v>
      </c>
      <c r="G19" s="744">
        <v>14.4</v>
      </c>
      <c r="H19" s="506">
        <f t="shared" ref="H19:H24" si="3">+SUM(B19:G19)</f>
        <v>359.9</v>
      </c>
      <c r="I19" s="745">
        <v>302.8</v>
      </c>
      <c r="J19" s="739">
        <v>14.1</v>
      </c>
      <c r="K19" s="739">
        <v>14.4</v>
      </c>
      <c r="L19" s="739">
        <v>2.2999999999999998</v>
      </c>
      <c r="M19" s="739">
        <v>14.4</v>
      </c>
      <c r="N19" s="746">
        <v>14.5</v>
      </c>
      <c r="O19" s="506">
        <f t="shared" ref="O19:O24" si="4">+SUM(I19:N19)</f>
        <v>362.5</v>
      </c>
      <c r="P19" s="747">
        <v>72.7</v>
      </c>
      <c r="Q19" s="459">
        <v>73.2</v>
      </c>
      <c r="R19" s="739">
        <v>19</v>
      </c>
      <c r="S19" s="739">
        <v>72.900000000000006</v>
      </c>
      <c r="T19" s="746">
        <v>73.2</v>
      </c>
      <c r="U19" s="748">
        <v>74.900000000000006</v>
      </c>
      <c r="V19" s="739">
        <v>77.900000000000006</v>
      </c>
      <c r="W19" s="459">
        <v>18.5</v>
      </c>
      <c r="X19" s="459">
        <v>76.5</v>
      </c>
      <c r="Y19" s="746">
        <v>76.8</v>
      </c>
      <c r="Z19" s="638">
        <f t="shared" si="2"/>
        <v>1358.0000000000002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754">
        <v>300.60000000000002</v>
      </c>
      <c r="C20" s="629">
        <v>13.8</v>
      </c>
      <c r="D20" s="629">
        <v>14.4</v>
      </c>
      <c r="E20" s="629">
        <v>2.2999999999999998</v>
      </c>
      <c r="F20" s="629">
        <v>14.4</v>
      </c>
      <c r="G20" s="630">
        <v>14.4</v>
      </c>
      <c r="H20" s="717">
        <f t="shared" si="3"/>
        <v>359.9</v>
      </c>
      <c r="I20" s="631">
        <v>302.8</v>
      </c>
      <c r="J20" s="629">
        <v>14.1</v>
      </c>
      <c r="K20" s="629">
        <v>14.4</v>
      </c>
      <c r="L20" s="629">
        <v>2.2999999999999998</v>
      </c>
      <c r="M20" s="629">
        <v>14.4</v>
      </c>
      <c r="N20" s="632">
        <v>14.5</v>
      </c>
      <c r="O20" s="717">
        <f t="shared" si="4"/>
        <v>362.5</v>
      </c>
      <c r="P20" s="633">
        <v>72.7</v>
      </c>
      <c r="Q20" s="455">
        <v>73.3</v>
      </c>
      <c r="R20" s="629">
        <v>18.7</v>
      </c>
      <c r="S20" s="629">
        <v>72.900000000000006</v>
      </c>
      <c r="T20" s="632">
        <v>73.2</v>
      </c>
      <c r="U20" s="634">
        <v>74.900000000000006</v>
      </c>
      <c r="V20" s="629">
        <v>77.900000000000006</v>
      </c>
      <c r="W20" s="455">
        <v>18.5</v>
      </c>
      <c r="X20" s="455">
        <v>76.5</v>
      </c>
      <c r="Y20" s="632">
        <v>76.8</v>
      </c>
      <c r="Z20" s="638">
        <f t="shared" si="2"/>
        <v>1357.8000000000002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743">
        <v>300.60000000000002</v>
      </c>
      <c r="C21" s="739">
        <v>13.8</v>
      </c>
      <c r="D21" s="739">
        <v>14.4</v>
      </c>
      <c r="E21" s="739">
        <v>2.2999999999999998</v>
      </c>
      <c r="F21" s="739">
        <v>14.4</v>
      </c>
      <c r="G21" s="744">
        <v>14.4</v>
      </c>
      <c r="H21" s="506">
        <f t="shared" si="3"/>
        <v>359.9</v>
      </c>
      <c r="I21" s="745">
        <v>302.8</v>
      </c>
      <c r="J21" s="739">
        <v>14.1</v>
      </c>
      <c r="K21" s="739">
        <v>14.4</v>
      </c>
      <c r="L21" s="739">
        <v>2.2999999999999998</v>
      </c>
      <c r="M21" s="739">
        <v>14.4</v>
      </c>
      <c r="N21" s="746">
        <v>14.5</v>
      </c>
      <c r="O21" s="506">
        <f t="shared" si="4"/>
        <v>362.5</v>
      </c>
      <c r="P21" s="747">
        <v>72.7</v>
      </c>
      <c r="Q21" s="459">
        <v>73.3</v>
      </c>
      <c r="R21" s="739">
        <v>18.7</v>
      </c>
      <c r="S21" s="739">
        <v>72.599999999999994</v>
      </c>
      <c r="T21" s="746">
        <v>73.099999999999994</v>
      </c>
      <c r="U21" s="748">
        <v>74.8</v>
      </c>
      <c r="V21" s="739">
        <v>77.599999999999994</v>
      </c>
      <c r="W21" s="459">
        <v>18.5</v>
      </c>
      <c r="X21" s="459">
        <v>76.5</v>
      </c>
      <c r="Y21" s="746">
        <v>76.8</v>
      </c>
      <c r="Z21" s="638">
        <f t="shared" si="2"/>
        <v>1356.9999999999998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743">
        <v>300.60000000000002</v>
      </c>
      <c r="C22" s="739">
        <v>13.8</v>
      </c>
      <c r="D22" s="739">
        <v>14.4</v>
      </c>
      <c r="E22" s="739">
        <v>2.2999999999999998</v>
      </c>
      <c r="F22" s="739">
        <v>14.4</v>
      </c>
      <c r="G22" s="744">
        <v>14.4</v>
      </c>
      <c r="H22" s="506">
        <f t="shared" si="3"/>
        <v>359.9</v>
      </c>
      <c r="I22" s="745">
        <v>302.8</v>
      </c>
      <c r="J22" s="739">
        <v>14.1</v>
      </c>
      <c r="K22" s="739">
        <v>14.4</v>
      </c>
      <c r="L22" s="739">
        <v>2.2999999999999998</v>
      </c>
      <c r="M22" s="739">
        <v>14.4</v>
      </c>
      <c r="N22" s="746">
        <v>14.5</v>
      </c>
      <c r="O22" s="506">
        <f t="shared" si="4"/>
        <v>362.5</v>
      </c>
      <c r="P22" s="747">
        <v>72.7</v>
      </c>
      <c r="Q22" s="459">
        <v>73.3</v>
      </c>
      <c r="R22" s="739">
        <v>18.7</v>
      </c>
      <c r="S22" s="739">
        <v>72.5</v>
      </c>
      <c r="T22" s="746">
        <v>73.099999999999994</v>
      </c>
      <c r="U22" s="748">
        <v>74.8</v>
      </c>
      <c r="V22" s="739">
        <v>77.599999999999994</v>
      </c>
      <c r="W22" s="459">
        <v>18.5</v>
      </c>
      <c r="X22" s="459">
        <v>76.599999999999994</v>
      </c>
      <c r="Y22" s="746">
        <v>76.8</v>
      </c>
      <c r="Z22" s="638">
        <f t="shared" si="2"/>
        <v>1356.9999999999998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743">
        <v>300.60000000000002</v>
      </c>
      <c r="C23" s="739">
        <v>13.8</v>
      </c>
      <c r="D23" s="739">
        <v>14.4</v>
      </c>
      <c r="E23" s="739">
        <v>2.2999999999999998</v>
      </c>
      <c r="F23" s="739">
        <v>14.4</v>
      </c>
      <c r="G23" s="744">
        <v>14.4</v>
      </c>
      <c r="H23" s="506">
        <f t="shared" si="3"/>
        <v>359.9</v>
      </c>
      <c r="I23" s="745">
        <v>302.8</v>
      </c>
      <c r="J23" s="739">
        <v>14.1</v>
      </c>
      <c r="K23" s="739">
        <v>14.4</v>
      </c>
      <c r="L23" s="739">
        <v>2.2999999999999998</v>
      </c>
      <c r="M23" s="739">
        <v>14.4</v>
      </c>
      <c r="N23" s="746">
        <v>14.5</v>
      </c>
      <c r="O23" s="506">
        <f t="shared" si="4"/>
        <v>362.5</v>
      </c>
      <c r="P23" s="747">
        <v>71.599999999999994</v>
      </c>
      <c r="Q23" s="459">
        <v>73.3</v>
      </c>
      <c r="R23" s="739">
        <v>17.100000000000001</v>
      </c>
      <c r="S23" s="739">
        <v>72.5</v>
      </c>
      <c r="T23" s="746">
        <v>73.099999999999994</v>
      </c>
      <c r="U23" s="748">
        <v>74.8</v>
      </c>
      <c r="V23" s="739">
        <v>77.599999999999994</v>
      </c>
      <c r="W23" s="459">
        <v>18</v>
      </c>
      <c r="X23" s="459">
        <v>76.099999999999994</v>
      </c>
      <c r="Y23" s="746">
        <v>76.8</v>
      </c>
      <c r="Z23" s="209">
        <f t="shared" si="2"/>
        <v>1353.2999999999997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743">
        <v>300.60000000000002</v>
      </c>
      <c r="C24" s="739">
        <v>13.8</v>
      </c>
      <c r="D24" s="739">
        <v>14.4</v>
      </c>
      <c r="E24" s="739">
        <v>2.2999999999999998</v>
      </c>
      <c r="F24" s="739">
        <v>14.4</v>
      </c>
      <c r="G24" s="744">
        <v>14.4</v>
      </c>
      <c r="H24" s="506">
        <f t="shared" si="3"/>
        <v>359.9</v>
      </c>
      <c r="I24" s="745">
        <v>302.8</v>
      </c>
      <c r="J24" s="739">
        <v>14.1</v>
      </c>
      <c r="K24" s="739">
        <v>14.4</v>
      </c>
      <c r="L24" s="739">
        <v>2.2999999999999998</v>
      </c>
      <c r="M24" s="739">
        <v>14.4</v>
      </c>
      <c r="N24" s="746">
        <v>14.5</v>
      </c>
      <c r="O24" s="506">
        <f t="shared" si="4"/>
        <v>362.5</v>
      </c>
      <c r="P24" s="747">
        <v>71.599999999999994</v>
      </c>
      <c r="Q24" s="459">
        <v>73.2</v>
      </c>
      <c r="R24" s="739">
        <v>17</v>
      </c>
      <c r="S24" s="739">
        <v>72.5</v>
      </c>
      <c r="T24" s="746">
        <v>73</v>
      </c>
      <c r="U24" s="748">
        <v>74.8</v>
      </c>
      <c r="V24" s="739">
        <v>77.5</v>
      </c>
      <c r="W24" s="459">
        <v>17.899999999999999</v>
      </c>
      <c r="X24" s="459">
        <v>76</v>
      </c>
      <c r="Y24" s="746">
        <v>76.900000000000006</v>
      </c>
      <c r="Z24" s="412">
        <f t="shared" si="2"/>
        <v>1352.8000000000002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616">
        <f t="shared" ref="C25:G25" si="5">SUM(C18:C24)</f>
        <v>97.3</v>
      </c>
      <c r="D25" s="616">
        <f t="shared" si="5"/>
        <v>101.50000000000001</v>
      </c>
      <c r="E25" s="616">
        <f t="shared" si="5"/>
        <v>16.400000000000002</v>
      </c>
      <c r="F25" s="616">
        <f t="shared" si="5"/>
        <v>101.50000000000001</v>
      </c>
      <c r="G25" s="617">
        <f t="shared" si="5"/>
        <v>101.60000000000001</v>
      </c>
      <c r="H25" s="436"/>
      <c r="I25" s="618"/>
      <c r="J25" s="616">
        <f t="shared" ref="J25:N25" si="6">SUM(J18:J24)</f>
        <v>99.399999999999991</v>
      </c>
      <c r="K25" s="616">
        <f>SUM(K18:K24)</f>
        <v>101.4</v>
      </c>
      <c r="L25" s="616">
        <f t="shared" si="6"/>
        <v>16.5</v>
      </c>
      <c r="M25" s="616">
        <f t="shared" si="6"/>
        <v>101.4</v>
      </c>
      <c r="N25" s="619">
        <f t="shared" si="6"/>
        <v>102</v>
      </c>
      <c r="O25" s="436"/>
      <c r="P25" s="618">
        <f t="shared" ref="P25:W25" si="7">SUM(P18:P24)</f>
        <v>506.70000000000005</v>
      </c>
      <c r="Q25" s="618">
        <f t="shared" si="7"/>
        <v>512.00000000000011</v>
      </c>
      <c r="R25" s="618">
        <f t="shared" si="7"/>
        <v>128.30000000000001</v>
      </c>
      <c r="S25" s="618">
        <f t="shared" si="7"/>
        <v>508.8</v>
      </c>
      <c r="T25" s="618">
        <f t="shared" si="7"/>
        <v>512</v>
      </c>
      <c r="U25" s="618">
        <f t="shared" si="7"/>
        <v>522.79999999999995</v>
      </c>
      <c r="V25" s="618">
        <f t="shared" si="7"/>
        <v>543.30000000000007</v>
      </c>
      <c r="W25" s="618">
        <f t="shared" si="7"/>
        <v>126.1</v>
      </c>
      <c r="X25" s="618">
        <f>SUM(X18:X24)</f>
        <v>534.70000000000005</v>
      </c>
      <c r="Y25" s="810">
        <f>SUM(Y18:Y24)</f>
        <v>537.90000000000009</v>
      </c>
      <c r="Z25" s="449">
        <f>SUM(Z18,Z19,Z20,Z21,Z22,Z23,Z24)</f>
        <v>9493</v>
      </c>
      <c r="AA25" s="301"/>
    </row>
    <row r="26" spans="1:40" s="2" customFormat="1" ht="36.75" customHeight="1" x14ac:dyDescent="0.25">
      <c r="A26" s="192" t="s">
        <v>11</v>
      </c>
      <c r="B26" s="808"/>
      <c r="C26" s="620">
        <v>155.6</v>
      </c>
      <c r="D26" s="620">
        <v>155.6</v>
      </c>
      <c r="E26" s="620">
        <v>155.6</v>
      </c>
      <c r="F26" s="620">
        <v>155.6</v>
      </c>
      <c r="G26" s="620">
        <v>155.6</v>
      </c>
      <c r="H26" s="809"/>
      <c r="I26" s="620"/>
      <c r="J26" s="620">
        <v>155.6</v>
      </c>
      <c r="K26" s="620">
        <v>155.6</v>
      </c>
      <c r="L26" s="620">
        <v>155.6</v>
      </c>
      <c r="M26" s="620">
        <v>155.6</v>
      </c>
      <c r="N26" s="620">
        <v>155.6</v>
      </c>
      <c r="O26" s="809"/>
      <c r="P26" s="620">
        <v>154</v>
      </c>
      <c r="Q26" s="620">
        <v>154</v>
      </c>
      <c r="R26" s="620">
        <v>154</v>
      </c>
      <c r="S26" s="620">
        <v>154</v>
      </c>
      <c r="T26" s="620">
        <v>154</v>
      </c>
      <c r="U26" s="620">
        <v>154</v>
      </c>
      <c r="V26" s="620">
        <v>154</v>
      </c>
      <c r="W26" s="620">
        <v>154</v>
      </c>
      <c r="X26" s="620">
        <v>154</v>
      </c>
      <c r="Y26" s="620">
        <v>154</v>
      </c>
      <c r="Z26" s="793">
        <f>(((Z25*1000)/7)/Z27)</f>
        <v>155.30724429029513</v>
      </c>
    </row>
    <row r="27" spans="1:40" s="2" customFormat="1" ht="33" customHeight="1" x14ac:dyDescent="0.25">
      <c r="A27" s="193" t="s">
        <v>12</v>
      </c>
      <c r="B27" s="193"/>
      <c r="C27" s="26">
        <v>536</v>
      </c>
      <c r="D27" s="27">
        <v>561</v>
      </c>
      <c r="E27" s="27">
        <v>87</v>
      </c>
      <c r="F27" s="27">
        <v>558</v>
      </c>
      <c r="G27" s="28">
        <v>560</v>
      </c>
      <c r="H27" s="611"/>
      <c r="I27" s="26"/>
      <c r="J27" s="27">
        <v>550</v>
      </c>
      <c r="K27" s="27">
        <v>559</v>
      </c>
      <c r="L27" s="483">
        <v>85</v>
      </c>
      <c r="M27" s="27">
        <v>564</v>
      </c>
      <c r="N27" s="28">
        <v>565</v>
      </c>
      <c r="O27" s="611"/>
      <c r="P27" s="26">
        <v>470</v>
      </c>
      <c r="Q27" s="27">
        <v>475</v>
      </c>
      <c r="R27" s="27">
        <v>118</v>
      </c>
      <c r="S27" s="27">
        <v>471</v>
      </c>
      <c r="T27" s="483">
        <v>474</v>
      </c>
      <c r="U27" s="26">
        <v>485</v>
      </c>
      <c r="V27" s="27">
        <v>503</v>
      </c>
      <c r="W27" s="27">
        <v>117</v>
      </c>
      <c r="X27" s="27">
        <v>495</v>
      </c>
      <c r="Y27" s="28">
        <v>499</v>
      </c>
      <c r="Z27" s="211">
        <f>SUM(C27:Y27)</f>
        <v>8732</v>
      </c>
      <c r="AA27" s="402"/>
    </row>
    <row r="28" spans="1:40" s="2" customFormat="1" ht="33" customHeight="1" x14ac:dyDescent="0.25">
      <c r="A28" s="444" t="s">
        <v>13</v>
      </c>
      <c r="B28" s="444"/>
      <c r="C28" s="30">
        <f>(C33*C27)/1000</f>
        <v>13.721599999999997</v>
      </c>
      <c r="D28" s="31">
        <f>(D33*D27)/1000</f>
        <v>14.361599999999997</v>
      </c>
      <c r="E28" s="31">
        <f t="shared" ref="E28:F28" si="8">(E33*E27)/1000</f>
        <v>2.2271999999999994</v>
      </c>
      <c r="F28" s="31">
        <f t="shared" si="8"/>
        <v>14.284799999999997</v>
      </c>
      <c r="G28" s="32">
        <f>(G33*G27)/1000</f>
        <v>14.335999999999997</v>
      </c>
      <c r="H28" s="612"/>
      <c r="I28" s="30"/>
      <c r="J28" s="31">
        <f>(J33*J27)/1000</f>
        <v>14.079999999999997</v>
      </c>
      <c r="K28" s="31">
        <f t="shared" ref="K28:N28" si="9">(K33*K27)/1000</f>
        <v>14.310399999999996</v>
      </c>
      <c r="L28" s="31">
        <f t="shared" si="9"/>
        <v>2.1759999999999997</v>
      </c>
      <c r="M28" s="31">
        <f t="shared" si="9"/>
        <v>14.438399999999996</v>
      </c>
      <c r="N28" s="32">
        <f t="shared" si="9"/>
        <v>14.463999999999997</v>
      </c>
      <c r="O28" s="612"/>
      <c r="P28" s="30">
        <f>((((P26*7)*P27)/1000)/7)</f>
        <v>72.38000000000001</v>
      </c>
      <c r="Q28" s="31">
        <f t="shared" ref="Q28:Z28" si="10">((((Q26*7)*Q27)/1000)/7)</f>
        <v>73.149999999999991</v>
      </c>
      <c r="R28" s="31">
        <f t="shared" si="10"/>
        <v>18.172000000000001</v>
      </c>
      <c r="S28" s="31">
        <f t="shared" si="10"/>
        <v>72.534000000000006</v>
      </c>
      <c r="T28" s="31">
        <f t="shared" si="10"/>
        <v>72.995999999999995</v>
      </c>
      <c r="U28" s="30">
        <f t="shared" si="10"/>
        <v>74.690000000000012</v>
      </c>
      <c r="V28" s="31">
        <f t="shared" si="10"/>
        <v>77.462000000000003</v>
      </c>
      <c r="W28" s="31">
        <f t="shared" si="10"/>
        <v>18.018000000000001</v>
      </c>
      <c r="X28" s="31">
        <f t="shared" si="10"/>
        <v>76.23</v>
      </c>
      <c r="Y28" s="32">
        <f t="shared" si="10"/>
        <v>76.846000000000004</v>
      </c>
      <c r="Z28" s="286">
        <f t="shared" si="10"/>
        <v>1356.1428571428571</v>
      </c>
    </row>
    <row r="29" spans="1:40" ht="33.75" customHeight="1" x14ac:dyDescent="0.25">
      <c r="A29" s="185" t="s">
        <v>14</v>
      </c>
      <c r="B29" s="185"/>
      <c r="C29" s="279">
        <f>((C27*C30)*7)/1000</f>
        <v>97.3</v>
      </c>
      <c r="D29" s="280">
        <f t="shared" ref="D29:G29" si="11">((D27*D30)*7)/1000</f>
        <v>101.50000000000001</v>
      </c>
      <c r="E29" s="280">
        <f>((E27*E30)*7)/1000</f>
        <v>16.399999999999999</v>
      </c>
      <c r="F29" s="280">
        <f t="shared" si="11"/>
        <v>101.5</v>
      </c>
      <c r="G29" s="282">
        <f t="shared" si="11"/>
        <v>101.60000000000001</v>
      </c>
      <c r="H29" s="613"/>
      <c r="I29" s="279"/>
      <c r="J29" s="280">
        <f>((J27*J30)*7)/1000</f>
        <v>99.4</v>
      </c>
      <c r="K29" s="280">
        <f t="shared" ref="K29:N29" si="12">((K27*K30)*7)/1000</f>
        <v>101.4</v>
      </c>
      <c r="L29" s="280">
        <f t="shared" si="12"/>
        <v>16.5</v>
      </c>
      <c r="M29" s="280">
        <f t="shared" si="12"/>
        <v>101.4</v>
      </c>
      <c r="N29" s="282">
        <f t="shared" si="12"/>
        <v>102</v>
      </c>
      <c r="O29" s="613"/>
      <c r="P29" s="279">
        <f t="shared" ref="P29:Z29" si="13">((P27*P26)*7)/1000</f>
        <v>506.66</v>
      </c>
      <c r="Q29" s="280">
        <f t="shared" si="13"/>
        <v>512.04999999999995</v>
      </c>
      <c r="R29" s="280">
        <f t="shared" si="13"/>
        <v>127.20399999999999</v>
      </c>
      <c r="S29" s="280">
        <f t="shared" si="13"/>
        <v>507.738</v>
      </c>
      <c r="T29" s="280">
        <f t="shared" si="13"/>
        <v>510.97199999999998</v>
      </c>
      <c r="U29" s="279">
        <f t="shared" si="13"/>
        <v>522.83000000000004</v>
      </c>
      <c r="V29" s="280">
        <f t="shared" si="13"/>
        <v>542.23400000000004</v>
      </c>
      <c r="W29" s="280">
        <f t="shared" si="13"/>
        <v>126.126</v>
      </c>
      <c r="X29" s="280">
        <f t="shared" si="13"/>
        <v>533.61</v>
      </c>
      <c r="Y29" s="282">
        <f t="shared" si="13"/>
        <v>537.92200000000003</v>
      </c>
      <c r="Z29" s="680">
        <f t="shared" si="13"/>
        <v>9493</v>
      </c>
    </row>
    <row r="30" spans="1:40" ht="33.75" customHeight="1" thickBot="1" x14ac:dyDescent="0.3">
      <c r="A30" s="195" t="s">
        <v>15</v>
      </c>
      <c r="B30" s="195"/>
      <c r="C30" s="37">
        <f>+(C25/C27)/7*1000</f>
        <v>25.932835820895523</v>
      </c>
      <c r="D30" s="38">
        <f t="shared" ref="D30:X30" si="14">+(D25/D27)/7*1000</f>
        <v>25.846702317290557</v>
      </c>
      <c r="E30" s="38">
        <f>+(E25/E27)/7*1000</f>
        <v>26.92939244663383</v>
      </c>
      <c r="F30" s="38">
        <f t="shared" si="14"/>
        <v>25.985663082437277</v>
      </c>
      <c r="G30" s="39">
        <f t="shared" si="14"/>
        <v>25.918367346938776</v>
      </c>
      <c r="H30" s="614"/>
      <c r="I30" s="37"/>
      <c r="J30" s="38">
        <f t="shared" si="14"/>
        <v>25.818181818181817</v>
      </c>
      <c r="K30" s="38">
        <f t="shared" si="14"/>
        <v>25.913621262458474</v>
      </c>
      <c r="L30" s="38">
        <f t="shared" si="14"/>
        <v>27.731092436974791</v>
      </c>
      <c r="M30" s="38">
        <f t="shared" si="14"/>
        <v>25.683890577507601</v>
      </c>
      <c r="N30" s="39">
        <f>+(N25/N27)/7*1000</f>
        <v>25.790139064475348</v>
      </c>
      <c r="O30" s="614"/>
      <c r="P30" s="37">
        <f t="shared" si="14"/>
        <v>154.01215805471128</v>
      </c>
      <c r="Q30" s="38">
        <f t="shared" si="14"/>
        <v>153.98496240601506</v>
      </c>
      <c r="R30" s="38">
        <f t="shared" si="14"/>
        <v>155.32687651331719</v>
      </c>
      <c r="S30" s="38">
        <f t="shared" si="14"/>
        <v>154.32211101000908</v>
      </c>
      <c r="T30" s="38">
        <f t="shared" si="14"/>
        <v>154.30982519590114</v>
      </c>
      <c r="U30" s="37">
        <f t="shared" si="14"/>
        <v>153.99116347569955</v>
      </c>
      <c r="V30" s="38">
        <f t="shared" si="14"/>
        <v>154.30275489917639</v>
      </c>
      <c r="W30" s="38">
        <f t="shared" si="14"/>
        <v>153.96825396825395</v>
      </c>
      <c r="X30" s="38">
        <f t="shared" si="14"/>
        <v>154.31457431457434</v>
      </c>
      <c r="Y30" s="39">
        <f>+(Y25/Y27)/7*1000</f>
        <v>153.99370168909249</v>
      </c>
      <c r="Z30" s="262">
        <f>+(Z25/Z27)/7*1000</f>
        <v>155.30724429029513</v>
      </c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5">D29-D25</f>
        <v>0</v>
      </c>
      <c r="E31" s="42">
        <f t="shared" si="15"/>
        <v>0</v>
      </c>
      <c r="F31" s="42">
        <f t="shared" si="15"/>
        <v>0</v>
      </c>
      <c r="G31" s="42">
        <f t="shared" si="15"/>
        <v>0</v>
      </c>
      <c r="H31" s="42"/>
      <c r="I31" s="42"/>
      <c r="J31" s="42">
        <f>J29-J25</f>
        <v>0</v>
      </c>
      <c r="K31" s="42">
        <f>K29-K25</f>
        <v>0</v>
      </c>
      <c r="L31" s="42">
        <f t="shared" si="15"/>
        <v>0</v>
      </c>
      <c r="M31" s="42">
        <f t="shared" si="15"/>
        <v>0</v>
      </c>
      <c r="N31" s="42">
        <f t="shared" si="15"/>
        <v>0</v>
      </c>
      <c r="O31" s="42"/>
      <c r="P31" s="42">
        <f>P29-P25</f>
        <v>-4.0000000000020464E-2</v>
      </c>
      <c r="Q31" s="42">
        <f>Q29-Q25</f>
        <v>4.9999999999840838E-2</v>
      </c>
      <c r="R31" s="42">
        <f t="shared" si="15"/>
        <v>-1.0960000000000178</v>
      </c>
      <c r="S31" s="42">
        <f t="shared" si="15"/>
        <v>-1.0620000000000118</v>
      </c>
      <c r="T31" s="42">
        <f t="shared" si="15"/>
        <v>-1.02800000000002</v>
      </c>
      <c r="U31" s="42">
        <f>U29-U25</f>
        <v>3.0000000000086402E-2</v>
      </c>
      <c r="V31" s="42">
        <f t="shared" si="15"/>
        <v>-1.0660000000000309</v>
      </c>
      <c r="W31" s="42">
        <f t="shared" si="15"/>
        <v>2.6000000000010459E-2</v>
      </c>
      <c r="X31" s="42">
        <f t="shared" si="15"/>
        <v>-1.0900000000000318</v>
      </c>
      <c r="Y31" s="42">
        <f>Y29-Y25</f>
        <v>2.1999999999934516E-2</v>
      </c>
      <c r="Z31" s="42">
        <f>Z29-Z25</f>
        <v>0</v>
      </c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0.33283582089552866</v>
      </c>
      <c r="D32" s="42">
        <f t="shared" ref="D32:G32" si="16">D30-D33</f>
        <v>0.24670231729056269</v>
      </c>
      <c r="E32" s="42">
        <f>E30-E33</f>
        <v>1.329392446633836</v>
      </c>
      <c r="F32" s="42">
        <f t="shared" si="16"/>
        <v>0.38566308243728287</v>
      </c>
      <c r="G32" s="42">
        <f t="shared" si="16"/>
        <v>0.31836734693878199</v>
      </c>
      <c r="H32" s="42"/>
      <c r="I32" s="42"/>
      <c r="J32" s="42">
        <f t="shared" ref="J32:M32" si="17">J30-J33</f>
        <v>0.21818181818182225</v>
      </c>
      <c r="K32" s="42">
        <f t="shared" si="17"/>
        <v>0.31362126245847932</v>
      </c>
      <c r="L32" s="42">
        <f t="shared" si="17"/>
        <v>2.1310924369747966</v>
      </c>
      <c r="M32" s="42">
        <f t="shared" si="17"/>
        <v>8.3890577507606423E-2</v>
      </c>
      <c r="N32" s="42">
        <f>N30-N33</f>
        <v>0.19013906447535334</v>
      </c>
      <c r="O32" s="42"/>
      <c r="P32" s="42">
        <f>P30-P26</f>
        <v>1.215805471127851E-2</v>
      </c>
      <c r="Q32" s="42">
        <f t="shared" si="15"/>
        <v>-1.5037593984942532E-2</v>
      </c>
      <c r="R32" s="42">
        <f t="shared" si="15"/>
        <v>1.3268765133171883</v>
      </c>
      <c r="S32" s="42">
        <f t="shared" si="15"/>
        <v>0.32211101000908116</v>
      </c>
      <c r="T32" s="42">
        <f t="shared" si="15"/>
        <v>0.30982519590114066</v>
      </c>
      <c r="U32" s="42">
        <f t="shared" si="15"/>
        <v>-8.8365243004489002E-3</v>
      </c>
      <c r="V32" s="42">
        <f t="shared" si="15"/>
        <v>0.3027548991763922</v>
      </c>
      <c r="W32" s="42">
        <f t="shared" si="15"/>
        <v>-3.174603174605295E-2</v>
      </c>
      <c r="X32" s="42">
        <f t="shared" si="15"/>
        <v>0.31457431457434382</v>
      </c>
      <c r="Y32" s="42">
        <f t="shared" si="15"/>
        <v>-6.2983109075105403E-3</v>
      </c>
      <c r="Z32" s="42">
        <f t="shared" ref="Z32" si="18">Z30-Z26</f>
        <v>0</v>
      </c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25.599999999999994</v>
      </c>
      <c r="D33" s="42">
        <f t="shared" ref="D33:G33" si="19">D26-$B$34</f>
        <v>25.599999999999994</v>
      </c>
      <c r="E33" s="42">
        <f>E26-$B$34</f>
        <v>25.599999999999994</v>
      </c>
      <c r="F33" s="42">
        <f t="shared" si="19"/>
        <v>25.599999999999994</v>
      </c>
      <c r="G33" s="42">
        <f t="shared" si="19"/>
        <v>25.599999999999994</v>
      </c>
      <c r="H33" s="42"/>
      <c r="I33" s="42"/>
      <c r="J33" s="42">
        <f>J26-$I$34</f>
        <v>25.599999999999994</v>
      </c>
      <c r="K33" s="42">
        <f t="shared" ref="K33:L33" si="20">K26-$I$34</f>
        <v>25.599999999999994</v>
      </c>
      <c r="L33" s="42">
        <f t="shared" si="20"/>
        <v>25.599999999999994</v>
      </c>
      <c r="M33" s="42">
        <f>M26-$I$34</f>
        <v>25.599999999999994</v>
      </c>
      <c r="N33" s="42">
        <f>N26-$I$34</f>
        <v>25.599999999999994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299.26</v>
      </c>
      <c r="D34" s="432">
        <f>SUM(C27:G27)</f>
        <v>2302</v>
      </c>
      <c r="E34" s="42"/>
      <c r="F34" s="42"/>
      <c r="G34" s="42"/>
      <c r="H34" s="42"/>
      <c r="I34" s="514">
        <v>130</v>
      </c>
      <c r="J34" s="431">
        <f>(I34*K34)/1000</f>
        <v>301.99</v>
      </c>
      <c r="K34" s="432">
        <f>SUM(J27:N27)</f>
        <v>2323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1002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977" t="s">
        <v>9</v>
      </c>
      <c r="T39" s="645"/>
      <c r="V39" s="45"/>
      <c r="W39" s="45"/>
      <c r="X39" s="46"/>
      <c r="Y39" s="3"/>
      <c r="Z39" s="45"/>
      <c r="AA39" s="45"/>
      <c r="AB39" s="45"/>
      <c r="AC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1003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204">
        <v>5</v>
      </c>
      <c r="R40" s="984"/>
      <c r="T40" s="645"/>
      <c r="V40" s="47"/>
      <c r="Y40" s="48"/>
      <c r="Z40" s="2"/>
      <c r="AA40" s="2"/>
      <c r="AB40" s="2"/>
      <c r="AC40" s="2"/>
    </row>
    <row r="41" spans="1:38" ht="33.75" customHeight="1" x14ac:dyDescent="0.25">
      <c r="A41" s="171" t="s">
        <v>32</v>
      </c>
      <c r="B41" s="279">
        <v>80.599999999999994</v>
      </c>
      <c r="C41" s="280">
        <v>77.2</v>
      </c>
      <c r="D41" s="280">
        <v>11.6</v>
      </c>
      <c r="E41" s="280">
        <v>85.6</v>
      </c>
      <c r="F41" s="281">
        <v>82.4</v>
      </c>
      <c r="G41" s="638">
        <f t="shared" ref="G41:G48" si="21">SUM(B41:F41)</f>
        <v>337.4</v>
      </c>
      <c r="H41" s="364"/>
      <c r="I41" s="364"/>
      <c r="J41" s="364"/>
      <c r="K41" s="364"/>
      <c r="L41" s="171" t="s">
        <v>53</v>
      </c>
      <c r="M41" s="279">
        <v>6.6</v>
      </c>
      <c r="N41" s="280">
        <v>6.7</v>
      </c>
      <c r="O41" s="280">
        <v>1.2</v>
      </c>
      <c r="P41" s="280">
        <v>6.7</v>
      </c>
      <c r="Q41" s="281">
        <v>6.7</v>
      </c>
      <c r="R41" s="800">
        <f>SUM(M41:Q41)</f>
        <v>27.9</v>
      </c>
      <c r="T41" s="646"/>
      <c r="U41" s="675"/>
      <c r="V41" s="657"/>
      <c r="Y41" s="48"/>
      <c r="Z41" s="2"/>
      <c r="AA41" s="2"/>
      <c r="AB41" s="2"/>
      <c r="AC41" s="2"/>
    </row>
    <row r="42" spans="1:38" ht="33.75" customHeight="1" x14ac:dyDescent="0.25">
      <c r="A42" s="171" t="s">
        <v>24</v>
      </c>
      <c r="B42" s="279">
        <v>82.8</v>
      </c>
      <c r="C42" s="280">
        <v>82.5</v>
      </c>
      <c r="D42" s="280">
        <v>14.4</v>
      </c>
      <c r="E42" s="280">
        <v>85.6</v>
      </c>
      <c r="F42" s="281">
        <v>82.2</v>
      </c>
      <c r="G42" s="638">
        <f t="shared" si="21"/>
        <v>347.5</v>
      </c>
      <c r="H42" s="364"/>
      <c r="I42" s="364"/>
      <c r="J42" s="364"/>
      <c r="K42" s="364"/>
      <c r="L42" s="171" t="s">
        <v>24</v>
      </c>
      <c r="M42" s="279">
        <v>6.6</v>
      </c>
      <c r="N42" s="280">
        <v>6.7</v>
      </c>
      <c r="O42" s="280">
        <v>1.1000000000000001</v>
      </c>
      <c r="P42" s="280">
        <v>6.7</v>
      </c>
      <c r="Q42" s="281">
        <v>6.7</v>
      </c>
      <c r="R42" s="638">
        <f t="shared" ref="R42:R47" si="22">SUM(M42:Q42)</f>
        <v>27.8</v>
      </c>
      <c r="T42" s="646"/>
      <c r="U42" s="647"/>
      <c r="V42" s="658"/>
      <c r="Y42" s="48"/>
      <c r="Z42" s="2"/>
      <c r="AA42" s="2"/>
      <c r="AB42" s="2"/>
      <c r="AC42" s="2"/>
    </row>
    <row r="43" spans="1:38" ht="33.75" customHeight="1" x14ac:dyDescent="0.25">
      <c r="A43" s="171" t="s">
        <v>20</v>
      </c>
      <c r="B43" s="532">
        <v>82.6</v>
      </c>
      <c r="C43" s="431">
        <v>82.3</v>
      </c>
      <c r="D43" s="431">
        <v>14.4</v>
      </c>
      <c r="E43" s="431">
        <v>85.6</v>
      </c>
      <c r="F43" s="533">
        <v>82.2</v>
      </c>
      <c r="G43" s="638">
        <f>SUM(B43:F43)</f>
        <v>347.09999999999997</v>
      </c>
      <c r="H43" s="364"/>
      <c r="I43" s="364"/>
      <c r="J43" s="364"/>
      <c r="K43" s="364"/>
      <c r="L43" s="171" t="s">
        <v>20</v>
      </c>
      <c r="M43" s="532">
        <v>6.6</v>
      </c>
      <c r="N43" s="431">
        <v>6.7</v>
      </c>
      <c r="O43" s="431">
        <v>1.1000000000000001</v>
      </c>
      <c r="P43" s="431">
        <v>6.7</v>
      </c>
      <c r="Q43" s="533">
        <v>6.7</v>
      </c>
      <c r="R43" s="638">
        <f t="shared" si="22"/>
        <v>27.8</v>
      </c>
      <c r="T43" s="646"/>
      <c r="U43" s="647"/>
      <c r="V43" s="658"/>
      <c r="Y43" s="48"/>
      <c r="Z43" s="2"/>
      <c r="AA43" s="2"/>
      <c r="AB43" s="2"/>
      <c r="AC43" s="2"/>
    </row>
    <row r="44" spans="1:38" ht="33.75" customHeight="1" x14ac:dyDescent="0.25">
      <c r="A44" s="171" t="s">
        <v>28</v>
      </c>
      <c r="B44" s="279">
        <v>82.6</v>
      </c>
      <c r="C44" s="280">
        <v>82.3</v>
      </c>
      <c r="D44" s="280">
        <v>14.1</v>
      </c>
      <c r="E44" s="280">
        <v>85.5</v>
      </c>
      <c r="F44" s="281">
        <v>82.1</v>
      </c>
      <c r="G44" s="638">
        <f t="shared" si="21"/>
        <v>346.6</v>
      </c>
      <c r="H44" s="651"/>
      <c r="I44" s="364"/>
      <c r="J44" s="364"/>
      <c r="K44" s="364"/>
      <c r="L44" s="171" t="s">
        <v>28</v>
      </c>
      <c r="M44" s="279">
        <v>6.6</v>
      </c>
      <c r="N44" s="280">
        <v>6.7</v>
      </c>
      <c r="O44" s="280">
        <v>1.1000000000000001</v>
      </c>
      <c r="P44" s="280">
        <v>6.7</v>
      </c>
      <c r="Q44" s="281">
        <v>6.7</v>
      </c>
      <c r="R44" s="638">
        <f t="shared" si="22"/>
        <v>27.8</v>
      </c>
      <c r="T44" s="646"/>
      <c r="U44" s="647"/>
      <c r="V44" s="658"/>
      <c r="Y44" s="48"/>
      <c r="Z44" s="2"/>
      <c r="AA44" s="2"/>
      <c r="AB44" s="2"/>
      <c r="AC44" s="2"/>
    </row>
    <row r="45" spans="1:38" ht="33.75" customHeight="1" x14ac:dyDescent="0.25">
      <c r="A45" s="171" t="s">
        <v>21</v>
      </c>
      <c r="B45" s="279">
        <v>82.6</v>
      </c>
      <c r="C45" s="280">
        <v>82.2</v>
      </c>
      <c r="D45" s="280">
        <v>14.1</v>
      </c>
      <c r="E45" s="280">
        <v>85.5</v>
      </c>
      <c r="F45" s="281">
        <v>82.1</v>
      </c>
      <c r="G45" s="638">
        <f t="shared" si="21"/>
        <v>346.5</v>
      </c>
      <c r="H45" s="651"/>
      <c r="I45" s="364"/>
      <c r="J45" s="364"/>
      <c r="K45" s="364"/>
      <c r="L45" s="171" t="s">
        <v>21</v>
      </c>
      <c r="M45" s="279">
        <v>6.6</v>
      </c>
      <c r="N45" s="280">
        <v>6.7</v>
      </c>
      <c r="O45" s="280">
        <v>1.1000000000000001</v>
      </c>
      <c r="P45" s="280">
        <v>6.7</v>
      </c>
      <c r="Q45" s="281">
        <v>6.7</v>
      </c>
      <c r="R45" s="638">
        <f t="shared" si="22"/>
        <v>27.8</v>
      </c>
      <c r="T45" s="646"/>
      <c r="U45" s="647"/>
      <c r="V45" s="658"/>
      <c r="Y45" s="48"/>
      <c r="Z45" s="2"/>
      <c r="AA45" s="2"/>
      <c r="AB45" s="2"/>
      <c r="AC45" s="2"/>
    </row>
    <row r="46" spans="1:38" ht="33.75" customHeight="1" x14ac:dyDescent="0.25">
      <c r="A46" s="171" t="s">
        <v>22</v>
      </c>
      <c r="B46" s="279">
        <v>82.5</v>
      </c>
      <c r="C46" s="280">
        <v>81.7</v>
      </c>
      <c r="D46" s="280">
        <v>14</v>
      </c>
      <c r="E46" s="280">
        <v>85.5</v>
      </c>
      <c r="F46" s="281">
        <v>82.1</v>
      </c>
      <c r="G46" s="209">
        <f t="shared" si="21"/>
        <v>345.79999999999995</v>
      </c>
      <c r="H46" s="651"/>
      <c r="I46" s="364"/>
      <c r="J46" s="364"/>
      <c r="K46" s="364"/>
      <c r="L46" s="171" t="s">
        <v>22</v>
      </c>
      <c r="M46" s="279">
        <v>6.6</v>
      </c>
      <c r="N46" s="280">
        <v>6.7</v>
      </c>
      <c r="O46" s="280">
        <v>1.1000000000000001</v>
      </c>
      <c r="P46" s="280">
        <v>6.7</v>
      </c>
      <c r="Q46" s="281">
        <v>6.6</v>
      </c>
      <c r="R46" s="209">
        <f t="shared" si="22"/>
        <v>27.700000000000003</v>
      </c>
      <c r="T46" s="646"/>
      <c r="U46" s="647"/>
      <c r="V46" s="658"/>
      <c r="Y46" s="48"/>
      <c r="Z46" s="2"/>
      <c r="AA46" s="2"/>
      <c r="AB46" s="2"/>
      <c r="AC46" s="2"/>
    </row>
    <row r="47" spans="1:38" ht="33.75" customHeight="1" thickBot="1" x14ac:dyDescent="0.3">
      <c r="A47" s="285" t="s">
        <v>23</v>
      </c>
      <c r="B47" s="279">
        <v>82.6</v>
      </c>
      <c r="C47" s="280">
        <v>81.7</v>
      </c>
      <c r="D47" s="280">
        <v>14</v>
      </c>
      <c r="E47" s="280">
        <v>85.5</v>
      </c>
      <c r="F47" s="281">
        <v>82.1</v>
      </c>
      <c r="G47" s="376">
        <f t="shared" si="21"/>
        <v>345.9</v>
      </c>
      <c r="H47" s="651"/>
      <c r="I47" s="364"/>
      <c r="J47" s="364"/>
      <c r="K47" s="364"/>
      <c r="L47" s="285" t="s">
        <v>23</v>
      </c>
      <c r="M47" s="279">
        <v>6.6</v>
      </c>
      <c r="N47" s="280">
        <v>6.7</v>
      </c>
      <c r="O47" s="280">
        <v>1.1000000000000001</v>
      </c>
      <c r="P47" s="280">
        <v>6.7</v>
      </c>
      <c r="Q47" s="281">
        <v>6.6</v>
      </c>
      <c r="R47" s="376">
        <f t="shared" si="22"/>
        <v>27.700000000000003</v>
      </c>
      <c r="T47" s="646"/>
      <c r="U47" s="647"/>
      <c r="V47" s="658"/>
      <c r="Y47" s="48"/>
      <c r="Z47" s="48"/>
      <c r="AA47" s="48"/>
      <c r="AB47" s="2"/>
      <c r="AC47" s="2"/>
      <c r="AD47" s="2"/>
      <c r="AE47" s="2"/>
    </row>
    <row r="48" spans="1:38" ht="33.75" customHeight="1" thickBot="1" x14ac:dyDescent="0.3">
      <c r="A48" s="290" t="s">
        <v>9</v>
      </c>
      <c r="B48" s="297">
        <f>SUM(B41:B47)</f>
        <v>576.29999999999995</v>
      </c>
      <c r="C48" s="298">
        <f t="shared" ref="C48:F48" si="23">SUM(C41:C47)</f>
        <v>569.9</v>
      </c>
      <c r="D48" s="298">
        <f t="shared" si="23"/>
        <v>96.6</v>
      </c>
      <c r="E48" s="298">
        <f t="shared" si="23"/>
        <v>598.79999999999995</v>
      </c>
      <c r="F48" s="448">
        <f t="shared" si="23"/>
        <v>575.20000000000005</v>
      </c>
      <c r="G48" s="729">
        <f t="shared" si="21"/>
        <v>2416.7999999999997</v>
      </c>
      <c r="H48" s="364"/>
      <c r="I48" s="364"/>
      <c r="J48" s="364"/>
      <c r="K48" s="364"/>
      <c r="L48" s="290" t="s">
        <v>9</v>
      </c>
      <c r="M48" s="763">
        <f>SUM(M41:M47)</f>
        <v>46.2</v>
      </c>
      <c r="N48" s="764">
        <f>SUM(N41:N47)</f>
        <v>46.900000000000006</v>
      </c>
      <c r="O48" s="764">
        <f>SUM(O41:O47)</f>
        <v>7.7999999999999989</v>
      </c>
      <c r="P48" s="764">
        <f t="shared" ref="P48:Q48" si="24">SUM(P41:P47)</f>
        <v>46.900000000000006</v>
      </c>
      <c r="Q48" s="765">
        <f t="shared" si="24"/>
        <v>46.7</v>
      </c>
      <c r="R48" s="815">
        <f>SUM(M48:Q48)</f>
        <v>194.5</v>
      </c>
      <c r="T48" s="647"/>
      <c r="U48" s="647"/>
      <c r="V48" s="658"/>
      <c r="Y48" s="2"/>
      <c r="Z48" s="2"/>
      <c r="AA48" s="2"/>
      <c r="AB48" s="2"/>
      <c r="AC48" s="2"/>
      <c r="AD48" s="2"/>
      <c r="AE48" s="2"/>
    </row>
    <row r="49" spans="1:50" ht="33.75" customHeight="1" x14ac:dyDescent="0.25">
      <c r="A49" s="192" t="s">
        <v>11</v>
      </c>
      <c r="B49" s="751">
        <v>153.31099999999986</v>
      </c>
      <c r="C49" s="751">
        <v>153.31099999999986</v>
      </c>
      <c r="D49" s="751">
        <v>153.31099999999986</v>
      </c>
      <c r="E49" s="751">
        <v>153.31099999999986</v>
      </c>
      <c r="F49" s="751">
        <v>153.31099999999986</v>
      </c>
      <c r="G49" s="730">
        <f>+((G48/G50)/7)*1000</f>
        <v>153.92650149671994</v>
      </c>
      <c r="H49" s="609"/>
      <c r="I49" s="364"/>
      <c r="J49" s="364"/>
      <c r="K49" s="364"/>
      <c r="L49" s="273" t="s">
        <v>11</v>
      </c>
      <c r="M49" s="357">
        <v>161</v>
      </c>
      <c r="N49" s="358">
        <v>159.5</v>
      </c>
      <c r="O49" s="358">
        <v>160</v>
      </c>
      <c r="P49" s="358">
        <v>159.5</v>
      </c>
      <c r="Q49" s="624">
        <v>159</v>
      </c>
      <c r="R49" s="730">
        <f ca="1">+((R48/R50)/7)*1000</f>
        <v>157.83783783783781</v>
      </c>
      <c r="T49" s="648" t="s">
        <v>131</v>
      </c>
      <c r="U49" s="647"/>
      <c r="V49" s="658"/>
      <c r="W49" s="50"/>
    </row>
    <row r="50" spans="1:50" ht="33.75" customHeight="1" x14ac:dyDescent="0.25">
      <c r="A50" s="193" t="s">
        <v>12</v>
      </c>
      <c r="B50" s="26">
        <v>534</v>
      </c>
      <c r="C50" s="27">
        <v>529</v>
      </c>
      <c r="D50" s="27">
        <v>86</v>
      </c>
      <c r="E50" s="27">
        <v>558</v>
      </c>
      <c r="F50" s="183">
        <v>536</v>
      </c>
      <c r="G50" s="731">
        <f>SUM(B50:F50)</f>
        <v>2243</v>
      </c>
      <c r="H50" s="609"/>
      <c r="I50" s="364"/>
      <c r="J50" s="364"/>
      <c r="K50" s="364"/>
      <c r="L50" s="193" t="s">
        <v>12</v>
      </c>
      <c r="M50" s="257">
        <v>41</v>
      </c>
      <c r="N50" s="275">
        <v>42</v>
      </c>
      <c r="O50" s="275">
        <v>7</v>
      </c>
      <c r="P50" s="275">
        <v>42</v>
      </c>
      <c r="Q50" s="276">
        <v>42</v>
      </c>
      <c r="R50" s="233">
        <f ca="1">SUM(M50:R50)</f>
        <v>185</v>
      </c>
      <c r="T50" s="649"/>
      <c r="U50" s="301"/>
      <c r="V50" s="52"/>
      <c r="W50" s="52"/>
    </row>
    <row r="51" spans="1:50" ht="33.75" customHeight="1" x14ac:dyDescent="0.25">
      <c r="A51" s="194" t="s">
        <v>13</v>
      </c>
      <c r="B51" s="30">
        <f>((((B49*7)*B50)/1000))/7</f>
        <v>81.868073999999936</v>
      </c>
      <c r="C51" s="30">
        <f t="shared" ref="C51:F51" si="25">((((C49*7)*C50)/1000))/7</f>
        <v>81.101518999999925</v>
      </c>
      <c r="D51" s="30">
        <f t="shared" si="25"/>
        <v>13.184745999999986</v>
      </c>
      <c r="E51" s="30">
        <f t="shared" si="25"/>
        <v>85.547537999999918</v>
      </c>
      <c r="F51" s="30">
        <f t="shared" si="25"/>
        <v>82.174695999999926</v>
      </c>
      <c r="G51" s="732">
        <f>((G48*1000)/G50)/7</f>
        <v>153.92650149671994</v>
      </c>
      <c r="H51" s="609"/>
      <c r="I51" s="364"/>
      <c r="J51" s="364"/>
      <c r="K51" s="364"/>
      <c r="L51" s="194" t="s">
        <v>13</v>
      </c>
      <c r="M51" s="30">
        <f>((((M49*7)*M50)/1000)/7)</f>
        <v>6.601</v>
      </c>
      <c r="N51" s="31">
        <f t="shared" ref="N51:Q51" si="26">((((N49*7)*N50)/1000)/7)</f>
        <v>6.6989999999999998</v>
      </c>
      <c r="O51" s="31">
        <f t="shared" si="26"/>
        <v>1.1199999999999999</v>
      </c>
      <c r="P51" s="31">
        <f t="shared" si="26"/>
        <v>6.6989999999999998</v>
      </c>
      <c r="Q51" s="32">
        <f t="shared" si="26"/>
        <v>6.6779999999999999</v>
      </c>
      <c r="R51" s="234">
        <f ca="1">((R48*1000)/R50)/7</f>
        <v>157.83783783783784</v>
      </c>
      <c r="T51" s="650"/>
      <c r="U51" s="301"/>
      <c r="V51" s="52"/>
      <c r="W51" s="52"/>
    </row>
    <row r="52" spans="1:50" ht="33.75" customHeight="1" x14ac:dyDescent="0.25">
      <c r="A52" s="185" t="s">
        <v>14</v>
      </c>
      <c r="B52" s="279">
        <f>((B50*B49)*7)/1000</f>
        <v>573.07651799999962</v>
      </c>
      <c r="C52" s="280">
        <f>((C50*C49)*7)/1000</f>
        <v>567.71063299999946</v>
      </c>
      <c r="D52" s="280">
        <f>((D50*D49)*7)/1000</f>
        <v>92.293221999999915</v>
      </c>
      <c r="E52" s="280">
        <f>((E50*E49)*7)/1000</f>
        <v>598.83276599999942</v>
      </c>
      <c r="F52" s="281">
        <f>((F50*F49)*7)/1000</f>
        <v>575.22287199999948</v>
      </c>
      <c r="G52" s="73"/>
      <c r="H52" s="609"/>
      <c r="I52" s="364"/>
      <c r="J52" s="364"/>
      <c r="K52" s="364"/>
      <c r="L52" s="185" t="s">
        <v>14</v>
      </c>
      <c r="M52" s="279">
        <f>((M50*M49)*7)/1000</f>
        <v>46.207000000000001</v>
      </c>
      <c r="N52" s="280">
        <f>((N50*N49)*7)/1000</f>
        <v>46.893000000000001</v>
      </c>
      <c r="O52" s="280">
        <f>((O50*O49)*7)/1000</f>
        <v>7.84</v>
      </c>
      <c r="P52" s="280">
        <f t="shared" ref="P52" si="27">((P50*P49)*7)/1000</f>
        <v>46.893000000000001</v>
      </c>
      <c r="Q52" s="282">
        <f>((Q50*Q49)*7)/1000</f>
        <v>46.746000000000002</v>
      </c>
      <c r="R52" s="282">
        <f ca="1">((R50*R49)*7)/1000</f>
        <v>0</v>
      </c>
      <c r="T52" s="522"/>
    </row>
    <row r="53" spans="1:50" ht="33.75" customHeight="1" thickBot="1" x14ac:dyDescent="0.3">
      <c r="A53" s="195" t="s">
        <v>15</v>
      </c>
      <c r="B53" s="37">
        <f>+(B48/B50)/7*1000</f>
        <v>154.17335473515249</v>
      </c>
      <c r="C53" s="38">
        <f t="shared" ref="C53:E53" si="28">+(C48/C50)/7*1000</f>
        <v>153.9022414258709</v>
      </c>
      <c r="D53" s="38">
        <f t="shared" si="28"/>
        <v>160.46511627906975</v>
      </c>
      <c r="E53" s="38">
        <f t="shared" si="28"/>
        <v>153.30261136712747</v>
      </c>
      <c r="F53" s="207">
        <f>+(F48/F50)/7*1000</f>
        <v>153.30490405117271</v>
      </c>
      <c r="G53" s="74"/>
      <c r="H53" s="609"/>
      <c r="I53" s="364"/>
      <c r="J53" s="364"/>
      <c r="K53" s="364"/>
      <c r="L53" s="195" t="s">
        <v>15</v>
      </c>
      <c r="M53" s="37">
        <f>+(M48/M50)/7*1000</f>
        <v>160.97560975609755</v>
      </c>
      <c r="N53" s="38">
        <f>+(N48/N50)/7*1000</f>
        <v>159.52380952380955</v>
      </c>
      <c r="O53" s="38">
        <f>+(O48/O50)/7*1000</f>
        <v>159.18367346938771</v>
      </c>
      <c r="P53" s="38">
        <f t="shared" ref="P53:R53" si="29">+(P48/P50)/7*1000</f>
        <v>159.52380952380955</v>
      </c>
      <c r="Q53" s="39">
        <f t="shared" si="29"/>
        <v>158.84353741496599</v>
      </c>
      <c r="R53" s="39">
        <f t="shared" ca="1" si="29"/>
        <v>167.68707482993196</v>
      </c>
      <c r="T53" s="651"/>
      <c r="V53" s="42"/>
      <c r="W53" s="42"/>
    </row>
    <row r="54" spans="1:50" ht="33.75" customHeight="1" x14ac:dyDescent="0.25">
      <c r="A54" s="41"/>
      <c r="B54" s="43">
        <f>B52-B48</f>
        <v>-3.223482000000331</v>
      </c>
      <c r="C54" s="43">
        <f t="shared" ref="C54:D55" si="30">C52-C48</f>
        <v>-2.1893670000005159</v>
      </c>
      <c r="D54" s="43">
        <f t="shared" si="30"/>
        <v>-4.3067780000000795</v>
      </c>
      <c r="E54" s="43">
        <f>E52-E48</f>
        <v>3.2765999999469386E-2</v>
      </c>
      <c r="F54" s="43">
        <f>F52-F48</f>
        <v>2.2871999999438231E-2</v>
      </c>
      <c r="G54" s="41"/>
      <c r="H54" s="41"/>
      <c r="I54" s="41"/>
      <c r="J54" s="41"/>
      <c r="K54" s="41"/>
      <c r="L54" s="42"/>
      <c r="M54" s="42">
        <f>M52-M48</f>
        <v>6.9999999999978968E-3</v>
      </c>
      <c r="N54" s="42">
        <f>N52-N48</f>
        <v>-7.0000000000050022E-3</v>
      </c>
      <c r="O54" s="42">
        <f t="shared" ref="N54:R55" si="31">O52-O48</f>
        <v>4.0000000000000924E-2</v>
      </c>
      <c r="P54" s="42">
        <f t="shared" si="31"/>
        <v>-7.0000000000050022E-3</v>
      </c>
      <c r="Q54" s="42">
        <f t="shared" si="31"/>
        <v>4.5999999999999375E-2</v>
      </c>
      <c r="R54" s="42">
        <f ca="1">R52-R48</f>
        <v>0</v>
      </c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0.86235473515262129</v>
      </c>
      <c r="C55" s="42">
        <f>C53-C49</f>
        <v>0.59124142587103279</v>
      </c>
      <c r="D55" s="42">
        <f t="shared" si="30"/>
        <v>7.154116279069882</v>
      </c>
      <c r="E55" s="42">
        <f>E53-E49</f>
        <v>-8.3886328723963288E-3</v>
      </c>
      <c r="F55" s="42">
        <f>F53-F49</f>
        <v>-6.0959488271521423E-3</v>
      </c>
      <c r="G55" s="41"/>
      <c r="H55" s="41"/>
      <c r="I55" s="41"/>
      <c r="J55" s="41"/>
      <c r="K55" s="42"/>
      <c r="L55" s="42"/>
      <c r="M55" s="42">
        <f>M53-M49</f>
        <v>-2.4390243902445263E-2</v>
      </c>
      <c r="N55" s="42">
        <f t="shared" si="31"/>
        <v>2.3809523809546818E-2</v>
      </c>
      <c r="O55" s="42">
        <f>O53-O49</f>
        <v>-0.81632653061228666</v>
      </c>
      <c r="P55" s="42">
        <f>P53-P49</f>
        <v>2.3809523809546818E-2</v>
      </c>
      <c r="Q55" s="42">
        <f t="shared" si="31"/>
        <v>-0.15646258503400645</v>
      </c>
      <c r="R55" s="42">
        <f t="shared" ca="1" si="31"/>
        <v>11.187074829931959</v>
      </c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283"/>
      <c r="N57" s="283"/>
      <c r="O57" s="283"/>
      <c r="P57" s="283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99" t="s">
        <v>30</v>
      </c>
      <c r="H58" s="1000"/>
      <c r="I58" s="1000"/>
      <c r="J58" s="1000"/>
      <c r="K58" s="1001"/>
      <c r="L58" s="973" t="s">
        <v>29</v>
      </c>
      <c r="M58" s="974"/>
      <c r="N58" s="974"/>
      <c r="O58" s="974"/>
      <c r="P58" s="991"/>
      <c r="Q58" s="974" t="s">
        <v>31</v>
      </c>
      <c r="R58" s="974"/>
      <c r="S58" s="974"/>
      <c r="T58" s="974"/>
      <c r="U58" s="991"/>
      <c r="V58" s="992" t="s">
        <v>9</v>
      </c>
      <c r="W58" s="661"/>
      <c r="X58" s="662"/>
      <c r="Y58" s="522"/>
      <c r="Z58" s="522"/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692">
        <v>1</v>
      </c>
      <c r="H59" s="693">
        <v>2</v>
      </c>
      <c r="I59" s="693">
        <v>3</v>
      </c>
      <c r="J59" s="693">
        <v>4</v>
      </c>
      <c r="K59" s="693">
        <v>5</v>
      </c>
      <c r="L59" s="188">
        <v>1</v>
      </c>
      <c r="M59" s="168">
        <v>2</v>
      </c>
      <c r="N59" s="168">
        <v>3</v>
      </c>
      <c r="O59" s="168">
        <v>4</v>
      </c>
      <c r="P59" s="414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993"/>
      <c r="W59" s="663"/>
      <c r="X59" s="645"/>
      <c r="Y59" s="657"/>
      <c r="Z59" s="657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45">
      <c r="A60" s="171" t="s">
        <v>53</v>
      </c>
      <c r="B60" s="735">
        <v>7</v>
      </c>
      <c r="C60" s="736">
        <v>7.5</v>
      </c>
      <c r="D60" s="736">
        <v>1.2</v>
      </c>
      <c r="E60" s="736">
        <v>7.5</v>
      </c>
      <c r="F60" s="737">
        <v>7.4</v>
      </c>
      <c r="G60" s="738">
        <v>7.5</v>
      </c>
      <c r="H60" s="739">
        <v>7.5</v>
      </c>
      <c r="I60" s="799">
        <v>1.2</v>
      </c>
      <c r="J60" s="739">
        <v>7.5</v>
      </c>
      <c r="K60" s="739">
        <v>7.2</v>
      </c>
      <c r="L60" s="279">
        <v>6</v>
      </c>
      <c r="M60" s="280">
        <v>6</v>
      </c>
      <c r="N60" s="280">
        <v>1.7</v>
      </c>
      <c r="O60" s="280">
        <v>5.9</v>
      </c>
      <c r="P60" s="282">
        <v>5.8</v>
      </c>
      <c r="Q60" s="737">
        <v>6.2</v>
      </c>
      <c r="R60" s="736">
        <v>6.3</v>
      </c>
      <c r="S60" s="736">
        <v>1.7</v>
      </c>
      <c r="T60" s="736">
        <v>6.2</v>
      </c>
      <c r="U60" s="742">
        <v>6.2</v>
      </c>
      <c r="V60" s="819">
        <f t="shared" ref="V60:V67" si="32">SUM(B60:U60)</f>
        <v>113.50000000000001</v>
      </c>
      <c r="W60" s="42"/>
      <c r="X60" s="646"/>
      <c r="Y60" s="657"/>
      <c r="Z60" s="657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45">
      <c r="A61" s="171" t="s">
        <v>24</v>
      </c>
      <c r="B61" s="735">
        <v>7</v>
      </c>
      <c r="C61" s="736">
        <v>7.5</v>
      </c>
      <c r="D61" s="736">
        <v>1.2</v>
      </c>
      <c r="E61" s="736">
        <v>7.5</v>
      </c>
      <c r="F61" s="737">
        <v>7.4</v>
      </c>
      <c r="G61" s="738">
        <v>7.5</v>
      </c>
      <c r="H61" s="739">
        <v>7.5</v>
      </c>
      <c r="I61" s="799">
        <v>1.2</v>
      </c>
      <c r="J61" s="739">
        <v>7.5</v>
      </c>
      <c r="K61" s="739">
        <v>7.2</v>
      </c>
      <c r="L61" s="279">
        <v>6</v>
      </c>
      <c r="M61" s="280">
        <v>6</v>
      </c>
      <c r="N61" s="280">
        <v>1.6</v>
      </c>
      <c r="O61" s="280">
        <v>5.8</v>
      </c>
      <c r="P61" s="282">
        <v>5.8</v>
      </c>
      <c r="Q61" s="737">
        <v>6.2</v>
      </c>
      <c r="R61" s="736">
        <v>6.3</v>
      </c>
      <c r="S61" s="736">
        <v>1.6</v>
      </c>
      <c r="T61" s="736">
        <v>6.2</v>
      </c>
      <c r="U61" s="742">
        <v>6.1</v>
      </c>
      <c r="V61" s="412">
        <f t="shared" si="32"/>
        <v>113.09999999999998</v>
      </c>
      <c r="W61" s="42"/>
      <c r="X61" s="646"/>
      <c r="Y61" s="651"/>
      <c r="Z61" s="651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45">
      <c r="A62" s="171" t="s">
        <v>20</v>
      </c>
      <c r="B62" s="706">
        <v>7</v>
      </c>
      <c r="C62" s="707">
        <v>7.4</v>
      </c>
      <c r="D62" s="707">
        <v>1.1000000000000001</v>
      </c>
      <c r="E62" s="707">
        <v>7.4</v>
      </c>
      <c r="F62" s="708">
        <v>7.4</v>
      </c>
      <c r="G62" s="709">
        <v>7.5</v>
      </c>
      <c r="H62" s="629">
        <v>7.4</v>
      </c>
      <c r="I62" s="836">
        <v>1.1000000000000001</v>
      </c>
      <c r="J62" s="629">
        <v>7.4</v>
      </c>
      <c r="K62" s="629">
        <v>7.2</v>
      </c>
      <c r="L62" s="532">
        <v>6</v>
      </c>
      <c r="M62" s="431">
        <v>6</v>
      </c>
      <c r="N62" s="431">
        <v>1.6</v>
      </c>
      <c r="O62" s="431">
        <v>5.8</v>
      </c>
      <c r="P62" s="755">
        <v>5.8</v>
      </c>
      <c r="Q62" s="708">
        <v>6.3</v>
      </c>
      <c r="R62" s="707">
        <v>6.3</v>
      </c>
      <c r="S62" s="707">
        <v>1.6</v>
      </c>
      <c r="T62" s="707">
        <v>6.2</v>
      </c>
      <c r="U62" s="713">
        <v>6.1</v>
      </c>
      <c r="V62" s="412">
        <f t="shared" si="32"/>
        <v>112.59999999999998</v>
      </c>
      <c r="W62" s="42"/>
      <c r="X62" s="646"/>
      <c r="Y62" s="651"/>
      <c r="Z62" s="651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45">
      <c r="A63" s="171" t="s">
        <v>28</v>
      </c>
      <c r="B63" s="735">
        <v>7</v>
      </c>
      <c r="C63" s="736">
        <v>7.4</v>
      </c>
      <c r="D63" s="736">
        <v>1.1000000000000001</v>
      </c>
      <c r="E63" s="736">
        <v>7.4</v>
      </c>
      <c r="F63" s="737">
        <v>7.4</v>
      </c>
      <c r="G63" s="738">
        <v>7.5</v>
      </c>
      <c r="H63" s="739">
        <v>7.4</v>
      </c>
      <c r="I63" s="799">
        <v>1.1000000000000001</v>
      </c>
      <c r="J63" s="739">
        <v>7.4</v>
      </c>
      <c r="K63" s="739">
        <v>7.2</v>
      </c>
      <c r="L63" s="279">
        <v>6</v>
      </c>
      <c r="M63" s="280">
        <v>6</v>
      </c>
      <c r="N63" s="280">
        <v>1.6</v>
      </c>
      <c r="O63" s="280">
        <v>5.8</v>
      </c>
      <c r="P63" s="282">
        <v>5.8</v>
      </c>
      <c r="Q63" s="737">
        <v>6.4</v>
      </c>
      <c r="R63" s="736">
        <v>6.3</v>
      </c>
      <c r="S63" s="736">
        <v>1.6</v>
      </c>
      <c r="T63" s="736">
        <v>6.1</v>
      </c>
      <c r="U63" s="742">
        <v>6.1</v>
      </c>
      <c r="V63" s="412">
        <f t="shared" si="32"/>
        <v>112.59999999999998</v>
      </c>
      <c r="W63" s="42"/>
      <c r="X63" s="646"/>
      <c r="Y63" s="651"/>
      <c r="Z63" s="651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45">
      <c r="A64" s="171" t="s">
        <v>21</v>
      </c>
      <c r="B64" s="735">
        <v>7</v>
      </c>
      <c r="C64" s="736">
        <v>7.4</v>
      </c>
      <c r="D64" s="736">
        <v>1.1000000000000001</v>
      </c>
      <c r="E64" s="736">
        <v>7.4</v>
      </c>
      <c r="F64" s="737">
        <v>7.4</v>
      </c>
      <c r="G64" s="738">
        <v>7.5</v>
      </c>
      <c r="H64" s="739">
        <v>7.4</v>
      </c>
      <c r="I64" s="799">
        <v>1.1000000000000001</v>
      </c>
      <c r="J64" s="739">
        <v>7.4</v>
      </c>
      <c r="K64" s="739">
        <v>7.2</v>
      </c>
      <c r="L64" s="279">
        <v>6</v>
      </c>
      <c r="M64" s="280">
        <v>6</v>
      </c>
      <c r="N64" s="280">
        <v>1.6</v>
      </c>
      <c r="O64" s="280">
        <v>5.8</v>
      </c>
      <c r="P64" s="282">
        <v>5.7</v>
      </c>
      <c r="Q64" s="737">
        <v>6.4</v>
      </c>
      <c r="R64" s="736">
        <v>6.3</v>
      </c>
      <c r="S64" s="736">
        <v>1.6</v>
      </c>
      <c r="T64" s="736">
        <v>6.1</v>
      </c>
      <c r="U64" s="742">
        <v>6.1</v>
      </c>
      <c r="V64" s="412">
        <f t="shared" si="32"/>
        <v>112.49999999999999</v>
      </c>
      <c r="W64" s="42"/>
      <c r="X64" s="646"/>
      <c r="Y64" s="651"/>
      <c r="Z64" s="651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45">
      <c r="A65" s="171" t="s">
        <v>22</v>
      </c>
      <c r="B65" s="735">
        <v>7</v>
      </c>
      <c r="C65" s="736">
        <v>7.5</v>
      </c>
      <c r="D65" s="736">
        <v>1.1000000000000001</v>
      </c>
      <c r="E65" s="736">
        <v>7.5</v>
      </c>
      <c r="F65" s="737">
        <v>7.4</v>
      </c>
      <c r="G65" s="738">
        <v>7.4</v>
      </c>
      <c r="H65" s="739">
        <v>7.5</v>
      </c>
      <c r="I65" s="799">
        <v>1.1000000000000001</v>
      </c>
      <c r="J65" s="739">
        <v>7.5</v>
      </c>
      <c r="K65" s="739">
        <v>7.3</v>
      </c>
      <c r="L65" s="279">
        <v>6</v>
      </c>
      <c r="M65" s="280">
        <v>6</v>
      </c>
      <c r="N65" s="280">
        <v>1.6</v>
      </c>
      <c r="O65" s="280">
        <v>5.8</v>
      </c>
      <c r="P65" s="282">
        <v>5.7</v>
      </c>
      <c r="Q65" s="737">
        <v>5.9</v>
      </c>
      <c r="R65" s="736">
        <v>6.4</v>
      </c>
      <c r="S65" s="736">
        <v>1.6</v>
      </c>
      <c r="T65" s="736">
        <v>6.1</v>
      </c>
      <c r="U65" s="742">
        <v>6.1</v>
      </c>
      <c r="V65" s="412">
        <f t="shared" si="32"/>
        <v>112.49999999999999</v>
      </c>
      <c r="W65" s="42"/>
      <c r="X65" s="646"/>
      <c r="Y65" s="651"/>
      <c r="Z65" s="651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5">
      <c r="A66" s="171" t="s">
        <v>23</v>
      </c>
      <c r="B66" s="735">
        <v>6.9</v>
      </c>
      <c r="C66" s="736">
        <v>7.5</v>
      </c>
      <c r="D66" s="736">
        <v>1.2</v>
      </c>
      <c r="E66" s="736">
        <v>7.5</v>
      </c>
      <c r="F66" s="737">
        <v>7.3</v>
      </c>
      <c r="G66" s="738">
        <v>7.4</v>
      </c>
      <c r="H66" s="739">
        <v>7.5</v>
      </c>
      <c r="I66" s="799">
        <v>1.1000000000000001</v>
      </c>
      <c r="J66" s="739">
        <v>7.5</v>
      </c>
      <c r="K66" s="739">
        <v>7.3</v>
      </c>
      <c r="L66" s="279">
        <v>6.1</v>
      </c>
      <c r="M66" s="280">
        <v>6</v>
      </c>
      <c r="N66" s="280">
        <v>1.7</v>
      </c>
      <c r="O66" s="280">
        <v>5.9</v>
      </c>
      <c r="P66" s="282">
        <v>5.8</v>
      </c>
      <c r="Q66" s="737">
        <v>5.8</v>
      </c>
      <c r="R66" s="736">
        <v>6.3</v>
      </c>
      <c r="S66" s="736">
        <v>1.7</v>
      </c>
      <c r="T66" s="736">
        <v>6.2</v>
      </c>
      <c r="U66" s="742">
        <v>6</v>
      </c>
      <c r="V66" s="412">
        <f t="shared" si="32"/>
        <v>112.7</v>
      </c>
      <c r="W66" s="42"/>
      <c r="X66" s="646"/>
      <c r="Y66" s="651"/>
      <c r="Z66" s="651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618">
        <f t="shared" ref="B67:U67" si="33">SUM(B60:B66)</f>
        <v>48.9</v>
      </c>
      <c r="C67" s="616">
        <f t="shared" si="33"/>
        <v>52.199999999999996</v>
      </c>
      <c r="D67" s="616">
        <f t="shared" si="33"/>
        <v>7.9999999999999991</v>
      </c>
      <c r="E67" s="616">
        <f t="shared" si="33"/>
        <v>52.199999999999996</v>
      </c>
      <c r="F67" s="617">
        <f t="shared" si="33"/>
        <v>51.699999999999996</v>
      </c>
      <c r="G67" s="719">
        <f t="shared" si="33"/>
        <v>52.3</v>
      </c>
      <c r="H67" s="696">
        <f t="shared" si="33"/>
        <v>52.199999999999996</v>
      </c>
      <c r="I67" s="696">
        <f t="shared" si="33"/>
        <v>7.8999999999999986</v>
      </c>
      <c r="J67" s="696">
        <f t="shared" si="33"/>
        <v>52.199999999999996</v>
      </c>
      <c r="K67" s="720">
        <f t="shared" si="33"/>
        <v>50.599999999999994</v>
      </c>
      <c r="L67" s="618">
        <f t="shared" si="33"/>
        <v>42.1</v>
      </c>
      <c r="M67" s="616">
        <f t="shared" si="33"/>
        <v>42</v>
      </c>
      <c r="N67" s="616">
        <f t="shared" si="33"/>
        <v>11.399999999999999</v>
      </c>
      <c r="O67" s="616">
        <f t="shared" si="33"/>
        <v>40.799999999999997</v>
      </c>
      <c r="P67" s="619">
        <f t="shared" si="33"/>
        <v>40.4</v>
      </c>
      <c r="Q67" s="615">
        <f t="shared" si="33"/>
        <v>43.199999999999996</v>
      </c>
      <c r="R67" s="616">
        <f t="shared" si="33"/>
        <v>44.199999999999996</v>
      </c>
      <c r="S67" s="616">
        <f t="shared" si="33"/>
        <v>11.399999999999999</v>
      </c>
      <c r="T67" s="616">
        <f t="shared" si="33"/>
        <v>43.100000000000009</v>
      </c>
      <c r="U67" s="617">
        <f t="shared" si="33"/>
        <v>42.7</v>
      </c>
      <c r="V67" s="449">
        <f t="shared" si="32"/>
        <v>789.5</v>
      </c>
      <c r="W67" s="664"/>
      <c r="X67" s="646"/>
      <c r="Y67" s="651"/>
      <c r="Z67" s="651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162.5</v>
      </c>
      <c r="C68" s="358">
        <v>162</v>
      </c>
      <c r="D68" s="358">
        <v>162.5</v>
      </c>
      <c r="E68" s="358">
        <v>162</v>
      </c>
      <c r="F68" s="624">
        <v>160.5</v>
      </c>
      <c r="G68" s="357">
        <v>162.5</v>
      </c>
      <c r="H68" s="358">
        <v>162</v>
      </c>
      <c r="I68" s="358">
        <v>162.5</v>
      </c>
      <c r="J68" s="358">
        <v>162</v>
      </c>
      <c r="K68" s="624">
        <v>160.5</v>
      </c>
      <c r="L68" s="357">
        <v>162.5</v>
      </c>
      <c r="M68" s="358">
        <v>162</v>
      </c>
      <c r="N68" s="358">
        <v>162.5</v>
      </c>
      <c r="O68" s="358">
        <v>162</v>
      </c>
      <c r="P68" s="624">
        <v>160.5</v>
      </c>
      <c r="Q68" s="671">
        <v>162.5</v>
      </c>
      <c r="R68" s="358">
        <v>162</v>
      </c>
      <c r="S68" s="358">
        <v>162.5</v>
      </c>
      <c r="T68" s="358">
        <v>162</v>
      </c>
      <c r="U68" s="624">
        <v>160.5</v>
      </c>
      <c r="V68" s="296">
        <f>+((V67/V69)/7)*1000</f>
        <v>161.81594589055135</v>
      </c>
      <c r="W68" s="145"/>
      <c r="X68" s="648"/>
      <c r="Y68" s="665"/>
      <c r="Z68" s="522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43</v>
      </c>
      <c r="C69" s="275">
        <v>46</v>
      </c>
      <c r="D69" s="275">
        <v>7</v>
      </c>
      <c r="E69" s="275">
        <v>46</v>
      </c>
      <c r="F69" s="276">
        <v>46</v>
      </c>
      <c r="G69" s="723">
        <v>46</v>
      </c>
      <c r="H69" s="700">
        <v>46</v>
      </c>
      <c r="I69" s="700">
        <v>7</v>
      </c>
      <c r="J69" s="700">
        <v>46</v>
      </c>
      <c r="K69" s="724">
        <v>45</v>
      </c>
      <c r="L69" s="257">
        <v>37</v>
      </c>
      <c r="M69" s="275">
        <v>37</v>
      </c>
      <c r="N69" s="275">
        <v>10</v>
      </c>
      <c r="O69" s="275">
        <v>36</v>
      </c>
      <c r="P69" s="276">
        <v>36</v>
      </c>
      <c r="Q69" s="79">
        <v>38</v>
      </c>
      <c r="R69" s="275">
        <v>39</v>
      </c>
      <c r="S69" s="275">
        <v>10</v>
      </c>
      <c r="T69" s="275">
        <v>38</v>
      </c>
      <c r="U69" s="276">
        <v>38</v>
      </c>
      <c r="V69" s="254">
        <f>SUM(B69:U69)</f>
        <v>697</v>
      </c>
      <c r="W69" s="145"/>
      <c r="X69" s="649"/>
      <c r="Y69" s="665"/>
      <c r="Z69" s="522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>((((B68*7)*B69)/1000)/7)</f>
        <v>6.9874999999999998</v>
      </c>
      <c r="C70" s="31">
        <f t="shared" ref="C70:U70" si="34">((((C68*7)*C69)/1000)/7)</f>
        <v>7.452</v>
      </c>
      <c r="D70" s="31">
        <f t="shared" si="34"/>
        <v>1.1375</v>
      </c>
      <c r="E70" s="31">
        <f t="shared" si="34"/>
        <v>7.452</v>
      </c>
      <c r="F70" s="32">
        <f t="shared" si="34"/>
        <v>7.383</v>
      </c>
      <c r="G70" s="30">
        <f t="shared" si="34"/>
        <v>7.4750000000000005</v>
      </c>
      <c r="H70" s="31">
        <f t="shared" si="34"/>
        <v>7.452</v>
      </c>
      <c r="I70" s="31">
        <f t="shared" si="34"/>
        <v>1.1375</v>
      </c>
      <c r="J70" s="31">
        <f t="shared" si="34"/>
        <v>7.452</v>
      </c>
      <c r="K70" s="32">
        <f t="shared" si="34"/>
        <v>7.2224999999999993</v>
      </c>
      <c r="L70" s="30">
        <f t="shared" si="34"/>
        <v>6.0125000000000002</v>
      </c>
      <c r="M70" s="31">
        <f t="shared" si="34"/>
        <v>5.9939999999999998</v>
      </c>
      <c r="N70" s="31">
        <f t="shared" si="34"/>
        <v>1.625</v>
      </c>
      <c r="O70" s="31">
        <f t="shared" si="34"/>
        <v>5.8319999999999999</v>
      </c>
      <c r="P70" s="32">
        <f t="shared" si="34"/>
        <v>5.7779999999999996</v>
      </c>
      <c r="Q70" s="65">
        <f t="shared" si="34"/>
        <v>6.1749999999999998</v>
      </c>
      <c r="R70" s="31">
        <f t="shared" si="34"/>
        <v>6.3179999999999996</v>
      </c>
      <c r="S70" s="31">
        <f t="shared" si="34"/>
        <v>1.625</v>
      </c>
      <c r="T70" s="31">
        <f t="shared" si="34"/>
        <v>6.1559999999999997</v>
      </c>
      <c r="U70" s="32">
        <f t="shared" si="34"/>
        <v>6.0989999999999993</v>
      </c>
      <c r="V70" s="139">
        <f>((V67*1000)/V69)/7</f>
        <v>161.81594589055135</v>
      </c>
      <c r="W70" s="144"/>
      <c r="X70" s="650"/>
      <c r="Y70" s="665"/>
      <c r="Z70" s="522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35">((B69*B68)*7)/1000</f>
        <v>48.912500000000001</v>
      </c>
      <c r="C71" s="280">
        <f t="shared" si="35"/>
        <v>52.164000000000001</v>
      </c>
      <c r="D71" s="280">
        <f t="shared" si="35"/>
        <v>7.9625000000000004</v>
      </c>
      <c r="E71" s="280">
        <f t="shared" si="35"/>
        <v>52.164000000000001</v>
      </c>
      <c r="F71" s="282">
        <f t="shared" si="35"/>
        <v>51.680999999999997</v>
      </c>
      <c r="G71" s="464">
        <f t="shared" si="35"/>
        <v>52.325000000000003</v>
      </c>
      <c r="H71" s="459">
        <f>((H69*H68)*7)/1000</f>
        <v>52.164000000000001</v>
      </c>
      <c r="I71" s="459">
        <f t="shared" si="35"/>
        <v>7.9625000000000004</v>
      </c>
      <c r="J71" s="459">
        <f t="shared" si="35"/>
        <v>52.164000000000001</v>
      </c>
      <c r="K71" s="460">
        <f t="shared" si="35"/>
        <v>50.557499999999997</v>
      </c>
      <c r="L71" s="279">
        <f t="shared" si="35"/>
        <v>42.087499999999999</v>
      </c>
      <c r="M71" s="280">
        <f t="shared" si="35"/>
        <v>41.957999999999998</v>
      </c>
      <c r="N71" s="280">
        <f t="shared" si="35"/>
        <v>11.375</v>
      </c>
      <c r="O71" s="280">
        <f t="shared" si="35"/>
        <v>40.823999999999998</v>
      </c>
      <c r="P71" s="282">
        <f t="shared" si="35"/>
        <v>40.445999999999998</v>
      </c>
      <c r="Q71" s="325">
        <f t="shared" si="35"/>
        <v>43.225000000000001</v>
      </c>
      <c r="R71" s="280">
        <f t="shared" si="35"/>
        <v>44.225999999999999</v>
      </c>
      <c r="S71" s="280">
        <f t="shared" si="35"/>
        <v>11.375</v>
      </c>
      <c r="T71" s="280">
        <f t="shared" si="35"/>
        <v>43.091999999999999</v>
      </c>
      <c r="U71" s="282">
        <f t="shared" si="35"/>
        <v>42.692999999999998</v>
      </c>
      <c r="V71" s="112"/>
      <c r="W71" s="651"/>
      <c r="X71" s="666"/>
      <c r="Y71" s="666"/>
      <c r="Z71" s="666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U72" si="36">+(B67/B69)/7*1000</f>
        <v>162.45847176079732</v>
      </c>
      <c r="C72" s="38">
        <f t="shared" si="36"/>
        <v>162.111801242236</v>
      </c>
      <c r="D72" s="38">
        <f t="shared" si="36"/>
        <v>163.26530612244898</v>
      </c>
      <c r="E72" s="38">
        <f t="shared" si="36"/>
        <v>162.111801242236</v>
      </c>
      <c r="F72" s="39">
        <f t="shared" si="36"/>
        <v>160.5590062111801</v>
      </c>
      <c r="G72" s="727">
        <f t="shared" si="36"/>
        <v>162.42236024844721</v>
      </c>
      <c r="H72" s="704">
        <f t="shared" si="36"/>
        <v>162.111801242236</v>
      </c>
      <c r="I72" s="704">
        <f t="shared" si="36"/>
        <v>161.22448979591832</v>
      </c>
      <c r="J72" s="704">
        <f t="shared" si="36"/>
        <v>162.111801242236</v>
      </c>
      <c r="K72" s="728">
        <f t="shared" si="36"/>
        <v>160.63492063492063</v>
      </c>
      <c r="L72" s="37">
        <f t="shared" si="36"/>
        <v>162.54826254826258</v>
      </c>
      <c r="M72" s="38">
        <f t="shared" si="36"/>
        <v>162.16216216216213</v>
      </c>
      <c r="N72" s="38">
        <f t="shared" si="36"/>
        <v>162.85714285714283</v>
      </c>
      <c r="O72" s="38">
        <f t="shared" si="36"/>
        <v>161.90476190476193</v>
      </c>
      <c r="P72" s="39">
        <f t="shared" si="36"/>
        <v>160.31746031746033</v>
      </c>
      <c r="Q72" s="67">
        <f t="shared" si="36"/>
        <v>162.40601503759396</v>
      </c>
      <c r="R72" s="38">
        <f t="shared" si="36"/>
        <v>161.90476190476193</v>
      </c>
      <c r="S72" s="38">
        <f t="shared" si="36"/>
        <v>162.85714285714283</v>
      </c>
      <c r="T72" s="38">
        <f t="shared" si="36"/>
        <v>162.03007518796997</v>
      </c>
      <c r="U72" s="39">
        <f t="shared" si="36"/>
        <v>160.52631578947367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43">
        <f>B71-B67</f>
        <v>1.2500000000002842E-2</v>
      </c>
      <c r="C73" s="43">
        <f t="shared" ref="C73:F73" si="37">C71-C67</f>
        <v>-3.5999999999994259E-2</v>
      </c>
      <c r="D73" s="43">
        <f t="shared" si="37"/>
        <v>-3.7499999999998757E-2</v>
      </c>
      <c r="E73" s="43">
        <f t="shared" si="37"/>
        <v>-3.5999999999994259E-2</v>
      </c>
      <c r="F73" s="43">
        <f t="shared" si="37"/>
        <v>-1.8999999999998352E-2</v>
      </c>
      <c r="G73" s="143">
        <f>G71-G67</f>
        <v>2.5000000000005684E-2</v>
      </c>
      <c r="H73" s="143">
        <f t="shared" ref="H73:P74" si="38">H71-H67</f>
        <v>-3.5999999999994259E-2</v>
      </c>
      <c r="I73" s="143">
        <f t="shared" si="38"/>
        <v>6.2500000000001776E-2</v>
      </c>
      <c r="J73" s="143">
        <f t="shared" si="38"/>
        <v>-3.5999999999994259E-2</v>
      </c>
      <c r="K73" s="143">
        <f t="shared" si="38"/>
        <v>-4.2499999999996874E-2</v>
      </c>
      <c r="L73" s="43">
        <f>L71-L67</f>
        <v>-1.2500000000002842E-2</v>
      </c>
      <c r="M73" s="43">
        <f t="shared" ref="M73:P73" si="39">M71-M67</f>
        <v>-4.2000000000001592E-2</v>
      </c>
      <c r="N73" s="43">
        <f t="shared" si="39"/>
        <v>-2.4999999999998579E-2</v>
      </c>
      <c r="O73" s="43">
        <f t="shared" si="39"/>
        <v>2.4000000000000909E-2</v>
      </c>
      <c r="P73" s="43">
        <f t="shared" si="39"/>
        <v>4.5999999999999375E-2</v>
      </c>
      <c r="Q73" s="43">
        <f t="shared" ref="Q73:R73" si="40">Q71-Q67</f>
        <v>2.5000000000005684E-2</v>
      </c>
      <c r="R73" s="43">
        <f t="shared" si="40"/>
        <v>2.6000000000003354E-2</v>
      </c>
      <c r="S73" s="43">
        <f t="shared" ref="S73:V73" si="41">R71-R67</f>
        <v>2.6000000000003354E-2</v>
      </c>
      <c r="T73" s="43">
        <f>S71-S67</f>
        <v>-2.4999999999998579E-2</v>
      </c>
      <c r="U73" s="43">
        <f>T71-T67</f>
        <v>-8.0000000000097771E-3</v>
      </c>
      <c r="V73" s="43">
        <f t="shared" si="41"/>
        <v>-7.0000000000050022E-3</v>
      </c>
      <c r="X73" s="144"/>
      <c r="Y73" s="522"/>
      <c r="Z73" s="522"/>
      <c r="AA73" s="522"/>
    </row>
    <row r="74" spans="1:50" ht="33.75" customHeight="1" x14ac:dyDescent="0.25">
      <c r="B74" s="42">
        <f t="shared" ref="B74:J74" si="42">B72-B68</f>
        <v>-4.1528239202676787E-2</v>
      </c>
      <c r="C74" s="42">
        <f t="shared" si="42"/>
        <v>0.11180124223599819</v>
      </c>
      <c r="D74" s="42">
        <f t="shared" si="42"/>
        <v>0.76530612244897611</v>
      </c>
      <c r="E74" s="42">
        <f t="shared" si="42"/>
        <v>0.11180124223599819</v>
      </c>
      <c r="F74" s="42">
        <f t="shared" si="42"/>
        <v>5.9006211180104629E-2</v>
      </c>
      <c r="G74" s="705">
        <f t="shared" si="42"/>
        <v>-7.7639751552794678E-2</v>
      </c>
      <c r="H74" s="705">
        <f t="shared" si="42"/>
        <v>0.11180124223599819</v>
      </c>
      <c r="I74" s="705">
        <f>I72-I68</f>
        <v>-1.2755102040816837</v>
      </c>
      <c r="J74" s="705">
        <f t="shared" si="42"/>
        <v>0.11180124223599819</v>
      </c>
      <c r="K74" s="705">
        <f t="shared" si="38"/>
        <v>0.13492063492063266</v>
      </c>
      <c r="L74" s="42">
        <f t="shared" si="38"/>
        <v>4.8262548262584914E-2</v>
      </c>
      <c r="M74" s="42">
        <f t="shared" si="38"/>
        <v>0.16216216216213297</v>
      </c>
      <c r="N74" s="42">
        <f t="shared" si="38"/>
        <v>0.35714285714283278</v>
      </c>
      <c r="O74" s="42">
        <f t="shared" si="38"/>
        <v>-9.5238095238073583E-2</v>
      </c>
      <c r="P74" s="42">
        <f t="shared" si="38"/>
        <v>-0.18253968253966946</v>
      </c>
      <c r="Q74" s="42">
        <f t="shared" ref="Q74:R74" si="43">Q72-Q68</f>
        <v>-9.398496240604004E-2</v>
      </c>
      <c r="R74" s="42">
        <f t="shared" si="43"/>
        <v>-9.5238095238073583E-2</v>
      </c>
      <c r="S74" s="42">
        <f>R72-R68</f>
        <v>-9.5238095238073583E-2</v>
      </c>
      <c r="T74" s="42">
        <f>S72-S68</f>
        <v>0.35714285714283278</v>
      </c>
      <c r="U74" s="42">
        <f>T72-T68</f>
        <v>3.007518796997033E-2</v>
      </c>
      <c r="V74" s="42">
        <f>U72-U68</f>
        <v>2.6315789473670748E-2</v>
      </c>
      <c r="W74" s="45"/>
      <c r="X74" s="651"/>
      <c r="Y74" s="657"/>
      <c r="Z74" s="657"/>
      <c r="AA74" s="657"/>
      <c r="AB74" s="45"/>
      <c r="AC74" s="45"/>
      <c r="AD74" s="45"/>
      <c r="AE74" s="52"/>
    </row>
    <row r="75" spans="1:50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</row>
    <row r="76" spans="1:50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0" ht="33.75" customHeight="1" x14ac:dyDescent="0.25">
      <c r="A77" s="45"/>
      <c r="B77" s="58"/>
      <c r="C77" s="58"/>
      <c r="D77" s="648" t="s">
        <v>132</v>
      </c>
      <c r="E77" s="58"/>
      <c r="F77" s="58"/>
      <c r="G77" s="58"/>
      <c r="H77" s="648" t="s">
        <v>132</v>
      </c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8">
    <mergeCell ref="Z16:Z17"/>
    <mergeCell ref="B39:F39"/>
    <mergeCell ref="G39:G40"/>
    <mergeCell ref="M39:Q39"/>
    <mergeCell ref="R39:R40"/>
    <mergeCell ref="B58:F58"/>
    <mergeCell ref="G58:K58"/>
    <mergeCell ref="Q58:U58"/>
    <mergeCell ref="V58:V59"/>
    <mergeCell ref="L58:P58"/>
    <mergeCell ref="A3:C3"/>
    <mergeCell ref="E9:G9"/>
    <mergeCell ref="W9:X9"/>
    <mergeCell ref="O11:P11"/>
    <mergeCell ref="B16:H16"/>
    <mergeCell ref="I16:O16"/>
    <mergeCell ref="P16:T16"/>
    <mergeCell ref="U16:Y16"/>
  </mergeCells>
  <pageMargins left="0.23622047244094488" right="0.23622047244094488" top="0.74803149606299213" bottom="0.74803149606299213" header="0.31496062992125984" footer="0.31496062992125984"/>
  <pageSetup paperSize="9" scale="20" fitToWidth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241"/>
  <sheetViews>
    <sheetView topLeftCell="A25" zoomScale="26" zoomScaleNormal="26" workbookViewId="0">
      <selection activeCell="B68" sqref="B68:U68"/>
    </sheetView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51</v>
      </c>
      <c r="P11" s="965"/>
      <c r="Q11" s="6"/>
      <c r="R11" s="6"/>
      <c r="S11" s="6"/>
      <c r="T11" s="1"/>
      <c r="U11" s="1"/>
      <c r="V11" s="1" t="s">
        <v>6</v>
      </c>
      <c r="W11" s="95">
        <v>45704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  <c r="Z16" s="977" t="s">
        <v>9</v>
      </c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828"/>
      <c r="I17" s="188" t="s">
        <v>100</v>
      </c>
      <c r="J17" s="168">
        <v>1</v>
      </c>
      <c r="K17" s="168">
        <v>2</v>
      </c>
      <c r="L17" s="168">
        <v>3</v>
      </c>
      <c r="M17" s="168">
        <v>4</v>
      </c>
      <c r="N17" s="169">
        <v>5</v>
      </c>
      <c r="O17" s="828"/>
      <c r="P17" s="189">
        <v>1</v>
      </c>
      <c r="Q17" s="168">
        <v>2</v>
      </c>
      <c r="R17" s="168">
        <v>3</v>
      </c>
      <c r="S17" s="168">
        <v>4</v>
      </c>
      <c r="T17" s="204">
        <v>5</v>
      </c>
      <c r="U17" s="188">
        <v>1</v>
      </c>
      <c r="V17" s="168">
        <v>2</v>
      </c>
      <c r="W17" s="168">
        <v>3</v>
      </c>
      <c r="X17" s="168">
        <v>4</v>
      </c>
      <c r="Y17" s="169">
        <v>5</v>
      </c>
      <c r="Z17" s="984"/>
      <c r="AD17" s="2"/>
      <c r="AE17" s="15"/>
    </row>
    <row r="18" spans="1:40" ht="39.950000000000003" customHeight="1" x14ac:dyDescent="0.25">
      <c r="A18" s="171" t="s">
        <v>53</v>
      </c>
      <c r="B18" s="743">
        <v>299</v>
      </c>
      <c r="C18" s="739">
        <v>13.7</v>
      </c>
      <c r="D18" s="739">
        <v>14.4</v>
      </c>
      <c r="E18" s="739">
        <v>2.2000000000000002</v>
      </c>
      <c r="F18" s="739">
        <v>14.3</v>
      </c>
      <c r="G18" s="744">
        <v>14.3</v>
      </c>
      <c r="H18" s="506">
        <f t="shared" ref="H18" si="0">+SUM(B18:G18)</f>
        <v>357.9</v>
      </c>
      <c r="I18" s="745">
        <v>302</v>
      </c>
      <c r="J18" s="739">
        <v>14.1</v>
      </c>
      <c r="K18" s="739">
        <v>14.3</v>
      </c>
      <c r="L18" s="739">
        <v>2.2000000000000002</v>
      </c>
      <c r="M18" s="739">
        <v>14.4</v>
      </c>
      <c r="N18" s="746">
        <v>14.5</v>
      </c>
      <c r="O18" s="506">
        <f t="shared" ref="O18" si="1">+SUM(I18:N18)</f>
        <v>361.5</v>
      </c>
      <c r="P18" s="747">
        <v>72.400000000000006</v>
      </c>
      <c r="Q18" s="459">
        <v>73.2</v>
      </c>
      <c r="R18" s="739">
        <v>18.2</v>
      </c>
      <c r="S18" s="739">
        <v>72.599999999999994</v>
      </c>
      <c r="T18" s="746">
        <v>73</v>
      </c>
      <c r="U18" s="748">
        <v>74.7</v>
      </c>
      <c r="V18" s="739">
        <v>77.5</v>
      </c>
      <c r="W18" s="459">
        <v>18.100000000000001</v>
      </c>
      <c r="X18" s="459">
        <v>76.3</v>
      </c>
      <c r="Y18" s="746">
        <v>76.900000000000006</v>
      </c>
      <c r="Z18" s="835">
        <f t="shared" ref="Z18:Z24" si="2">SUM(H18,O18,P18:Y18)</f>
        <v>1352.3000000000002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743">
        <v>300.60000000000002</v>
      </c>
      <c r="C19" s="739">
        <v>13.7</v>
      </c>
      <c r="D19" s="739">
        <v>14.4</v>
      </c>
      <c r="E19" s="739">
        <v>2.2000000000000002</v>
      </c>
      <c r="F19" s="739">
        <v>14.3</v>
      </c>
      <c r="G19" s="744">
        <v>14.3</v>
      </c>
      <c r="H19" s="506">
        <f t="shared" ref="H19:H24" si="3">+SUM(B19:G19)</f>
        <v>359.5</v>
      </c>
      <c r="I19" s="745">
        <v>302.8</v>
      </c>
      <c r="J19" s="739">
        <v>14.1</v>
      </c>
      <c r="K19" s="739">
        <v>14.3</v>
      </c>
      <c r="L19" s="739">
        <v>2.2000000000000002</v>
      </c>
      <c r="M19" s="739">
        <v>14.4</v>
      </c>
      <c r="N19" s="746">
        <v>14.5</v>
      </c>
      <c r="O19" s="506">
        <f t="shared" ref="O19:O24" si="4">+SUM(I19:N19)</f>
        <v>362.3</v>
      </c>
      <c r="P19" s="747">
        <v>72.400000000000006</v>
      </c>
      <c r="Q19" s="459">
        <v>72.8</v>
      </c>
      <c r="R19" s="739">
        <v>18.2</v>
      </c>
      <c r="S19" s="739">
        <v>72.400000000000006</v>
      </c>
      <c r="T19" s="746">
        <v>73</v>
      </c>
      <c r="U19" s="748">
        <v>74.7</v>
      </c>
      <c r="V19" s="739">
        <v>77.3</v>
      </c>
      <c r="W19" s="459">
        <v>18</v>
      </c>
      <c r="X19" s="459">
        <v>76.3</v>
      </c>
      <c r="Y19" s="746">
        <v>76.900000000000006</v>
      </c>
      <c r="Z19" s="638">
        <f t="shared" si="2"/>
        <v>1353.8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754">
        <v>300.60000000000002</v>
      </c>
      <c r="C20" s="739">
        <v>13.7</v>
      </c>
      <c r="D20" s="629">
        <v>14.4</v>
      </c>
      <c r="E20" s="739">
        <v>2.2000000000000002</v>
      </c>
      <c r="F20" s="739">
        <v>14.3</v>
      </c>
      <c r="G20" s="744">
        <v>14.3</v>
      </c>
      <c r="H20" s="717">
        <f t="shared" si="3"/>
        <v>359.5</v>
      </c>
      <c r="I20" s="631">
        <v>302.8</v>
      </c>
      <c r="J20" s="629">
        <v>14.1</v>
      </c>
      <c r="K20" s="739">
        <v>14.3</v>
      </c>
      <c r="L20" s="739">
        <v>2.2000000000000002</v>
      </c>
      <c r="M20" s="629">
        <v>14.4</v>
      </c>
      <c r="N20" s="632">
        <v>14.5</v>
      </c>
      <c r="O20" s="717">
        <f t="shared" si="4"/>
        <v>362.3</v>
      </c>
      <c r="P20" s="747">
        <v>72.400000000000006</v>
      </c>
      <c r="Q20" s="459">
        <v>72.8</v>
      </c>
      <c r="R20" s="739">
        <v>18.2</v>
      </c>
      <c r="S20" s="739">
        <v>72.400000000000006</v>
      </c>
      <c r="T20" s="746">
        <v>73</v>
      </c>
      <c r="U20" s="748">
        <v>74.7</v>
      </c>
      <c r="V20" s="739">
        <v>77.3</v>
      </c>
      <c r="W20" s="459">
        <v>18</v>
      </c>
      <c r="X20" s="459">
        <v>76.2</v>
      </c>
      <c r="Y20" s="746">
        <v>76.900000000000006</v>
      </c>
      <c r="Z20" s="638">
        <f t="shared" si="2"/>
        <v>1353.7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743">
        <v>300.60000000000002</v>
      </c>
      <c r="C21" s="739">
        <v>13.7</v>
      </c>
      <c r="D21" s="739">
        <v>14.4</v>
      </c>
      <c r="E21" s="739">
        <v>2.2000000000000002</v>
      </c>
      <c r="F21" s="739">
        <v>14.3</v>
      </c>
      <c r="G21" s="744">
        <v>14.3</v>
      </c>
      <c r="H21" s="506">
        <f t="shared" si="3"/>
        <v>359.5</v>
      </c>
      <c r="I21" s="745">
        <v>302.8</v>
      </c>
      <c r="J21" s="739">
        <v>14.1</v>
      </c>
      <c r="K21" s="739">
        <v>14.3</v>
      </c>
      <c r="L21" s="739">
        <v>2.2000000000000002</v>
      </c>
      <c r="M21" s="739">
        <v>14.4</v>
      </c>
      <c r="N21" s="746">
        <v>14.5</v>
      </c>
      <c r="O21" s="506">
        <f t="shared" si="4"/>
        <v>362.3</v>
      </c>
      <c r="P21" s="747">
        <v>72.400000000000006</v>
      </c>
      <c r="Q21" s="459">
        <v>72.8</v>
      </c>
      <c r="R21" s="739">
        <v>17.399999999999999</v>
      </c>
      <c r="S21" s="739">
        <v>72.400000000000006</v>
      </c>
      <c r="T21" s="746">
        <v>73</v>
      </c>
      <c r="U21" s="748">
        <v>74.5</v>
      </c>
      <c r="V21" s="739">
        <v>77.3</v>
      </c>
      <c r="W21" s="459">
        <v>17.5</v>
      </c>
      <c r="X21" s="459">
        <v>76.2</v>
      </c>
      <c r="Y21" s="746">
        <v>76.8</v>
      </c>
      <c r="Z21" s="638">
        <f t="shared" si="2"/>
        <v>1352.0999999999997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743">
        <v>300.60000000000002</v>
      </c>
      <c r="C22" s="739">
        <v>13.7</v>
      </c>
      <c r="D22" s="739">
        <v>14.4</v>
      </c>
      <c r="E22" s="739">
        <v>2.2000000000000002</v>
      </c>
      <c r="F22" s="739">
        <v>14.3</v>
      </c>
      <c r="G22" s="744">
        <v>14.3</v>
      </c>
      <c r="H22" s="506">
        <f t="shared" si="3"/>
        <v>359.5</v>
      </c>
      <c r="I22" s="745">
        <v>302.8</v>
      </c>
      <c r="J22" s="739">
        <v>14.1</v>
      </c>
      <c r="K22" s="739">
        <v>14.3</v>
      </c>
      <c r="L22" s="739">
        <v>2.2000000000000002</v>
      </c>
      <c r="M22" s="739">
        <v>14.4</v>
      </c>
      <c r="N22" s="746">
        <v>14.5</v>
      </c>
      <c r="O22" s="506">
        <f t="shared" si="4"/>
        <v>362.3</v>
      </c>
      <c r="P22" s="747">
        <v>72</v>
      </c>
      <c r="Q22" s="459">
        <v>72.8</v>
      </c>
      <c r="R22" s="739">
        <v>17.399999999999999</v>
      </c>
      <c r="S22" s="739">
        <v>72.3</v>
      </c>
      <c r="T22" s="746">
        <v>73</v>
      </c>
      <c r="U22" s="748">
        <v>74.400000000000006</v>
      </c>
      <c r="V22" s="739">
        <v>77.3</v>
      </c>
      <c r="W22" s="459">
        <v>17.5</v>
      </c>
      <c r="X22" s="459">
        <v>76.2</v>
      </c>
      <c r="Y22" s="746">
        <v>76.8</v>
      </c>
      <c r="Z22" s="638">
        <f t="shared" si="2"/>
        <v>1351.4999999999998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743">
        <v>300.60000000000002</v>
      </c>
      <c r="C23" s="739">
        <v>13.7</v>
      </c>
      <c r="D23" s="739">
        <v>14.4</v>
      </c>
      <c r="E23" s="739">
        <v>2.2000000000000002</v>
      </c>
      <c r="F23" s="739">
        <v>14.3</v>
      </c>
      <c r="G23" s="744">
        <v>14.3</v>
      </c>
      <c r="H23" s="506">
        <f t="shared" si="3"/>
        <v>359.5</v>
      </c>
      <c r="I23" s="745">
        <v>302.8</v>
      </c>
      <c r="J23" s="739">
        <v>14.1</v>
      </c>
      <c r="K23" s="739">
        <v>14.3</v>
      </c>
      <c r="L23" s="739">
        <v>2.2000000000000002</v>
      </c>
      <c r="M23" s="739">
        <v>14.4</v>
      </c>
      <c r="N23" s="746">
        <v>14.5</v>
      </c>
      <c r="O23" s="506">
        <f t="shared" si="4"/>
        <v>362.3</v>
      </c>
      <c r="P23" s="747">
        <v>72</v>
      </c>
      <c r="Q23" s="459">
        <v>72.8</v>
      </c>
      <c r="R23" s="739">
        <v>17.3</v>
      </c>
      <c r="S23" s="739">
        <v>72.3</v>
      </c>
      <c r="T23" s="746">
        <v>73</v>
      </c>
      <c r="U23" s="748">
        <v>74.400000000000006</v>
      </c>
      <c r="V23" s="739">
        <v>77.3</v>
      </c>
      <c r="W23" s="459">
        <v>17.5</v>
      </c>
      <c r="X23" s="459">
        <v>76.2</v>
      </c>
      <c r="Y23" s="746">
        <v>76.8</v>
      </c>
      <c r="Z23" s="209">
        <f t="shared" si="2"/>
        <v>1351.3999999999999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743">
        <v>300.60000000000002</v>
      </c>
      <c r="C24" s="739">
        <v>13.7</v>
      </c>
      <c r="D24" s="739">
        <v>14.4</v>
      </c>
      <c r="E24" s="739">
        <v>2.2000000000000002</v>
      </c>
      <c r="F24" s="739">
        <v>14.3</v>
      </c>
      <c r="G24" s="744">
        <v>14.3</v>
      </c>
      <c r="H24" s="506">
        <f t="shared" si="3"/>
        <v>359.5</v>
      </c>
      <c r="I24" s="745">
        <v>302.8</v>
      </c>
      <c r="J24" s="739">
        <v>14.1</v>
      </c>
      <c r="K24" s="739">
        <v>14.3</v>
      </c>
      <c r="L24" s="739">
        <v>2.2000000000000002</v>
      </c>
      <c r="M24" s="739">
        <v>14.4</v>
      </c>
      <c r="N24" s="746">
        <v>14.5</v>
      </c>
      <c r="O24" s="506">
        <f t="shared" si="4"/>
        <v>362.3</v>
      </c>
      <c r="P24" s="747">
        <v>72</v>
      </c>
      <c r="Q24" s="459">
        <v>72.7</v>
      </c>
      <c r="R24" s="739">
        <v>17.3</v>
      </c>
      <c r="S24" s="739">
        <v>72.3</v>
      </c>
      <c r="T24" s="746">
        <v>73</v>
      </c>
      <c r="U24" s="748">
        <v>74.400000000000006</v>
      </c>
      <c r="V24" s="739">
        <v>77.2</v>
      </c>
      <c r="W24" s="459">
        <v>17.399999999999999</v>
      </c>
      <c r="X24" s="459">
        <v>76.2</v>
      </c>
      <c r="Y24" s="746">
        <v>76.8</v>
      </c>
      <c r="Z24" s="412">
        <f t="shared" si="2"/>
        <v>1351.1000000000001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616">
        <f t="shared" ref="C25:G25" si="5">SUM(C18:C24)</f>
        <v>95.9</v>
      </c>
      <c r="D25" s="616">
        <f t="shared" si="5"/>
        <v>100.80000000000001</v>
      </c>
      <c r="E25" s="616">
        <f t="shared" si="5"/>
        <v>15.399999999999999</v>
      </c>
      <c r="F25" s="616">
        <f t="shared" si="5"/>
        <v>100.1</v>
      </c>
      <c r="G25" s="617">
        <f t="shared" si="5"/>
        <v>100.1</v>
      </c>
      <c r="H25" s="436"/>
      <c r="I25" s="618"/>
      <c r="J25" s="616">
        <f t="shared" ref="J25:N25" si="6">SUM(J18:J24)</f>
        <v>98.699999999999989</v>
      </c>
      <c r="K25" s="616">
        <f>SUM(K18:K24)</f>
        <v>100.1</v>
      </c>
      <c r="L25" s="616">
        <f t="shared" si="6"/>
        <v>15.399999999999999</v>
      </c>
      <c r="M25" s="616">
        <f t="shared" si="6"/>
        <v>100.80000000000001</v>
      </c>
      <c r="N25" s="619">
        <f t="shared" si="6"/>
        <v>101.5</v>
      </c>
      <c r="O25" s="436"/>
      <c r="P25" s="618">
        <f t="shared" ref="P25:W25" si="7">SUM(P18:P24)</f>
        <v>505.6</v>
      </c>
      <c r="Q25" s="618">
        <f t="shared" si="7"/>
        <v>509.90000000000003</v>
      </c>
      <c r="R25" s="618">
        <f t="shared" si="7"/>
        <v>124</v>
      </c>
      <c r="S25" s="618">
        <f t="shared" si="7"/>
        <v>506.70000000000005</v>
      </c>
      <c r="T25" s="618">
        <f t="shared" si="7"/>
        <v>511</v>
      </c>
      <c r="U25" s="618">
        <f t="shared" si="7"/>
        <v>521.79999999999995</v>
      </c>
      <c r="V25" s="618">
        <f t="shared" si="7"/>
        <v>541.20000000000005</v>
      </c>
      <c r="W25" s="618">
        <f t="shared" si="7"/>
        <v>124</v>
      </c>
      <c r="X25" s="618">
        <f>SUM(X18:X24)</f>
        <v>533.6</v>
      </c>
      <c r="Y25" s="810">
        <f>SUM(Y18:Y24)</f>
        <v>537.9</v>
      </c>
      <c r="Z25" s="449">
        <f>SUM(Z18,Z19,Z20,Z21,Z22,Z23,Z24)</f>
        <v>9465.9</v>
      </c>
      <c r="AA25" s="301"/>
    </row>
    <row r="26" spans="1:40" s="2" customFormat="1" ht="36.75" customHeight="1" x14ac:dyDescent="0.25">
      <c r="A26" s="192" t="s">
        <v>11</v>
      </c>
      <c r="B26" s="808"/>
      <c r="C26" s="620">
        <v>155.6</v>
      </c>
      <c r="D26" s="620">
        <v>155.6</v>
      </c>
      <c r="E26" s="620">
        <v>155.6</v>
      </c>
      <c r="F26" s="620">
        <v>155.6</v>
      </c>
      <c r="G26" s="620">
        <v>155.6</v>
      </c>
      <c r="H26" s="809"/>
      <c r="I26" s="620"/>
      <c r="J26" s="620">
        <v>155.6</v>
      </c>
      <c r="K26" s="620">
        <v>155.6</v>
      </c>
      <c r="L26" s="620">
        <v>155.6</v>
      </c>
      <c r="M26" s="620">
        <v>155.6</v>
      </c>
      <c r="N26" s="620">
        <v>155.6</v>
      </c>
      <c r="O26" s="809"/>
      <c r="P26" s="620">
        <v>154</v>
      </c>
      <c r="Q26" s="620">
        <v>154</v>
      </c>
      <c r="R26" s="620">
        <v>154</v>
      </c>
      <c r="S26" s="620">
        <v>154</v>
      </c>
      <c r="T26" s="620">
        <v>154</v>
      </c>
      <c r="U26" s="620">
        <v>154</v>
      </c>
      <c r="V26" s="620">
        <v>154</v>
      </c>
      <c r="W26" s="620">
        <v>154</v>
      </c>
      <c r="X26" s="620">
        <v>154</v>
      </c>
      <c r="Y26" s="620">
        <v>154</v>
      </c>
      <c r="Z26" s="793">
        <f>(((Z25*1000)/7)/Z27)</f>
        <v>155.39777391075944</v>
      </c>
    </row>
    <row r="27" spans="1:40" s="2" customFormat="1" ht="33" customHeight="1" x14ac:dyDescent="0.25">
      <c r="A27" s="193" t="s">
        <v>12</v>
      </c>
      <c r="B27" s="193"/>
      <c r="C27" s="26">
        <v>535</v>
      </c>
      <c r="D27" s="27">
        <v>559</v>
      </c>
      <c r="E27" s="27">
        <v>83</v>
      </c>
      <c r="F27" s="27">
        <v>556</v>
      </c>
      <c r="G27" s="28">
        <v>559</v>
      </c>
      <c r="H27" s="611"/>
      <c r="I27" s="26"/>
      <c r="J27" s="27">
        <v>549</v>
      </c>
      <c r="K27" s="27">
        <v>559</v>
      </c>
      <c r="L27" s="483">
        <v>78</v>
      </c>
      <c r="M27" s="27">
        <v>563</v>
      </c>
      <c r="N27" s="28">
        <v>565</v>
      </c>
      <c r="O27" s="611"/>
      <c r="P27" s="26">
        <v>469</v>
      </c>
      <c r="Q27" s="27">
        <v>473</v>
      </c>
      <c r="R27" s="27">
        <v>115</v>
      </c>
      <c r="S27" s="27">
        <v>470</v>
      </c>
      <c r="T27" s="483">
        <v>474</v>
      </c>
      <c r="U27" s="26">
        <v>484</v>
      </c>
      <c r="V27" s="27">
        <v>502</v>
      </c>
      <c r="W27" s="27">
        <v>115</v>
      </c>
      <c r="X27" s="27">
        <v>495</v>
      </c>
      <c r="Y27" s="28">
        <v>499</v>
      </c>
      <c r="Z27" s="211">
        <f>SUM(C27:Y27)</f>
        <v>8702</v>
      </c>
      <c r="AA27" s="402"/>
    </row>
    <row r="28" spans="1:40" s="2" customFormat="1" ht="33" customHeight="1" x14ac:dyDescent="0.25">
      <c r="A28" s="444" t="s">
        <v>13</v>
      </c>
      <c r="B28" s="444"/>
      <c r="C28" s="30">
        <f>(C33*C27)/1000</f>
        <v>13.695999999999996</v>
      </c>
      <c r="D28" s="31">
        <f>(D33*D27)/1000</f>
        <v>14.310399999999996</v>
      </c>
      <c r="E28" s="31">
        <f t="shared" ref="E28:F28" si="8">(E33*E27)/1000</f>
        <v>2.1247999999999996</v>
      </c>
      <c r="F28" s="31">
        <f t="shared" si="8"/>
        <v>14.233599999999997</v>
      </c>
      <c r="G28" s="32">
        <f>(G33*G27)/1000</f>
        <v>14.310399999999996</v>
      </c>
      <c r="H28" s="612"/>
      <c r="I28" s="30"/>
      <c r="J28" s="31">
        <f>(J33*J27)/1000</f>
        <v>14.054399999999996</v>
      </c>
      <c r="K28" s="31">
        <f t="shared" ref="K28:N28" si="9">(K33*K27)/1000</f>
        <v>14.310399999999996</v>
      </c>
      <c r="L28" s="31">
        <f t="shared" si="9"/>
        <v>1.9967999999999995</v>
      </c>
      <c r="M28" s="31">
        <f t="shared" si="9"/>
        <v>14.412799999999997</v>
      </c>
      <c r="N28" s="32">
        <f t="shared" si="9"/>
        <v>14.463999999999997</v>
      </c>
      <c r="O28" s="612"/>
      <c r="P28" s="30">
        <f>((((P26*7)*P27)/1000)/7)</f>
        <v>72.225999999999999</v>
      </c>
      <c r="Q28" s="31">
        <f t="shared" ref="Q28:Z28" si="10">((((Q26*7)*Q27)/1000)/7)</f>
        <v>72.841999999999999</v>
      </c>
      <c r="R28" s="31">
        <f t="shared" si="10"/>
        <v>17.71</v>
      </c>
      <c r="S28" s="31">
        <f t="shared" si="10"/>
        <v>72.38000000000001</v>
      </c>
      <c r="T28" s="31">
        <f t="shared" si="10"/>
        <v>72.995999999999995</v>
      </c>
      <c r="U28" s="30">
        <f t="shared" si="10"/>
        <v>74.535999999999987</v>
      </c>
      <c r="V28" s="31">
        <f t="shared" si="10"/>
        <v>77.307999999999993</v>
      </c>
      <c r="W28" s="31">
        <f t="shared" si="10"/>
        <v>17.71</v>
      </c>
      <c r="X28" s="31">
        <f t="shared" si="10"/>
        <v>76.23</v>
      </c>
      <c r="Y28" s="32">
        <f t="shared" si="10"/>
        <v>76.846000000000004</v>
      </c>
      <c r="Z28" s="286">
        <f t="shared" si="10"/>
        <v>1352.2714285714285</v>
      </c>
    </row>
    <row r="29" spans="1:40" ht="33.75" customHeight="1" x14ac:dyDescent="0.25">
      <c r="A29" s="185" t="s">
        <v>14</v>
      </c>
      <c r="B29" s="185"/>
      <c r="C29" s="279">
        <f>((C27*C30)*7)/1000</f>
        <v>95.90000000000002</v>
      </c>
      <c r="D29" s="280">
        <f t="shared" ref="D29:G29" si="11">((D27*D30)*7)/1000</f>
        <v>100.80000000000001</v>
      </c>
      <c r="E29" s="280">
        <f>((E27*E30)*7)/1000</f>
        <v>15.399999999999997</v>
      </c>
      <c r="F29" s="280">
        <f t="shared" si="11"/>
        <v>100.1</v>
      </c>
      <c r="G29" s="282">
        <f t="shared" si="11"/>
        <v>100.1</v>
      </c>
      <c r="H29" s="613"/>
      <c r="I29" s="279"/>
      <c r="J29" s="280">
        <f>((J27*J30)*7)/1000</f>
        <v>98.699999999999989</v>
      </c>
      <c r="K29" s="280">
        <f t="shared" ref="K29:N29" si="12">((K27*K30)*7)/1000</f>
        <v>100.1</v>
      </c>
      <c r="L29" s="280">
        <f t="shared" si="12"/>
        <v>15.4</v>
      </c>
      <c r="M29" s="280">
        <f t="shared" si="12"/>
        <v>100.8</v>
      </c>
      <c r="N29" s="282">
        <f t="shared" si="12"/>
        <v>101.49999999999999</v>
      </c>
      <c r="O29" s="613"/>
      <c r="P29" s="279">
        <f t="shared" ref="P29:Z29" si="13">((P27*P26)*7)/1000</f>
        <v>505.58199999999999</v>
      </c>
      <c r="Q29" s="280">
        <f t="shared" si="13"/>
        <v>509.89400000000001</v>
      </c>
      <c r="R29" s="280">
        <f t="shared" si="13"/>
        <v>123.97</v>
      </c>
      <c r="S29" s="280">
        <f t="shared" si="13"/>
        <v>506.66</v>
      </c>
      <c r="T29" s="280">
        <f t="shared" si="13"/>
        <v>510.97199999999998</v>
      </c>
      <c r="U29" s="279">
        <f t="shared" si="13"/>
        <v>521.75199999999995</v>
      </c>
      <c r="V29" s="280">
        <f t="shared" si="13"/>
        <v>541.15599999999995</v>
      </c>
      <c r="W29" s="280">
        <f t="shared" si="13"/>
        <v>123.97</v>
      </c>
      <c r="X29" s="280">
        <f t="shared" si="13"/>
        <v>533.61</v>
      </c>
      <c r="Y29" s="282">
        <f t="shared" si="13"/>
        <v>537.92200000000003</v>
      </c>
      <c r="Z29" s="680">
        <f t="shared" si="13"/>
        <v>9465.9</v>
      </c>
    </row>
    <row r="30" spans="1:40" ht="33.75" customHeight="1" thickBot="1" x14ac:dyDescent="0.3">
      <c r="A30" s="195" t="s">
        <v>15</v>
      </c>
      <c r="B30" s="195"/>
      <c r="C30" s="37">
        <f>+(C25/C27)/7*1000</f>
        <v>25.607476635514022</v>
      </c>
      <c r="D30" s="38">
        <f t="shared" ref="D30:X30" si="14">+(D25/D27)/7*1000</f>
        <v>25.760286225402506</v>
      </c>
      <c r="E30" s="38">
        <f>+(E25/E27)/7*1000</f>
        <v>26.506024096385538</v>
      </c>
      <c r="F30" s="38">
        <f t="shared" si="14"/>
        <v>25.719424460431654</v>
      </c>
      <c r="G30" s="39">
        <f t="shared" si="14"/>
        <v>25.581395348837209</v>
      </c>
      <c r="H30" s="614"/>
      <c r="I30" s="37"/>
      <c r="J30" s="38">
        <f t="shared" si="14"/>
        <v>25.683060109289613</v>
      </c>
      <c r="K30" s="38">
        <f t="shared" si="14"/>
        <v>25.581395348837209</v>
      </c>
      <c r="L30" s="38">
        <f t="shared" si="14"/>
        <v>28.205128205128204</v>
      </c>
      <c r="M30" s="38">
        <f t="shared" si="14"/>
        <v>25.577264653641208</v>
      </c>
      <c r="N30" s="39">
        <f>+(N25/N27)/7*1000</f>
        <v>25.66371681415929</v>
      </c>
      <c r="O30" s="614"/>
      <c r="P30" s="37">
        <f t="shared" si="14"/>
        <v>154.005482790131</v>
      </c>
      <c r="Q30" s="38">
        <f t="shared" si="14"/>
        <v>154.00181214134705</v>
      </c>
      <c r="R30" s="38">
        <f t="shared" si="14"/>
        <v>154.03726708074532</v>
      </c>
      <c r="S30" s="38">
        <f t="shared" si="14"/>
        <v>154.01215805471128</v>
      </c>
      <c r="T30" s="38">
        <f t="shared" si="14"/>
        <v>154.00843881856539</v>
      </c>
      <c r="U30" s="37">
        <f t="shared" si="14"/>
        <v>154.01416765053128</v>
      </c>
      <c r="V30" s="38">
        <f t="shared" si="14"/>
        <v>154.01252134319864</v>
      </c>
      <c r="W30" s="38">
        <f t="shared" si="14"/>
        <v>154.03726708074532</v>
      </c>
      <c r="X30" s="38">
        <f t="shared" si="14"/>
        <v>153.99711399711398</v>
      </c>
      <c r="Y30" s="39">
        <f>+(Y25/Y27)/7*1000</f>
        <v>153.99370168909246</v>
      </c>
      <c r="Z30" s="262">
        <f>+(Z25/Z27)/7*1000</f>
        <v>155.39777391075944</v>
      </c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5">D29-D25</f>
        <v>0</v>
      </c>
      <c r="E31" s="42">
        <f t="shared" si="15"/>
        <v>0</v>
      </c>
      <c r="F31" s="42">
        <f t="shared" si="15"/>
        <v>0</v>
      </c>
      <c r="G31" s="42">
        <f t="shared" si="15"/>
        <v>0</v>
      </c>
      <c r="H31" s="42"/>
      <c r="I31" s="42"/>
      <c r="J31" s="42">
        <f>J29-J25</f>
        <v>0</v>
      </c>
      <c r="K31" s="42">
        <f>K29-K25</f>
        <v>0</v>
      </c>
      <c r="L31" s="42">
        <f t="shared" si="15"/>
        <v>0</v>
      </c>
      <c r="M31" s="42">
        <f t="shared" si="15"/>
        <v>0</v>
      </c>
      <c r="N31" s="42">
        <f t="shared" si="15"/>
        <v>0</v>
      </c>
      <c r="O31" s="42"/>
      <c r="P31" s="42">
        <f>P29-P25</f>
        <v>-1.8000000000029104E-2</v>
      </c>
      <c r="Q31" s="42">
        <f>Q29-Q25</f>
        <v>-6.0000000000286491E-3</v>
      </c>
      <c r="R31" s="42">
        <f t="shared" si="15"/>
        <v>-3.0000000000001137E-2</v>
      </c>
      <c r="S31" s="42">
        <f t="shared" si="15"/>
        <v>-4.0000000000020464E-2</v>
      </c>
      <c r="T31" s="42">
        <f t="shared" si="15"/>
        <v>-2.8000000000020009E-2</v>
      </c>
      <c r="U31" s="42">
        <f>U29-U25</f>
        <v>-4.8000000000001819E-2</v>
      </c>
      <c r="V31" s="42">
        <f t="shared" si="15"/>
        <v>-4.4000000000096406E-2</v>
      </c>
      <c r="W31" s="42">
        <f t="shared" si="15"/>
        <v>-3.0000000000001137E-2</v>
      </c>
      <c r="X31" s="42">
        <f t="shared" si="15"/>
        <v>9.9999999999909051E-3</v>
      </c>
      <c r="Y31" s="42">
        <f>Y29-Y25</f>
        <v>2.2000000000048203E-2</v>
      </c>
      <c r="Z31" s="42">
        <f>Z29-Z25</f>
        <v>0</v>
      </c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7.476635514027663E-3</v>
      </c>
      <c r="D32" s="42">
        <f t="shared" ref="D32:G32" si="16">D30-D33</f>
        <v>0.16028622540251192</v>
      </c>
      <c r="E32" s="42">
        <f>E30-E33</f>
        <v>0.90602409638554349</v>
      </c>
      <c r="F32" s="42">
        <f t="shared" si="16"/>
        <v>0.11942446043165944</v>
      </c>
      <c r="G32" s="42">
        <f t="shared" si="16"/>
        <v>-1.8604651162785757E-2</v>
      </c>
      <c r="H32" s="42"/>
      <c r="I32" s="42"/>
      <c r="J32" s="42">
        <f t="shared" ref="J32:M32" si="17">J30-J33</f>
        <v>8.3060109289618822E-2</v>
      </c>
      <c r="K32" s="42">
        <f t="shared" si="17"/>
        <v>-1.8604651162785757E-2</v>
      </c>
      <c r="L32" s="42">
        <f t="shared" si="17"/>
        <v>2.6051282051282101</v>
      </c>
      <c r="M32" s="42">
        <f t="shared" si="17"/>
        <v>-2.2735346358786046E-2</v>
      </c>
      <c r="N32" s="42">
        <f>N30-N33</f>
        <v>6.3716814159295865E-2</v>
      </c>
      <c r="O32" s="42"/>
      <c r="P32" s="42">
        <f>P30-P26</f>
        <v>5.4827901309977278E-3</v>
      </c>
      <c r="Q32" s="42">
        <f t="shared" si="15"/>
        <v>1.8121413470453263E-3</v>
      </c>
      <c r="R32" s="42">
        <f t="shared" si="15"/>
        <v>3.7267080745323256E-2</v>
      </c>
      <c r="S32" s="42">
        <f t="shared" si="15"/>
        <v>1.215805471127851E-2</v>
      </c>
      <c r="T32" s="42">
        <f t="shared" si="15"/>
        <v>8.4388185653949677E-3</v>
      </c>
      <c r="U32" s="42">
        <f t="shared" si="15"/>
        <v>1.4167650531277332E-2</v>
      </c>
      <c r="V32" s="42">
        <f t="shared" si="15"/>
        <v>1.2521343198642398E-2</v>
      </c>
      <c r="W32" s="42">
        <f t="shared" si="15"/>
        <v>3.7267080745323256E-2</v>
      </c>
      <c r="X32" s="42">
        <f t="shared" si="15"/>
        <v>-2.8860028860151488E-3</v>
      </c>
      <c r="Y32" s="42">
        <f t="shared" si="15"/>
        <v>-6.2983109075389621E-3</v>
      </c>
      <c r="Z32" s="42">
        <f t="shared" ref="Z32" si="18">Z30-Z26</f>
        <v>0</v>
      </c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25.599999999999994</v>
      </c>
      <c r="D33" s="42">
        <f t="shared" ref="D33:G33" si="19">D26-$B$34</f>
        <v>25.599999999999994</v>
      </c>
      <c r="E33" s="42">
        <f>E26-$B$34</f>
        <v>25.599999999999994</v>
      </c>
      <c r="F33" s="42">
        <f t="shared" si="19"/>
        <v>25.599999999999994</v>
      </c>
      <c r="G33" s="42">
        <f t="shared" si="19"/>
        <v>25.599999999999994</v>
      </c>
      <c r="H33" s="42"/>
      <c r="I33" s="42"/>
      <c r="J33" s="42">
        <f>J26-$I$34</f>
        <v>25.599999999999994</v>
      </c>
      <c r="K33" s="42">
        <f t="shared" ref="K33:L33" si="20">K26-$I$34</f>
        <v>25.599999999999994</v>
      </c>
      <c r="L33" s="42">
        <f t="shared" si="20"/>
        <v>25.599999999999994</v>
      </c>
      <c r="M33" s="42">
        <f>M26-$I$34</f>
        <v>25.599999999999994</v>
      </c>
      <c r="N33" s="42">
        <f>N26-$I$34</f>
        <v>25.599999999999994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297.95999999999998</v>
      </c>
      <c r="D34" s="432">
        <f>SUM(C27:G27)</f>
        <v>2292</v>
      </c>
      <c r="E34" s="42"/>
      <c r="F34" s="42"/>
      <c r="G34" s="42"/>
      <c r="H34" s="42"/>
      <c r="I34" s="514">
        <v>130</v>
      </c>
      <c r="J34" s="431">
        <f>(I34*K34)/1000</f>
        <v>300.82</v>
      </c>
      <c r="K34" s="432">
        <f>SUM(J27:N27)</f>
        <v>2314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1002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977" t="s">
        <v>9</v>
      </c>
      <c r="T39" s="645"/>
      <c r="V39" s="45"/>
      <c r="W39" s="45"/>
      <c r="X39" s="46"/>
      <c r="Y39" s="3"/>
      <c r="Z39" s="45"/>
      <c r="AA39" s="45"/>
      <c r="AB39" s="45"/>
      <c r="AC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1003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204">
        <v>5</v>
      </c>
      <c r="R40" s="984"/>
      <c r="T40" s="645"/>
      <c r="V40" s="47"/>
      <c r="Y40" s="48"/>
      <c r="Z40" s="2"/>
      <c r="AA40" s="2"/>
      <c r="AB40" s="2"/>
      <c r="AC40" s="2"/>
    </row>
    <row r="41" spans="1:38" ht="33.75" customHeight="1" x14ac:dyDescent="0.25">
      <c r="A41" s="171" t="s">
        <v>32</v>
      </c>
      <c r="B41" s="279">
        <v>81.7</v>
      </c>
      <c r="C41" s="280">
        <v>81</v>
      </c>
      <c r="D41" s="280">
        <v>13.2</v>
      </c>
      <c r="E41" s="280">
        <v>85.4</v>
      </c>
      <c r="F41" s="281">
        <v>82</v>
      </c>
      <c r="G41" s="638">
        <f t="shared" ref="G41:G48" si="21">SUM(B41:F41)</f>
        <v>343.29999999999995</v>
      </c>
      <c r="H41" s="364"/>
      <c r="I41" s="364"/>
      <c r="J41" s="364"/>
      <c r="K41" s="364"/>
      <c r="L41" s="171" t="s">
        <v>53</v>
      </c>
      <c r="M41" s="279">
        <v>6.6</v>
      </c>
      <c r="N41" s="280">
        <v>6.7</v>
      </c>
      <c r="O41" s="280">
        <v>1.2</v>
      </c>
      <c r="P41" s="280">
        <v>6.7</v>
      </c>
      <c r="Q41" s="281">
        <v>6.7</v>
      </c>
      <c r="R41" s="800">
        <f>SUM(M41:Q41)</f>
        <v>27.9</v>
      </c>
      <c r="T41" s="646"/>
      <c r="U41" s="675"/>
      <c r="V41" s="657"/>
      <c r="Y41" s="48"/>
      <c r="Z41" s="2"/>
      <c r="AA41" s="2"/>
      <c r="AB41" s="2"/>
      <c r="AC41" s="2"/>
    </row>
    <row r="42" spans="1:38" ht="33.75" customHeight="1" x14ac:dyDescent="0.25">
      <c r="A42" s="171" t="s">
        <v>24</v>
      </c>
      <c r="B42" s="279">
        <v>81.5</v>
      </c>
      <c r="C42" s="280">
        <v>81</v>
      </c>
      <c r="D42" s="280">
        <v>13.2</v>
      </c>
      <c r="E42" s="280">
        <v>85.4</v>
      </c>
      <c r="F42" s="281">
        <v>82</v>
      </c>
      <c r="G42" s="638">
        <f t="shared" si="21"/>
        <v>343.1</v>
      </c>
      <c r="H42" s="364"/>
      <c r="I42" s="364"/>
      <c r="J42" s="364"/>
      <c r="K42" s="364"/>
      <c r="L42" s="171" t="s">
        <v>24</v>
      </c>
      <c r="M42" s="279">
        <v>6.6</v>
      </c>
      <c r="N42" s="280">
        <v>6.7</v>
      </c>
      <c r="O42" s="280">
        <v>1.1000000000000001</v>
      </c>
      <c r="P42" s="280">
        <v>6.7</v>
      </c>
      <c r="Q42" s="281">
        <v>6.7</v>
      </c>
      <c r="R42" s="638">
        <f t="shared" ref="R42:R47" si="22">SUM(M42:Q42)</f>
        <v>27.8</v>
      </c>
      <c r="T42" s="646"/>
      <c r="U42" s="647"/>
      <c r="V42" s="658"/>
      <c r="Y42" s="48"/>
      <c r="Z42" s="2"/>
      <c r="AA42" s="2"/>
      <c r="AB42" s="2"/>
      <c r="AC42" s="2"/>
    </row>
    <row r="43" spans="1:38" ht="33.75" customHeight="1" x14ac:dyDescent="0.25">
      <c r="A43" s="171" t="s">
        <v>20</v>
      </c>
      <c r="B43" s="279">
        <v>81.3</v>
      </c>
      <c r="C43" s="280">
        <v>80.7</v>
      </c>
      <c r="D43" s="280">
        <v>12.5</v>
      </c>
      <c r="E43" s="280">
        <v>85.2</v>
      </c>
      <c r="F43" s="281">
        <v>81.400000000000006</v>
      </c>
      <c r="G43" s="638">
        <f>SUM(B43:F43)</f>
        <v>341.1</v>
      </c>
      <c r="H43" s="364"/>
      <c r="I43" s="364"/>
      <c r="J43" s="364"/>
      <c r="K43" s="364"/>
      <c r="L43" s="171" t="s">
        <v>20</v>
      </c>
      <c r="M43" s="532">
        <v>6.6</v>
      </c>
      <c r="N43" s="431">
        <v>6.7</v>
      </c>
      <c r="O43" s="431">
        <v>1.1000000000000001</v>
      </c>
      <c r="P43" s="431">
        <v>6.7</v>
      </c>
      <c r="Q43" s="533">
        <v>6.7</v>
      </c>
      <c r="R43" s="638">
        <f t="shared" si="22"/>
        <v>27.8</v>
      </c>
      <c r="T43" s="646"/>
      <c r="U43" s="647"/>
      <c r="V43" s="658"/>
      <c r="Y43" s="48"/>
      <c r="Z43" s="2"/>
      <c r="AA43" s="2"/>
      <c r="AB43" s="2"/>
      <c r="AC43" s="2"/>
    </row>
    <row r="44" spans="1:38" ht="33.75" customHeight="1" x14ac:dyDescent="0.25">
      <c r="A44" s="171" t="s">
        <v>28</v>
      </c>
      <c r="B44" s="279">
        <v>81.099999999999994</v>
      </c>
      <c r="C44" s="280">
        <v>80.5</v>
      </c>
      <c r="D44" s="280">
        <v>12.3</v>
      </c>
      <c r="E44" s="280">
        <v>85.2</v>
      </c>
      <c r="F44" s="281">
        <v>81.400000000000006</v>
      </c>
      <c r="G44" s="638">
        <f t="shared" si="21"/>
        <v>340.5</v>
      </c>
      <c r="H44" s="651"/>
      <c r="I44" s="364"/>
      <c r="J44" s="364"/>
      <c r="K44" s="364"/>
      <c r="L44" s="171" t="s">
        <v>28</v>
      </c>
      <c r="M44" s="279">
        <v>6.6</v>
      </c>
      <c r="N44" s="280">
        <v>6.7</v>
      </c>
      <c r="O44" s="280">
        <v>1.1000000000000001</v>
      </c>
      <c r="P44" s="280">
        <v>6.7</v>
      </c>
      <c r="Q44" s="281">
        <v>6.7</v>
      </c>
      <c r="R44" s="638">
        <f t="shared" si="22"/>
        <v>27.8</v>
      </c>
      <c r="T44" s="646"/>
      <c r="U44" s="647"/>
      <c r="V44" s="658"/>
      <c r="Y44" s="48"/>
      <c r="Z44" s="2"/>
      <c r="AA44" s="2"/>
      <c r="AB44" s="2"/>
      <c r="AC44" s="2"/>
    </row>
    <row r="45" spans="1:38" ht="33.75" customHeight="1" x14ac:dyDescent="0.25">
      <c r="A45" s="171" t="s">
        <v>21</v>
      </c>
      <c r="B45" s="279">
        <v>81.099999999999994</v>
      </c>
      <c r="C45" s="280">
        <v>80.400000000000006</v>
      </c>
      <c r="D45" s="280">
        <v>11.8</v>
      </c>
      <c r="E45" s="280">
        <v>85.1</v>
      </c>
      <c r="F45" s="281">
        <v>81.400000000000006</v>
      </c>
      <c r="G45" s="638">
        <f t="shared" si="21"/>
        <v>339.79999999999995</v>
      </c>
      <c r="H45" s="651"/>
      <c r="I45" s="364"/>
      <c r="J45" s="364"/>
      <c r="K45" s="364"/>
      <c r="L45" s="171" t="s">
        <v>21</v>
      </c>
      <c r="M45" s="279">
        <v>6.6</v>
      </c>
      <c r="N45" s="280">
        <v>6.7</v>
      </c>
      <c r="O45" s="280">
        <v>1.1000000000000001</v>
      </c>
      <c r="P45" s="280">
        <v>6.7</v>
      </c>
      <c r="Q45" s="281">
        <v>6.7</v>
      </c>
      <c r="R45" s="638">
        <f t="shared" si="22"/>
        <v>27.8</v>
      </c>
      <c r="T45" s="646"/>
      <c r="U45" s="647"/>
      <c r="V45" s="658"/>
      <c r="Y45" s="48"/>
      <c r="Z45" s="2"/>
      <c r="AA45" s="2"/>
      <c r="AB45" s="2"/>
      <c r="AC45" s="2"/>
    </row>
    <row r="46" spans="1:38" ht="33.75" customHeight="1" x14ac:dyDescent="0.25">
      <c r="A46" s="171" t="s">
        <v>22</v>
      </c>
      <c r="B46" s="279">
        <v>81</v>
      </c>
      <c r="C46" s="280">
        <v>80.400000000000006</v>
      </c>
      <c r="D46" s="280">
        <v>11.8</v>
      </c>
      <c r="E46" s="280">
        <v>85.1</v>
      </c>
      <c r="F46" s="281">
        <v>81.3</v>
      </c>
      <c r="G46" s="209">
        <f t="shared" si="21"/>
        <v>339.6</v>
      </c>
      <c r="H46" s="651"/>
      <c r="I46" s="364"/>
      <c r="J46" s="364"/>
      <c r="K46" s="364"/>
      <c r="L46" s="171" t="s">
        <v>22</v>
      </c>
      <c r="M46" s="279">
        <v>6.6</v>
      </c>
      <c r="N46" s="280">
        <v>6.7</v>
      </c>
      <c r="O46" s="280">
        <v>1.1000000000000001</v>
      </c>
      <c r="P46" s="280">
        <v>6.7</v>
      </c>
      <c r="Q46" s="281">
        <v>6.6</v>
      </c>
      <c r="R46" s="209">
        <f t="shared" si="22"/>
        <v>27.700000000000003</v>
      </c>
      <c r="T46" s="646"/>
      <c r="U46" s="647"/>
      <c r="V46" s="658"/>
      <c r="Y46" s="48"/>
      <c r="Z46" s="2"/>
      <c r="AA46" s="2"/>
      <c r="AB46" s="2"/>
      <c r="AC46" s="2"/>
    </row>
    <row r="47" spans="1:38" ht="33.75" customHeight="1" thickBot="1" x14ac:dyDescent="0.3">
      <c r="A47" s="285" t="s">
        <v>23</v>
      </c>
      <c r="B47" s="279">
        <v>81</v>
      </c>
      <c r="C47" s="280">
        <v>80.400000000000006</v>
      </c>
      <c r="D47" s="280">
        <v>11.9</v>
      </c>
      <c r="E47" s="280">
        <v>85.1</v>
      </c>
      <c r="F47" s="281">
        <v>81.3</v>
      </c>
      <c r="G47" s="376">
        <f t="shared" si="21"/>
        <v>339.7</v>
      </c>
      <c r="H47" s="651"/>
      <c r="I47" s="364"/>
      <c r="J47" s="364"/>
      <c r="K47" s="364"/>
      <c r="L47" s="285" t="s">
        <v>23</v>
      </c>
      <c r="M47" s="279">
        <v>6.6</v>
      </c>
      <c r="N47" s="280">
        <v>6.7</v>
      </c>
      <c r="O47" s="280">
        <v>1.1000000000000001</v>
      </c>
      <c r="P47" s="280">
        <v>6.7</v>
      </c>
      <c r="Q47" s="281">
        <v>6.6</v>
      </c>
      <c r="R47" s="376">
        <f t="shared" si="22"/>
        <v>27.700000000000003</v>
      </c>
      <c r="T47" s="646"/>
      <c r="U47" s="647"/>
      <c r="V47" s="658"/>
      <c r="Y47" s="48"/>
      <c r="Z47" s="48"/>
      <c r="AA47" s="48"/>
      <c r="AB47" s="2"/>
      <c r="AC47" s="2"/>
      <c r="AD47" s="2"/>
      <c r="AE47" s="2"/>
    </row>
    <row r="48" spans="1:38" ht="33.75" customHeight="1" thickBot="1" x14ac:dyDescent="0.3">
      <c r="A48" s="290" t="s">
        <v>9</v>
      </c>
      <c r="B48" s="297">
        <f>SUM(B41:B47)</f>
        <v>568.70000000000005</v>
      </c>
      <c r="C48" s="298">
        <f t="shared" ref="C48:F48" si="23">SUM(C41:C47)</f>
        <v>564.4</v>
      </c>
      <c r="D48" s="298">
        <f t="shared" si="23"/>
        <v>86.7</v>
      </c>
      <c r="E48" s="298">
        <f t="shared" si="23"/>
        <v>596.5</v>
      </c>
      <c r="F48" s="448">
        <f t="shared" si="23"/>
        <v>570.80000000000007</v>
      </c>
      <c r="G48" s="729">
        <f t="shared" si="21"/>
        <v>2387.1</v>
      </c>
      <c r="H48" s="364"/>
      <c r="I48" s="364"/>
      <c r="J48" s="364"/>
      <c r="K48" s="364"/>
      <c r="L48" s="290" t="s">
        <v>9</v>
      </c>
      <c r="M48" s="763">
        <f>SUM(M41:M47)</f>
        <v>46.2</v>
      </c>
      <c r="N48" s="764">
        <f>SUM(N41:N47)</f>
        <v>46.900000000000006</v>
      </c>
      <c r="O48" s="764">
        <f>SUM(O41:O47)</f>
        <v>7.7999999999999989</v>
      </c>
      <c r="P48" s="764">
        <f t="shared" ref="P48:Q48" si="24">SUM(P41:P47)</f>
        <v>46.900000000000006</v>
      </c>
      <c r="Q48" s="765">
        <f t="shared" si="24"/>
        <v>46.7</v>
      </c>
      <c r="R48" s="815">
        <f>SUM(M48:Q48)</f>
        <v>194.5</v>
      </c>
      <c r="T48" s="647"/>
      <c r="U48" s="647"/>
      <c r="V48" s="658"/>
      <c r="Y48" s="2"/>
      <c r="Z48" s="2"/>
      <c r="AA48" s="2"/>
      <c r="AB48" s="2"/>
      <c r="AC48" s="2"/>
      <c r="AD48" s="2"/>
      <c r="AE48" s="2"/>
    </row>
    <row r="49" spans="1:50" ht="33.75" customHeight="1" x14ac:dyDescent="0.25">
      <c r="A49" s="192" t="s">
        <v>11</v>
      </c>
      <c r="B49" s="751">
        <v>152.99399999999986</v>
      </c>
      <c r="C49" s="751">
        <v>152.99399999999986</v>
      </c>
      <c r="D49" s="751">
        <v>152.99399999999986</v>
      </c>
      <c r="E49" s="751">
        <v>152.99399999999986</v>
      </c>
      <c r="F49" s="751">
        <v>152.99399999999986</v>
      </c>
      <c r="G49" s="730">
        <f>+((G48/G50)/7)*1000</f>
        <v>153.05847653244422</v>
      </c>
      <c r="H49" s="609"/>
      <c r="I49" s="364"/>
      <c r="J49" s="364"/>
      <c r="K49" s="364"/>
      <c r="L49" s="273" t="s">
        <v>11</v>
      </c>
      <c r="M49" s="357">
        <v>161</v>
      </c>
      <c r="N49" s="358">
        <v>159.5</v>
      </c>
      <c r="O49" s="358">
        <v>160</v>
      </c>
      <c r="P49" s="358">
        <v>159.5</v>
      </c>
      <c r="Q49" s="624">
        <v>159</v>
      </c>
      <c r="R49" s="730">
        <f ca="1">+((R48/R50)/7)*1000</f>
        <v>157.83783783783781</v>
      </c>
      <c r="T49" s="648" t="s">
        <v>131</v>
      </c>
      <c r="U49" s="647"/>
      <c r="V49" s="658"/>
      <c r="W49" s="50"/>
    </row>
    <row r="50" spans="1:50" ht="33.75" customHeight="1" x14ac:dyDescent="0.25">
      <c r="A50" s="193" t="s">
        <v>12</v>
      </c>
      <c r="B50" s="26">
        <v>531</v>
      </c>
      <c r="C50" s="27">
        <v>527</v>
      </c>
      <c r="D50" s="27">
        <v>81</v>
      </c>
      <c r="E50" s="27">
        <v>557</v>
      </c>
      <c r="F50" s="183">
        <v>532</v>
      </c>
      <c r="G50" s="731">
        <f>SUM(B50:F50)</f>
        <v>2228</v>
      </c>
      <c r="H50" s="609"/>
      <c r="I50" s="364"/>
      <c r="J50" s="364"/>
      <c r="K50" s="364"/>
      <c r="L50" s="193" t="s">
        <v>12</v>
      </c>
      <c r="M50" s="257">
        <v>41</v>
      </c>
      <c r="N50" s="275">
        <v>42</v>
      </c>
      <c r="O50" s="275">
        <v>7</v>
      </c>
      <c r="P50" s="275">
        <v>42</v>
      </c>
      <c r="Q50" s="276">
        <v>42</v>
      </c>
      <c r="R50" s="233">
        <f ca="1">SUM(M50:R50)</f>
        <v>185</v>
      </c>
      <c r="T50" s="649"/>
      <c r="U50" s="301"/>
      <c r="V50" s="52"/>
      <c r="W50" s="52"/>
    </row>
    <row r="51" spans="1:50" ht="33.75" customHeight="1" x14ac:dyDescent="0.25">
      <c r="A51" s="194" t="s">
        <v>13</v>
      </c>
      <c r="B51" s="30">
        <f>((((B49*7)*B50)/1000))/7</f>
        <v>81.23981399999991</v>
      </c>
      <c r="C51" s="30">
        <f t="shared" ref="C51:F51" si="25">((((C49*7)*C50)/1000))/7</f>
        <v>80.627837999999912</v>
      </c>
      <c r="D51" s="30">
        <f t="shared" si="25"/>
        <v>12.392513999999988</v>
      </c>
      <c r="E51" s="30">
        <f t="shared" si="25"/>
        <v>85.217657999999915</v>
      </c>
      <c r="F51" s="30">
        <f t="shared" si="25"/>
        <v>81.392807999999931</v>
      </c>
      <c r="G51" s="732">
        <f>((G48*1000)/G50)/7</f>
        <v>153.05847653244422</v>
      </c>
      <c r="H51" s="609"/>
      <c r="I51" s="364"/>
      <c r="J51" s="364"/>
      <c r="K51" s="364"/>
      <c r="L51" s="194" t="s">
        <v>13</v>
      </c>
      <c r="M51" s="30">
        <f>((((M49*7)*M50)/1000)/7)</f>
        <v>6.601</v>
      </c>
      <c r="N51" s="31">
        <f t="shared" ref="N51:Q51" si="26">((((N49*7)*N50)/1000)/7)</f>
        <v>6.6989999999999998</v>
      </c>
      <c r="O51" s="31">
        <f t="shared" si="26"/>
        <v>1.1199999999999999</v>
      </c>
      <c r="P51" s="31">
        <f t="shared" si="26"/>
        <v>6.6989999999999998</v>
      </c>
      <c r="Q51" s="32">
        <f t="shared" si="26"/>
        <v>6.6779999999999999</v>
      </c>
      <c r="R51" s="234">
        <f ca="1">((R48*1000)/R50)/7</f>
        <v>157.83783783783784</v>
      </c>
      <c r="T51" s="650"/>
      <c r="U51" s="301"/>
      <c r="V51" s="52"/>
      <c r="W51" s="52"/>
    </row>
    <row r="52" spans="1:50" ht="33.75" customHeight="1" x14ac:dyDescent="0.25">
      <c r="A52" s="185" t="s">
        <v>14</v>
      </c>
      <c r="B52" s="279">
        <f>((B50*B49)*7)/1000</f>
        <v>568.67869799999949</v>
      </c>
      <c r="C52" s="280">
        <f>((C50*C49)*7)/1000</f>
        <v>564.39486599999941</v>
      </c>
      <c r="D52" s="280">
        <f>((D50*D49)*7)/1000</f>
        <v>86.747597999999911</v>
      </c>
      <c r="E52" s="280">
        <f>((E50*E49)*7)/1000</f>
        <v>596.5236059999994</v>
      </c>
      <c r="F52" s="281">
        <f>((F50*F49)*7)/1000</f>
        <v>569.74965599999939</v>
      </c>
      <c r="G52" s="73"/>
      <c r="H52" s="609"/>
      <c r="I52" s="364"/>
      <c r="J52" s="364"/>
      <c r="K52" s="364"/>
      <c r="L52" s="185" t="s">
        <v>14</v>
      </c>
      <c r="M52" s="279">
        <f>((M50*M49)*7)/1000</f>
        <v>46.207000000000001</v>
      </c>
      <c r="N52" s="280">
        <f>((N50*N49)*7)/1000</f>
        <v>46.893000000000001</v>
      </c>
      <c r="O52" s="280">
        <f>((O50*O49)*7)/1000</f>
        <v>7.84</v>
      </c>
      <c r="P52" s="280">
        <f t="shared" ref="P52" si="27">((P50*P49)*7)/1000</f>
        <v>46.893000000000001</v>
      </c>
      <c r="Q52" s="282">
        <f>((Q50*Q49)*7)/1000</f>
        <v>46.746000000000002</v>
      </c>
      <c r="R52" s="282">
        <f ca="1">((R50*R49)*7)/1000</f>
        <v>0</v>
      </c>
      <c r="T52" s="522"/>
    </row>
    <row r="53" spans="1:50" ht="33.75" customHeight="1" thickBot="1" x14ac:dyDescent="0.3">
      <c r="A53" s="195" t="s">
        <v>15</v>
      </c>
      <c r="B53" s="37">
        <f>+(B48/B50)/7*1000</f>
        <v>152.99973096583267</v>
      </c>
      <c r="C53" s="38">
        <f t="shared" ref="C53:E53" si="28">+(C48/C50)/7*1000</f>
        <v>152.9953917050691</v>
      </c>
      <c r="D53" s="38">
        <f t="shared" si="28"/>
        <v>152.91005291005291</v>
      </c>
      <c r="E53" s="38">
        <f t="shared" si="28"/>
        <v>152.98794562708386</v>
      </c>
      <c r="F53" s="207">
        <f>+(F48/F50)/7*1000</f>
        <v>153.27604726100969</v>
      </c>
      <c r="G53" s="74"/>
      <c r="H53" s="609"/>
      <c r="I53" s="364"/>
      <c r="J53" s="364"/>
      <c r="K53" s="364"/>
      <c r="L53" s="195" t="s">
        <v>15</v>
      </c>
      <c r="M53" s="37">
        <f>+(M48/M50)/7*1000</f>
        <v>160.97560975609755</v>
      </c>
      <c r="N53" s="38">
        <f>+(N48/N50)/7*1000</f>
        <v>159.52380952380955</v>
      </c>
      <c r="O53" s="38">
        <f>+(O48/O50)/7*1000</f>
        <v>159.18367346938771</v>
      </c>
      <c r="P53" s="38">
        <f t="shared" ref="P53:R53" si="29">+(P48/P50)/7*1000</f>
        <v>159.52380952380955</v>
      </c>
      <c r="Q53" s="39">
        <f t="shared" si="29"/>
        <v>158.84353741496599</v>
      </c>
      <c r="R53" s="39">
        <f t="shared" ca="1" si="29"/>
        <v>167.68707482993196</v>
      </c>
      <c r="T53" s="651"/>
      <c r="V53" s="42"/>
      <c r="W53" s="42"/>
    </row>
    <row r="54" spans="1:50" ht="33.75" customHeight="1" x14ac:dyDescent="0.25">
      <c r="A54" s="41"/>
      <c r="B54" s="43">
        <f>B52-B48</f>
        <v>-2.1302000000559929E-2</v>
      </c>
      <c r="C54" s="43">
        <f t="shared" ref="C54:D55" si="30">C52-C48</f>
        <v>-5.1340000005666298E-3</v>
      </c>
      <c r="D54" s="43">
        <f t="shared" si="30"/>
        <v>4.7597999999908325E-2</v>
      </c>
      <c r="E54" s="43">
        <f>E52-E48</f>
        <v>2.3605999999404048E-2</v>
      </c>
      <c r="F54" s="43">
        <f>F52-F48</f>
        <v>-1.0503440000006776</v>
      </c>
      <c r="G54" s="41"/>
      <c r="H54" s="41"/>
      <c r="I54" s="41"/>
      <c r="J54" s="41"/>
      <c r="K54" s="41"/>
      <c r="L54" s="42"/>
      <c r="M54" s="42">
        <f>M52-M48</f>
        <v>6.9999999999978968E-3</v>
      </c>
      <c r="N54" s="42">
        <f>N52-N48</f>
        <v>-7.0000000000050022E-3</v>
      </c>
      <c r="O54" s="42">
        <f t="shared" ref="N54:R55" si="31">O52-O48</f>
        <v>4.0000000000000924E-2</v>
      </c>
      <c r="P54" s="42">
        <f t="shared" si="31"/>
        <v>-7.0000000000050022E-3</v>
      </c>
      <c r="Q54" s="42">
        <f t="shared" si="31"/>
        <v>4.5999999999999375E-2</v>
      </c>
      <c r="R54" s="42">
        <f ca="1">R52-R48</f>
        <v>0</v>
      </c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5.7309658328108526E-3</v>
      </c>
      <c r="C55" s="42">
        <f>C53-C49</f>
        <v>1.3917050692384692E-3</v>
      </c>
      <c r="D55" s="42">
        <f t="shared" si="30"/>
        <v>-8.3947089946946107E-2</v>
      </c>
      <c r="E55" s="42">
        <f>E53-E49</f>
        <v>-6.0543729159974191E-3</v>
      </c>
      <c r="F55" s="42">
        <f>F53-F49</f>
        <v>0.28204726100983635</v>
      </c>
      <c r="G55" s="41"/>
      <c r="H55" s="41"/>
      <c r="I55" s="41"/>
      <c r="J55" s="41"/>
      <c r="K55" s="42"/>
      <c r="L55" s="42"/>
      <c r="M55" s="42">
        <f>M53-M49</f>
        <v>-2.4390243902445263E-2</v>
      </c>
      <c r="N55" s="42">
        <f t="shared" si="31"/>
        <v>2.3809523809546818E-2</v>
      </c>
      <c r="O55" s="42">
        <f>O53-O49</f>
        <v>-0.81632653061228666</v>
      </c>
      <c r="P55" s="42">
        <f>P53-P49</f>
        <v>2.3809523809546818E-2</v>
      </c>
      <c r="Q55" s="42">
        <f t="shared" si="31"/>
        <v>-0.15646258503400645</v>
      </c>
      <c r="R55" s="42">
        <f t="shared" ca="1" si="31"/>
        <v>11.187074829931959</v>
      </c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283"/>
      <c r="N57" s="283"/>
      <c r="O57" s="283"/>
      <c r="P57" s="283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99" t="s">
        <v>30</v>
      </c>
      <c r="H58" s="1000"/>
      <c r="I58" s="1000"/>
      <c r="J58" s="1000"/>
      <c r="K58" s="1001"/>
      <c r="L58" s="973" t="s">
        <v>29</v>
      </c>
      <c r="M58" s="974"/>
      <c r="N58" s="974"/>
      <c r="O58" s="974"/>
      <c r="P58" s="991"/>
      <c r="Q58" s="974" t="s">
        <v>31</v>
      </c>
      <c r="R58" s="974"/>
      <c r="S58" s="974"/>
      <c r="T58" s="974"/>
      <c r="U58" s="991"/>
      <c r="V58" s="992" t="s">
        <v>9</v>
      </c>
      <c r="W58" s="661"/>
      <c r="X58" s="662"/>
      <c r="Y58" s="522"/>
      <c r="Z58" s="522"/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692">
        <v>1</v>
      </c>
      <c r="H59" s="693">
        <v>2</v>
      </c>
      <c r="I59" s="693">
        <v>3</v>
      </c>
      <c r="J59" s="693">
        <v>4</v>
      </c>
      <c r="K59" s="693">
        <v>5</v>
      </c>
      <c r="L59" s="188">
        <v>1</v>
      </c>
      <c r="M59" s="168">
        <v>2</v>
      </c>
      <c r="N59" s="168">
        <v>3</v>
      </c>
      <c r="O59" s="168">
        <v>4</v>
      </c>
      <c r="P59" s="414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993"/>
      <c r="W59" s="663"/>
      <c r="X59" s="645"/>
      <c r="Y59" s="657"/>
      <c r="Z59" s="657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45">
      <c r="A60" s="171" t="s">
        <v>53</v>
      </c>
      <c r="B60" s="735">
        <v>7</v>
      </c>
      <c r="C60" s="736">
        <v>7.5</v>
      </c>
      <c r="D60" s="736">
        <v>1.2</v>
      </c>
      <c r="E60" s="736">
        <v>7.5</v>
      </c>
      <c r="F60" s="737">
        <v>7.4</v>
      </c>
      <c r="G60" s="738">
        <v>7.5</v>
      </c>
      <c r="H60" s="739">
        <v>7.5</v>
      </c>
      <c r="I60" s="799">
        <v>1.2</v>
      </c>
      <c r="J60" s="739">
        <v>7.5</v>
      </c>
      <c r="K60" s="739">
        <v>7.2</v>
      </c>
      <c r="L60" s="279">
        <v>6</v>
      </c>
      <c r="M60" s="280">
        <v>6</v>
      </c>
      <c r="N60" s="280">
        <v>1.7</v>
      </c>
      <c r="O60" s="280">
        <v>5.9</v>
      </c>
      <c r="P60" s="282">
        <v>5.8</v>
      </c>
      <c r="Q60" s="737">
        <v>6.2</v>
      </c>
      <c r="R60" s="736">
        <v>6.3</v>
      </c>
      <c r="S60" s="736">
        <v>1.7</v>
      </c>
      <c r="T60" s="736">
        <v>6.2</v>
      </c>
      <c r="U60" s="742">
        <v>6.2</v>
      </c>
      <c r="V60" s="819">
        <f t="shared" ref="V60:V67" si="32">SUM(B60:U60)</f>
        <v>113.50000000000001</v>
      </c>
      <c r="W60" s="42"/>
      <c r="X60" s="646"/>
      <c r="Y60" s="657"/>
      <c r="Z60" s="657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45">
      <c r="A61" s="171" t="s">
        <v>24</v>
      </c>
      <c r="B61" s="735">
        <v>7</v>
      </c>
      <c r="C61" s="736">
        <v>7.5</v>
      </c>
      <c r="D61" s="736">
        <v>1.2</v>
      </c>
      <c r="E61" s="736">
        <v>7.5</v>
      </c>
      <c r="F61" s="737">
        <v>7.4</v>
      </c>
      <c r="G61" s="738">
        <v>7.5</v>
      </c>
      <c r="H61" s="739">
        <v>7.5</v>
      </c>
      <c r="I61" s="799">
        <v>1.2</v>
      </c>
      <c r="J61" s="739">
        <v>7.5</v>
      </c>
      <c r="K61" s="739">
        <v>7.2</v>
      </c>
      <c r="L61" s="279">
        <v>6</v>
      </c>
      <c r="M61" s="280">
        <v>6</v>
      </c>
      <c r="N61" s="280">
        <v>1.6</v>
      </c>
      <c r="O61" s="280">
        <v>5.8</v>
      </c>
      <c r="P61" s="282">
        <v>5.8</v>
      </c>
      <c r="Q61" s="737">
        <v>6.2</v>
      </c>
      <c r="R61" s="736">
        <v>6.3</v>
      </c>
      <c r="S61" s="736">
        <v>1.6</v>
      </c>
      <c r="T61" s="736">
        <v>6.2</v>
      </c>
      <c r="U61" s="742">
        <v>6.1</v>
      </c>
      <c r="V61" s="412">
        <f t="shared" si="32"/>
        <v>113.09999999999998</v>
      </c>
      <c r="W61" s="42"/>
      <c r="X61" s="646"/>
      <c r="Y61" s="651"/>
      <c r="Z61" s="651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45">
      <c r="A62" s="171" t="s">
        <v>20</v>
      </c>
      <c r="B62" s="706">
        <v>7</v>
      </c>
      <c r="C62" s="707">
        <v>7.4</v>
      </c>
      <c r="D62" s="707">
        <v>1.1000000000000001</v>
      </c>
      <c r="E62" s="707">
        <v>7.4</v>
      </c>
      <c r="F62" s="708">
        <v>7.4</v>
      </c>
      <c r="G62" s="709">
        <v>7.5</v>
      </c>
      <c r="H62" s="629">
        <v>7.4</v>
      </c>
      <c r="I62" s="836">
        <v>1.1000000000000001</v>
      </c>
      <c r="J62" s="629">
        <v>7.4</v>
      </c>
      <c r="K62" s="629">
        <v>7.2</v>
      </c>
      <c r="L62" s="532">
        <v>6</v>
      </c>
      <c r="M62" s="431">
        <v>6</v>
      </c>
      <c r="N62" s="431">
        <v>1.6</v>
      </c>
      <c r="O62" s="431">
        <v>5.8</v>
      </c>
      <c r="P62" s="755">
        <v>5.8</v>
      </c>
      <c r="Q62" s="708">
        <v>6.3</v>
      </c>
      <c r="R62" s="707">
        <v>6.3</v>
      </c>
      <c r="S62" s="707">
        <v>1.6</v>
      </c>
      <c r="T62" s="707">
        <v>6.2</v>
      </c>
      <c r="U62" s="713">
        <v>6.1</v>
      </c>
      <c r="V62" s="412">
        <f t="shared" si="32"/>
        <v>112.59999999999998</v>
      </c>
      <c r="W62" s="42"/>
      <c r="X62" s="646"/>
      <c r="Y62" s="651"/>
      <c r="Z62" s="651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45">
      <c r="A63" s="171" t="s">
        <v>28</v>
      </c>
      <c r="B63" s="735">
        <v>7</v>
      </c>
      <c r="C63" s="736">
        <v>7.4</v>
      </c>
      <c r="D63" s="736">
        <v>1.1000000000000001</v>
      </c>
      <c r="E63" s="736">
        <v>7.4</v>
      </c>
      <c r="F63" s="737">
        <v>7.4</v>
      </c>
      <c r="G63" s="738">
        <v>7.5</v>
      </c>
      <c r="H63" s="739">
        <v>7.4</v>
      </c>
      <c r="I63" s="799">
        <v>1.1000000000000001</v>
      </c>
      <c r="J63" s="739">
        <v>7.4</v>
      </c>
      <c r="K63" s="739">
        <v>7.2</v>
      </c>
      <c r="L63" s="279">
        <v>6</v>
      </c>
      <c r="M63" s="280">
        <v>6</v>
      </c>
      <c r="N63" s="280">
        <v>1.6</v>
      </c>
      <c r="O63" s="280">
        <v>5.8</v>
      </c>
      <c r="P63" s="282">
        <v>5.8</v>
      </c>
      <c r="Q63" s="737">
        <v>6.4</v>
      </c>
      <c r="R63" s="736">
        <v>6.3</v>
      </c>
      <c r="S63" s="736">
        <v>1.6</v>
      </c>
      <c r="T63" s="736">
        <v>6.1</v>
      </c>
      <c r="U63" s="742">
        <v>6.1</v>
      </c>
      <c r="V63" s="412">
        <f t="shared" si="32"/>
        <v>112.59999999999998</v>
      </c>
      <c r="W63" s="42"/>
      <c r="X63" s="646"/>
      <c r="Y63" s="651"/>
      <c r="Z63" s="651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45">
      <c r="A64" s="171" t="s">
        <v>21</v>
      </c>
      <c r="B64" s="735">
        <v>7</v>
      </c>
      <c r="C64" s="736">
        <v>7.4</v>
      </c>
      <c r="D64" s="736">
        <v>1.1000000000000001</v>
      </c>
      <c r="E64" s="736">
        <v>7.4</v>
      </c>
      <c r="F64" s="737">
        <v>7.4</v>
      </c>
      <c r="G64" s="738">
        <v>7.5</v>
      </c>
      <c r="H64" s="739">
        <v>7.4</v>
      </c>
      <c r="I64" s="799">
        <v>1.1000000000000001</v>
      </c>
      <c r="J64" s="739">
        <v>7.4</v>
      </c>
      <c r="K64" s="739">
        <v>7.2</v>
      </c>
      <c r="L64" s="279">
        <v>6</v>
      </c>
      <c r="M64" s="280">
        <v>6</v>
      </c>
      <c r="N64" s="280">
        <v>1.6</v>
      </c>
      <c r="O64" s="280">
        <v>5.8</v>
      </c>
      <c r="P64" s="282">
        <v>5.7</v>
      </c>
      <c r="Q64" s="737">
        <v>6.4</v>
      </c>
      <c r="R64" s="736">
        <v>6.3</v>
      </c>
      <c r="S64" s="736">
        <v>1.6</v>
      </c>
      <c r="T64" s="736">
        <v>6.1</v>
      </c>
      <c r="U64" s="742">
        <v>6.1</v>
      </c>
      <c r="V64" s="412">
        <f t="shared" si="32"/>
        <v>112.49999999999999</v>
      </c>
      <c r="W64" s="42"/>
      <c r="X64" s="646"/>
      <c r="Y64" s="651"/>
      <c r="Z64" s="651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45">
      <c r="A65" s="171" t="s">
        <v>22</v>
      </c>
      <c r="B65" s="735">
        <v>7</v>
      </c>
      <c r="C65" s="736">
        <v>7.5</v>
      </c>
      <c r="D65" s="736">
        <v>1.1000000000000001</v>
      </c>
      <c r="E65" s="736">
        <v>7.5</v>
      </c>
      <c r="F65" s="737">
        <v>7.4</v>
      </c>
      <c r="G65" s="738">
        <v>7.4</v>
      </c>
      <c r="H65" s="739">
        <v>7.5</v>
      </c>
      <c r="I65" s="799">
        <v>1.1000000000000001</v>
      </c>
      <c r="J65" s="739">
        <v>7.5</v>
      </c>
      <c r="K65" s="739">
        <v>7.3</v>
      </c>
      <c r="L65" s="279">
        <v>6</v>
      </c>
      <c r="M65" s="280">
        <v>6</v>
      </c>
      <c r="N65" s="280">
        <v>1.6</v>
      </c>
      <c r="O65" s="280">
        <v>5.8</v>
      </c>
      <c r="P65" s="282">
        <v>5.7</v>
      </c>
      <c r="Q65" s="737">
        <v>5.9</v>
      </c>
      <c r="R65" s="736">
        <v>6.4</v>
      </c>
      <c r="S65" s="736">
        <v>1.6</v>
      </c>
      <c r="T65" s="736">
        <v>6.1</v>
      </c>
      <c r="U65" s="742">
        <v>6.1</v>
      </c>
      <c r="V65" s="412">
        <f t="shared" si="32"/>
        <v>112.49999999999999</v>
      </c>
      <c r="W65" s="42"/>
      <c r="X65" s="646"/>
      <c r="Y65" s="651"/>
      <c r="Z65" s="651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5">
      <c r="A66" s="171" t="s">
        <v>23</v>
      </c>
      <c r="B66" s="735">
        <v>6.9</v>
      </c>
      <c r="C66" s="736">
        <v>7.5</v>
      </c>
      <c r="D66" s="736">
        <v>1.2</v>
      </c>
      <c r="E66" s="736">
        <v>7.5</v>
      </c>
      <c r="F66" s="737">
        <v>7.3</v>
      </c>
      <c r="G66" s="738">
        <v>7.4</v>
      </c>
      <c r="H66" s="739">
        <v>7.5</v>
      </c>
      <c r="I66" s="799">
        <v>1.1000000000000001</v>
      </c>
      <c r="J66" s="739">
        <v>7.5</v>
      </c>
      <c r="K66" s="739">
        <v>7.3</v>
      </c>
      <c r="L66" s="279">
        <v>6.1</v>
      </c>
      <c r="M66" s="280">
        <v>6</v>
      </c>
      <c r="N66" s="280">
        <v>1.7</v>
      </c>
      <c r="O66" s="280">
        <v>5.9</v>
      </c>
      <c r="P66" s="282">
        <v>5.8</v>
      </c>
      <c r="Q66" s="737">
        <v>5.8</v>
      </c>
      <c r="R66" s="736">
        <v>6.3</v>
      </c>
      <c r="S66" s="736">
        <v>1.7</v>
      </c>
      <c r="T66" s="736">
        <v>6.2</v>
      </c>
      <c r="U66" s="742">
        <v>6</v>
      </c>
      <c r="V66" s="412">
        <f t="shared" si="32"/>
        <v>112.7</v>
      </c>
      <c r="W66" s="42"/>
      <c r="X66" s="646"/>
      <c r="Y66" s="651"/>
      <c r="Z66" s="651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618">
        <f t="shared" ref="B67:U67" si="33">SUM(B60:B66)</f>
        <v>48.9</v>
      </c>
      <c r="C67" s="616">
        <f t="shared" si="33"/>
        <v>52.199999999999996</v>
      </c>
      <c r="D67" s="616">
        <f t="shared" si="33"/>
        <v>7.9999999999999991</v>
      </c>
      <c r="E67" s="616">
        <f t="shared" si="33"/>
        <v>52.199999999999996</v>
      </c>
      <c r="F67" s="617">
        <f t="shared" si="33"/>
        <v>51.699999999999996</v>
      </c>
      <c r="G67" s="719">
        <f t="shared" si="33"/>
        <v>52.3</v>
      </c>
      <c r="H67" s="696">
        <f t="shared" si="33"/>
        <v>52.199999999999996</v>
      </c>
      <c r="I67" s="696">
        <f t="shared" si="33"/>
        <v>7.8999999999999986</v>
      </c>
      <c r="J67" s="696">
        <f t="shared" si="33"/>
        <v>52.199999999999996</v>
      </c>
      <c r="K67" s="720">
        <f t="shared" si="33"/>
        <v>50.599999999999994</v>
      </c>
      <c r="L67" s="618">
        <f t="shared" si="33"/>
        <v>42.1</v>
      </c>
      <c r="M67" s="616">
        <f t="shared" si="33"/>
        <v>42</v>
      </c>
      <c r="N67" s="616">
        <f t="shared" si="33"/>
        <v>11.399999999999999</v>
      </c>
      <c r="O67" s="616">
        <f t="shared" si="33"/>
        <v>40.799999999999997</v>
      </c>
      <c r="P67" s="619">
        <f t="shared" si="33"/>
        <v>40.4</v>
      </c>
      <c r="Q67" s="615">
        <f t="shared" si="33"/>
        <v>43.199999999999996</v>
      </c>
      <c r="R67" s="616">
        <f t="shared" si="33"/>
        <v>44.199999999999996</v>
      </c>
      <c r="S67" s="616">
        <f t="shared" si="33"/>
        <v>11.399999999999999</v>
      </c>
      <c r="T67" s="616">
        <f t="shared" si="33"/>
        <v>43.100000000000009</v>
      </c>
      <c r="U67" s="617">
        <f t="shared" si="33"/>
        <v>42.7</v>
      </c>
      <c r="V67" s="449">
        <f t="shared" si="32"/>
        <v>789.5</v>
      </c>
      <c r="W67" s="664"/>
      <c r="X67" s="646"/>
      <c r="Y67" s="651"/>
      <c r="Z67" s="651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162.5</v>
      </c>
      <c r="C68" s="358">
        <v>162</v>
      </c>
      <c r="D68" s="358">
        <v>162.5</v>
      </c>
      <c r="E68" s="358">
        <v>162</v>
      </c>
      <c r="F68" s="624">
        <v>160.5</v>
      </c>
      <c r="G68" s="357">
        <v>162.5</v>
      </c>
      <c r="H68" s="358">
        <v>162</v>
      </c>
      <c r="I68" s="358">
        <v>162.5</v>
      </c>
      <c r="J68" s="358">
        <v>162</v>
      </c>
      <c r="K68" s="624">
        <v>160.5</v>
      </c>
      <c r="L68" s="357">
        <v>162.5</v>
      </c>
      <c r="M68" s="358">
        <v>162</v>
      </c>
      <c r="N68" s="358">
        <v>162.5</v>
      </c>
      <c r="O68" s="358">
        <v>162</v>
      </c>
      <c r="P68" s="624">
        <v>160.5</v>
      </c>
      <c r="Q68" s="671">
        <v>162.5</v>
      </c>
      <c r="R68" s="358">
        <v>162</v>
      </c>
      <c r="S68" s="358">
        <v>162.5</v>
      </c>
      <c r="T68" s="358">
        <v>162</v>
      </c>
      <c r="U68" s="624">
        <v>160.5</v>
      </c>
      <c r="V68" s="296">
        <f>+((V67/V69)/7)*1000</f>
        <v>161.81594589055135</v>
      </c>
      <c r="W68" s="145"/>
      <c r="X68" s="648"/>
      <c r="Y68" s="665"/>
      <c r="Z68" s="522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43</v>
      </c>
      <c r="C69" s="275">
        <v>46</v>
      </c>
      <c r="D69" s="275">
        <v>7</v>
      </c>
      <c r="E69" s="275">
        <v>46</v>
      </c>
      <c r="F69" s="276">
        <v>46</v>
      </c>
      <c r="G69" s="723">
        <v>46</v>
      </c>
      <c r="H69" s="700">
        <v>46</v>
      </c>
      <c r="I69" s="700">
        <v>7</v>
      </c>
      <c r="J69" s="700">
        <v>46</v>
      </c>
      <c r="K69" s="724">
        <v>45</v>
      </c>
      <c r="L69" s="257">
        <v>37</v>
      </c>
      <c r="M69" s="275">
        <v>37</v>
      </c>
      <c r="N69" s="275">
        <v>10</v>
      </c>
      <c r="O69" s="275">
        <v>36</v>
      </c>
      <c r="P69" s="276">
        <v>36</v>
      </c>
      <c r="Q69" s="79">
        <v>38</v>
      </c>
      <c r="R69" s="275">
        <v>39</v>
      </c>
      <c r="S69" s="275">
        <v>10</v>
      </c>
      <c r="T69" s="275">
        <v>38</v>
      </c>
      <c r="U69" s="276">
        <v>38</v>
      </c>
      <c r="V69" s="254">
        <f>SUM(B69:U69)</f>
        <v>697</v>
      </c>
      <c r="W69" s="145"/>
      <c r="X69" s="649"/>
      <c r="Y69" s="665"/>
      <c r="Z69" s="522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>((((B68*7)*B69)/1000)/7)</f>
        <v>6.9874999999999998</v>
      </c>
      <c r="C70" s="31">
        <f t="shared" ref="C70:U70" si="34">((((C68*7)*C69)/1000)/7)</f>
        <v>7.452</v>
      </c>
      <c r="D70" s="31">
        <f t="shared" si="34"/>
        <v>1.1375</v>
      </c>
      <c r="E70" s="31">
        <f t="shared" si="34"/>
        <v>7.452</v>
      </c>
      <c r="F70" s="32">
        <f t="shared" si="34"/>
        <v>7.383</v>
      </c>
      <c r="G70" s="30">
        <f t="shared" si="34"/>
        <v>7.4750000000000005</v>
      </c>
      <c r="H70" s="31">
        <f t="shared" si="34"/>
        <v>7.452</v>
      </c>
      <c r="I70" s="31">
        <f t="shared" si="34"/>
        <v>1.1375</v>
      </c>
      <c r="J70" s="31">
        <f t="shared" si="34"/>
        <v>7.452</v>
      </c>
      <c r="K70" s="32">
        <f t="shared" si="34"/>
        <v>7.2224999999999993</v>
      </c>
      <c r="L70" s="30">
        <f t="shared" si="34"/>
        <v>6.0125000000000002</v>
      </c>
      <c r="M70" s="31">
        <f t="shared" si="34"/>
        <v>5.9939999999999998</v>
      </c>
      <c r="N70" s="31">
        <f t="shared" si="34"/>
        <v>1.625</v>
      </c>
      <c r="O70" s="31">
        <f t="shared" si="34"/>
        <v>5.8319999999999999</v>
      </c>
      <c r="P70" s="32">
        <f t="shared" si="34"/>
        <v>5.7779999999999996</v>
      </c>
      <c r="Q70" s="65">
        <f t="shared" si="34"/>
        <v>6.1749999999999998</v>
      </c>
      <c r="R70" s="31">
        <f t="shared" si="34"/>
        <v>6.3179999999999996</v>
      </c>
      <c r="S70" s="31">
        <f t="shared" si="34"/>
        <v>1.625</v>
      </c>
      <c r="T70" s="31">
        <f t="shared" si="34"/>
        <v>6.1559999999999997</v>
      </c>
      <c r="U70" s="32">
        <f t="shared" si="34"/>
        <v>6.0989999999999993</v>
      </c>
      <c r="V70" s="139">
        <f>((V67*1000)/V69)/7</f>
        <v>161.81594589055135</v>
      </c>
      <c r="W70" s="144"/>
      <c r="X70" s="650"/>
      <c r="Y70" s="665"/>
      <c r="Z70" s="522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35">((B69*B68)*7)/1000</f>
        <v>48.912500000000001</v>
      </c>
      <c r="C71" s="280">
        <f t="shared" si="35"/>
        <v>52.164000000000001</v>
      </c>
      <c r="D71" s="280">
        <f t="shared" si="35"/>
        <v>7.9625000000000004</v>
      </c>
      <c r="E71" s="280">
        <f t="shared" si="35"/>
        <v>52.164000000000001</v>
      </c>
      <c r="F71" s="282">
        <f t="shared" si="35"/>
        <v>51.680999999999997</v>
      </c>
      <c r="G71" s="464">
        <f t="shared" si="35"/>
        <v>52.325000000000003</v>
      </c>
      <c r="H71" s="459">
        <f>((H69*H68)*7)/1000</f>
        <v>52.164000000000001</v>
      </c>
      <c r="I71" s="459">
        <f t="shared" si="35"/>
        <v>7.9625000000000004</v>
      </c>
      <c r="J71" s="459">
        <f t="shared" si="35"/>
        <v>52.164000000000001</v>
      </c>
      <c r="K71" s="460">
        <f t="shared" si="35"/>
        <v>50.557499999999997</v>
      </c>
      <c r="L71" s="279">
        <f t="shared" si="35"/>
        <v>42.087499999999999</v>
      </c>
      <c r="M71" s="280">
        <f t="shared" si="35"/>
        <v>41.957999999999998</v>
      </c>
      <c r="N71" s="280">
        <f t="shared" si="35"/>
        <v>11.375</v>
      </c>
      <c r="O71" s="280">
        <f t="shared" si="35"/>
        <v>40.823999999999998</v>
      </c>
      <c r="P71" s="282">
        <f t="shared" si="35"/>
        <v>40.445999999999998</v>
      </c>
      <c r="Q71" s="325">
        <f t="shared" si="35"/>
        <v>43.225000000000001</v>
      </c>
      <c r="R71" s="280">
        <f t="shared" si="35"/>
        <v>44.225999999999999</v>
      </c>
      <c r="S71" s="280">
        <f t="shared" si="35"/>
        <v>11.375</v>
      </c>
      <c r="T71" s="280">
        <f t="shared" si="35"/>
        <v>43.091999999999999</v>
      </c>
      <c r="U71" s="282">
        <f t="shared" si="35"/>
        <v>42.692999999999998</v>
      </c>
      <c r="V71" s="112"/>
      <c r="W71" s="651"/>
      <c r="X71" s="666"/>
      <c r="Y71" s="666"/>
      <c r="Z71" s="666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U72" si="36">+(B67/B69)/7*1000</f>
        <v>162.45847176079732</v>
      </c>
      <c r="C72" s="38">
        <f t="shared" si="36"/>
        <v>162.111801242236</v>
      </c>
      <c r="D72" s="38">
        <f t="shared" si="36"/>
        <v>163.26530612244898</v>
      </c>
      <c r="E72" s="38">
        <f t="shared" si="36"/>
        <v>162.111801242236</v>
      </c>
      <c r="F72" s="39">
        <f t="shared" si="36"/>
        <v>160.5590062111801</v>
      </c>
      <c r="G72" s="727">
        <f t="shared" si="36"/>
        <v>162.42236024844721</v>
      </c>
      <c r="H72" s="704">
        <f t="shared" si="36"/>
        <v>162.111801242236</v>
      </c>
      <c r="I72" s="704">
        <f t="shared" si="36"/>
        <v>161.22448979591832</v>
      </c>
      <c r="J72" s="704">
        <f t="shared" si="36"/>
        <v>162.111801242236</v>
      </c>
      <c r="K72" s="728">
        <f t="shared" si="36"/>
        <v>160.63492063492063</v>
      </c>
      <c r="L72" s="37">
        <f t="shared" si="36"/>
        <v>162.54826254826258</v>
      </c>
      <c r="M72" s="38">
        <f t="shared" si="36"/>
        <v>162.16216216216213</v>
      </c>
      <c r="N72" s="38">
        <f t="shared" si="36"/>
        <v>162.85714285714283</v>
      </c>
      <c r="O72" s="38">
        <f t="shared" si="36"/>
        <v>161.90476190476193</v>
      </c>
      <c r="P72" s="39">
        <f t="shared" si="36"/>
        <v>160.31746031746033</v>
      </c>
      <c r="Q72" s="67">
        <f t="shared" si="36"/>
        <v>162.40601503759396</v>
      </c>
      <c r="R72" s="38">
        <f t="shared" si="36"/>
        <v>161.90476190476193</v>
      </c>
      <c r="S72" s="38">
        <f t="shared" si="36"/>
        <v>162.85714285714283</v>
      </c>
      <c r="T72" s="38">
        <f t="shared" si="36"/>
        <v>162.03007518796997</v>
      </c>
      <c r="U72" s="39">
        <f t="shared" si="36"/>
        <v>160.52631578947367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43">
        <f>B71-B67</f>
        <v>1.2500000000002842E-2</v>
      </c>
      <c r="C73" s="43">
        <f t="shared" ref="C73:F73" si="37">C71-C67</f>
        <v>-3.5999999999994259E-2</v>
      </c>
      <c r="D73" s="43">
        <f t="shared" si="37"/>
        <v>-3.7499999999998757E-2</v>
      </c>
      <c r="E73" s="43">
        <f t="shared" si="37"/>
        <v>-3.5999999999994259E-2</v>
      </c>
      <c r="F73" s="43">
        <f t="shared" si="37"/>
        <v>-1.8999999999998352E-2</v>
      </c>
      <c r="G73" s="143">
        <f>G71-G67</f>
        <v>2.5000000000005684E-2</v>
      </c>
      <c r="H73" s="143">
        <f t="shared" ref="H73:P74" si="38">H71-H67</f>
        <v>-3.5999999999994259E-2</v>
      </c>
      <c r="I73" s="143">
        <f t="shared" si="38"/>
        <v>6.2500000000001776E-2</v>
      </c>
      <c r="J73" s="143">
        <f t="shared" si="38"/>
        <v>-3.5999999999994259E-2</v>
      </c>
      <c r="K73" s="143">
        <f t="shared" si="38"/>
        <v>-4.2499999999996874E-2</v>
      </c>
      <c r="L73" s="43">
        <f>L71-L67</f>
        <v>-1.2500000000002842E-2</v>
      </c>
      <c r="M73" s="43">
        <f t="shared" ref="M73:R74" si="39">M71-M67</f>
        <v>-4.2000000000001592E-2</v>
      </c>
      <c r="N73" s="43">
        <f t="shared" si="39"/>
        <v>-2.4999999999998579E-2</v>
      </c>
      <c r="O73" s="43">
        <f t="shared" si="39"/>
        <v>2.4000000000000909E-2</v>
      </c>
      <c r="P73" s="43">
        <f t="shared" si="39"/>
        <v>4.5999999999999375E-2</v>
      </c>
      <c r="Q73" s="43">
        <f t="shared" si="39"/>
        <v>2.5000000000005684E-2</v>
      </c>
      <c r="R73" s="43">
        <f t="shared" si="39"/>
        <v>2.6000000000003354E-2</v>
      </c>
      <c r="S73" s="43">
        <f t="shared" ref="S73:V73" si="40">R71-R67</f>
        <v>2.6000000000003354E-2</v>
      </c>
      <c r="T73" s="43">
        <f>S71-S67</f>
        <v>-2.4999999999998579E-2</v>
      </c>
      <c r="U73" s="43">
        <f>T71-T67</f>
        <v>-8.0000000000097771E-3</v>
      </c>
      <c r="V73" s="43">
        <f t="shared" si="40"/>
        <v>-7.0000000000050022E-3</v>
      </c>
      <c r="X73" s="144"/>
      <c r="Y73" s="522"/>
      <c r="Z73" s="522"/>
      <c r="AA73" s="522"/>
    </row>
    <row r="74" spans="1:50" ht="33.75" customHeight="1" x14ac:dyDescent="0.25">
      <c r="B74" s="42">
        <f t="shared" ref="B74:J74" si="41">B72-B68</f>
        <v>-4.1528239202676787E-2</v>
      </c>
      <c r="C74" s="42">
        <f t="shared" si="41"/>
        <v>0.11180124223599819</v>
      </c>
      <c r="D74" s="42">
        <f t="shared" si="41"/>
        <v>0.76530612244897611</v>
      </c>
      <c r="E74" s="42">
        <f t="shared" si="41"/>
        <v>0.11180124223599819</v>
      </c>
      <c r="F74" s="42">
        <f t="shared" si="41"/>
        <v>5.9006211180104629E-2</v>
      </c>
      <c r="G74" s="705">
        <f t="shared" si="41"/>
        <v>-7.7639751552794678E-2</v>
      </c>
      <c r="H74" s="705">
        <f t="shared" si="41"/>
        <v>0.11180124223599819</v>
      </c>
      <c r="I74" s="705">
        <f>I72-I68</f>
        <v>-1.2755102040816837</v>
      </c>
      <c r="J74" s="705">
        <f t="shared" si="41"/>
        <v>0.11180124223599819</v>
      </c>
      <c r="K74" s="705">
        <f t="shared" si="38"/>
        <v>0.13492063492063266</v>
      </c>
      <c r="L74" s="42">
        <f t="shared" si="38"/>
        <v>4.8262548262584914E-2</v>
      </c>
      <c r="M74" s="42">
        <f t="shared" si="38"/>
        <v>0.16216216216213297</v>
      </c>
      <c r="N74" s="42">
        <f t="shared" si="38"/>
        <v>0.35714285714283278</v>
      </c>
      <c r="O74" s="42">
        <f t="shared" si="38"/>
        <v>-9.5238095238073583E-2</v>
      </c>
      <c r="P74" s="42">
        <f t="shared" si="38"/>
        <v>-0.18253968253966946</v>
      </c>
      <c r="Q74" s="42">
        <f t="shared" si="39"/>
        <v>-9.398496240604004E-2</v>
      </c>
      <c r="R74" s="42">
        <f t="shared" si="39"/>
        <v>-9.5238095238073583E-2</v>
      </c>
      <c r="S74" s="42">
        <f>R72-R68</f>
        <v>-9.5238095238073583E-2</v>
      </c>
      <c r="T74" s="42">
        <f>S72-S68</f>
        <v>0.35714285714283278</v>
      </c>
      <c r="U74" s="42">
        <f>T72-T68</f>
        <v>3.007518796997033E-2</v>
      </c>
      <c r="V74" s="42">
        <f>U72-U68</f>
        <v>2.6315789473670748E-2</v>
      </c>
      <c r="W74" s="45"/>
      <c r="X74" s="651"/>
      <c r="Y74" s="657"/>
      <c r="Z74" s="657"/>
      <c r="AA74" s="657"/>
      <c r="AB74" s="45"/>
      <c r="AC74" s="45"/>
      <c r="AD74" s="45"/>
      <c r="AE74" s="52"/>
    </row>
    <row r="75" spans="1:50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</row>
    <row r="76" spans="1:50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0" ht="33.75" customHeight="1" x14ac:dyDescent="0.25">
      <c r="A77" s="45"/>
      <c r="B77" s="58"/>
      <c r="C77" s="58"/>
      <c r="D77" s="648" t="s">
        <v>132</v>
      </c>
      <c r="E77" s="58"/>
      <c r="F77" s="58"/>
      <c r="G77" s="58"/>
      <c r="H77" s="648" t="s">
        <v>132</v>
      </c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8">
    <mergeCell ref="A3:C3"/>
    <mergeCell ref="E9:G9"/>
    <mergeCell ref="W9:X9"/>
    <mergeCell ref="O11:P11"/>
    <mergeCell ref="B16:H16"/>
    <mergeCell ref="I16:O16"/>
    <mergeCell ref="P16:T16"/>
    <mergeCell ref="U16:Y16"/>
    <mergeCell ref="B58:F58"/>
    <mergeCell ref="G58:K58"/>
    <mergeCell ref="L58:P58"/>
    <mergeCell ref="Q58:U58"/>
    <mergeCell ref="V58:V59"/>
    <mergeCell ref="Z16:Z17"/>
    <mergeCell ref="B39:F39"/>
    <mergeCell ref="G39:G40"/>
    <mergeCell ref="M39:Q39"/>
    <mergeCell ref="R39:R40"/>
  </mergeCells>
  <pageMargins left="0.23622047244094488" right="0.23622047244094488" top="0.74803149606299213" bottom="0.74803149606299213" header="0.31496062992125984" footer="0.31496062992125984"/>
  <pageSetup paperSize="9" scale="20" fitToWidth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241"/>
  <sheetViews>
    <sheetView topLeftCell="A13" zoomScale="25" zoomScaleNormal="25" workbookViewId="0">
      <selection activeCell="B68" sqref="B68:U68"/>
    </sheetView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54</v>
      </c>
      <c r="P11" s="965"/>
      <c r="Q11" s="6"/>
      <c r="R11" s="6"/>
      <c r="S11" s="6"/>
      <c r="T11" s="1"/>
      <c r="U11" s="1"/>
      <c r="V11" s="1" t="s">
        <v>6</v>
      </c>
      <c r="W11" s="95">
        <v>45707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  <c r="Z16" s="977" t="s">
        <v>9</v>
      </c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828"/>
      <c r="I17" s="188" t="s">
        <v>100</v>
      </c>
      <c r="J17" s="168">
        <v>1</v>
      </c>
      <c r="K17" s="168">
        <v>2</v>
      </c>
      <c r="L17" s="168">
        <v>3</v>
      </c>
      <c r="M17" s="168">
        <v>4</v>
      </c>
      <c r="N17" s="169">
        <v>5</v>
      </c>
      <c r="O17" s="828"/>
      <c r="P17" s="189">
        <v>1</v>
      </c>
      <c r="Q17" s="168">
        <v>2</v>
      </c>
      <c r="R17" s="168">
        <v>3</v>
      </c>
      <c r="S17" s="168">
        <v>4</v>
      </c>
      <c r="T17" s="204">
        <v>5</v>
      </c>
      <c r="U17" s="188">
        <v>1</v>
      </c>
      <c r="V17" s="168">
        <v>2</v>
      </c>
      <c r="W17" s="168">
        <v>3</v>
      </c>
      <c r="X17" s="168">
        <v>4</v>
      </c>
      <c r="Y17" s="169">
        <v>5</v>
      </c>
      <c r="Z17" s="984"/>
      <c r="AD17" s="2"/>
      <c r="AE17" s="15"/>
    </row>
    <row r="18" spans="1:40" ht="39.950000000000003" customHeight="1" x14ac:dyDescent="0.25">
      <c r="A18" s="171" t="s">
        <v>53</v>
      </c>
      <c r="B18" s="743">
        <v>298</v>
      </c>
      <c r="C18" s="739">
        <v>13.7</v>
      </c>
      <c r="D18" s="739">
        <v>14.4</v>
      </c>
      <c r="E18" s="739">
        <v>2.2000000000000002</v>
      </c>
      <c r="F18" s="739">
        <v>14.3</v>
      </c>
      <c r="G18" s="744">
        <v>14.3</v>
      </c>
      <c r="H18" s="753">
        <f t="shared" ref="H18" si="0">+SUM(B18:G18)</f>
        <v>356.9</v>
      </c>
      <c r="I18" s="745">
        <v>300.8</v>
      </c>
      <c r="J18" s="739">
        <v>14.1</v>
      </c>
      <c r="K18" s="739">
        <v>14.3</v>
      </c>
      <c r="L18" s="739">
        <v>2.2000000000000002</v>
      </c>
      <c r="M18" s="739">
        <v>14.4</v>
      </c>
      <c r="N18" s="746">
        <v>14.5</v>
      </c>
      <c r="O18" s="753">
        <f t="shared" ref="O18" si="1">+SUM(I18:N18)</f>
        <v>360.3</v>
      </c>
      <c r="P18" s="747">
        <v>72.400000000000006</v>
      </c>
      <c r="Q18" s="459">
        <v>72.7</v>
      </c>
      <c r="R18" s="739">
        <v>18.2</v>
      </c>
      <c r="S18" s="739">
        <v>72.3</v>
      </c>
      <c r="T18" s="746">
        <v>72.900000000000006</v>
      </c>
      <c r="U18" s="748">
        <v>74.400000000000006</v>
      </c>
      <c r="V18" s="739">
        <v>77.5</v>
      </c>
      <c r="W18" s="459">
        <v>18.100000000000001</v>
      </c>
      <c r="X18" s="459">
        <v>76.3</v>
      </c>
      <c r="Y18" s="746">
        <v>76.900000000000006</v>
      </c>
      <c r="Z18" s="845">
        <f t="shared" ref="Z18:Z24" si="2">SUM(H18,O18,P18:Y18)</f>
        <v>1348.9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743">
        <v>298</v>
      </c>
      <c r="C19" s="739">
        <v>13.7</v>
      </c>
      <c r="D19" s="739">
        <v>14.4</v>
      </c>
      <c r="E19" s="739">
        <v>2.2000000000000002</v>
      </c>
      <c r="F19" s="739">
        <v>14.3</v>
      </c>
      <c r="G19" s="744">
        <v>14.3</v>
      </c>
      <c r="H19" s="753">
        <f t="shared" ref="H19:H24" si="3">+SUM(B19:G19)</f>
        <v>356.9</v>
      </c>
      <c r="I19" s="745">
        <v>300.8</v>
      </c>
      <c r="J19" s="739">
        <v>14.1</v>
      </c>
      <c r="K19" s="739">
        <v>14.3</v>
      </c>
      <c r="L19" s="739">
        <v>2.2000000000000002</v>
      </c>
      <c r="M19" s="739">
        <v>14.4</v>
      </c>
      <c r="N19" s="746">
        <v>14.5</v>
      </c>
      <c r="O19" s="753">
        <f t="shared" ref="O19:O24" si="4">+SUM(I19:N19)</f>
        <v>360.3</v>
      </c>
      <c r="P19" s="747">
        <v>72.400000000000006</v>
      </c>
      <c r="Q19" s="459">
        <v>72.7</v>
      </c>
      <c r="R19" s="739">
        <v>17.100000000000001</v>
      </c>
      <c r="S19" s="739">
        <v>72.3</v>
      </c>
      <c r="T19" s="746">
        <v>72.900000000000006</v>
      </c>
      <c r="U19" s="748">
        <v>74.400000000000006</v>
      </c>
      <c r="V19" s="739">
        <v>77.3</v>
      </c>
      <c r="W19" s="459">
        <v>17.5</v>
      </c>
      <c r="X19" s="459">
        <v>76.3</v>
      </c>
      <c r="Y19" s="746">
        <v>76.900000000000006</v>
      </c>
      <c r="Z19" s="209">
        <f t="shared" si="2"/>
        <v>1347.0000000000002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743">
        <v>298</v>
      </c>
      <c r="C20" s="739">
        <v>13.7</v>
      </c>
      <c r="D20" s="739">
        <v>14.4</v>
      </c>
      <c r="E20" s="739">
        <v>2.2000000000000002</v>
      </c>
      <c r="F20" s="739">
        <v>14.3</v>
      </c>
      <c r="G20" s="744">
        <v>14.3</v>
      </c>
      <c r="H20" s="753">
        <f t="shared" si="3"/>
        <v>356.9</v>
      </c>
      <c r="I20" s="745">
        <v>300.8</v>
      </c>
      <c r="J20" s="739">
        <v>14.1</v>
      </c>
      <c r="K20" s="739">
        <v>14.3</v>
      </c>
      <c r="L20" s="739">
        <v>2.2000000000000002</v>
      </c>
      <c r="M20" s="739">
        <v>14.4</v>
      </c>
      <c r="N20" s="746">
        <v>14.5</v>
      </c>
      <c r="O20" s="753">
        <f t="shared" si="4"/>
        <v>360.3</v>
      </c>
      <c r="P20" s="747">
        <v>72.400000000000006</v>
      </c>
      <c r="Q20" s="459">
        <v>72.7</v>
      </c>
      <c r="R20" s="739">
        <v>17.100000000000001</v>
      </c>
      <c r="S20" s="739">
        <v>72.2</v>
      </c>
      <c r="T20" s="746">
        <v>72.900000000000006</v>
      </c>
      <c r="U20" s="748">
        <v>74.400000000000006</v>
      </c>
      <c r="V20" s="739">
        <v>77.3</v>
      </c>
      <c r="W20" s="459">
        <v>17.5</v>
      </c>
      <c r="X20" s="459">
        <v>76.2</v>
      </c>
      <c r="Y20" s="746">
        <v>76.900000000000006</v>
      </c>
      <c r="Z20" s="209">
        <f t="shared" si="2"/>
        <v>1346.8000000000004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743">
        <v>298</v>
      </c>
      <c r="C21" s="739">
        <v>13.7</v>
      </c>
      <c r="D21" s="739">
        <v>14.4</v>
      </c>
      <c r="E21" s="739">
        <v>2.2000000000000002</v>
      </c>
      <c r="F21" s="739">
        <v>14.3</v>
      </c>
      <c r="G21" s="744">
        <v>14.3</v>
      </c>
      <c r="H21" s="753">
        <f t="shared" si="3"/>
        <v>356.9</v>
      </c>
      <c r="I21" s="745">
        <v>300.8</v>
      </c>
      <c r="J21" s="739">
        <v>14.1</v>
      </c>
      <c r="K21" s="739">
        <v>14.3</v>
      </c>
      <c r="L21" s="739">
        <v>2.2000000000000002</v>
      </c>
      <c r="M21" s="739">
        <v>14.4</v>
      </c>
      <c r="N21" s="746">
        <v>14.5</v>
      </c>
      <c r="O21" s="753">
        <f t="shared" si="4"/>
        <v>360.3</v>
      </c>
      <c r="P21" s="747">
        <v>72.400000000000006</v>
      </c>
      <c r="Q21" s="459">
        <v>72.7</v>
      </c>
      <c r="R21" s="739">
        <v>17.100000000000001</v>
      </c>
      <c r="S21" s="739">
        <v>72.2</v>
      </c>
      <c r="T21" s="746">
        <v>72.8</v>
      </c>
      <c r="U21" s="748">
        <v>74.400000000000006</v>
      </c>
      <c r="V21" s="739">
        <v>77.3</v>
      </c>
      <c r="W21" s="459">
        <v>17.5</v>
      </c>
      <c r="X21" s="459">
        <v>76.2</v>
      </c>
      <c r="Y21" s="746">
        <v>76.8</v>
      </c>
      <c r="Z21" s="209">
        <f t="shared" si="2"/>
        <v>1346.6000000000001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743">
        <v>298</v>
      </c>
      <c r="C22" s="739">
        <v>13.7</v>
      </c>
      <c r="D22" s="739">
        <v>14.4</v>
      </c>
      <c r="E22" s="739">
        <v>2.2000000000000002</v>
      </c>
      <c r="F22" s="739">
        <v>14.3</v>
      </c>
      <c r="G22" s="744">
        <v>14.3</v>
      </c>
      <c r="H22" s="753">
        <f t="shared" si="3"/>
        <v>356.9</v>
      </c>
      <c r="I22" s="745">
        <v>300.8</v>
      </c>
      <c r="J22" s="739">
        <v>14.1</v>
      </c>
      <c r="K22" s="739">
        <v>14.3</v>
      </c>
      <c r="L22" s="739">
        <v>2.2000000000000002</v>
      </c>
      <c r="M22" s="739">
        <v>14.4</v>
      </c>
      <c r="N22" s="746">
        <v>14.5</v>
      </c>
      <c r="O22" s="753">
        <f t="shared" si="4"/>
        <v>360.3</v>
      </c>
      <c r="P22" s="747">
        <v>72</v>
      </c>
      <c r="Q22" s="459">
        <v>72.7</v>
      </c>
      <c r="R22" s="739">
        <v>17.100000000000001</v>
      </c>
      <c r="S22" s="739">
        <v>72.2</v>
      </c>
      <c r="T22" s="746">
        <v>72.8</v>
      </c>
      <c r="U22" s="748">
        <v>74.400000000000006</v>
      </c>
      <c r="V22" s="739">
        <v>77.3</v>
      </c>
      <c r="W22" s="459">
        <v>17.5</v>
      </c>
      <c r="X22" s="459">
        <v>76.2</v>
      </c>
      <c r="Y22" s="746">
        <v>76.8</v>
      </c>
      <c r="Z22" s="209">
        <f t="shared" si="2"/>
        <v>1346.2000000000003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743">
        <v>298</v>
      </c>
      <c r="C23" s="739">
        <v>13.7</v>
      </c>
      <c r="D23" s="739">
        <v>14.4</v>
      </c>
      <c r="E23" s="739">
        <v>2.2000000000000002</v>
      </c>
      <c r="F23" s="739">
        <v>14.3</v>
      </c>
      <c r="G23" s="744">
        <v>14.3</v>
      </c>
      <c r="H23" s="753">
        <f t="shared" si="3"/>
        <v>356.9</v>
      </c>
      <c r="I23" s="745">
        <v>300.8</v>
      </c>
      <c r="J23" s="739">
        <v>14.1</v>
      </c>
      <c r="K23" s="739">
        <v>14.3</v>
      </c>
      <c r="L23" s="739">
        <v>2.2000000000000002</v>
      </c>
      <c r="M23" s="739">
        <v>14.4</v>
      </c>
      <c r="N23" s="746">
        <v>14.5</v>
      </c>
      <c r="O23" s="753">
        <f t="shared" si="4"/>
        <v>360.3</v>
      </c>
      <c r="P23" s="747">
        <v>72</v>
      </c>
      <c r="Q23" s="459">
        <v>72.7</v>
      </c>
      <c r="R23" s="739">
        <v>17.100000000000001</v>
      </c>
      <c r="S23" s="739">
        <v>72.2</v>
      </c>
      <c r="T23" s="746">
        <v>72.8</v>
      </c>
      <c r="U23" s="748">
        <v>74.400000000000006</v>
      </c>
      <c r="V23" s="739">
        <v>77.3</v>
      </c>
      <c r="W23" s="459">
        <v>17.399999999999999</v>
      </c>
      <c r="X23" s="459">
        <v>76.2</v>
      </c>
      <c r="Y23" s="746">
        <v>76.8</v>
      </c>
      <c r="Z23" s="209">
        <f t="shared" si="2"/>
        <v>1346.1000000000004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743">
        <v>298</v>
      </c>
      <c r="C24" s="739">
        <v>13.7</v>
      </c>
      <c r="D24" s="739">
        <v>14.4</v>
      </c>
      <c r="E24" s="739">
        <v>2.2000000000000002</v>
      </c>
      <c r="F24" s="739">
        <v>14.3</v>
      </c>
      <c r="G24" s="744">
        <v>14.3</v>
      </c>
      <c r="H24" s="753">
        <f t="shared" si="3"/>
        <v>356.9</v>
      </c>
      <c r="I24" s="745">
        <v>300.8</v>
      </c>
      <c r="J24" s="739">
        <v>14.1</v>
      </c>
      <c r="K24" s="739">
        <v>14.3</v>
      </c>
      <c r="L24" s="739">
        <v>2.2000000000000002</v>
      </c>
      <c r="M24" s="739">
        <v>14.4</v>
      </c>
      <c r="N24" s="746">
        <v>14.5</v>
      </c>
      <c r="O24" s="753">
        <f t="shared" si="4"/>
        <v>360.3</v>
      </c>
      <c r="P24" s="747">
        <v>72</v>
      </c>
      <c r="Q24" s="459">
        <v>72.599999999999994</v>
      </c>
      <c r="R24" s="739">
        <v>17</v>
      </c>
      <c r="S24" s="739">
        <v>72.2</v>
      </c>
      <c r="T24" s="746">
        <v>72.8</v>
      </c>
      <c r="U24" s="748">
        <v>74.3</v>
      </c>
      <c r="V24" s="739">
        <v>77.2</v>
      </c>
      <c r="W24" s="459">
        <v>17.399999999999999</v>
      </c>
      <c r="X24" s="459">
        <v>76.2</v>
      </c>
      <c r="Y24" s="746">
        <v>76.8</v>
      </c>
      <c r="Z24" s="412">
        <f t="shared" si="2"/>
        <v>1345.7000000000003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616">
        <f t="shared" ref="C25:G25" si="5">SUM(C18:C24)</f>
        <v>95.9</v>
      </c>
      <c r="D25" s="616">
        <f t="shared" si="5"/>
        <v>100.80000000000001</v>
      </c>
      <c r="E25" s="616">
        <f t="shared" si="5"/>
        <v>15.399999999999999</v>
      </c>
      <c r="F25" s="616">
        <f t="shared" si="5"/>
        <v>100.1</v>
      </c>
      <c r="G25" s="617">
        <f t="shared" si="5"/>
        <v>100.1</v>
      </c>
      <c r="H25" s="436"/>
      <c r="I25" s="618"/>
      <c r="J25" s="616">
        <f t="shared" ref="J25:N25" si="6">SUM(J18:J24)</f>
        <v>98.699999999999989</v>
      </c>
      <c r="K25" s="616">
        <f>SUM(K18:K24)</f>
        <v>100.1</v>
      </c>
      <c r="L25" s="616">
        <f t="shared" si="6"/>
        <v>15.399999999999999</v>
      </c>
      <c r="M25" s="616">
        <f t="shared" si="6"/>
        <v>100.80000000000001</v>
      </c>
      <c r="N25" s="619">
        <f t="shared" si="6"/>
        <v>101.5</v>
      </c>
      <c r="O25" s="436"/>
      <c r="P25" s="618">
        <f t="shared" ref="P25:W25" si="7">SUM(P18:P24)</f>
        <v>505.6</v>
      </c>
      <c r="Q25" s="618">
        <f t="shared" si="7"/>
        <v>508.79999999999995</v>
      </c>
      <c r="R25" s="618">
        <f t="shared" si="7"/>
        <v>120.69999999999999</v>
      </c>
      <c r="S25" s="618">
        <f t="shared" si="7"/>
        <v>505.59999999999997</v>
      </c>
      <c r="T25" s="618">
        <f t="shared" si="7"/>
        <v>509.90000000000003</v>
      </c>
      <c r="U25" s="618">
        <f t="shared" si="7"/>
        <v>520.69999999999993</v>
      </c>
      <c r="V25" s="618">
        <f t="shared" si="7"/>
        <v>541.20000000000005</v>
      </c>
      <c r="W25" s="618">
        <f t="shared" si="7"/>
        <v>122.9</v>
      </c>
      <c r="X25" s="618">
        <f>SUM(X18:X24)</f>
        <v>533.6</v>
      </c>
      <c r="Y25" s="810">
        <f>SUM(Y18:Y24)</f>
        <v>537.9</v>
      </c>
      <c r="Z25" s="449">
        <f>SUM(Z18,Z19,Z20,Z21,Z22,Z23,Z24)</f>
        <v>9427.3000000000029</v>
      </c>
      <c r="AA25" s="301"/>
    </row>
    <row r="26" spans="1:40" s="2" customFormat="1" ht="36.75" customHeight="1" x14ac:dyDescent="0.25">
      <c r="A26" s="192" t="s">
        <v>11</v>
      </c>
      <c r="B26" s="808"/>
      <c r="C26" s="620">
        <v>155.6</v>
      </c>
      <c r="D26" s="620">
        <v>155.6</v>
      </c>
      <c r="E26" s="620">
        <v>155.6</v>
      </c>
      <c r="F26" s="620">
        <v>155.6</v>
      </c>
      <c r="G26" s="620">
        <v>155.6</v>
      </c>
      <c r="H26" s="809"/>
      <c r="I26" s="620"/>
      <c r="J26" s="620">
        <v>155.6</v>
      </c>
      <c r="K26" s="620">
        <v>155.6</v>
      </c>
      <c r="L26" s="620">
        <v>155.6</v>
      </c>
      <c r="M26" s="620">
        <v>155.6</v>
      </c>
      <c r="N26" s="620">
        <v>155.6</v>
      </c>
      <c r="O26" s="809"/>
      <c r="P26" s="620">
        <v>154</v>
      </c>
      <c r="Q26" s="620">
        <v>154</v>
      </c>
      <c r="R26" s="620">
        <v>154</v>
      </c>
      <c r="S26" s="620">
        <v>154</v>
      </c>
      <c r="T26" s="620">
        <v>154</v>
      </c>
      <c r="U26" s="620">
        <v>154</v>
      </c>
      <c r="V26" s="620">
        <v>154</v>
      </c>
      <c r="W26" s="620">
        <v>154</v>
      </c>
      <c r="X26" s="620">
        <v>154</v>
      </c>
      <c r="Y26" s="620">
        <v>154</v>
      </c>
      <c r="Z26" s="793">
        <f>(((Z25*1000)/7)/Z27)</f>
        <v>155.67647010254808</v>
      </c>
    </row>
    <row r="27" spans="1:40" s="2" customFormat="1" ht="33" customHeight="1" x14ac:dyDescent="0.25">
      <c r="A27" s="193" t="s">
        <v>12</v>
      </c>
      <c r="B27" s="193"/>
      <c r="C27" s="26">
        <v>534</v>
      </c>
      <c r="D27" s="27">
        <v>556</v>
      </c>
      <c r="E27" s="27">
        <v>80</v>
      </c>
      <c r="F27" s="27">
        <v>554</v>
      </c>
      <c r="G27" s="28">
        <v>559</v>
      </c>
      <c r="H27" s="611"/>
      <c r="I27" s="26"/>
      <c r="J27" s="27">
        <v>542</v>
      </c>
      <c r="K27" s="27">
        <v>554</v>
      </c>
      <c r="L27" s="483">
        <v>73</v>
      </c>
      <c r="M27" s="27">
        <v>560</v>
      </c>
      <c r="N27" s="28">
        <v>562</v>
      </c>
      <c r="O27" s="611"/>
      <c r="P27" s="26">
        <v>468</v>
      </c>
      <c r="Q27" s="27">
        <v>472</v>
      </c>
      <c r="R27" s="27">
        <v>109</v>
      </c>
      <c r="S27" s="27">
        <v>468</v>
      </c>
      <c r="T27" s="483">
        <v>472</v>
      </c>
      <c r="U27" s="26">
        <v>481</v>
      </c>
      <c r="V27" s="27">
        <v>502</v>
      </c>
      <c r="W27" s="27">
        <v>112</v>
      </c>
      <c r="X27" s="27">
        <v>495</v>
      </c>
      <c r="Y27" s="28">
        <v>498</v>
      </c>
      <c r="Z27" s="211">
        <f>SUM(C27:Y27)</f>
        <v>8651</v>
      </c>
      <c r="AA27" s="402"/>
    </row>
    <row r="28" spans="1:40" s="2" customFormat="1" ht="33" customHeight="1" x14ac:dyDescent="0.25">
      <c r="A28" s="444" t="s">
        <v>13</v>
      </c>
      <c r="B28" s="444"/>
      <c r="C28" s="30">
        <f>(C33*C27)/1000</f>
        <v>13.670399999999997</v>
      </c>
      <c r="D28" s="31">
        <f>(D33*D27)/1000</f>
        <v>14.233599999999997</v>
      </c>
      <c r="E28" s="31">
        <f t="shared" ref="E28:F28" si="8">(E33*E27)/1000</f>
        <v>2.0479999999999996</v>
      </c>
      <c r="F28" s="31">
        <f t="shared" si="8"/>
        <v>14.182399999999996</v>
      </c>
      <c r="G28" s="32">
        <f>(G33*G27)/1000</f>
        <v>14.310399999999996</v>
      </c>
      <c r="H28" s="612"/>
      <c r="I28" s="30"/>
      <c r="J28" s="31">
        <f>(J33*J27)/1000</f>
        <v>13.875199999999998</v>
      </c>
      <c r="K28" s="31">
        <f t="shared" ref="K28:N28" si="9">(K33*K27)/1000</f>
        <v>14.182399999999996</v>
      </c>
      <c r="L28" s="31">
        <f t="shared" si="9"/>
        <v>1.8687999999999996</v>
      </c>
      <c r="M28" s="31">
        <f t="shared" si="9"/>
        <v>14.335999999999997</v>
      </c>
      <c r="N28" s="32">
        <f t="shared" si="9"/>
        <v>14.387199999999996</v>
      </c>
      <c r="O28" s="612"/>
      <c r="P28" s="30">
        <f>((((P26*7)*P27)/1000)/7)</f>
        <v>72.072000000000003</v>
      </c>
      <c r="Q28" s="31">
        <f t="shared" ref="Q28:Z28" si="10">((((Q26*7)*Q27)/1000)/7)</f>
        <v>72.688000000000002</v>
      </c>
      <c r="R28" s="31">
        <f t="shared" si="10"/>
        <v>16.785999999999998</v>
      </c>
      <c r="S28" s="31">
        <f t="shared" si="10"/>
        <v>72.072000000000003</v>
      </c>
      <c r="T28" s="31">
        <f t="shared" si="10"/>
        <v>72.688000000000002</v>
      </c>
      <c r="U28" s="30">
        <f t="shared" si="10"/>
        <v>74.073999999999998</v>
      </c>
      <c r="V28" s="31">
        <f t="shared" si="10"/>
        <v>77.307999999999993</v>
      </c>
      <c r="W28" s="31">
        <f t="shared" si="10"/>
        <v>17.248000000000001</v>
      </c>
      <c r="X28" s="31">
        <f t="shared" si="10"/>
        <v>76.23</v>
      </c>
      <c r="Y28" s="32">
        <f t="shared" si="10"/>
        <v>76.692000000000007</v>
      </c>
      <c r="Z28" s="286">
        <f t="shared" si="10"/>
        <v>1346.7571428571432</v>
      </c>
    </row>
    <row r="29" spans="1:40" ht="33.75" customHeight="1" x14ac:dyDescent="0.25">
      <c r="A29" s="185" t="s">
        <v>14</v>
      </c>
      <c r="B29" s="185"/>
      <c r="C29" s="279">
        <f>((C27*C30)*7)/1000</f>
        <v>95.90000000000002</v>
      </c>
      <c r="D29" s="280">
        <f t="shared" ref="D29:G29" si="11">((D27*D30)*7)/1000</f>
        <v>100.80000000000003</v>
      </c>
      <c r="E29" s="280">
        <f>((E27*E30)*7)/1000</f>
        <v>15.399999999999997</v>
      </c>
      <c r="F29" s="280">
        <f t="shared" si="11"/>
        <v>100.09999999999998</v>
      </c>
      <c r="G29" s="282">
        <f t="shared" si="11"/>
        <v>100.1</v>
      </c>
      <c r="H29" s="613"/>
      <c r="I29" s="279"/>
      <c r="J29" s="280">
        <f>((J27*J30)*7)/1000</f>
        <v>98.7</v>
      </c>
      <c r="K29" s="280">
        <f t="shared" ref="K29:N29" si="12">((K27*K30)*7)/1000</f>
        <v>100.09999999999998</v>
      </c>
      <c r="L29" s="280">
        <f t="shared" si="12"/>
        <v>15.399999999999997</v>
      </c>
      <c r="M29" s="280">
        <f t="shared" si="12"/>
        <v>100.80000000000001</v>
      </c>
      <c r="N29" s="282">
        <f t="shared" si="12"/>
        <v>101.5</v>
      </c>
      <c r="O29" s="613"/>
      <c r="P29" s="279">
        <f t="shared" ref="P29:Z29" si="13">((P27*P26)*7)/1000</f>
        <v>504.50400000000002</v>
      </c>
      <c r="Q29" s="280">
        <f t="shared" si="13"/>
        <v>508.81599999999997</v>
      </c>
      <c r="R29" s="280">
        <f t="shared" si="13"/>
        <v>117.502</v>
      </c>
      <c r="S29" s="280">
        <f t="shared" si="13"/>
        <v>504.50400000000002</v>
      </c>
      <c r="T29" s="280">
        <f t="shared" si="13"/>
        <v>508.81599999999997</v>
      </c>
      <c r="U29" s="279">
        <f t="shared" si="13"/>
        <v>518.51800000000003</v>
      </c>
      <c r="V29" s="280">
        <f t="shared" si="13"/>
        <v>541.15599999999995</v>
      </c>
      <c r="W29" s="280">
        <f t="shared" si="13"/>
        <v>120.736</v>
      </c>
      <c r="X29" s="280">
        <f t="shared" si="13"/>
        <v>533.61</v>
      </c>
      <c r="Y29" s="282">
        <f t="shared" si="13"/>
        <v>536.84400000000005</v>
      </c>
      <c r="Z29" s="680">
        <f t="shared" si="13"/>
        <v>9427.3000000000029</v>
      </c>
    </row>
    <row r="30" spans="1:40" ht="33.75" customHeight="1" thickBot="1" x14ac:dyDescent="0.3">
      <c r="A30" s="195" t="s">
        <v>15</v>
      </c>
      <c r="B30" s="195"/>
      <c r="C30" s="37">
        <f>+(C25/C27)/7*1000</f>
        <v>25.655430711610489</v>
      </c>
      <c r="D30" s="38">
        <f t="shared" ref="D30:X30" si="14">+(D25/D27)/7*1000</f>
        <v>25.899280575539574</v>
      </c>
      <c r="E30" s="38">
        <f>+(E25/E27)/7*1000</f>
        <v>27.499999999999996</v>
      </c>
      <c r="F30" s="38">
        <f t="shared" si="14"/>
        <v>25.812274368231044</v>
      </c>
      <c r="G30" s="39">
        <f t="shared" si="14"/>
        <v>25.581395348837209</v>
      </c>
      <c r="H30" s="614"/>
      <c r="I30" s="37"/>
      <c r="J30" s="38">
        <f t="shared" si="14"/>
        <v>26.014760147601475</v>
      </c>
      <c r="K30" s="38">
        <f t="shared" si="14"/>
        <v>25.812274368231044</v>
      </c>
      <c r="L30" s="38">
        <f t="shared" si="14"/>
        <v>30.136986301369859</v>
      </c>
      <c r="M30" s="38">
        <f t="shared" si="14"/>
        <v>25.714285714285719</v>
      </c>
      <c r="N30" s="39">
        <f>+(N25/N27)/7*1000</f>
        <v>25.800711743772244</v>
      </c>
      <c r="O30" s="614"/>
      <c r="P30" s="37">
        <f t="shared" si="14"/>
        <v>154.33455433455438</v>
      </c>
      <c r="Q30" s="38">
        <f t="shared" si="14"/>
        <v>153.99515738498786</v>
      </c>
      <c r="R30" s="38">
        <f t="shared" si="14"/>
        <v>158.19134993446917</v>
      </c>
      <c r="S30" s="38">
        <f t="shared" si="14"/>
        <v>154.33455433455433</v>
      </c>
      <c r="T30" s="38">
        <f t="shared" si="14"/>
        <v>154.32808716707021</v>
      </c>
      <c r="U30" s="37">
        <f t="shared" si="14"/>
        <v>154.64805464805463</v>
      </c>
      <c r="V30" s="38">
        <f t="shared" si="14"/>
        <v>154.01252134319864</v>
      </c>
      <c r="W30" s="38">
        <f t="shared" si="14"/>
        <v>156.76020408163265</v>
      </c>
      <c r="X30" s="38">
        <f t="shared" si="14"/>
        <v>153.99711399711398</v>
      </c>
      <c r="Y30" s="39">
        <f>+(Y25/Y27)/7*1000</f>
        <v>154.30292598967296</v>
      </c>
      <c r="Z30" s="262">
        <f>+(Z25/Z27)/7*1000</f>
        <v>155.67647010254805</v>
      </c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5">D29-D25</f>
        <v>0</v>
      </c>
      <c r="E31" s="42">
        <f t="shared" si="15"/>
        <v>0</v>
      </c>
      <c r="F31" s="42">
        <f t="shared" si="15"/>
        <v>0</v>
      </c>
      <c r="G31" s="42">
        <f t="shared" si="15"/>
        <v>0</v>
      </c>
      <c r="H31" s="42"/>
      <c r="I31" s="42"/>
      <c r="J31" s="42">
        <f>J29-J25</f>
        <v>0</v>
      </c>
      <c r="K31" s="42">
        <f>K29-K25</f>
        <v>0</v>
      </c>
      <c r="L31" s="42">
        <f t="shared" si="15"/>
        <v>0</v>
      </c>
      <c r="M31" s="42">
        <f t="shared" si="15"/>
        <v>0</v>
      </c>
      <c r="N31" s="42">
        <f t="shared" si="15"/>
        <v>0</v>
      </c>
      <c r="O31" s="42"/>
      <c r="P31" s="42">
        <f>P29-P25</f>
        <v>-1.0960000000000036</v>
      </c>
      <c r="Q31" s="42">
        <f>Q29-Q25</f>
        <v>1.6000000000019554E-2</v>
      </c>
      <c r="R31" s="42">
        <f t="shared" si="15"/>
        <v>-3.1979999999999933</v>
      </c>
      <c r="S31" s="42">
        <f t="shared" si="15"/>
        <v>-1.0959999999999468</v>
      </c>
      <c r="T31" s="42">
        <f t="shared" si="15"/>
        <v>-1.08400000000006</v>
      </c>
      <c r="U31" s="42">
        <f>U29-U25</f>
        <v>-2.1819999999999027</v>
      </c>
      <c r="V31" s="42">
        <f t="shared" si="15"/>
        <v>-4.4000000000096406E-2</v>
      </c>
      <c r="W31" s="42">
        <f t="shared" si="15"/>
        <v>-2.1640000000000015</v>
      </c>
      <c r="X31" s="42">
        <f t="shared" si="15"/>
        <v>9.9999999999909051E-3</v>
      </c>
      <c r="Y31" s="42">
        <f>Y29-Y25</f>
        <v>-1.0559999999999263</v>
      </c>
      <c r="Z31" s="42">
        <f>Z29-Z25</f>
        <v>0</v>
      </c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5.5430711610494399E-2</v>
      </c>
      <c r="D32" s="42">
        <f t="shared" ref="D32:G32" si="16">D30-D33</f>
        <v>0.29928057553957998</v>
      </c>
      <c r="E32" s="42">
        <f>E30-E33</f>
        <v>1.9000000000000021</v>
      </c>
      <c r="F32" s="42">
        <f t="shared" si="16"/>
        <v>0.21227436823104995</v>
      </c>
      <c r="G32" s="42">
        <f t="shared" si="16"/>
        <v>-1.8604651162785757E-2</v>
      </c>
      <c r="H32" s="42"/>
      <c r="I32" s="42"/>
      <c r="J32" s="42">
        <f t="shared" ref="J32:M32" si="17">J30-J33</f>
        <v>0.41476014760148061</v>
      </c>
      <c r="K32" s="42">
        <f t="shared" si="17"/>
        <v>0.21227436823104995</v>
      </c>
      <c r="L32" s="42">
        <f t="shared" si="17"/>
        <v>4.5369863013698648</v>
      </c>
      <c r="M32" s="42">
        <f t="shared" si="17"/>
        <v>0.11428571428572454</v>
      </c>
      <c r="N32" s="42">
        <f>N30-N33</f>
        <v>0.20071174377224921</v>
      </c>
      <c r="O32" s="42"/>
      <c r="P32" s="42">
        <f>P30-P26</f>
        <v>0.3345543345543831</v>
      </c>
      <c r="Q32" s="42">
        <f t="shared" si="15"/>
        <v>-4.8426150121372302E-3</v>
      </c>
      <c r="R32" s="42">
        <f t="shared" si="15"/>
        <v>4.1913499344691729</v>
      </c>
      <c r="S32" s="42">
        <f t="shared" si="15"/>
        <v>0.33455433455432626</v>
      </c>
      <c r="T32" s="42">
        <f t="shared" si="15"/>
        <v>0.32808716707020835</v>
      </c>
      <c r="U32" s="42">
        <f t="shared" si="15"/>
        <v>0.6480546480546252</v>
      </c>
      <c r="V32" s="42">
        <f t="shared" si="15"/>
        <v>1.2521343198642398E-2</v>
      </c>
      <c r="W32" s="42">
        <f t="shared" si="15"/>
        <v>2.7602040816326507</v>
      </c>
      <c r="X32" s="42">
        <f t="shared" si="15"/>
        <v>-2.8860028860151488E-3</v>
      </c>
      <c r="Y32" s="42">
        <f t="shared" si="15"/>
        <v>0.30292598967295703</v>
      </c>
      <c r="Z32" s="42">
        <f t="shared" ref="Z32" si="18">Z30-Z26</f>
        <v>0</v>
      </c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25.599999999999994</v>
      </c>
      <c r="D33" s="42">
        <f t="shared" ref="D33:G33" si="19">D26-$B$34</f>
        <v>25.599999999999994</v>
      </c>
      <c r="E33" s="42">
        <f>E26-$B$34</f>
        <v>25.599999999999994</v>
      </c>
      <c r="F33" s="42">
        <f t="shared" si="19"/>
        <v>25.599999999999994</v>
      </c>
      <c r="G33" s="42">
        <f t="shared" si="19"/>
        <v>25.599999999999994</v>
      </c>
      <c r="H33" s="42"/>
      <c r="I33" s="42"/>
      <c r="J33" s="42">
        <f>J26-$I$34</f>
        <v>25.599999999999994</v>
      </c>
      <c r="K33" s="42">
        <f t="shared" ref="K33:L33" si="20">K26-$I$34</f>
        <v>25.599999999999994</v>
      </c>
      <c r="L33" s="42">
        <f t="shared" si="20"/>
        <v>25.599999999999994</v>
      </c>
      <c r="M33" s="42">
        <f>M26-$I$34</f>
        <v>25.599999999999994</v>
      </c>
      <c r="N33" s="42">
        <f>N26-$I$34</f>
        <v>25.599999999999994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296.79000000000002</v>
      </c>
      <c r="D34" s="432">
        <f>SUM(C27:G27)</f>
        <v>2283</v>
      </c>
      <c r="E34" s="42"/>
      <c r="F34" s="42"/>
      <c r="G34" s="42"/>
      <c r="H34" s="42"/>
      <c r="I34" s="514">
        <v>130</v>
      </c>
      <c r="J34" s="431">
        <f>(I34*K34)/1000</f>
        <v>297.83</v>
      </c>
      <c r="K34" s="432">
        <f>SUM(J27:N27)</f>
        <v>2291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977" t="s">
        <v>9</v>
      </c>
      <c r="T39" s="645"/>
      <c r="V39" s="45"/>
      <c r="W39" s="45"/>
      <c r="X39" s="46"/>
      <c r="Y39" s="3"/>
      <c r="Z39" s="45"/>
      <c r="AA39" s="45"/>
      <c r="AB39" s="45"/>
      <c r="AC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204">
        <v>5</v>
      </c>
      <c r="R40" s="984"/>
      <c r="T40" s="645"/>
      <c r="V40" s="47"/>
      <c r="Y40" s="48"/>
      <c r="Z40" s="2"/>
      <c r="AA40" s="2"/>
      <c r="AB40" s="2"/>
      <c r="AC40" s="2"/>
    </row>
    <row r="41" spans="1:38" ht="33.75" customHeight="1" x14ac:dyDescent="0.25">
      <c r="A41" s="171" t="s">
        <v>32</v>
      </c>
      <c r="B41" s="279">
        <v>81</v>
      </c>
      <c r="C41" s="280">
        <v>80</v>
      </c>
      <c r="D41" s="280">
        <v>12.3</v>
      </c>
      <c r="E41" s="280">
        <v>85.1</v>
      </c>
      <c r="F41" s="281">
        <v>80.8</v>
      </c>
      <c r="G41" s="209">
        <f t="shared" ref="G41:G48" si="21">SUM(B41:F41)</f>
        <v>339.2</v>
      </c>
      <c r="H41" s="364"/>
      <c r="I41" s="364"/>
      <c r="J41" s="364"/>
      <c r="K41" s="364"/>
      <c r="L41" s="171" t="s">
        <v>53</v>
      </c>
      <c r="M41" s="279">
        <v>6.6</v>
      </c>
      <c r="N41" s="280">
        <v>6.7</v>
      </c>
      <c r="O41" s="280">
        <v>1.2</v>
      </c>
      <c r="P41" s="280">
        <v>6.7</v>
      </c>
      <c r="Q41" s="281">
        <v>6.6</v>
      </c>
      <c r="R41" s="801">
        <f>SUM(M41:Q41)</f>
        <v>27.799999999999997</v>
      </c>
      <c r="T41" s="646"/>
      <c r="U41" s="675"/>
      <c r="V41" s="657"/>
      <c r="Y41" s="48"/>
      <c r="Z41" s="2"/>
      <c r="AA41" s="2"/>
      <c r="AB41" s="2"/>
      <c r="AC41" s="2"/>
    </row>
    <row r="42" spans="1:38" ht="33.75" customHeight="1" x14ac:dyDescent="0.25">
      <c r="A42" s="171" t="s">
        <v>24</v>
      </c>
      <c r="B42" s="279">
        <v>80.900000000000006</v>
      </c>
      <c r="C42" s="280">
        <v>80</v>
      </c>
      <c r="D42" s="280">
        <v>12.2</v>
      </c>
      <c r="E42" s="280">
        <v>85.1</v>
      </c>
      <c r="F42" s="281">
        <v>80.599999999999994</v>
      </c>
      <c r="G42" s="209">
        <f t="shared" si="21"/>
        <v>338.79999999999995</v>
      </c>
      <c r="H42" s="364"/>
      <c r="I42" s="364"/>
      <c r="J42" s="364"/>
      <c r="K42" s="364"/>
      <c r="L42" s="171" t="s">
        <v>24</v>
      </c>
      <c r="M42" s="279">
        <v>6.6</v>
      </c>
      <c r="N42" s="280">
        <v>6.5</v>
      </c>
      <c r="O42" s="280">
        <v>1.1000000000000001</v>
      </c>
      <c r="P42" s="280">
        <v>6.7</v>
      </c>
      <c r="Q42" s="281">
        <v>6.5</v>
      </c>
      <c r="R42" s="209">
        <f t="shared" ref="R42:R47" si="22">SUM(M42:Q42)</f>
        <v>27.4</v>
      </c>
      <c r="T42" s="646"/>
      <c r="U42" s="647"/>
      <c r="V42" s="658"/>
      <c r="Y42" s="48"/>
      <c r="Z42" s="2"/>
      <c r="AA42" s="2"/>
      <c r="AB42" s="2"/>
      <c r="AC42" s="2"/>
    </row>
    <row r="43" spans="1:38" ht="33.75" customHeight="1" x14ac:dyDescent="0.25">
      <c r="A43" s="171" t="s">
        <v>20</v>
      </c>
      <c r="B43" s="279">
        <v>80.900000000000006</v>
      </c>
      <c r="C43" s="280">
        <v>80</v>
      </c>
      <c r="D43" s="280">
        <v>12.2</v>
      </c>
      <c r="E43" s="280">
        <v>85.1</v>
      </c>
      <c r="F43" s="281">
        <v>80.599999999999994</v>
      </c>
      <c r="G43" s="209">
        <f>SUM(B43:F43)</f>
        <v>338.79999999999995</v>
      </c>
      <c r="H43" s="364"/>
      <c r="I43" s="364"/>
      <c r="J43" s="364"/>
      <c r="K43" s="364"/>
      <c r="L43" s="171" t="s">
        <v>20</v>
      </c>
      <c r="M43" s="279">
        <v>6.6</v>
      </c>
      <c r="N43" s="280">
        <v>6.5</v>
      </c>
      <c r="O43" s="280">
        <v>1.1000000000000001</v>
      </c>
      <c r="P43" s="280">
        <v>6.7</v>
      </c>
      <c r="Q43" s="281">
        <v>6.5</v>
      </c>
      <c r="R43" s="209">
        <f t="shared" si="22"/>
        <v>27.4</v>
      </c>
      <c r="T43" s="646"/>
      <c r="U43" s="647"/>
      <c r="V43" s="658"/>
      <c r="Y43" s="48"/>
      <c r="Z43" s="2"/>
      <c r="AA43" s="2"/>
      <c r="AB43" s="2"/>
      <c r="AC43" s="2"/>
    </row>
    <row r="44" spans="1:38" ht="33.75" customHeight="1" x14ac:dyDescent="0.25">
      <c r="A44" s="171" t="s">
        <v>28</v>
      </c>
      <c r="B44" s="279">
        <v>80.900000000000006</v>
      </c>
      <c r="C44" s="280">
        <v>80</v>
      </c>
      <c r="D44" s="280">
        <v>12.2</v>
      </c>
      <c r="E44" s="280">
        <v>85</v>
      </c>
      <c r="F44" s="281">
        <v>80.599999999999994</v>
      </c>
      <c r="G44" s="209">
        <f t="shared" si="21"/>
        <v>338.70000000000005</v>
      </c>
      <c r="H44" s="651"/>
      <c r="I44" s="364"/>
      <c r="J44" s="364"/>
      <c r="K44" s="364"/>
      <c r="L44" s="171" t="s">
        <v>28</v>
      </c>
      <c r="M44" s="279">
        <v>6.6</v>
      </c>
      <c r="N44" s="280">
        <v>6.5</v>
      </c>
      <c r="O44" s="280">
        <v>1.1000000000000001</v>
      </c>
      <c r="P44" s="280">
        <v>6.7</v>
      </c>
      <c r="Q44" s="281">
        <v>6.5</v>
      </c>
      <c r="R44" s="209">
        <f t="shared" si="22"/>
        <v>27.4</v>
      </c>
      <c r="T44" s="646"/>
      <c r="U44" s="647"/>
      <c r="V44" s="658"/>
      <c r="Y44" s="48"/>
      <c r="Z44" s="2"/>
      <c r="AA44" s="2"/>
      <c r="AB44" s="2"/>
      <c r="AC44" s="2"/>
    </row>
    <row r="45" spans="1:38" ht="33.75" customHeight="1" x14ac:dyDescent="0.25">
      <c r="A45" s="171" t="s">
        <v>21</v>
      </c>
      <c r="B45" s="279">
        <v>80.900000000000006</v>
      </c>
      <c r="C45" s="280">
        <v>80</v>
      </c>
      <c r="D45" s="280">
        <v>12.2</v>
      </c>
      <c r="E45" s="280">
        <v>85</v>
      </c>
      <c r="F45" s="281">
        <v>80.599999999999994</v>
      </c>
      <c r="G45" s="209">
        <f t="shared" si="21"/>
        <v>338.70000000000005</v>
      </c>
      <c r="H45" s="651"/>
      <c r="I45" s="364"/>
      <c r="J45" s="364"/>
      <c r="K45" s="364"/>
      <c r="L45" s="171" t="s">
        <v>21</v>
      </c>
      <c r="M45" s="279">
        <v>6.6</v>
      </c>
      <c r="N45" s="280">
        <v>6.5</v>
      </c>
      <c r="O45" s="280">
        <v>1.1000000000000001</v>
      </c>
      <c r="P45" s="280">
        <v>6.7</v>
      </c>
      <c r="Q45" s="281">
        <v>6.5</v>
      </c>
      <c r="R45" s="209">
        <f t="shared" si="22"/>
        <v>27.4</v>
      </c>
      <c r="T45" s="646"/>
      <c r="U45" s="647"/>
      <c r="V45" s="658"/>
      <c r="Y45" s="48"/>
      <c r="Z45" s="2"/>
      <c r="AA45" s="2"/>
      <c r="AB45" s="2"/>
      <c r="AC45" s="2"/>
    </row>
    <row r="46" spans="1:38" ht="33.75" customHeight="1" x14ac:dyDescent="0.25">
      <c r="A46" s="171" t="s">
        <v>22</v>
      </c>
      <c r="B46" s="279">
        <v>80.900000000000006</v>
      </c>
      <c r="C46" s="280">
        <v>80</v>
      </c>
      <c r="D46" s="280">
        <v>12.2</v>
      </c>
      <c r="E46" s="280">
        <v>85</v>
      </c>
      <c r="F46" s="281">
        <v>80.599999999999994</v>
      </c>
      <c r="G46" s="209">
        <f t="shared" si="21"/>
        <v>338.70000000000005</v>
      </c>
      <c r="H46" s="651"/>
      <c r="I46" s="364"/>
      <c r="J46" s="364"/>
      <c r="K46" s="364"/>
      <c r="L46" s="171" t="s">
        <v>22</v>
      </c>
      <c r="M46" s="279">
        <v>6.6</v>
      </c>
      <c r="N46" s="280">
        <v>6.5</v>
      </c>
      <c r="O46" s="280">
        <v>1.1000000000000001</v>
      </c>
      <c r="P46" s="280">
        <v>6.7</v>
      </c>
      <c r="Q46" s="281">
        <v>6.5</v>
      </c>
      <c r="R46" s="209">
        <f t="shared" si="22"/>
        <v>27.4</v>
      </c>
      <c r="T46" s="646"/>
      <c r="U46" s="647"/>
      <c r="V46" s="658"/>
      <c r="Y46" s="48"/>
      <c r="Z46" s="2"/>
      <c r="AA46" s="2"/>
      <c r="AB46" s="2"/>
      <c r="AC46" s="2"/>
    </row>
    <row r="47" spans="1:38" ht="33.75" customHeight="1" thickBot="1" x14ac:dyDescent="0.3">
      <c r="A47" s="285" t="s">
        <v>23</v>
      </c>
      <c r="B47" s="279">
        <v>80.900000000000006</v>
      </c>
      <c r="C47" s="280">
        <v>80</v>
      </c>
      <c r="D47" s="280">
        <v>12.2</v>
      </c>
      <c r="E47" s="280">
        <v>85</v>
      </c>
      <c r="F47" s="281">
        <v>80.5</v>
      </c>
      <c r="G47" s="376">
        <f t="shared" si="21"/>
        <v>338.6</v>
      </c>
      <c r="H47" s="651"/>
      <c r="I47" s="364"/>
      <c r="J47" s="364"/>
      <c r="K47" s="364"/>
      <c r="L47" s="285" t="s">
        <v>23</v>
      </c>
      <c r="M47" s="279">
        <v>6.6</v>
      </c>
      <c r="N47" s="280">
        <v>6.6</v>
      </c>
      <c r="O47" s="280">
        <v>1.1000000000000001</v>
      </c>
      <c r="P47" s="280">
        <v>6.7</v>
      </c>
      <c r="Q47" s="281">
        <v>6.5</v>
      </c>
      <c r="R47" s="376">
        <f t="shared" si="22"/>
        <v>27.5</v>
      </c>
      <c r="T47" s="646"/>
      <c r="U47" s="647"/>
      <c r="V47" s="658"/>
      <c r="Y47" s="48"/>
      <c r="Z47" s="48"/>
      <c r="AA47" s="48"/>
      <c r="AB47" s="2"/>
      <c r="AC47" s="2"/>
      <c r="AD47" s="2"/>
      <c r="AE47" s="2"/>
    </row>
    <row r="48" spans="1:38" ht="33.75" customHeight="1" thickBot="1" x14ac:dyDescent="0.3">
      <c r="A48" s="290" t="s">
        <v>9</v>
      </c>
      <c r="B48" s="297">
        <f>SUM(B41:B47)</f>
        <v>566.4</v>
      </c>
      <c r="C48" s="298">
        <f t="shared" ref="C48:F48" si="23">SUM(C41:C47)</f>
        <v>560</v>
      </c>
      <c r="D48" s="298">
        <f t="shared" si="23"/>
        <v>85.500000000000014</v>
      </c>
      <c r="E48" s="298">
        <f t="shared" si="23"/>
        <v>595.29999999999995</v>
      </c>
      <c r="F48" s="448">
        <f t="shared" si="23"/>
        <v>564.29999999999995</v>
      </c>
      <c r="G48" s="729">
        <f t="shared" si="21"/>
        <v>2371.5</v>
      </c>
      <c r="H48" s="364"/>
      <c r="I48" s="364"/>
      <c r="J48" s="364"/>
      <c r="K48" s="364"/>
      <c r="L48" s="290" t="s">
        <v>9</v>
      </c>
      <c r="M48" s="763">
        <f>SUM(M41:M47)</f>
        <v>46.2</v>
      </c>
      <c r="N48" s="764">
        <f>SUM(N41:N47)</f>
        <v>45.800000000000004</v>
      </c>
      <c r="O48" s="764">
        <f>SUM(O41:O47)</f>
        <v>7.7999999999999989</v>
      </c>
      <c r="P48" s="764">
        <f t="shared" ref="P48:Q48" si="24">SUM(P41:P47)</f>
        <v>46.900000000000006</v>
      </c>
      <c r="Q48" s="765">
        <f t="shared" si="24"/>
        <v>45.6</v>
      </c>
      <c r="R48" s="815">
        <f>SUM(M48:Q48)</f>
        <v>192.29999999999998</v>
      </c>
      <c r="T48" s="647"/>
      <c r="U48" s="647"/>
      <c r="V48" s="658"/>
      <c r="Y48" s="2"/>
      <c r="Z48" s="2"/>
      <c r="AA48" s="2"/>
      <c r="AB48" s="2"/>
      <c r="AC48" s="2"/>
      <c r="AD48" s="2"/>
      <c r="AE48" s="2"/>
    </row>
    <row r="49" spans="1:50" ht="33.75" customHeight="1" x14ac:dyDescent="0.25">
      <c r="A49" s="192" t="s">
        <v>11</v>
      </c>
      <c r="B49" s="751">
        <v>152.67699999999985</v>
      </c>
      <c r="C49" s="751">
        <v>152.67699999999985</v>
      </c>
      <c r="D49" s="751">
        <v>152.67699999999985</v>
      </c>
      <c r="E49" s="751">
        <v>152.67699999999985</v>
      </c>
      <c r="F49" s="751">
        <v>152.67699999999985</v>
      </c>
      <c r="G49" s="730">
        <f>+((G48/G50)/7)*1000</f>
        <v>154.48504983388702</v>
      </c>
      <c r="H49" s="609"/>
      <c r="I49" s="364"/>
      <c r="J49" s="364"/>
      <c r="K49" s="364"/>
      <c r="L49" s="273" t="s">
        <v>11</v>
      </c>
      <c r="M49" s="357">
        <v>161.5</v>
      </c>
      <c r="N49" s="358">
        <v>160</v>
      </c>
      <c r="O49" s="358">
        <v>160.5</v>
      </c>
      <c r="P49" s="358">
        <v>160</v>
      </c>
      <c r="Q49" s="624">
        <v>159.5</v>
      </c>
      <c r="R49" s="730">
        <f>+((R48/R50)/7)*1000</f>
        <v>159.71760797342191</v>
      </c>
      <c r="T49" s="648" t="s">
        <v>131</v>
      </c>
      <c r="U49" s="647"/>
      <c r="V49" s="658"/>
      <c r="W49" s="50"/>
    </row>
    <row r="50" spans="1:50" ht="33.75" customHeight="1" x14ac:dyDescent="0.25">
      <c r="A50" s="193" t="s">
        <v>12</v>
      </c>
      <c r="B50" s="26">
        <v>525</v>
      </c>
      <c r="C50" s="27">
        <v>515</v>
      </c>
      <c r="D50" s="27">
        <v>75</v>
      </c>
      <c r="E50" s="27">
        <v>553</v>
      </c>
      <c r="F50" s="183">
        <v>525</v>
      </c>
      <c r="G50" s="731">
        <f>SUM(B50:F50)</f>
        <v>2193</v>
      </c>
      <c r="H50" s="609"/>
      <c r="I50" s="364"/>
      <c r="J50" s="364"/>
      <c r="K50" s="364"/>
      <c r="L50" s="193" t="s">
        <v>12</v>
      </c>
      <c r="M50" s="257">
        <v>41</v>
      </c>
      <c r="N50" s="275">
        <v>41</v>
      </c>
      <c r="O50" s="275">
        <v>7</v>
      </c>
      <c r="P50" s="275">
        <v>42</v>
      </c>
      <c r="Q50" s="276">
        <v>41</v>
      </c>
      <c r="R50" s="233">
        <f>SUM(M50:Q50)</f>
        <v>172</v>
      </c>
      <c r="T50" s="649"/>
      <c r="U50" s="301"/>
      <c r="V50" s="52"/>
      <c r="W50" s="52"/>
    </row>
    <row r="51" spans="1:50" ht="33.75" customHeight="1" x14ac:dyDescent="0.25">
      <c r="A51" s="194" t="s">
        <v>13</v>
      </c>
      <c r="B51" s="30">
        <f>((((B49*7)*B50)/1000))/7</f>
        <v>80.155424999999909</v>
      </c>
      <c r="C51" s="30">
        <f t="shared" ref="C51:F51" si="25">((((C49*7)*C50)/1000))/7</f>
        <v>78.62865499999991</v>
      </c>
      <c r="D51" s="30">
        <f t="shared" si="25"/>
        <v>11.450774999999988</v>
      </c>
      <c r="E51" s="30">
        <f t="shared" si="25"/>
        <v>84.430380999999912</v>
      </c>
      <c r="F51" s="30">
        <f t="shared" si="25"/>
        <v>80.155424999999909</v>
      </c>
      <c r="G51" s="732">
        <f>((G48*1000)/G50)/7</f>
        <v>154.48504983388702</v>
      </c>
      <c r="H51" s="609"/>
      <c r="I51" s="364"/>
      <c r="J51" s="364"/>
      <c r="K51" s="364"/>
      <c r="L51" s="194" t="s">
        <v>13</v>
      </c>
      <c r="M51" s="30">
        <f>((((M49*7)*M50)/1000)/7)</f>
        <v>6.6214999999999993</v>
      </c>
      <c r="N51" s="31">
        <f t="shared" ref="N51:Q51" si="26">((((N49*7)*N50)/1000)/7)</f>
        <v>6.5600000000000005</v>
      </c>
      <c r="O51" s="31">
        <f t="shared" si="26"/>
        <v>1.1234999999999999</v>
      </c>
      <c r="P51" s="31">
        <f t="shared" si="26"/>
        <v>6.72</v>
      </c>
      <c r="Q51" s="32">
        <f t="shared" si="26"/>
        <v>6.5394999999999994</v>
      </c>
      <c r="R51" s="234">
        <f>((R48*1000)/R50)/7</f>
        <v>159.71760797342191</v>
      </c>
      <c r="T51" s="650"/>
      <c r="U51" s="301"/>
      <c r="V51" s="52"/>
      <c r="W51" s="52"/>
    </row>
    <row r="52" spans="1:50" ht="33.75" customHeight="1" x14ac:dyDescent="0.25">
      <c r="A52" s="185" t="s">
        <v>14</v>
      </c>
      <c r="B52" s="279">
        <f>((B50*B49)*7)/1000</f>
        <v>561.08797499999935</v>
      </c>
      <c r="C52" s="280">
        <f>((C50*C49)*7)/1000</f>
        <v>550.40058499999952</v>
      </c>
      <c r="D52" s="280">
        <f>((D50*D49)*7)/1000</f>
        <v>80.155424999999909</v>
      </c>
      <c r="E52" s="280">
        <f>((E50*E49)*7)/1000</f>
        <v>591.0126669999994</v>
      </c>
      <c r="F52" s="281">
        <f>((F50*F49)*7)/1000</f>
        <v>561.08797499999935</v>
      </c>
      <c r="G52" s="73"/>
      <c r="H52" s="609"/>
      <c r="I52" s="364"/>
      <c r="J52" s="364"/>
      <c r="K52" s="364"/>
      <c r="L52" s="185" t="s">
        <v>14</v>
      </c>
      <c r="M52" s="279">
        <f>((M50*M49)*7)/1000</f>
        <v>46.350499999999997</v>
      </c>
      <c r="N52" s="280">
        <f>((N50*N49)*7)/1000</f>
        <v>45.92</v>
      </c>
      <c r="O52" s="280">
        <f>((O50*O49)*7)/1000</f>
        <v>7.8644999999999996</v>
      </c>
      <c r="P52" s="280">
        <f t="shared" ref="P52" si="27">((P50*P49)*7)/1000</f>
        <v>47.04</v>
      </c>
      <c r="Q52" s="282">
        <f>((Q50*Q49)*7)/1000</f>
        <v>45.776499999999999</v>
      </c>
      <c r="R52" s="282">
        <f>((R50*R49)*7)/1000</f>
        <v>192.29999999999998</v>
      </c>
      <c r="T52" s="522"/>
    </row>
    <row r="53" spans="1:50" ht="33.75" customHeight="1" thickBot="1" x14ac:dyDescent="0.3">
      <c r="A53" s="195" t="s">
        <v>15</v>
      </c>
      <c r="B53" s="37">
        <f>+(B48/B50)/7*1000</f>
        <v>154.12244897959181</v>
      </c>
      <c r="C53" s="38">
        <f t="shared" ref="C53:E53" si="28">+(C48/C50)/7*1000</f>
        <v>155.33980582524271</v>
      </c>
      <c r="D53" s="38">
        <f t="shared" si="28"/>
        <v>162.85714285714286</v>
      </c>
      <c r="E53" s="38">
        <f t="shared" si="28"/>
        <v>153.78455179540171</v>
      </c>
      <c r="F53" s="207">
        <f>+(F48/F50)/7*1000</f>
        <v>153.55102040816323</v>
      </c>
      <c r="G53" s="74"/>
      <c r="H53" s="609"/>
      <c r="I53" s="364"/>
      <c r="J53" s="364"/>
      <c r="K53" s="364"/>
      <c r="L53" s="195" t="s">
        <v>15</v>
      </c>
      <c r="M53" s="37">
        <f>+(M48/M50)/7*1000</f>
        <v>160.97560975609755</v>
      </c>
      <c r="N53" s="38">
        <f>+(N48/N50)/7*1000</f>
        <v>159.58188153310107</v>
      </c>
      <c r="O53" s="38">
        <f>+(O48/O50)/7*1000</f>
        <v>159.18367346938771</v>
      </c>
      <c r="P53" s="38">
        <f t="shared" ref="P53:R53" si="29">+(P48/P50)/7*1000</f>
        <v>159.52380952380955</v>
      </c>
      <c r="Q53" s="39">
        <f t="shared" si="29"/>
        <v>158.88501742160281</v>
      </c>
      <c r="R53" s="39">
        <f t="shared" si="29"/>
        <v>159.71760797342191</v>
      </c>
      <c r="T53" s="651"/>
      <c r="V53" s="42"/>
      <c r="W53" s="42"/>
    </row>
    <row r="54" spans="1:50" ht="33.75" customHeight="1" x14ac:dyDescent="0.25">
      <c r="A54" s="41"/>
      <c r="B54" s="43">
        <f>B52-B48</f>
        <v>-5.3120250000006308</v>
      </c>
      <c r="C54" s="43">
        <f t="shared" ref="C54:D55" si="30">C52-C48</f>
        <v>-9.5994150000004765</v>
      </c>
      <c r="D54" s="43">
        <f t="shared" si="30"/>
        <v>-5.3445750000001055</v>
      </c>
      <c r="E54" s="43">
        <f>E52-E48</f>
        <v>-4.2873330000005581</v>
      </c>
      <c r="F54" s="43">
        <f>F52-F48</f>
        <v>-3.2120250000006081</v>
      </c>
      <c r="G54" s="41"/>
      <c r="H54" s="41"/>
      <c r="I54" s="41"/>
      <c r="J54" s="41"/>
      <c r="K54" s="41"/>
      <c r="L54" s="42"/>
      <c r="M54" s="42">
        <f>M52-M48</f>
        <v>0.15049999999999386</v>
      </c>
      <c r="N54" s="42">
        <f>N52-N48</f>
        <v>0.11999999999999744</v>
      </c>
      <c r="O54" s="42">
        <f t="shared" ref="N54:R55" si="31">O52-O48</f>
        <v>6.4500000000000668E-2</v>
      </c>
      <c r="P54" s="42">
        <f t="shared" si="31"/>
        <v>0.13999999999999346</v>
      </c>
      <c r="Q54" s="42">
        <f t="shared" si="31"/>
        <v>0.17649999999999721</v>
      </c>
      <c r="R54" s="42">
        <f>R52-R48</f>
        <v>0</v>
      </c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1.4454489795919585</v>
      </c>
      <c r="C55" s="42">
        <f>C53-C49</f>
        <v>2.6628058252428559</v>
      </c>
      <c r="D55" s="42">
        <f t="shared" si="30"/>
        <v>10.180142857143011</v>
      </c>
      <c r="E55" s="42">
        <f>E53-E49</f>
        <v>1.1075517954018608</v>
      </c>
      <c r="F55" s="42">
        <f>F53-F49</f>
        <v>0.8740204081633749</v>
      </c>
      <c r="G55" s="41"/>
      <c r="H55" s="41"/>
      <c r="I55" s="41"/>
      <c r="J55" s="41"/>
      <c r="K55" s="42"/>
      <c r="L55" s="42"/>
      <c r="M55" s="42">
        <f>M53-M49</f>
        <v>-0.52439024390244526</v>
      </c>
      <c r="N55" s="42">
        <f t="shared" si="31"/>
        <v>-0.41811846689893173</v>
      </c>
      <c r="O55" s="42">
        <f>O53-O49</f>
        <v>-1.3163265306122867</v>
      </c>
      <c r="P55" s="42">
        <f>P53-P49</f>
        <v>-0.47619047619045318</v>
      </c>
      <c r="Q55" s="42">
        <f t="shared" si="31"/>
        <v>-0.61498257839718917</v>
      </c>
      <c r="R55" s="42">
        <f t="shared" si="31"/>
        <v>0</v>
      </c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283"/>
      <c r="N57" s="283"/>
      <c r="O57" s="283"/>
      <c r="P57" s="283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99" t="s">
        <v>30</v>
      </c>
      <c r="H58" s="1000"/>
      <c r="I58" s="1000"/>
      <c r="J58" s="1000"/>
      <c r="K58" s="1001"/>
      <c r="L58" s="973" t="s">
        <v>29</v>
      </c>
      <c r="M58" s="974"/>
      <c r="N58" s="974"/>
      <c r="O58" s="974"/>
      <c r="P58" s="991"/>
      <c r="Q58" s="974" t="s">
        <v>31</v>
      </c>
      <c r="R58" s="974"/>
      <c r="S58" s="974"/>
      <c r="T58" s="974"/>
      <c r="U58" s="991"/>
      <c r="V58" s="992" t="s">
        <v>9</v>
      </c>
      <c r="W58" s="661"/>
      <c r="X58" s="662"/>
      <c r="Y58" s="522"/>
      <c r="Z58" s="522"/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692">
        <v>1</v>
      </c>
      <c r="H59" s="693">
        <v>2</v>
      </c>
      <c r="I59" s="693">
        <v>3</v>
      </c>
      <c r="J59" s="693">
        <v>4</v>
      </c>
      <c r="K59" s="693">
        <v>5</v>
      </c>
      <c r="L59" s="188">
        <v>1</v>
      </c>
      <c r="M59" s="168">
        <v>2</v>
      </c>
      <c r="N59" s="168">
        <v>3</v>
      </c>
      <c r="O59" s="168">
        <v>4</v>
      </c>
      <c r="P59" s="414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993"/>
      <c r="W59" s="663"/>
      <c r="X59" s="645"/>
      <c r="Y59" s="657"/>
      <c r="Z59" s="657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45">
      <c r="A60" s="171" t="s">
        <v>53</v>
      </c>
      <c r="B60" s="735">
        <v>7</v>
      </c>
      <c r="C60" s="736">
        <v>7.5</v>
      </c>
      <c r="D60" s="736">
        <v>1.2</v>
      </c>
      <c r="E60" s="736">
        <v>7.5</v>
      </c>
      <c r="F60" s="737">
        <v>7.4</v>
      </c>
      <c r="G60" s="738">
        <v>7.5</v>
      </c>
      <c r="H60" s="739">
        <v>7.5</v>
      </c>
      <c r="I60" s="799">
        <v>1.2</v>
      </c>
      <c r="J60" s="739">
        <v>7.5</v>
      </c>
      <c r="K60" s="739">
        <v>7.2</v>
      </c>
      <c r="L60" s="279">
        <v>6</v>
      </c>
      <c r="M60" s="280">
        <v>6</v>
      </c>
      <c r="N60" s="280">
        <v>1.7</v>
      </c>
      <c r="O60" s="280">
        <v>5.9</v>
      </c>
      <c r="P60" s="282">
        <v>5.8</v>
      </c>
      <c r="Q60" s="737">
        <v>6.2</v>
      </c>
      <c r="R60" s="736">
        <v>6.3</v>
      </c>
      <c r="S60" s="736">
        <v>1.7</v>
      </c>
      <c r="T60" s="736">
        <v>6.2</v>
      </c>
      <c r="U60" s="742">
        <v>6.2</v>
      </c>
      <c r="V60" s="819">
        <f t="shared" ref="V60:V67" si="32">SUM(B60:U60)</f>
        <v>113.50000000000001</v>
      </c>
      <c r="W60" s="42"/>
      <c r="X60" s="646"/>
      <c r="Y60" s="657"/>
      <c r="Z60" s="657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45">
      <c r="A61" s="171" t="s">
        <v>24</v>
      </c>
      <c r="B61" s="735">
        <v>7</v>
      </c>
      <c r="C61" s="736">
        <v>7.5</v>
      </c>
      <c r="D61" s="736">
        <v>1.2</v>
      </c>
      <c r="E61" s="736">
        <v>7.5</v>
      </c>
      <c r="F61" s="737">
        <v>7.4</v>
      </c>
      <c r="G61" s="738">
        <v>7.5</v>
      </c>
      <c r="H61" s="739">
        <v>7.5</v>
      </c>
      <c r="I61" s="799">
        <v>1.2</v>
      </c>
      <c r="J61" s="739">
        <v>7.5</v>
      </c>
      <c r="K61" s="739">
        <v>7.2</v>
      </c>
      <c r="L61" s="279">
        <v>6</v>
      </c>
      <c r="M61" s="280">
        <v>6</v>
      </c>
      <c r="N61" s="280">
        <v>1.6</v>
      </c>
      <c r="O61" s="280">
        <v>5.8</v>
      </c>
      <c r="P61" s="282">
        <v>5.8</v>
      </c>
      <c r="Q61" s="737">
        <v>6.2</v>
      </c>
      <c r="R61" s="736">
        <v>6.3</v>
      </c>
      <c r="S61" s="736">
        <v>1.6</v>
      </c>
      <c r="T61" s="736">
        <v>6.2</v>
      </c>
      <c r="U61" s="742">
        <v>6.1</v>
      </c>
      <c r="V61" s="412">
        <f t="shared" si="32"/>
        <v>113.09999999999998</v>
      </c>
      <c r="W61" s="42"/>
      <c r="X61" s="646"/>
      <c r="Y61" s="651"/>
      <c r="Z61" s="651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45">
      <c r="A62" s="171" t="s">
        <v>20</v>
      </c>
      <c r="B62" s="735">
        <v>7</v>
      </c>
      <c r="C62" s="736">
        <v>7.4</v>
      </c>
      <c r="D62" s="736">
        <v>1.1000000000000001</v>
      </c>
      <c r="E62" s="736">
        <v>7.4</v>
      </c>
      <c r="F62" s="737">
        <v>7.4</v>
      </c>
      <c r="G62" s="738">
        <v>7.5</v>
      </c>
      <c r="H62" s="739">
        <v>7.4</v>
      </c>
      <c r="I62" s="799">
        <v>1.1000000000000001</v>
      </c>
      <c r="J62" s="739">
        <v>7.4</v>
      </c>
      <c r="K62" s="739">
        <v>7.2</v>
      </c>
      <c r="L62" s="279">
        <v>6</v>
      </c>
      <c r="M62" s="280">
        <v>6</v>
      </c>
      <c r="N62" s="280">
        <v>1.6</v>
      </c>
      <c r="O62" s="280">
        <v>5.8</v>
      </c>
      <c r="P62" s="282">
        <v>5.8</v>
      </c>
      <c r="Q62" s="737">
        <v>6.3</v>
      </c>
      <c r="R62" s="736">
        <v>6.3</v>
      </c>
      <c r="S62" s="736">
        <v>1.6</v>
      </c>
      <c r="T62" s="736">
        <v>6.2</v>
      </c>
      <c r="U62" s="742">
        <v>6.1</v>
      </c>
      <c r="V62" s="412">
        <f t="shared" si="32"/>
        <v>112.59999999999998</v>
      </c>
      <c r="W62" s="42"/>
      <c r="X62" s="646"/>
      <c r="Y62" s="651"/>
      <c r="Z62" s="651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45">
      <c r="A63" s="171" t="s">
        <v>28</v>
      </c>
      <c r="B63" s="735">
        <v>7</v>
      </c>
      <c r="C63" s="736">
        <v>7.4</v>
      </c>
      <c r="D63" s="736">
        <v>1.1000000000000001</v>
      </c>
      <c r="E63" s="736">
        <v>7.4</v>
      </c>
      <c r="F63" s="737">
        <v>7.4</v>
      </c>
      <c r="G63" s="738">
        <v>7.5</v>
      </c>
      <c r="H63" s="739">
        <v>7.4</v>
      </c>
      <c r="I63" s="799">
        <v>1.1000000000000001</v>
      </c>
      <c r="J63" s="739">
        <v>7.4</v>
      </c>
      <c r="K63" s="739">
        <v>7.2</v>
      </c>
      <c r="L63" s="279">
        <v>6</v>
      </c>
      <c r="M63" s="280">
        <v>6</v>
      </c>
      <c r="N63" s="280">
        <v>1.6</v>
      </c>
      <c r="O63" s="280">
        <v>5.8</v>
      </c>
      <c r="P63" s="282">
        <v>5.8</v>
      </c>
      <c r="Q63" s="737">
        <v>6.4</v>
      </c>
      <c r="R63" s="736">
        <v>6.3</v>
      </c>
      <c r="S63" s="736">
        <v>1.6</v>
      </c>
      <c r="T63" s="736">
        <v>6.1</v>
      </c>
      <c r="U63" s="742">
        <v>6.1</v>
      </c>
      <c r="V63" s="412">
        <f t="shared" si="32"/>
        <v>112.59999999999998</v>
      </c>
      <c r="W63" s="42"/>
      <c r="X63" s="646"/>
      <c r="Y63" s="651"/>
      <c r="Z63" s="651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45">
      <c r="A64" s="171" t="s">
        <v>21</v>
      </c>
      <c r="B64" s="735">
        <v>7</v>
      </c>
      <c r="C64" s="736">
        <v>7.4</v>
      </c>
      <c r="D64" s="736">
        <v>1.1000000000000001</v>
      </c>
      <c r="E64" s="736">
        <v>7.4</v>
      </c>
      <c r="F64" s="737">
        <v>7.4</v>
      </c>
      <c r="G64" s="738">
        <v>7.5</v>
      </c>
      <c r="H64" s="739">
        <v>7.4</v>
      </c>
      <c r="I64" s="799">
        <v>1.1000000000000001</v>
      </c>
      <c r="J64" s="739">
        <v>7.4</v>
      </c>
      <c r="K64" s="739">
        <v>7.2</v>
      </c>
      <c r="L64" s="279">
        <v>6</v>
      </c>
      <c r="M64" s="280">
        <v>6</v>
      </c>
      <c r="N64" s="280">
        <v>1.6</v>
      </c>
      <c r="O64" s="280">
        <v>5.8</v>
      </c>
      <c r="P64" s="282">
        <v>5.7</v>
      </c>
      <c r="Q64" s="737">
        <v>6.4</v>
      </c>
      <c r="R64" s="736">
        <v>6.3</v>
      </c>
      <c r="S64" s="736">
        <v>1.6</v>
      </c>
      <c r="T64" s="736">
        <v>6.1</v>
      </c>
      <c r="U64" s="742">
        <v>6.1</v>
      </c>
      <c r="V64" s="412">
        <f t="shared" si="32"/>
        <v>112.49999999999999</v>
      </c>
      <c r="W64" s="42"/>
      <c r="X64" s="646"/>
      <c r="Y64" s="651"/>
      <c r="Z64" s="651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45">
      <c r="A65" s="171" t="s">
        <v>22</v>
      </c>
      <c r="B65" s="735">
        <v>7</v>
      </c>
      <c r="C65" s="736">
        <v>7.5</v>
      </c>
      <c r="D65" s="736">
        <v>1.1000000000000001</v>
      </c>
      <c r="E65" s="736">
        <v>7.5</v>
      </c>
      <c r="F65" s="737">
        <v>7.4</v>
      </c>
      <c r="G65" s="738">
        <v>7.4</v>
      </c>
      <c r="H65" s="739">
        <v>7.5</v>
      </c>
      <c r="I65" s="799">
        <v>1.1000000000000001</v>
      </c>
      <c r="J65" s="739">
        <v>7.5</v>
      </c>
      <c r="K65" s="739">
        <v>7.3</v>
      </c>
      <c r="L65" s="279">
        <v>6</v>
      </c>
      <c r="M65" s="280">
        <v>6</v>
      </c>
      <c r="N65" s="280">
        <v>1.6</v>
      </c>
      <c r="O65" s="280">
        <v>5.8</v>
      </c>
      <c r="P65" s="282">
        <v>5.7</v>
      </c>
      <c r="Q65" s="737">
        <v>5.9</v>
      </c>
      <c r="R65" s="736">
        <v>6.4</v>
      </c>
      <c r="S65" s="736">
        <v>1.6</v>
      </c>
      <c r="T65" s="736">
        <v>6.1</v>
      </c>
      <c r="U65" s="742">
        <v>6.1</v>
      </c>
      <c r="V65" s="412">
        <f t="shared" si="32"/>
        <v>112.49999999999999</v>
      </c>
      <c r="W65" s="42"/>
      <c r="X65" s="646"/>
      <c r="Y65" s="651"/>
      <c r="Z65" s="651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5">
      <c r="A66" s="171" t="s">
        <v>23</v>
      </c>
      <c r="B66" s="735">
        <v>6.9</v>
      </c>
      <c r="C66" s="736">
        <v>7.5</v>
      </c>
      <c r="D66" s="736">
        <v>1.2</v>
      </c>
      <c r="E66" s="736">
        <v>7.5</v>
      </c>
      <c r="F66" s="737">
        <v>7.3</v>
      </c>
      <c r="G66" s="738">
        <v>7.4</v>
      </c>
      <c r="H66" s="739">
        <v>7.5</v>
      </c>
      <c r="I66" s="799">
        <v>1.1000000000000001</v>
      </c>
      <c r="J66" s="739">
        <v>7.5</v>
      </c>
      <c r="K66" s="739">
        <v>7.3</v>
      </c>
      <c r="L66" s="279">
        <v>6.1</v>
      </c>
      <c r="M66" s="280">
        <v>6</v>
      </c>
      <c r="N66" s="280">
        <v>1.7</v>
      </c>
      <c r="O66" s="280">
        <v>5.9</v>
      </c>
      <c r="P66" s="282">
        <v>5.8</v>
      </c>
      <c r="Q66" s="737">
        <v>5.8</v>
      </c>
      <c r="R66" s="736">
        <v>6.3</v>
      </c>
      <c r="S66" s="736">
        <v>1.7</v>
      </c>
      <c r="T66" s="736">
        <v>6.2</v>
      </c>
      <c r="U66" s="742">
        <v>6</v>
      </c>
      <c r="V66" s="412">
        <f t="shared" si="32"/>
        <v>112.7</v>
      </c>
      <c r="W66" s="42"/>
      <c r="X66" s="646"/>
      <c r="Y66" s="651"/>
      <c r="Z66" s="651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618">
        <f t="shared" ref="B67:U67" si="33">SUM(B60:B66)</f>
        <v>48.9</v>
      </c>
      <c r="C67" s="616">
        <f t="shared" si="33"/>
        <v>52.199999999999996</v>
      </c>
      <c r="D67" s="616">
        <f t="shared" si="33"/>
        <v>7.9999999999999991</v>
      </c>
      <c r="E67" s="616">
        <f t="shared" si="33"/>
        <v>52.199999999999996</v>
      </c>
      <c r="F67" s="617">
        <f t="shared" si="33"/>
        <v>51.699999999999996</v>
      </c>
      <c r="G67" s="719">
        <f t="shared" si="33"/>
        <v>52.3</v>
      </c>
      <c r="H67" s="696">
        <f t="shared" si="33"/>
        <v>52.199999999999996</v>
      </c>
      <c r="I67" s="696">
        <f t="shared" si="33"/>
        <v>7.8999999999999986</v>
      </c>
      <c r="J67" s="696">
        <f t="shared" si="33"/>
        <v>52.199999999999996</v>
      </c>
      <c r="K67" s="720">
        <f t="shared" si="33"/>
        <v>50.599999999999994</v>
      </c>
      <c r="L67" s="618">
        <f t="shared" si="33"/>
        <v>42.1</v>
      </c>
      <c r="M67" s="616">
        <f t="shared" si="33"/>
        <v>42</v>
      </c>
      <c r="N67" s="616">
        <f t="shared" si="33"/>
        <v>11.399999999999999</v>
      </c>
      <c r="O67" s="616">
        <f t="shared" si="33"/>
        <v>40.799999999999997</v>
      </c>
      <c r="P67" s="619">
        <f t="shared" si="33"/>
        <v>40.4</v>
      </c>
      <c r="Q67" s="615">
        <f t="shared" si="33"/>
        <v>43.199999999999996</v>
      </c>
      <c r="R67" s="616">
        <f t="shared" si="33"/>
        <v>44.199999999999996</v>
      </c>
      <c r="S67" s="616">
        <f t="shared" si="33"/>
        <v>11.399999999999999</v>
      </c>
      <c r="T67" s="616">
        <f t="shared" si="33"/>
        <v>43.100000000000009</v>
      </c>
      <c r="U67" s="617">
        <f t="shared" si="33"/>
        <v>42.7</v>
      </c>
      <c r="V67" s="449">
        <f t="shared" si="32"/>
        <v>789.5</v>
      </c>
      <c r="W67" s="664"/>
      <c r="X67" s="646"/>
      <c r="Y67" s="651"/>
      <c r="Z67" s="651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163</v>
      </c>
      <c r="C68" s="358">
        <v>162.5</v>
      </c>
      <c r="D68" s="358">
        <v>163</v>
      </c>
      <c r="E68" s="358">
        <v>162.5</v>
      </c>
      <c r="F68" s="624">
        <v>161</v>
      </c>
      <c r="G68" s="357">
        <v>163</v>
      </c>
      <c r="H68" s="358">
        <v>162.5</v>
      </c>
      <c r="I68" s="358">
        <v>163</v>
      </c>
      <c r="J68" s="358">
        <v>162.5</v>
      </c>
      <c r="K68" s="624">
        <v>161</v>
      </c>
      <c r="L68" s="357">
        <v>163</v>
      </c>
      <c r="M68" s="358">
        <v>162.5</v>
      </c>
      <c r="N68" s="358">
        <v>163</v>
      </c>
      <c r="O68" s="358">
        <v>162.5</v>
      </c>
      <c r="P68" s="624">
        <v>161</v>
      </c>
      <c r="Q68" s="671">
        <v>163</v>
      </c>
      <c r="R68" s="358">
        <v>162.5</v>
      </c>
      <c r="S68" s="358">
        <v>163</v>
      </c>
      <c r="T68" s="358">
        <v>162.5</v>
      </c>
      <c r="U68" s="624">
        <v>161</v>
      </c>
      <c r="V68" s="296">
        <f>+((V67/V69)/7)*1000</f>
        <v>162.04844006568146</v>
      </c>
      <c r="W68" s="145"/>
      <c r="X68" s="648"/>
      <c r="Y68" s="665"/>
      <c r="Z68" s="522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43</v>
      </c>
      <c r="C69" s="275">
        <v>46</v>
      </c>
      <c r="D69" s="275">
        <v>6</v>
      </c>
      <c r="E69" s="275">
        <v>46</v>
      </c>
      <c r="F69" s="276">
        <v>46</v>
      </c>
      <c r="G69" s="723">
        <v>46</v>
      </c>
      <c r="H69" s="700">
        <v>46</v>
      </c>
      <c r="I69" s="700">
        <v>7</v>
      </c>
      <c r="J69" s="700">
        <v>46</v>
      </c>
      <c r="K69" s="724">
        <v>45</v>
      </c>
      <c r="L69" s="257">
        <v>37</v>
      </c>
      <c r="M69" s="275">
        <v>37</v>
      </c>
      <c r="N69" s="275">
        <v>10</v>
      </c>
      <c r="O69" s="275">
        <v>36</v>
      </c>
      <c r="P69" s="276">
        <v>36</v>
      </c>
      <c r="Q69" s="79">
        <v>38</v>
      </c>
      <c r="R69" s="275">
        <v>39</v>
      </c>
      <c r="S69" s="275">
        <v>10</v>
      </c>
      <c r="T69" s="275">
        <v>38</v>
      </c>
      <c r="U69" s="276">
        <v>38</v>
      </c>
      <c r="V69" s="254">
        <f>SUM(B69:U69)</f>
        <v>696</v>
      </c>
      <c r="W69" s="145"/>
      <c r="X69" s="649"/>
      <c r="Y69" s="665"/>
      <c r="Z69" s="522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>((((B68*7)*B69)/1000)/7)</f>
        <v>7.0090000000000003</v>
      </c>
      <c r="C70" s="31">
        <f t="shared" ref="C70:U70" si="34">((((C68*7)*C69)/1000)/7)</f>
        <v>7.4750000000000005</v>
      </c>
      <c r="D70" s="31">
        <f t="shared" si="34"/>
        <v>0.97799999999999998</v>
      </c>
      <c r="E70" s="31">
        <f t="shared" si="34"/>
        <v>7.4750000000000005</v>
      </c>
      <c r="F70" s="32">
        <f t="shared" si="34"/>
        <v>7.4059999999999997</v>
      </c>
      <c r="G70" s="30">
        <f t="shared" si="34"/>
        <v>7.4979999999999993</v>
      </c>
      <c r="H70" s="31">
        <f t="shared" si="34"/>
        <v>7.4750000000000005</v>
      </c>
      <c r="I70" s="31">
        <f t="shared" si="34"/>
        <v>1.141</v>
      </c>
      <c r="J70" s="31">
        <f t="shared" si="34"/>
        <v>7.4750000000000005</v>
      </c>
      <c r="K70" s="32">
        <f t="shared" si="34"/>
        <v>7.2450000000000001</v>
      </c>
      <c r="L70" s="30">
        <f t="shared" si="34"/>
        <v>6.0309999999999997</v>
      </c>
      <c r="M70" s="31">
        <f t="shared" si="34"/>
        <v>6.0125000000000002</v>
      </c>
      <c r="N70" s="31">
        <f t="shared" si="34"/>
        <v>1.6300000000000001</v>
      </c>
      <c r="O70" s="31">
        <f t="shared" si="34"/>
        <v>5.8500000000000005</v>
      </c>
      <c r="P70" s="32">
        <f t="shared" si="34"/>
        <v>5.7960000000000003</v>
      </c>
      <c r="Q70" s="65">
        <f t="shared" si="34"/>
        <v>6.194</v>
      </c>
      <c r="R70" s="31">
        <f t="shared" si="34"/>
        <v>6.3374999999999995</v>
      </c>
      <c r="S70" s="31">
        <f t="shared" si="34"/>
        <v>1.6300000000000001</v>
      </c>
      <c r="T70" s="31">
        <f t="shared" si="34"/>
        <v>6.1749999999999998</v>
      </c>
      <c r="U70" s="32">
        <f t="shared" si="34"/>
        <v>6.1180000000000003</v>
      </c>
      <c r="V70" s="139">
        <f>((V67*1000)/V69)/7</f>
        <v>162.04844006568143</v>
      </c>
      <c r="W70" s="144"/>
      <c r="X70" s="650"/>
      <c r="Y70" s="665"/>
      <c r="Z70" s="522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35">((B69*B68)*7)/1000</f>
        <v>49.063000000000002</v>
      </c>
      <c r="C71" s="280">
        <f t="shared" si="35"/>
        <v>52.325000000000003</v>
      </c>
      <c r="D71" s="280">
        <f t="shared" si="35"/>
        <v>6.8460000000000001</v>
      </c>
      <c r="E71" s="280">
        <f t="shared" si="35"/>
        <v>52.325000000000003</v>
      </c>
      <c r="F71" s="282">
        <f t="shared" si="35"/>
        <v>51.841999999999999</v>
      </c>
      <c r="G71" s="464">
        <f t="shared" si="35"/>
        <v>52.485999999999997</v>
      </c>
      <c r="H71" s="459">
        <f>((H69*H68)*7)/1000</f>
        <v>52.325000000000003</v>
      </c>
      <c r="I71" s="459">
        <f t="shared" si="35"/>
        <v>7.9870000000000001</v>
      </c>
      <c r="J71" s="459">
        <f t="shared" si="35"/>
        <v>52.325000000000003</v>
      </c>
      <c r="K71" s="460">
        <f t="shared" si="35"/>
        <v>50.715000000000003</v>
      </c>
      <c r="L71" s="279">
        <f t="shared" si="35"/>
        <v>42.216999999999999</v>
      </c>
      <c r="M71" s="280">
        <f t="shared" si="35"/>
        <v>42.087499999999999</v>
      </c>
      <c r="N71" s="280">
        <f t="shared" si="35"/>
        <v>11.41</v>
      </c>
      <c r="O71" s="280">
        <f t="shared" si="35"/>
        <v>40.950000000000003</v>
      </c>
      <c r="P71" s="282">
        <f t="shared" si="35"/>
        <v>40.572000000000003</v>
      </c>
      <c r="Q71" s="325">
        <f t="shared" si="35"/>
        <v>43.357999999999997</v>
      </c>
      <c r="R71" s="280">
        <f t="shared" si="35"/>
        <v>44.362499999999997</v>
      </c>
      <c r="S71" s="280">
        <f t="shared" si="35"/>
        <v>11.41</v>
      </c>
      <c r="T71" s="280">
        <f t="shared" si="35"/>
        <v>43.225000000000001</v>
      </c>
      <c r="U71" s="282">
        <f t="shared" si="35"/>
        <v>42.826000000000001</v>
      </c>
      <c r="V71" s="112"/>
      <c r="W71" s="651"/>
      <c r="X71" s="666"/>
      <c r="Y71" s="666"/>
      <c r="Z71" s="666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U72" si="36">+(B67/B69)/7*1000</f>
        <v>162.45847176079732</v>
      </c>
      <c r="C72" s="38">
        <f t="shared" si="36"/>
        <v>162.111801242236</v>
      </c>
      <c r="D72" s="38">
        <f t="shared" si="36"/>
        <v>190.47619047619045</v>
      </c>
      <c r="E72" s="38">
        <f t="shared" si="36"/>
        <v>162.111801242236</v>
      </c>
      <c r="F72" s="39">
        <f t="shared" si="36"/>
        <v>160.5590062111801</v>
      </c>
      <c r="G72" s="727">
        <f t="shared" si="36"/>
        <v>162.42236024844721</v>
      </c>
      <c r="H72" s="704">
        <f t="shared" si="36"/>
        <v>162.111801242236</v>
      </c>
      <c r="I72" s="704">
        <f t="shared" si="36"/>
        <v>161.22448979591832</v>
      </c>
      <c r="J72" s="704">
        <f t="shared" si="36"/>
        <v>162.111801242236</v>
      </c>
      <c r="K72" s="728">
        <f t="shared" si="36"/>
        <v>160.63492063492063</v>
      </c>
      <c r="L72" s="37">
        <f t="shared" si="36"/>
        <v>162.54826254826258</v>
      </c>
      <c r="M72" s="38">
        <f t="shared" si="36"/>
        <v>162.16216216216213</v>
      </c>
      <c r="N72" s="38">
        <f t="shared" si="36"/>
        <v>162.85714285714283</v>
      </c>
      <c r="O72" s="38">
        <f t="shared" si="36"/>
        <v>161.90476190476193</v>
      </c>
      <c r="P72" s="39">
        <f t="shared" si="36"/>
        <v>160.31746031746033</v>
      </c>
      <c r="Q72" s="67">
        <f t="shared" si="36"/>
        <v>162.40601503759396</v>
      </c>
      <c r="R72" s="38">
        <f t="shared" si="36"/>
        <v>161.90476190476193</v>
      </c>
      <c r="S72" s="38">
        <f t="shared" si="36"/>
        <v>162.85714285714283</v>
      </c>
      <c r="T72" s="38">
        <f t="shared" si="36"/>
        <v>162.03007518796997</v>
      </c>
      <c r="U72" s="39">
        <f t="shared" si="36"/>
        <v>160.52631578947367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43">
        <f>B71-B67</f>
        <v>0.16300000000000381</v>
      </c>
      <c r="C73" s="43">
        <f t="shared" ref="C73:F73" si="37">C71-C67</f>
        <v>0.12500000000000711</v>
      </c>
      <c r="D73" s="43">
        <f t="shared" si="37"/>
        <v>-1.153999999999999</v>
      </c>
      <c r="E73" s="43">
        <f t="shared" si="37"/>
        <v>0.12500000000000711</v>
      </c>
      <c r="F73" s="43">
        <f t="shared" si="37"/>
        <v>0.14200000000000301</v>
      </c>
      <c r="G73" s="143">
        <f>G71-G67</f>
        <v>0.18599999999999994</v>
      </c>
      <c r="H73" s="143">
        <f t="shared" ref="H73:P74" si="38">H71-H67</f>
        <v>0.12500000000000711</v>
      </c>
      <c r="I73" s="143">
        <f t="shared" si="38"/>
        <v>8.7000000000001521E-2</v>
      </c>
      <c r="J73" s="143">
        <f t="shared" si="38"/>
        <v>0.12500000000000711</v>
      </c>
      <c r="K73" s="143">
        <f t="shared" si="38"/>
        <v>0.11500000000000909</v>
      </c>
      <c r="L73" s="43">
        <f>L71-L67</f>
        <v>0.11699999999999733</v>
      </c>
      <c r="M73" s="43">
        <f t="shared" ref="M73:R74" si="39">M71-M67</f>
        <v>8.7499999999998579E-2</v>
      </c>
      <c r="N73" s="43">
        <f t="shared" si="39"/>
        <v>1.0000000000001563E-2</v>
      </c>
      <c r="O73" s="43">
        <f t="shared" si="39"/>
        <v>0.15000000000000568</v>
      </c>
      <c r="P73" s="43">
        <f t="shared" si="39"/>
        <v>0.17200000000000415</v>
      </c>
      <c r="Q73" s="43">
        <f t="shared" si="39"/>
        <v>0.15800000000000125</v>
      </c>
      <c r="R73" s="43">
        <f t="shared" si="39"/>
        <v>0.16250000000000142</v>
      </c>
      <c r="S73" s="43">
        <f t="shared" ref="S73:V73" si="40">R71-R67</f>
        <v>0.16250000000000142</v>
      </c>
      <c r="T73" s="43">
        <f>S71-S67</f>
        <v>1.0000000000001563E-2</v>
      </c>
      <c r="U73" s="43">
        <f>T71-T67</f>
        <v>0.12499999999999289</v>
      </c>
      <c r="V73" s="43">
        <f t="shared" si="40"/>
        <v>0.12599999999999767</v>
      </c>
      <c r="X73" s="144"/>
      <c r="Y73" s="522"/>
      <c r="Z73" s="522"/>
      <c r="AA73" s="522"/>
    </row>
    <row r="74" spans="1:50" ht="33.75" customHeight="1" x14ac:dyDescent="0.25">
      <c r="B74" s="42">
        <f t="shared" ref="B74:J74" si="41">B72-B68</f>
        <v>-0.54152823920267679</v>
      </c>
      <c r="C74" s="42">
        <f t="shared" si="41"/>
        <v>-0.38819875776400181</v>
      </c>
      <c r="D74" s="42">
        <f t="shared" si="41"/>
        <v>27.476190476190453</v>
      </c>
      <c r="E74" s="42">
        <f t="shared" si="41"/>
        <v>-0.38819875776400181</v>
      </c>
      <c r="F74" s="42">
        <f t="shared" si="41"/>
        <v>-0.44099378881989537</v>
      </c>
      <c r="G74" s="705">
        <f t="shared" si="41"/>
        <v>-0.57763975155279468</v>
      </c>
      <c r="H74" s="705">
        <f t="shared" si="41"/>
        <v>-0.38819875776400181</v>
      </c>
      <c r="I74" s="705">
        <f>I72-I68</f>
        <v>-1.7755102040816837</v>
      </c>
      <c r="J74" s="705">
        <f t="shared" si="41"/>
        <v>-0.38819875776400181</v>
      </c>
      <c r="K74" s="705">
        <f t="shared" si="38"/>
        <v>-0.36507936507936734</v>
      </c>
      <c r="L74" s="42">
        <f t="shared" si="38"/>
        <v>-0.45173745173741509</v>
      </c>
      <c r="M74" s="42">
        <f t="shared" si="38"/>
        <v>-0.33783783783786703</v>
      </c>
      <c r="N74" s="42">
        <f t="shared" si="38"/>
        <v>-0.14285714285716722</v>
      </c>
      <c r="O74" s="42">
        <f t="shared" si="38"/>
        <v>-0.59523809523807358</v>
      </c>
      <c r="P74" s="42">
        <f t="shared" si="38"/>
        <v>-0.68253968253966946</v>
      </c>
      <c r="Q74" s="42">
        <f t="shared" si="39"/>
        <v>-0.59398496240604004</v>
      </c>
      <c r="R74" s="42">
        <f t="shared" si="39"/>
        <v>-0.59523809523807358</v>
      </c>
      <c r="S74" s="42">
        <f>R72-R68</f>
        <v>-0.59523809523807358</v>
      </c>
      <c r="T74" s="42">
        <f>S72-S68</f>
        <v>-0.14285714285716722</v>
      </c>
      <c r="U74" s="42">
        <f>T72-T68</f>
        <v>-0.46992481203002967</v>
      </c>
      <c r="V74" s="42">
        <f>U72-U68</f>
        <v>-0.47368421052632925</v>
      </c>
      <c r="W74" s="45"/>
      <c r="X74" s="651"/>
      <c r="Y74" s="657"/>
      <c r="Z74" s="657"/>
      <c r="AA74" s="657"/>
      <c r="AB74" s="45"/>
      <c r="AC74" s="45"/>
      <c r="AD74" s="45"/>
      <c r="AE74" s="52"/>
    </row>
    <row r="75" spans="1:50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</row>
    <row r="76" spans="1:50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0" ht="33.75" customHeight="1" x14ac:dyDescent="0.25">
      <c r="A77" s="45"/>
      <c r="B77" s="58"/>
      <c r="C77" s="58"/>
      <c r="D77" s="648" t="s">
        <v>132</v>
      </c>
      <c r="E77" s="58"/>
      <c r="F77" s="58"/>
      <c r="G77" s="58"/>
      <c r="H77" s="648" t="s">
        <v>132</v>
      </c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8">
    <mergeCell ref="A3:C3"/>
    <mergeCell ref="E9:G9"/>
    <mergeCell ref="W9:X9"/>
    <mergeCell ref="O11:P11"/>
    <mergeCell ref="B16:H16"/>
    <mergeCell ref="I16:O16"/>
    <mergeCell ref="P16:T16"/>
    <mergeCell ref="U16:Y16"/>
    <mergeCell ref="B58:F58"/>
    <mergeCell ref="G58:K58"/>
    <mergeCell ref="L58:P58"/>
    <mergeCell ref="Q58:U58"/>
    <mergeCell ref="V58:V59"/>
    <mergeCell ref="Z16:Z17"/>
    <mergeCell ref="B39:F39"/>
    <mergeCell ref="G39:G40"/>
    <mergeCell ref="M39:Q39"/>
    <mergeCell ref="R39:R40"/>
  </mergeCells>
  <pageMargins left="0.23622047244094488" right="0.23622047244094488" top="0.74803149606299213" bottom="0.74803149606299213" header="0.31496062992125984" footer="0.31496062992125984"/>
  <pageSetup paperSize="9" scale="20" fitToWidth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241"/>
  <sheetViews>
    <sheetView topLeftCell="A16" zoomScale="26" zoomScaleNormal="26" workbookViewId="0">
      <selection activeCell="B34" sqref="B34"/>
    </sheetView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54</v>
      </c>
      <c r="P11" s="965"/>
      <c r="Q11" s="6"/>
      <c r="R11" s="6"/>
      <c r="S11" s="6"/>
      <c r="T11" s="1"/>
      <c r="U11" s="1"/>
      <c r="V11" s="1" t="s">
        <v>6</v>
      </c>
      <c r="W11" s="95">
        <v>45717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  <c r="Z16" s="977" t="s">
        <v>9</v>
      </c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828"/>
      <c r="I17" s="188" t="s">
        <v>100</v>
      </c>
      <c r="J17" s="168">
        <v>1</v>
      </c>
      <c r="K17" s="168">
        <v>2</v>
      </c>
      <c r="L17" s="168">
        <v>3</v>
      </c>
      <c r="M17" s="168">
        <v>4</v>
      </c>
      <c r="N17" s="169">
        <v>5</v>
      </c>
      <c r="O17" s="828"/>
      <c r="P17" s="189">
        <v>1</v>
      </c>
      <c r="Q17" s="168">
        <v>2</v>
      </c>
      <c r="R17" s="168">
        <v>3</v>
      </c>
      <c r="S17" s="168">
        <v>4</v>
      </c>
      <c r="T17" s="204">
        <v>5</v>
      </c>
      <c r="U17" s="188">
        <v>1</v>
      </c>
      <c r="V17" s="168">
        <v>2</v>
      </c>
      <c r="W17" s="168">
        <v>3</v>
      </c>
      <c r="X17" s="168">
        <v>4</v>
      </c>
      <c r="Y17" s="169">
        <v>5</v>
      </c>
      <c r="Z17" s="984"/>
      <c r="AD17" s="2"/>
      <c r="AE17" s="15"/>
    </row>
    <row r="18" spans="1:40" ht="39.950000000000003" customHeight="1" x14ac:dyDescent="0.25">
      <c r="A18" s="171" t="s">
        <v>53</v>
      </c>
      <c r="B18" s="743">
        <v>296.89999999999998</v>
      </c>
      <c r="C18" s="739">
        <v>13.7</v>
      </c>
      <c r="D18" s="739">
        <v>14.3</v>
      </c>
      <c r="E18" s="739">
        <v>2.1</v>
      </c>
      <c r="F18" s="739">
        <v>14.3</v>
      </c>
      <c r="G18" s="744">
        <v>14.3</v>
      </c>
      <c r="H18" s="753">
        <f t="shared" ref="H18" si="0">+SUM(B18:G18)</f>
        <v>355.6</v>
      </c>
      <c r="I18" s="745">
        <v>298.2</v>
      </c>
      <c r="J18" s="739">
        <v>14</v>
      </c>
      <c r="K18" s="739">
        <v>14.2</v>
      </c>
      <c r="L18" s="739">
        <v>1.9</v>
      </c>
      <c r="M18" s="739">
        <v>14.4</v>
      </c>
      <c r="N18" s="746">
        <v>14.5</v>
      </c>
      <c r="O18" s="753">
        <f t="shared" ref="O18" si="1">+SUM(I18:N18)</f>
        <v>357.19999999999993</v>
      </c>
      <c r="P18" s="747">
        <v>72.099999999999994</v>
      </c>
      <c r="Q18" s="459">
        <v>72.7</v>
      </c>
      <c r="R18" s="739">
        <v>16.8</v>
      </c>
      <c r="S18" s="739">
        <v>72.099999999999994</v>
      </c>
      <c r="T18" s="746">
        <v>72.7</v>
      </c>
      <c r="U18" s="748">
        <v>74.3</v>
      </c>
      <c r="V18" s="739">
        <v>77.5</v>
      </c>
      <c r="W18" s="459">
        <v>17.3</v>
      </c>
      <c r="X18" s="459">
        <v>76.3</v>
      </c>
      <c r="Y18" s="746">
        <v>76.7</v>
      </c>
      <c r="Z18" s="835">
        <f t="shared" ref="Z18:Z24" si="2">SUM(H18,O18,P18:Y18)</f>
        <v>1341.3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743">
        <v>296.89999999999998</v>
      </c>
      <c r="C19" s="739">
        <v>13.7</v>
      </c>
      <c r="D19" s="739">
        <v>14.3</v>
      </c>
      <c r="E19" s="739">
        <v>2.1</v>
      </c>
      <c r="F19" s="739">
        <v>14.3</v>
      </c>
      <c r="G19" s="744">
        <v>14.3</v>
      </c>
      <c r="H19" s="753">
        <f t="shared" ref="H19" si="3">+SUM(B19:G19)</f>
        <v>355.6</v>
      </c>
      <c r="I19" s="745">
        <v>298.2</v>
      </c>
      <c r="J19" s="739">
        <v>14</v>
      </c>
      <c r="K19" s="739">
        <v>14.2</v>
      </c>
      <c r="L19" s="739">
        <v>1.9</v>
      </c>
      <c r="M19" s="739">
        <v>14.4</v>
      </c>
      <c r="N19" s="746">
        <v>14.5</v>
      </c>
      <c r="O19" s="753">
        <f t="shared" ref="O19" si="4">+SUM(I19:N19)</f>
        <v>357.19999999999993</v>
      </c>
      <c r="P19" s="747">
        <v>72.099999999999994</v>
      </c>
      <c r="Q19" s="459">
        <v>72.7</v>
      </c>
      <c r="R19" s="739">
        <v>16.8</v>
      </c>
      <c r="S19" s="739">
        <v>72.099999999999994</v>
      </c>
      <c r="T19" s="746">
        <v>72.7</v>
      </c>
      <c r="U19" s="748">
        <v>74.099999999999994</v>
      </c>
      <c r="V19" s="739">
        <v>77.3</v>
      </c>
      <c r="W19" s="459">
        <v>17.3</v>
      </c>
      <c r="X19" s="459">
        <v>76.3</v>
      </c>
      <c r="Y19" s="746">
        <v>76.7</v>
      </c>
      <c r="Z19" s="638">
        <f t="shared" si="2"/>
        <v>1340.8999999999999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743">
        <v>296.89999999999998</v>
      </c>
      <c r="C20" s="739">
        <v>13.7</v>
      </c>
      <c r="D20" s="739">
        <v>14.3</v>
      </c>
      <c r="E20" s="739">
        <v>2.1</v>
      </c>
      <c r="F20" s="739">
        <v>14.2</v>
      </c>
      <c r="G20" s="744">
        <v>14.3</v>
      </c>
      <c r="H20" s="753">
        <f t="shared" ref="H20:H21" si="5">+SUM(B20:G20)</f>
        <v>355.5</v>
      </c>
      <c r="I20" s="745">
        <v>298.2</v>
      </c>
      <c r="J20" s="739">
        <v>14</v>
      </c>
      <c r="K20" s="739">
        <v>14.2</v>
      </c>
      <c r="L20" s="739">
        <v>1.9</v>
      </c>
      <c r="M20" s="739">
        <v>14.4</v>
      </c>
      <c r="N20" s="746">
        <v>14.4</v>
      </c>
      <c r="O20" s="753">
        <f t="shared" ref="O20:O21" si="6">+SUM(I20:N20)</f>
        <v>357.09999999999991</v>
      </c>
      <c r="P20" s="747">
        <v>72.099999999999994</v>
      </c>
      <c r="Q20" s="459">
        <v>72.7</v>
      </c>
      <c r="R20" s="739">
        <v>16.8</v>
      </c>
      <c r="S20" s="739">
        <v>71.900000000000006</v>
      </c>
      <c r="T20" s="746">
        <v>72.7</v>
      </c>
      <c r="U20" s="748">
        <v>74.099999999999994</v>
      </c>
      <c r="V20" s="739">
        <v>77.099999999999994</v>
      </c>
      <c r="W20" s="459">
        <v>17.3</v>
      </c>
      <c r="X20" s="459">
        <v>76.2</v>
      </c>
      <c r="Y20" s="746">
        <v>76.7</v>
      </c>
      <c r="Z20" s="638">
        <f t="shared" si="2"/>
        <v>1340.1999999999998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743">
        <v>296.89999999999998</v>
      </c>
      <c r="C21" s="739">
        <v>13.7</v>
      </c>
      <c r="D21" s="739">
        <v>14.3</v>
      </c>
      <c r="E21" s="739">
        <v>2</v>
      </c>
      <c r="F21" s="739">
        <v>14.2</v>
      </c>
      <c r="G21" s="744">
        <v>14.3</v>
      </c>
      <c r="H21" s="753">
        <f t="shared" si="5"/>
        <v>355.4</v>
      </c>
      <c r="I21" s="745">
        <v>298.2</v>
      </c>
      <c r="J21" s="739">
        <v>14</v>
      </c>
      <c r="K21" s="739">
        <v>14.2</v>
      </c>
      <c r="L21" s="739">
        <v>1.9</v>
      </c>
      <c r="M21" s="739">
        <v>14.4</v>
      </c>
      <c r="N21" s="746">
        <v>14.4</v>
      </c>
      <c r="O21" s="753">
        <f t="shared" si="6"/>
        <v>357.09999999999991</v>
      </c>
      <c r="P21" s="747">
        <v>72.099999999999994</v>
      </c>
      <c r="Q21" s="459">
        <v>72.7</v>
      </c>
      <c r="R21" s="739">
        <v>16.8</v>
      </c>
      <c r="S21" s="739">
        <v>71.900000000000006</v>
      </c>
      <c r="T21" s="746">
        <v>72.7</v>
      </c>
      <c r="U21" s="748">
        <v>74</v>
      </c>
      <c r="V21" s="739">
        <v>77.099999999999994</v>
      </c>
      <c r="W21" s="459">
        <v>17.2</v>
      </c>
      <c r="X21" s="459">
        <v>76.2</v>
      </c>
      <c r="Y21" s="746">
        <v>76.7</v>
      </c>
      <c r="Z21" s="638">
        <f t="shared" si="2"/>
        <v>1339.8999999999999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743">
        <v>296.89999999999998</v>
      </c>
      <c r="C22" s="739">
        <v>13.6</v>
      </c>
      <c r="D22" s="739">
        <v>14.3</v>
      </c>
      <c r="E22" s="739">
        <v>2</v>
      </c>
      <c r="F22" s="739">
        <v>14.2</v>
      </c>
      <c r="G22" s="744">
        <v>14.3</v>
      </c>
      <c r="H22" s="753">
        <f t="shared" ref="H22" si="7">+SUM(B22:G22)</f>
        <v>355.3</v>
      </c>
      <c r="I22" s="745">
        <v>298.2</v>
      </c>
      <c r="J22" s="739">
        <v>14</v>
      </c>
      <c r="K22" s="739">
        <v>14.2</v>
      </c>
      <c r="L22" s="739">
        <v>1.9</v>
      </c>
      <c r="M22" s="739">
        <v>14.4</v>
      </c>
      <c r="N22" s="746">
        <v>14.4</v>
      </c>
      <c r="O22" s="753">
        <f t="shared" ref="O22" si="8">+SUM(I22:N22)</f>
        <v>357.09999999999991</v>
      </c>
      <c r="P22" s="747">
        <v>72.099999999999994</v>
      </c>
      <c r="Q22" s="459">
        <v>72.7</v>
      </c>
      <c r="R22" s="739">
        <v>16.100000000000001</v>
      </c>
      <c r="S22" s="739">
        <v>71.8</v>
      </c>
      <c r="T22" s="746">
        <v>72.7</v>
      </c>
      <c r="U22" s="748">
        <v>74</v>
      </c>
      <c r="V22" s="739">
        <v>76.7</v>
      </c>
      <c r="W22" s="459">
        <v>17.2</v>
      </c>
      <c r="X22" s="459">
        <v>76.2</v>
      </c>
      <c r="Y22" s="746">
        <v>76.7</v>
      </c>
      <c r="Z22" s="638">
        <f t="shared" si="2"/>
        <v>1338.6000000000001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743">
        <v>296.89999999999998</v>
      </c>
      <c r="C23" s="739">
        <v>13.6</v>
      </c>
      <c r="D23" s="739">
        <v>14.3</v>
      </c>
      <c r="E23" s="739">
        <v>2</v>
      </c>
      <c r="F23" s="739">
        <v>14.2</v>
      </c>
      <c r="G23" s="744">
        <v>14.3</v>
      </c>
      <c r="H23" s="753">
        <f t="shared" ref="H23:H24" si="9">+SUM(B23:G23)</f>
        <v>355.3</v>
      </c>
      <c r="I23" s="745">
        <v>298.2</v>
      </c>
      <c r="J23" s="739">
        <v>14</v>
      </c>
      <c r="K23" s="739">
        <v>14.2</v>
      </c>
      <c r="L23" s="739">
        <v>1.9</v>
      </c>
      <c r="M23" s="739">
        <v>14.3</v>
      </c>
      <c r="N23" s="746">
        <v>14.4</v>
      </c>
      <c r="O23" s="753">
        <f t="shared" ref="O23:O24" si="10">+SUM(I23:N23)</f>
        <v>356.99999999999994</v>
      </c>
      <c r="P23" s="747">
        <v>72</v>
      </c>
      <c r="Q23" s="459">
        <v>72.7</v>
      </c>
      <c r="R23" s="739">
        <v>15.6</v>
      </c>
      <c r="S23" s="739">
        <v>71.8</v>
      </c>
      <c r="T23" s="746">
        <v>72.7</v>
      </c>
      <c r="U23" s="748">
        <v>74</v>
      </c>
      <c r="V23" s="739">
        <v>76.5</v>
      </c>
      <c r="W23" s="459">
        <v>16.7</v>
      </c>
      <c r="X23" s="459">
        <v>75.7</v>
      </c>
      <c r="Y23" s="746">
        <v>76.7</v>
      </c>
      <c r="Z23" s="209">
        <f t="shared" si="2"/>
        <v>1336.7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743">
        <v>296.89999999999998</v>
      </c>
      <c r="C24" s="739">
        <v>13.6</v>
      </c>
      <c r="D24" s="739">
        <v>14.3</v>
      </c>
      <c r="E24" s="739">
        <v>2</v>
      </c>
      <c r="F24" s="739">
        <v>14.2</v>
      </c>
      <c r="G24" s="744">
        <v>14.3</v>
      </c>
      <c r="H24" s="753">
        <f t="shared" si="9"/>
        <v>355.3</v>
      </c>
      <c r="I24" s="745">
        <v>298.2</v>
      </c>
      <c r="J24" s="739">
        <v>14</v>
      </c>
      <c r="K24" s="739">
        <v>14.2</v>
      </c>
      <c r="L24" s="739">
        <v>1.9</v>
      </c>
      <c r="M24" s="739">
        <v>14.3</v>
      </c>
      <c r="N24" s="746">
        <v>14.4</v>
      </c>
      <c r="O24" s="753">
        <f t="shared" si="10"/>
        <v>356.99999999999994</v>
      </c>
      <c r="P24" s="747">
        <v>72</v>
      </c>
      <c r="Q24" s="459">
        <v>72.599999999999994</v>
      </c>
      <c r="R24" s="739">
        <v>15.7</v>
      </c>
      <c r="S24" s="739">
        <v>71.8</v>
      </c>
      <c r="T24" s="746">
        <v>72.599999999999994</v>
      </c>
      <c r="U24" s="748">
        <v>74</v>
      </c>
      <c r="V24" s="739">
        <v>76.400000000000006</v>
      </c>
      <c r="W24" s="459">
        <v>16.7</v>
      </c>
      <c r="X24" s="459">
        <v>75.599999999999994</v>
      </c>
      <c r="Y24" s="746">
        <v>76.599999999999994</v>
      </c>
      <c r="Z24" s="412">
        <f t="shared" si="2"/>
        <v>1336.3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616">
        <f t="shared" ref="C25:G25" si="11">SUM(C18:C24)</f>
        <v>95.59999999999998</v>
      </c>
      <c r="D25" s="616">
        <f t="shared" si="11"/>
        <v>100.1</v>
      </c>
      <c r="E25" s="616">
        <f t="shared" si="11"/>
        <v>14.3</v>
      </c>
      <c r="F25" s="616">
        <f t="shared" si="11"/>
        <v>99.600000000000009</v>
      </c>
      <c r="G25" s="617">
        <f t="shared" si="11"/>
        <v>100.1</v>
      </c>
      <c r="H25" s="436"/>
      <c r="I25" s="618"/>
      <c r="J25" s="616">
        <f t="shared" ref="J25:N25" si="12">SUM(J18:J24)</f>
        <v>98</v>
      </c>
      <c r="K25" s="616">
        <f>SUM(K18:K24)</f>
        <v>99.4</v>
      </c>
      <c r="L25" s="616">
        <f t="shared" si="12"/>
        <v>13.3</v>
      </c>
      <c r="M25" s="616">
        <f t="shared" si="12"/>
        <v>100.6</v>
      </c>
      <c r="N25" s="619">
        <f t="shared" si="12"/>
        <v>101.00000000000001</v>
      </c>
      <c r="O25" s="436"/>
      <c r="P25" s="618">
        <f t="shared" ref="P25:W25" si="13">SUM(P18:P24)</f>
        <v>504.5</v>
      </c>
      <c r="Q25" s="618">
        <f t="shared" si="13"/>
        <v>508.79999999999995</v>
      </c>
      <c r="R25" s="618">
        <f t="shared" si="13"/>
        <v>114.60000000000001</v>
      </c>
      <c r="S25" s="618">
        <f t="shared" si="13"/>
        <v>503.40000000000003</v>
      </c>
      <c r="T25" s="618">
        <f t="shared" si="13"/>
        <v>508.79999999999995</v>
      </c>
      <c r="U25" s="618">
        <f t="shared" si="13"/>
        <v>518.5</v>
      </c>
      <c r="V25" s="618">
        <f t="shared" si="13"/>
        <v>538.6</v>
      </c>
      <c r="W25" s="618">
        <f t="shared" si="13"/>
        <v>119.70000000000002</v>
      </c>
      <c r="X25" s="618">
        <f>SUM(X18:X24)</f>
        <v>532.5</v>
      </c>
      <c r="Y25" s="810">
        <f>SUM(Y18:Y24)</f>
        <v>536.79999999999995</v>
      </c>
      <c r="Z25" s="449">
        <f>SUM(Z18,Z19,Z20,Z21,Z22,Z23,Z24)</f>
        <v>9373.9</v>
      </c>
      <c r="AA25" s="301"/>
    </row>
    <row r="26" spans="1:40" s="2" customFormat="1" ht="36.75" customHeight="1" x14ac:dyDescent="0.25">
      <c r="A26" s="192" t="s">
        <v>11</v>
      </c>
      <c r="B26" s="808"/>
      <c r="C26" s="620">
        <v>155.6</v>
      </c>
      <c r="D26" s="620">
        <v>155.6</v>
      </c>
      <c r="E26" s="620">
        <v>155.6</v>
      </c>
      <c r="F26" s="620">
        <v>155.6</v>
      </c>
      <c r="G26" s="620">
        <v>155.6</v>
      </c>
      <c r="H26" s="809"/>
      <c r="I26" s="620"/>
      <c r="J26" s="620">
        <v>155.6</v>
      </c>
      <c r="K26" s="620">
        <v>155.6</v>
      </c>
      <c r="L26" s="620">
        <v>155.6</v>
      </c>
      <c r="M26" s="620">
        <v>155.6</v>
      </c>
      <c r="N26" s="620">
        <v>155.6</v>
      </c>
      <c r="O26" s="809"/>
      <c r="P26" s="620">
        <v>154</v>
      </c>
      <c r="Q26" s="620">
        <v>154</v>
      </c>
      <c r="R26" s="620">
        <v>154</v>
      </c>
      <c r="S26" s="620">
        <v>154</v>
      </c>
      <c r="T26" s="620">
        <v>154</v>
      </c>
      <c r="U26" s="620">
        <v>154</v>
      </c>
      <c r="V26" s="620">
        <v>154</v>
      </c>
      <c r="W26" s="620">
        <v>154</v>
      </c>
      <c r="X26" s="620">
        <v>154</v>
      </c>
      <c r="Y26" s="620">
        <v>154</v>
      </c>
      <c r="Z26" s="793">
        <f>(((Z25*1000)/7)/Z27)</f>
        <v>155.47760030518651</v>
      </c>
    </row>
    <row r="27" spans="1:40" s="2" customFormat="1" ht="33" customHeight="1" x14ac:dyDescent="0.25">
      <c r="A27" s="193" t="s">
        <v>12</v>
      </c>
      <c r="B27" s="193"/>
      <c r="C27" s="26">
        <v>529</v>
      </c>
      <c r="D27" s="27">
        <v>555</v>
      </c>
      <c r="E27" s="27">
        <v>76</v>
      </c>
      <c r="F27" s="27">
        <v>552</v>
      </c>
      <c r="G27" s="28">
        <v>558</v>
      </c>
      <c r="H27" s="611"/>
      <c r="I27" s="26"/>
      <c r="J27" s="27">
        <v>540</v>
      </c>
      <c r="K27" s="27">
        <v>554</v>
      </c>
      <c r="L27" s="483">
        <v>69</v>
      </c>
      <c r="M27" s="27">
        <v>559</v>
      </c>
      <c r="N27" s="28">
        <v>561</v>
      </c>
      <c r="O27" s="611"/>
      <c r="P27" s="26">
        <v>468</v>
      </c>
      <c r="Q27" s="27">
        <v>471</v>
      </c>
      <c r="R27" s="27">
        <v>105</v>
      </c>
      <c r="S27" s="27">
        <v>466</v>
      </c>
      <c r="T27" s="483">
        <v>471</v>
      </c>
      <c r="U27" s="26">
        <v>481</v>
      </c>
      <c r="V27" s="27">
        <v>498</v>
      </c>
      <c r="W27" s="27">
        <v>110</v>
      </c>
      <c r="X27" s="27">
        <v>493</v>
      </c>
      <c r="Y27" s="28">
        <v>497</v>
      </c>
      <c r="Z27" s="211">
        <f>SUM(C27:Y27)</f>
        <v>8613</v>
      </c>
      <c r="AA27" s="402"/>
    </row>
    <row r="28" spans="1:40" s="2" customFormat="1" ht="33" customHeight="1" x14ac:dyDescent="0.25">
      <c r="A28" s="444" t="s">
        <v>13</v>
      </c>
      <c r="B28" s="444"/>
      <c r="C28" s="30">
        <f>(C33*C27)/1000</f>
        <v>13.542399999999997</v>
      </c>
      <c r="D28" s="31">
        <f>(D33*D27)/1000</f>
        <v>14.207999999999997</v>
      </c>
      <c r="E28" s="31">
        <f t="shared" ref="E28:F28" si="14">(E33*E27)/1000</f>
        <v>1.9455999999999996</v>
      </c>
      <c r="F28" s="31">
        <f t="shared" si="14"/>
        <v>14.131199999999996</v>
      </c>
      <c r="G28" s="32">
        <f>(G33*G27)/1000</f>
        <v>14.284799999999997</v>
      </c>
      <c r="H28" s="612"/>
      <c r="I28" s="30"/>
      <c r="J28" s="31">
        <f>(J33*J27)/1000</f>
        <v>13.823999999999996</v>
      </c>
      <c r="K28" s="31">
        <f t="shared" ref="K28:N28" si="15">(K33*K27)/1000</f>
        <v>14.182399999999996</v>
      </c>
      <c r="L28" s="31">
        <f t="shared" si="15"/>
        <v>1.7663999999999995</v>
      </c>
      <c r="M28" s="31">
        <f t="shared" si="15"/>
        <v>14.310399999999996</v>
      </c>
      <c r="N28" s="32">
        <f t="shared" si="15"/>
        <v>14.361599999999997</v>
      </c>
      <c r="O28" s="612"/>
      <c r="P28" s="30">
        <f>((((P26*7)*P27)/1000)/7)</f>
        <v>72.072000000000003</v>
      </c>
      <c r="Q28" s="31">
        <f t="shared" ref="Q28:Z28" si="16">((((Q26*7)*Q27)/1000)/7)</f>
        <v>72.534000000000006</v>
      </c>
      <c r="R28" s="31">
        <f t="shared" si="16"/>
        <v>16.169999999999998</v>
      </c>
      <c r="S28" s="31">
        <f t="shared" si="16"/>
        <v>71.763999999999996</v>
      </c>
      <c r="T28" s="31">
        <f t="shared" si="16"/>
        <v>72.534000000000006</v>
      </c>
      <c r="U28" s="30">
        <f t="shared" si="16"/>
        <v>74.073999999999998</v>
      </c>
      <c r="V28" s="31">
        <f t="shared" si="16"/>
        <v>76.692000000000007</v>
      </c>
      <c r="W28" s="31">
        <f t="shared" si="16"/>
        <v>16.940000000000001</v>
      </c>
      <c r="X28" s="31">
        <f t="shared" si="16"/>
        <v>75.921999999999997</v>
      </c>
      <c r="Y28" s="32">
        <f t="shared" si="16"/>
        <v>76.537999999999997</v>
      </c>
      <c r="Z28" s="286">
        <f t="shared" si="16"/>
        <v>1339.1285714285714</v>
      </c>
    </row>
    <row r="29" spans="1:40" ht="33.75" customHeight="1" x14ac:dyDescent="0.25">
      <c r="A29" s="185" t="s">
        <v>14</v>
      </c>
      <c r="B29" s="185"/>
      <c r="C29" s="279">
        <f>((C27*C30)*7)/1000</f>
        <v>95.599999999999966</v>
      </c>
      <c r="D29" s="280">
        <f t="shared" ref="D29:G29" si="17">((D27*D30)*7)/1000</f>
        <v>100.09999999999998</v>
      </c>
      <c r="E29" s="280">
        <f>((E27*E30)*7)/1000</f>
        <v>14.300000000000002</v>
      </c>
      <c r="F29" s="280">
        <f t="shared" si="17"/>
        <v>99.600000000000009</v>
      </c>
      <c r="G29" s="282">
        <f t="shared" si="17"/>
        <v>100.1</v>
      </c>
      <c r="H29" s="613"/>
      <c r="I29" s="279"/>
      <c r="J29" s="280">
        <f>((J27*J30)*7)/1000</f>
        <v>98</v>
      </c>
      <c r="K29" s="280">
        <f t="shared" ref="K29:N29" si="18">((K27*K30)*7)/1000</f>
        <v>99.40000000000002</v>
      </c>
      <c r="L29" s="280">
        <f t="shared" si="18"/>
        <v>13.299999999999999</v>
      </c>
      <c r="M29" s="280">
        <f t="shared" si="18"/>
        <v>100.6</v>
      </c>
      <c r="N29" s="282">
        <f t="shared" si="18"/>
        <v>101</v>
      </c>
      <c r="O29" s="613"/>
      <c r="P29" s="279">
        <f t="shared" ref="P29:Z29" si="19">((P27*P26)*7)/1000</f>
        <v>504.50400000000002</v>
      </c>
      <c r="Q29" s="280">
        <f t="shared" si="19"/>
        <v>507.738</v>
      </c>
      <c r="R29" s="280">
        <f t="shared" si="19"/>
        <v>113.19</v>
      </c>
      <c r="S29" s="280">
        <f t="shared" si="19"/>
        <v>502.34800000000001</v>
      </c>
      <c r="T29" s="280">
        <f t="shared" si="19"/>
        <v>507.738</v>
      </c>
      <c r="U29" s="279">
        <f t="shared" si="19"/>
        <v>518.51800000000003</v>
      </c>
      <c r="V29" s="280">
        <f t="shared" si="19"/>
        <v>536.84400000000005</v>
      </c>
      <c r="W29" s="280">
        <f t="shared" si="19"/>
        <v>118.58</v>
      </c>
      <c r="X29" s="280">
        <f t="shared" si="19"/>
        <v>531.45399999999995</v>
      </c>
      <c r="Y29" s="282">
        <f t="shared" si="19"/>
        <v>535.76599999999996</v>
      </c>
      <c r="Z29" s="680">
        <f t="shared" si="19"/>
        <v>9373.9</v>
      </c>
    </row>
    <row r="30" spans="1:40" ht="33.75" customHeight="1" thickBot="1" x14ac:dyDescent="0.3">
      <c r="A30" s="195" t="s">
        <v>15</v>
      </c>
      <c r="B30" s="195"/>
      <c r="C30" s="37">
        <f>+(C25/C27)/7*1000</f>
        <v>25.816905211990271</v>
      </c>
      <c r="D30" s="38">
        <f t="shared" ref="D30:X30" si="20">+(D25/D27)/7*1000</f>
        <v>25.765765765765764</v>
      </c>
      <c r="E30" s="38">
        <f>+(E25/E27)/7*1000</f>
        <v>26.879699248120303</v>
      </c>
      <c r="F30" s="38">
        <f t="shared" si="20"/>
        <v>25.776397515527954</v>
      </c>
      <c r="G30" s="39">
        <f t="shared" si="20"/>
        <v>25.627240143369175</v>
      </c>
      <c r="H30" s="614"/>
      <c r="I30" s="37"/>
      <c r="J30" s="38">
        <f t="shared" si="20"/>
        <v>25.925925925925927</v>
      </c>
      <c r="K30" s="38">
        <f t="shared" si="20"/>
        <v>25.631768953068594</v>
      </c>
      <c r="L30" s="38">
        <f t="shared" si="20"/>
        <v>27.536231884057969</v>
      </c>
      <c r="M30" s="38">
        <f t="shared" si="20"/>
        <v>25.709174546383849</v>
      </c>
      <c r="N30" s="39">
        <f>+(N25/N27)/7*1000</f>
        <v>25.719378660555133</v>
      </c>
      <c r="O30" s="614"/>
      <c r="P30" s="37">
        <f t="shared" si="20"/>
        <v>153.99877899877899</v>
      </c>
      <c r="Q30" s="38">
        <f t="shared" si="20"/>
        <v>154.32211101000908</v>
      </c>
      <c r="R30" s="38">
        <f t="shared" si="20"/>
        <v>155.91836734693879</v>
      </c>
      <c r="S30" s="38">
        <f t="shared" si="20"/>
        <v>154.32250153280197</v>
      </c>
      <c r="T30" s="38">
        <f t="shared" si="20"/>
        <v>154.32211101000908</v>
      </c>
      <c r="U30" s="37">
        <f t="shared" si="20"/>
        <v>153.99465399465399</v>
      </c>
      <c r="V30" s="38">
        <f t="shared" si="20"/>
        <v>154.5037292025244</v>
      </c>
      <c r="W30" s="38">
        <f t="shared" si="20"/>
        <v>155.4545454545455</v>
      </c>
      <c r="X30" s="38">
        <f t="shared" si="20"/>
        <v>154.30310055056506</v>
      </c>
      <c r="Y30" s="39">
        <f>+(Y25/Y27)/7*1000</f>
        <v>154.29721184248345</v>
      </c>
      <c r="Z30" s="262">
        <f>+(Z25/Z27)/7*1000</f>
        <v>155.47760030518651</v>
      </c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21">D29-D25</f>
        <v>0</v>
      </c>
      <c r="E31" s="42">
        <f t="shared" si="21"/>
        <v>0</v>
      </c>
      <c r="F31" s="42">
        <f t="shared" si="21"/>
        <v>0</v>
      </c>
      <c r="G31" s="42">
        <f t="shared" si="21"/>
        <v>0</v>
      </c>
      <c r="H31" s="42"/>
      <c r="I31" s="42"/>
      <c r="J31" s="42">
        <f>J29-J25</f>
        <v>0</v>
      </c>
      <c r="K31" s="42">
        <f>K29-K25</f>
        <v>0</v>
      </c>
      <c r="L31" s="42">
        <f t="shared" si="21"/>
        <v>0</v>
      </c>
      <c r="M31" s="42">
        <f t="shared" si="21"/>
        <v>0</v>
      </c>
      <c r="N31" s="42">
        <f t="shared" si="21"/>
        <v>0</v>
      </c>
      <c r="O31" s="42"/>
      <c r="P31" s="42">
        <f>P29-P25</f>
        <v>4.0000000000190994E-3</v>
      </c>
      <c r="Q31" s="42">
        <f>Q29-Q25</f>
        <v>-1.061999999999955</v>
      </c>
      <c r="R31" s="42">
        <f t="shared" si="21"/>
        <v>-1.4100000000000108</v>
      </c>
      <c r="S31" s="42">
        <f t="shared" si="21"/>
        <v>-1.0520000000000209</v>
      </c>
      <c r="T31" s="42">
        <f t="shared" si="21"/>
        <v>-1.061999999999955</v>
      </c>
      <c r="U31" s="42">
        <f>U29-U25</f>
        <v>1.8000000000029104E-2</v>
      </c>
      <c r="V31" s="42">
        <f t="shared" si="21"/>
        <v>-1.7559999999999718</v>
      </c>
      <c r="W31" s="42">
        <f t="shared" si="21"/>
        <v>-1.1200000000000188</v>
      </c>
      <c r="X31" s="42">
        <f t="shared" si="21"/>
        <v>-1.0460000000000491</v>
      </c>
      <c r="Y31" s="42">
        <f>Y29-Y25</f>
        <v>-1.0339999999999918</v>
      </c>
      <c r="Z31" s="42">
        <f>Z29-Z25</f>
        <v>0</v>
      </c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0.21690521199027657</v>
      </c>
      <c r="D32" s="42">
        <f t="shared" ref="D32:G32" si="22">D30-D33</f>
        <v>0.1657657657657694</v>
      </c>
      <c r="E32" s="42">
        <f>E30-E33</f>
        <v>1.2796992481203091</v>
      </c>
      <c r="F32" s="42">
        <f t="shared" si="22"/>
        <v>0.17639751552795957</v>
      </c>
      <c r="G32" s="42">
        <f t="shared" si="22"/>
        <v>2.7240143369180458E-2</v>
      </c>
      <c r="H32" s="42"/>
      <c r="I32" s="42"/>
      <c r="J32" s="42">
        <f t="shared" ref="J32:M32" si="23">J30-J33</f>
        <v>0.32592592592593306</v>
      </c>
      <c r="K32" s="42">
        <f t="shared" si="23"/>
        <v>3.1768953068599615E-2</v>
      </c>
      <c r="L32" s="42">
        <f t="shared" si="23"/>
        <v>1.9362318840579746</v>
      </c>
      <c r="M32" s="42">
        <f t="shared" si="23"/>
        <v>0.10917454638385493</v>
      </c>
      <c r="N32" s="42">
        <f>N30-N33</f>
        <v>0.11937866055513879</v>
      </c>
      <c r="O32" s="42"/>
      <c r="P32" s="42">
        <f>P30-P26</f>
        <v>-1.2210012210118748E-3</v>
      </c>
      <c r="Q32" s="42">
        <f t="shared" si="21"/>
        <v>0.32211101000908116</v>
      </c>
      <c r="R32" s="42">
        <f t="shared" si="21"/>
        <v>1.9183673469387941</v>
      </c>
      <c r="S32" s="42">
        <f t="shared" si="21"/>
        <v>0.32250153280196514</v>
      </c>
      <c r="T32" s="42">
        <f t="shared" si="21"/>
        <v>0.32211101000908116</v>
      </c>
      <c r="U32" s="42">
        <f t="shared" si="21"/>
        <v>-5.3460053460128165E-3</v>
      </c>
      <c r="V32" s="42">
        <f t="shared" si="21"/>
        <v>0.50372920252439712</v>
      </c>
      <c r="W32" s="42">
        <f t="shared" si="21"/>
        <v>1.4545454545454959</v>
      </c>
      <c r="X32" s="42">
        <f t="shared" si="21"/>
        <v>0.30310055056506258</v>
      </c>
      <c r="Y32" s="42">
        <f t="shared" si="21"/>
        <v>0.29721184248344912</v>
      </c>
      <c r="Z32" s="42">
        <f t="shared" ref="Z32" si="24">Z30-Z26</f>
        <v>0</v>
      </c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25.599999999999994</v>
      </c>
      <c r="D33" s="42">
        <f t="shared" ref="D33:G33" si="25">D26-$B$34</f>
        <v>25.599999999999994</v>
      </c>
      <c r="E33" s="42">
        <f>E26-$B$34</f>
        <v>25.599999999999994</v>
      </c>
      <c r="F33" s="42">
        <f t="shared" si="25"/>
        <v>25.599999999999994</v>
      </c>
      <c r="G33" s="42">
        <f t="shared" si="25"/>
        <v>25.599999999999994</v>
      </c>
      <c r="H33" s="42"/>
      <c r="I33" s="42"/>
      <c r="J33" s="42">
        <f>J26-$I$34</f>
        <v>25.599999999999994</v>
      </c>
      <c r="K33" s="42">
        <f t="shared" ref="K33:L33" si="26">K26-$I$34</f>
        <v>25.599999999999994</v>
      </c>
      <c r="L33" s="42">
        <f t="shared" si="26"/>
        <v>25.599999999999994</v>
      </c>
      <c r="M33" s="42">
        <f>M26-$I$34</f>
        <v>25.599999999999994</v>
      </c>
      <c r="N33" s="42">
        <f>N26-$I$34</f>
        <v>25.599999999999994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295.10000000000002</v>
      </c>
      <c r="D34" s="432">
        <f>SUM(C27:G27)</f>
        <v>2270</v>
      </c>
      <c r="E34" s="42"/>
      <c r="F34" s="42"/>
      <c r="G34" s="42"/>
      <c r="H34" s="42"/>
      <c r="I34" s="514">
        <v>130</v>
      </c>
      <c r="J34" s="431">
        <f>(I34*K34)/1000</f>
        <v>296.79000000000002</v>
      </c>
      <c r="K34" s="432">
        <f>SUM(J27:N27)</f>
        <v>2283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977" t="s">
        <v>9</v>
      </c>
      <c r="T39" s="645"/>
      <c r="V39" s="45"/>
      <c r="W39" s="45"/>
      <c r="X39" s="46"/>
      <c r="Y39" s="3"/>
      <c r="Z39" s="45"/>
      <c r="AA39" s="45"/>
      <c r="AB39" s="45"/>
      <c r="AC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204">
        <v>5</v>
      </c>
      <c r="R40" s="984"/>
      <c r="T40" s="645"/>
      <c r="V40" s="47"/>
      <c r="Y40" s="48"/>
      <c r="Z40" s="2"/>
      <c r="AA40" s="2"/>
      <c r="AB40" s="2"/>
      <c r="AC40" s="2"/>
    </row>
    <row r="41" spans="1:38" ht="33.75" customHeight="1" x14ac:dyDescent="0.25">
      <c r="A41" s="171" t="s">
        <v>32</v>
      </c>
      <c r="B41" s="279">
        <v>80.7</v>
      </c>
      <c r="C41" s="280">
        <v>79.8</v>
      </c>
      <c r="D41" s="280">
        <v>12.2</v>
      </c>
      <c r="E41" s="280">
        <v>84.9</v>
      </c>
      <c r="F41" s="281">
        <v>80.5</v>
      </c>
      <c r="G41" s="638">
        <f t="shared" ref="G41:G48" si="27">SUM(B41:F41)</f>
        <v>338.1</v>
      </c>
      <c r="H41" s="364"/>
      <c r="I41" s="364"/>
      <c r="J41" s="364"/>
      <c r="K41" s="364"/>
      <c r="L41" s="171" t="s">
        <v>53</v>
      </c>
      <c r="M41" s="279">
        <v>6.6</v>
      </c>
      <c r="N41" s="280">
        <v>6.7</v>
      </c>
      <c r="O41" s="280">
        <v>1.2</v>
      </c>
      <c r="P41" s="280">
        <v>6.7</v>
      </c>
      <c r="Q41" s="281">
        <v>6.6</v>
      </c>
      <c r="R41" s="800">
        <f>SUM(M41:Q41)</f>
        <v>27.799999999999997</v>
      </c>
      <c r="T41" s="646"/>
      <c r="U41" s="675"/>
      <c r="V41" s="657"/>
      <c r="Y41" s="48"/>
      <c r="Z41" s="2"/>
      <c r="AA41" s="2"/>
      <c r="AB41" s="2"/>
      <c r="AC41" s="2"/>
    </row>
    <row r="42" spans="1:38" ht="33.75" customHeight="1" x14ac:dyDescent="0.25">
      <c r="A42" s="171" t="s">
        <v>24</v>
      </c>
      <c r="B42" s="279">
        <v>79.900000000000006</v>
      </c>
      <c r="C42" s="280">
        <v>78.2</v>
      </c>
      <c r="D42" s="280">
        <v>11.3</v>
      </c>
      <c r="E42" s="280">
        <v>84.2</v>
      </c>
      <c r="F42" s="281">
        <v>79.900000000000006</v>
      </c>
      <c r="G42" s="638">
        <f t="shared" si="27"/>
        <v>333.5</v>
      </c>
      <c r="H42" s="364"/>
      <c r="I42" s="364"/>
      <c r="J42" s="364"/>
      <c r="K42" s="364"/>
      <c r="L42" s="171" t="s">
        <v>24</v>
      </c>
      <c r="M42" s="279">
        <v>6.6</v>
      </c>
      <c r="N42" s="280">
        <v>6.5</v>
      </c>
      <c r="O42" s="280">
        <v>1.1000000000000001</v>
      </c>
      <c r="P42" s="280">
        <v>6.7</v>
      </c>
      <c r="Q42" s="281">
        <v>6.5</v>
      </c>
      <c r="R42" s="638">
        <f t="shared" ref="R42:R47" si="28">SUM(M42:Q42)</f>
        <v>27.4</v>
      </c>
      <c r="T42" s="646"/>
      <c r="U42" s="647"/>
      <c r="V42" s="658"/>
      <c r="Y42" s="48"/>
      <c r="Z42" s="2"/>
      <c r="AA42" s="2"/>
      <c r="AB42" s="2"/>
      <c r="AC42" s="2"/>
    </row>
    <row r="43" spans="1:38" ht="33.75" customHeight="1" x14ac:dyDescent="0.25">
      <c r="A43" s="171" t="s">
        <v>20</v>
      </c>
      <c r="B43" s="279">
        <v>79.599999999999994</v>
      </c>
      <c r="C43" s="280">
        <v>78.2</v>
      </c>
      <c r="D43" s="280">
        <v>11.1</v>
      </c>
      <c r="E43" s="280">
        <v>83.9</v>
      </c>
      <c r="F43" s="281">
        <v>79.900000000000006</v>
      </c>
      <c r="G43" s="638">
        <f>SUM(B43:F43)</f>
        <v>332.70000000000005</v>
      </c>
      <c r="H43" s="364"/>
      <c r="I43" s="364"/>
      <c r="J43" s="364"/>
      <c r="K43" s="364"/>
      <c r="L43" s="171" t="s">
        <v>20</v>
      </c>
      <c r="M43" s="279">
        <v>6.6</v>
      </c>
      <c r="N43" s="280">
        <v>6.5</v>
      </c>
      <c r="O43" s="280">
        <v>1.1000000000000001</v>
      </c>
      <c r="P43" s="280">
        <v>6.7</v>
      </c>
      <c r="Q43" s="281">
        <v>6.5</v>
      </c>
      <c r="R43" s="638">
        <f t="shared" si="28"/>
        <v>27.4</v>
      </c>
      <c r="T43" s="646"/>
      <c r="U43" s="647"/>
      <c r="V43" s="658"/>
      <c r="Y43" s="48"/>
      <c r="Z43" s="2"/>
      <c r="AA43" s="2"/>
      <c r="AB43" s="2"/>
      <c r="AC43" s="2"/>
    </row>
    <row r="44" spans="1:38" ht="33.75" customHeight="1" x14ac:dyDescent="0.25">
      <c r="A44" s="171" t="s">
        <v>28</v>
      </c>
      <c r="B44" s="279">
        <v>79.599999999999994</v>
      </c>
      <c r="C44" s="280">
        <v>78.2</v>
      </c>
      <c r="D44" s="280">
        <v>11.1</v>
      </c>
      <c r="E44" s="280">
        <v>83.9</v>
      </c>
      <c r="F44" s="281">
        <v>79.900000000000006</v>
      </c>
      <c r="G44" s="638">
        <f t="shared" si="27"/>
        <v>332.70000000000005</v>
      </c>
      <c r="H44" s="651"/>
      <c r="I44" s="364"/>
      <c r="J44" s="364"/>
      <c r="K44" s="364"/>
      <c r="L44" s="171" t="s">
        <v>28</v>
      </c>
      <c r="M44" s="279">
        <v>6.6</v>
      </c>
      <c r="N44" s="280">
        <v>6.5</v>
      </c>
      <c r="O44" s="280">
        <v>1.1000000000000001</v>
      </c>
      <c r="P44" s="280">
        <v>6.7</v>
      </c>
      <c r="Q44" s="281">
        <v>6.5</v>
      </c>
      <c r="R44" s="638">
        <f t="shared" si="28"/>
        <v>27.4</v>
      </c>
      <c r="T44" s="646"/>
      <c r="U44" s="647"/>
      <c r="V44" s="658"/>
      <c r="Y44" s="48"/>
      <c r="Z44" s="2"/>
      <c r="AA44" s="2"/>
      <c r="AB44" s="2"/>
      <c r="AC44" s="2"/>
    </row>
    <row r="45" spans="1:38" ht="33.75" customHeight="1" x14ac:dyDescent="0.25">
      <c r="A45" s="171" t="s">
        <v>21</v>
      </c>
      <c r="B45" s="532">
        <v>78.900000000000006</v>
      </c>
      <c r="C45" s="431">
        <v>78.22</v>
      </c>
      <c r="D45" s="431">
        <v>10</v>
      </c>
      <c r="E45" s="431">
        <v>83.9</v>
      </c>
      <c r="F45" s="533">
        <v>79.900000000000006</v>
      </c>
      <c r="G45" s="638">
        <f t="shared" si="27"/>
        <v>330.92</v>
      </c>
      <c r="H45" s="651"/>
      <c r="I45" s="364"/>
      <c r="J45" s="364"/>
      <c r="K45" s="364"/>
      <c r="L45" s="171" t="s">
        <v>21</v>
      </c>
      <c r="M45" s="279">
        <v>6.6</v>
      </c>
      <c r="N45" s="280">
        <v>6.5</v>
      </c>
      <c r="O45" s="280">
        <v>1.1000000000000001</v>
      </c>
      <c r="P45" s="280">
        <v>6.7</v>
      </c>
      <c r="Q45" s="281">
        <v>6.5</v>
      </c>
      <c r="R45" s="638">
        <f t="shared" si="28"/>
        <v>27.4</v>
      </c>
      <c r="T45" s="646"/>
      <c r="U45" s="647"/>
      <c r="V45" s="658"/>
      <c r="Y45" s="48"/>
      <c r="Z45" s="2"/>
      <c r="AA45" s="2"/>
      <c r="AB45" s="2"/>
      <c r="AC45" s="2"/>
    </row>
    <row r="46" spans="1:38" ht="33.75" customHeight="1" x14ac:dyDescent="0.25">
      <c r="A46" s="171" t="s">
        <v>22</v>
      </c>
      <c r="B46" s="532">
        <v>78.900000000000006</v>
      </c>
      <c r="C46" s="431">
        <v>77.2</v>
      </c>
      <c r="D46" s="431">
        <v>9.5</v>
      </c>
      <c r="E46" s="431">
        <v>83.9</v>
      </c>
      <c r="F46" s="533">
        <v>79.8</v>
      </c>
      <c r="G46" s="209">
        <f t="shared" si="27"/>
        <v>329.3</v>
      </c>
      <c r="H46" s="651"/>
      <c r="I46" s="364"/>
      <c r="J46" s="364"/>
      <c r="K46" s="364"/>
      <c r="L46" s="171" t="s">
        <v>22</v>
      </c>
      <c r="M46" s="279">
        <v>6.7</v>
      </c>
      <c r="N46" s="280">
        <v>6.6</v>
      </c>
      <c r="O46" s="280">
        <v>1.1000000000000001</v>
      </c>
      <c r="P46" s="280">
        <v>6.7</v>
      </c>
      <c r="Q46" s="281">
        <v>6.6</v>
      </c>
      <c r="R46" s="209">
        <f t="shared" si="28"/>
        <v>27.700000000000003</v>
      </c>
      <c r="T46" s="646"/>
      <c r="U46" s="647"/>
      <c r="V46" s="658"/>
      <c r="Y46" s="48"/>
      <c r="Z46" s="2"/>
      <c r="AA46" s="2"/>
      <c r="AB46" s="2"/>
      <c r="AC46" s="2"/>
    </row>
    <row r="47" spans="1:38" ht="33.75" customHeight="1" thickBot="1" x14ac:dyDescent="0.3">
      <c r="A47" s="285" t="s">
        <v>23</v>
      </c>
      <c r="B47" s="532">
        <v>78.900000000000006</v>
      </c>
      <c r="C47" s="431">
        <v>77.099999999999994</v>
      </c>
      <c r="D47" s="431">
        <v>9.4</v>
      </c>
      <c r="E47" s="431">
        <v>83.8</v>
      </c>
      <c r="F47" s="533">
        <v>79.8</v>
      </c>
      <c r="G47" s="376">
        <f t="shared" si="27"/>
        <v>329</v>
      </c>
      <c r="H47" s="651"/>
      <c r="I47" s="364"/>
      <c r="J47" s="364"/>
      <c r="K47" s="364"/>
      <c r="L47" s="285" t="s">
        <v>23</v>
      </c>
      <c r="M47" s="279">
        <v>6.7</v>
      </c>
      <c r="N47" s="280">
        <v>6.6</v>
      </c>
      <c r="O47" s="280">
        <v>1.2</v>
      </c>
      <c r="P47" s="280">
        <v>6.8</v>
      </c>
      <c r="Q47" s="281">
        <v>6.6</v>
      </c>
      <c r="R47" s="376">
        <f t="shared" si="28"/>
        <v>27.9</v>
      </c>
      <c r="T47" s="646"/>
      <c r="U47" s="647"/>
      <c r="V47" s="658"/>
      <c r="Y47" s="48"/>
      <c r="Z47" s="48"/>
      <c r="AA47" s="48"/>
      <c r="AB47" s="2"/>
      <c r="AC47" s="2"/>
      <c r="AD47" s="2"/>
      <c r="AE47" s="2"/>
    </row>
    <row r="48" spans="1:38" ht="33.75" customHeight="1" thickBot="1" x14ac:dyDescent="0.3">
      <c r="A48" s="290" t="s">
        <v>9</v>
      </c>
      <c r="B48" s="297">
        <f>SUM(B41:B47)</f>
        <v>556.5</v>
      </c>
      <c r="C48" s="298">
        <f t="shared" ref="C48:F48" si="29">SUM(C41:C47)</f>
        <v>546.91999999999996</v>
      </c>
      <c r="D48" s="298">
        <f t="shared" si="29"/>
        <v>74.600000000000009</v>
      </c>
      <c r="E48" s="298">
        <f t="shared" si="29"/>
        <v>588.5</v>
      </c>
      <c r="F48" s="448">
        <f t="shared" si="29"/>
        <v>559.70000000000005</v>
      </c>
      <c r="G48" s="729">
        <f t="shared" si="27"/>
        <v>2326.2200000000003</v>
      </c>
      <c r="H48" s="364"/>
      <c r="I48" s="364"/>
      <c r="J48" s="364"/>
      <c r="K48" s="364"/>
      <c r="L48" s="290" t="s">
        <v>9</v>
      </c>
      <c r="M48" s="763">
        <f>SUM(M41:M47)</f>
        <v>46.400000000000006</v>
      </c>
      <c r="N48" s="764">
        <f>SUM(N41:N47)</f>
        <v>45.900000000000006</v>
      </c>
      <c r="O48" s="764">
        <f>SUM(O41:O47)</f>
        <v>7.8999999999999995</v>
      </c>
      <c r="P48" s="764">
        <f t="shared" ref="P48:Q48" si="30">SUM(P41:P47)</f>
        <v>47</v>
      </c>
      <c r="Q48" s="765">
        <f t="shared" si="30"/>
        <v>45.800000000000004</v>
      </c>
      <c r="R48" s="815">
        <f>SUM(M48:Q48)</f>
        <v>193.00000000000003</v>
      </c>
      <c r="T48" s="647"/>
      <c r="U48" s="647"/>
      <c r="V48" s="658"/>
      <c r="Y48" s="2"/>
      <c r="Z48" s="2"/>
      <c r="AA48" s="2"/>
      <c r="AB48" s="2"/>
      <c r="AC48" s="2"/>
      <c r="AD48" s="2"/>
      <c r="AE48" s="2"/>
    </row>
    <row r="49" spans="1:50" ht="33.75" customHeight="1" x14ac:dyDescent="0.25">
      <c r="A49" s="192" t="s">
        <v>11</v>
      </c>
      <c r="B49" s="751">
        <v>152.30000000000001</v>
      </c>
      <c r="C49" s="751">
        <v>152.30000000000001</v>
      </c>
      <c r="D49" s="751">
        <v>152.30000000000001</v>
      </c>
      <c r="E49" s="751">
        <v>152.30000000000001</v>
      </c>
      <c r="F49" s="751">
        <v>152.30000000000001</v>
      </c>
      <c r="G49" s="730">
        <f>+((G48/G50)/7)*1000</f>
        <v>152.78949096880132</v>
      </c>
      <c r="H49" s="609"/>
      <c r="I49" s="364"/>
      <c r="J49" s="364"/>
      <c r="K49" s="364"/>
      <c r="L49" s="273" t="s">
        <v>11</v>
      </c>
      <c r="M49" s="357">
        <v>161.5</v>
      </c>
      <c r="N49" s="358">
        <v>160</v>
      </c>
      <c r="O49" s="358">
        <v>160.5</v>
      </c>
      <c r="P49" s="358">
        <v>160</v>
      </c>
      <c r="Q49" s="624">
        <v>159.5</v>
      </c>
      <c r="R49" s="730">
        <f>+((R48/R50)/7)*1000</f>
        <v>162.18487394957987</v>
      </c>
      <c r="T49" s="648"/>
      <c r="U49" s="647"/>
      <c r="V49" s="658"/>
      <c r="W49" s="50"/>
    </row>
    <row r="50" spans="1:50" ht="33.75" customHeight="1" x14ac:dyDescent="0.25">
      <c r="A50" s="193" t="s">
        <v>12</v>
      </c>
      <c r="B50" s="26">
        <v>520</v>
      </c>
      <c r="C50" s="27">
        <v>512</v>
      </c>
      <c r="D50" s="27">
        <v>67</v>
      </c>
      <c r="E50" s="27">
        <v>551</v>
      </c>
      <c r="F50" s="183">
        <v>525</v>
      </c>
      <c r="G50" s="731">
        <f>SUM(B50:F50)</f>
        <v>2175</v>
      </c>
      <c r="H50" s="609"/>
      <c r="I50" s="364"/>
      <c r="J50" s="364"/>
      <c r="K50" s="364"/>
      <c r="L50" s="193" t="s">
        <v>12</v>
      </c>
      <c r="M50" s="257">
        <v>41</v>
      </c>
      <c r="N50" s="275">
        <v>40</v>
      </c>
      <c r="O50" s="275">
        <v>6</v>
      </c>
      <c r="P50" s="275">
        <v>42</v>
      </c>
      <c r="Q50" s="276">
        <v>41</v>
      </c>
      <c r="R50" s="233">
        <f>SUM(M50:Q50)</f>
        <v>170</v>
      </c>
      <c r="T50" s="649"/>
      <c r="U50" s="301"/>
      <c r="V50" s="52"/>
      <c r="W50" s="52"/>
    </row>
    <row r="51" spans="1:50" ht="33.75" customHeight="1" x14ac:dyDescent="0.25">
      <c r="A51" s="194" t="s">
        <v>13</v>
      </c>
      <c r="B51" s="30">
        <f>((((B49*7)*B50)/1000))/7</f>
        <v>79.196000000000012</v>
      </c>
      <c r="C51" s="30">
        <f t="shared" ref="C51:F51" si="31">((((C49*7)*C50)/1000))/7</f>
        <v>77.97760000000001</v>
      </c>
      <c r="D51" s="30">
        <f t="shared" si="31"/>
        <v>10.2041</v>
      </c>
      <c r="E51" s="30">
        <f t="shared" si="31"/>
        <v>83.917300000000026</v>
      </c>
      <c r="F51" s="30">
        <f t="shared" si="31"/>
        <v>79.95750000000001</v>
      </c>
      <c r="G51" s="732">
        <f>((G48*1000)/G50)/7</f>
        <v>152.78949096880135</v>
      </c>
      <c r="H51" s="609"/>
      <c r="I51" s="364"/>
      <c r="J51" s="364"/>
      <c r="K51" s="364"/>
      <c r="L51" s="194" t="s">
        <v>13</v>
      </c>
      <c r="M51" s="30">
        <f>((((M49*7)*M50)/1000)/7)</f>
        <v>6.6214999999999993</v>
      </c>
      <c r="N51" s="31">
        <f t="shared" ref="N51:Q51" si="32">((((N49*7)*N50)/1000)/7)</f>
        <v>6.3999999999999995</v>
      </c>
      <c r="O51" s="31">
        <f t="shared" si="32"/>
        <v>0.96299999999999997</v>
      </c>
      <c r="P51" s="31">
        <f t="shared" si="32"/>
        <v>6.72</v>
      </c>
      <c r="Q51" s="32">
        <f t="shared" si="32"/>
        <v>6.5394999999999994</v>
      </c>
      <c r="R51" s="234">
        <f>((R48*1000)/R50)/7</f>
        <v>162.18487394957987</v>
      </c>
      <c r="T51" s="650"/>
      <c r="U51" s="301"/>
      <c r="V51" s="52"/>
      <c r="W51" s="52"/>
    </row>
    <row r="52" spans="1:50" ht="33.75" customHeight="1" x14ac:dyDescent="0.25">
      <c r="A52" s="185" t="s">
        <v>14</v>
      </c>
      <c r="B52" s="279">
        <f>((B50*B49)*7)/1000</f>
        <v>554.37199999999996</v>
      </c>
      <c r="C52" s="280">
        <f>((C50*C49)*7)/1000</f>
        <v>545.84320000000002</v>
      </c>
      <c r="D52" s="280">
        <f>((D50*D49)*7)/1000</f>
        <v>71.428699999999992</v>
      </c>
      <c r="E52" s="280">
        <f>((E50*E49)*7)/1000</f>
        <v>587.42110000000002</v>
      </c>
      <c r="F52" s="281">
        <f>((F50*F49)*7)/1000</f>
        <v>559.70249999999999</v>
      </c>
      <c r="G52" s="73"/>
      <c r="H52" s="609"/>
      <c r="I52" s="364"/>
      <c r="J52" s="364"/>
      <c r="K52" s="364"/>
      <c r="L52" s="185" t="s">
        <v>14</v>
      </c>
      <c r="M52" s="279">
        <f>((M50*M49)*7)/1000</f>
        <v>46.350499999999997</v>
      </c>
      <c r="N52" s="280">
        <f>((N50*N49)*7)/1000</f>
        <v>44.8</v>
      </c>
      <c r="O52" s="280">
        <f>((O50*O49)*7)/1000</f>
        <v>6.7409999999999997</v>
      </c>
      <c r="P52" s="280">
        <f t="shared" ref="P52" si="33">((P50*P49)*7)/1000</f>
        <v>47.04</v>
      </c>
      <c r="Q52" s="282">
        <f>((Q50*Q49)*7)/1000</f>
        <v>45.776499999999999</v>
      </c>
      <c r="R52" s="282">
        <f>((R50*R49)*7)/1000</f>
        <v>193.00000000000003</v>
      </c>
      <c r="T52" s="522"/>
    </row>
    <row r="53" spans="1:50" ht="33.75" customHeight="1" thickBot="1" x14ac:dyDescent="0.3">
      <c r="A53" s="195" t="s">
        <v>15</v>
      </c>
      <c r="B53" s="37">
        <f>+(B48/B50)/7*1000</f>
        <v>152.88461538461536</v>
      </c>
      <c r="C53" s="38">
        <f t="shared" ref="C53:E53" si="34">+(C48/C50)/7*1000</f>
        <v>152.60044642857142</v>
      </c>
      <c r="D53" s="38">
        <f t="shared" si="34"/>
        <v>159.06183368869935</v>
      </c>
      <c r="E53" s="38">
        <f t="shared" si="34"/>
        <v>152.57972517500647</v>
      </c>
      <c r="F53" s="207">
        <f>+(F48/F50)/7*1000</f>
        <v>152.29931972789117</v>
      </c>
      <c r="G53" s="74"/>
      <c r="H53" s="609"/>
      <c r="I53" s="364"/>
      <c r="J53" s="364"/>
      <c r="K53" s="364"/>
      <c r="L53" s="195" t="s">
        <v>15</v>
      </c>
      <c r="M53" s="37">
        <f>+(M48/M50)/7*1000</f>
        <v>161.67247386759584</v>
      </c>
      <c r="N53" s="38">
        <f>+(N48/N50)/7*1000</f>
        <v>163.92857142857144</v>
      </c>
      <c r="O53" s="38">
        <f>+(O48/O50)/7*1000</f>
        <v>188.0952380952381</v>
      </c>
      <c r="P53" s="38">
        <f t="shared" ref="P53:R53" si="35">+(P48/P50)/7*1000</f>
        <v>159.8639455782313</v>
      </c>
      <c r="Q53" s="39">
        <f t="shared" si="35"/>
        <v>159.58188153310107</v>
      </c>
      <c r="R53" s="39">
        <f t="shared" si="35"/>
        <v>162.18487394957987</v>
      </c>
      <c r="T53" s="651"/>
      <c r="V53" s="42"/>
      <c r="W53" s="42"/>
    </row>
    <row r="54" spans="1:50" ht="33.75" customHeight="1" x14ac:dyDescent="0.25">
      <c r="A54" s="41"/>
      <c r="B54" s="43">
        <f>B52-B48</f>
        <v>-2.1280000000000427</v>
      </c>
      <c r="C54" s="43">
        <f t="shared" ref="C54:D55" si="36">C52-C48</f>
        <v>-1.0767999999999347</v>
      </c>
      <c r="D54" s="43">
        <f t="shared" si="36"/>
        <v>-3.1713000000000164</v>
      </c>
      <c r="E54" s="43">
        <f>E52-E48</f>
        <v>-1.078899999999976</v>
      </c>
      <c r="F54" s="43">
        <f>F52-F48</f>
        <v>2.4999999999408828E-3</v>
      </c>
      <c r="G54" s="41"/>
      <c r="H54" s="41"/>
      <c r="I54" s="41"/>
      <c r="J54" s="41"/>
      <c r="K54" s="41"/>
      <c r="L54" s="42"/>
      <c r="M54" s="42">
        <f>M52-M48</f>
        <v>-4.9500000000008981E-2</v>
      </c>
      <c r="N54" s="42">
        <f>N52-N48</f>
        <v>-1.1000000000000085</v>
      </c>
      <c r="O54" s="42">
        <f t="shared" ref="N54:R55" si="37">O52-O48</f>
        <v>-1.1589999999999998</v>
      </c>
      <c r="P54" s="42">
        <f t="shared" si="37"/>
        <v>3.9999999999999147E-2</v>
      </c>
      <c r="Q54" s="42">
        <f t="shared" si="37"/>
        <v>-2.3500000000005627E-2</v>
      </c>
      <c r="R54" s="42">
        <f>R52-R48</f>
        <v>0</v>
      </c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0.58461538461534701</v>
      </c>
      <c r="C55" s="42">
        <f>C53-C49</f>
        <v>0.30044642857140502</v>
      </c>
      <c r="D55" s="42">
        <f t="shared" si="36"/>
        <v>6.7618336886993404</v>
      </c>
      <c r="E55" s="42">
        <f>E53-E49</f>
        <v>0.27972517500646177</v>
      </c>
      <c r="F55" s="42">
        <f>F53-F49</f>
        <v>-6.802721088376984E-4</v>
      </c>
      <c r="G55" s="41"/>
      <c r="H55" s="41"/>
      <c r="I55" s="41"/>
      <c r="J55" s="41"/>
      <c r="K55" s="42"/>
      <c r="L55" s="42"/>
      <c r="M55" s="42">
        <f>M53-M49</f>
        <v>0.1724738675958406</v>
      </c>
      <c r="N55" s="42">
        <f t="shared" si="37"/>
        <v>3.9285714285714448</v>
      </c>
      <c r="O55" s="42">
        <f>O53-O49</f>
        <v>27.595238095238102</v>
      </c>
      <c r="P55" s="42">
        <f>P53-P49</f>
        <v>-0.13605442176870497</v>
      </c>
      <c r="Q55" s="42">
        <f t="shared" si="37"/>
        <v>8.1881533101068271E-2</v>
      </c>
      <c r="R55" s="42">
        <f t="shared" si="37"/>
        <v>0</v>
      </c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283"/>
      <c r="N57" s="283"/>
      <c r="O57" s="283"/>
      <c r="P57" s="283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99" t="s">
        <v>30</v>
      </c>
      <c r="H58" s="1000"/>
      <c r="I58" s="1000"/>
      <c r="J58" s="1000"/>
      <c r="K58" s="1001"/>
      <c r="L58" s="973" t="s">
        <v>29</v>
      </c>
      <c r="M58" s="974"/>
      <c r="N58" s="974"/>
      <c r="O58" s="974"/>
      <c r="P58" s="991"/>
      <c r="Q58" s="974" t="s">
        <v>31</v>
      </c>
      <c r="R58" s="974"/>
      <c r="S58" s="974"/>
      <c r="T58" s="974"/>
      <c r="U58" s="991"/>
      <c r="V58" s="992" t="s">
        <v>9</v>
      </c>
      <c r="W58" s="661"/>
      <c r="X58" s="662"/>
      <c r="Y58" s="522"/>
      <c r="Z58" s="522"/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692">
        <v>1</v>
      </c>
      <c r="H59" s="693">
        <v>2</v>
      </c>
      <c r="I59" s="693">
        <v>3</v>
      </c>
      <c r="J59" s="693">
        <v>4</v>
      </c>
      <c r="K59" s="693">
        <v>5</v>
      </c>
      <c r="L59" s="188">
        <v>1</v>
      </c>
      <c r="M59" s="168">
        <v>2</v>
      </c>
      <c r="N59" s="168">
        <v>3</v>
      </c>
      <c r="O59" s="168">
        <v>4</v>
      </c>
      <c r="P59" s="414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993"/>
      <c r="W59" s="663"/>
      <c r="X59" s="645"/>
      <c r="Y59" s="657"/>
      <c r="Z59" s="657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45">
      <c r="A60" s="171" t="s">
        <v>53</v>
      </c>
      <c r="B60" s="735">
        <v>7</v>
      </c>
      <c r="C60" s="736">
        <v>7.5</v>
      </c>
      <c r="D60" s="736">
        <v>1.2</v>
      </c>
      <c r="E60" s="736">
        <v>7.5</v>
      </c>
      <c r="F60" s="737">
        <v>7.4</v>
      </c>
      <c r="G60" s="738">
        <v>7.5</v>
      </c>
      <c r="H60" s="739">
        <v>7.5</v>
      </c>
      <c r="I60" s="799">
        <v>1.2</v>
      </c>
      <c r="J60" s="739">
        <v>7.5</v>
      </c>
      <c r="K60" s="739">
        <v>7.2</v>
      </c>
      <c r="L60" s="279">
        <v>6</v>
      </c>
      <c r="M60" s="280">
        <v>6</v>
      </c>
      <c r="N60" s="280">
        <v>1.7</v>
      </c>
      <c r="O60" s="280">
        <v>5.9</v>
      </c>
      <c r="P60" s="282">
        <v>5.8</v>
      </c>
      <c r="Q60" s="737">
        <v>6.2</v>
      </c>
      <c r="R60" s="736">
        <v>6.3</v>
      </c>
      <c r="S60" s="736">
        <v>1.7</v>
      </c>
      <c r="T60" s="736">
        <v>6.2</v>
      </c>
      <c r="U60" s="742">
        <v>6.2</v>
      </c>
      <c r="V60" s="846">
        <f t="shared" ref="V60:V67" si="38">SUM(B60:U60)</f>
        <v>113.50000000000001</v>
      </c>
      <c r="W60" s="42"/>
      <c r="X60" s="646"/>
      <c r="Y60" s="657"/>
      <c r="Z60" s="657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45">
      <c r="A61" s="171" t="s">
        <v>24</v>
      </c>
      <c r="B61" s="735">
        <v>7</v>
      </c>
      <c r="C61" s="736">
        <v>7.5</v>
      </c>
      <c r="D61" s="736">
        <v>1.2</v>
      </c>
      <c r="E61" s="736">
        <v>7.5</v>
      </c>
      <c r="F61" s="737">
        <v>7.4</v>
      </c>
      <c r="G61" s="738">
        <v>7.5</v>
      </c>
      <c r="H61" s="739">
        <v>7.5</v>
      </c>
      <c r="I61" s="799">
        <v>1.2</v>
      </c>
      <c r="J61" s="739">
        <v>7.5</v>
      </c>
      <c r="K61" s="739">
        <v>7.2</v>
      </c>
      <c r="L61" s="279">
        <v>6</v>
      </c>
      <c r="M61" s="280">
        <v>6</v>
      </c>
      <c r="N61" s="280">
        <v>1.6</v>
      </c>
      <c r="O61" s="280">
        <v>5.8</v>
      </c>
      <c r="P61" s="282">
        <v>5.8</v>
      </c>
      <c r="Q61" s="737">
        <v>6.2</v>
      </c>
      <c r="R61" s="736">
        <v>6.3</v>
      </c>
      <c r="S61" s="736">
        <v>1.6</v>
      </c>
      <c r="T61" s="736">
        <v>6.2</v>
      </c>
      <c r="U61" s="742">
        <v>6.1</v>
      </c>
      <c r="V61" s="749">
        <f t="shared" si="38"/>
        <v>113.09999999999998</v>
      </c>
      <c r="W61" s="42"/>
      <c r="X61" s="646"/>
      <c r="Y61" s="651"/>
      <c r="Z61" s="651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45">
      <c r="A62" s="171" t="s">
        <v>20</v>
      </c>
      <c r="B62" s="735">
        <v>7</v>
      </c>
      <c r="C62" s="736">
        <v>7.5</v>
      </c>
      <c r="D62" s="736">
        <v>1.1000000000000001</v>
      </c>
      <c r="E62" s="736">
        <v>7.5</v>
      </c>
      <c r="F62" s="737">
        <v>7.4</v>
      </c>
      <c r="G62" s="738">
        <v>7.5</v>
      </c>
      <c r="H62" s="739">
        <v>7.5</v>
      </c>
      <c r="I62" s="799">
        <v>1.2</v>
      </c>
      <c r="J62" s="739">
        <v>7.5</v>
      </c>
      <c r="K62" s="739">
        <v>7.2</v>
      </c>
      <c r="L62" s="279">
        <v>6</v>
      </c>
      <c r="M62" s="280">
        <v>6</v>
      </c>
      <c r="N62" s="280">
        <v>1.6</v>
      </c>
      <c r="O62" s="280">
        <v>5.8</v>
      </c>
      <c r="P62" s="282">
        <v>5.8</v>
      </c>
      <c r="Q62" s="737">
        <v>6.3</v>
      </c>
      <c r="R62" s="736">
        <v>6.3</v>
      </c>
      <c r="S62" s="736">
        <v>1.6</v>
      </c>
      <c r="T62" s="736">
        <v>6.2</v>
      </c>
      <c r="U62" s="742">
        <v>6.1</v>
      </c>
      <c r="V62" s="749">
        <f t="shared" si="38"/>
        <v>113.09999999999998</v>
      </c>
      <c r="W62" s="42"/>
      <c r="X62" s="646"/>
      <c r="Y62" s="651"/>
      <c r="Z62" s="651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45">
      <c r="A63" s="171" t="s">
        <v>28</v>
      </c>
      <c r="B63" s="735">
        <v>7</v>
      </c>
      <c r="C63" s="736">
        <v>7.5</v>
      </c>
      <c r="D63" s="736">
        <v>1.1000000000000001</v>
      </c>
      <c r="E63" s="736">
        <v>7.5</v>
      </c>
      <c r="F63" s="737">
        <v>7.4</v>
      </c>
      <c r="G63" s="738">
        <v>7.5</v>
      </c>
      <c r="H63" s="739">
        <v>7.4</v>
      </c>
      <c r="I63" s="799">
        <v>1.1000000000000001</v>
      </c>
      <c r="J63" s="739">
        <v>7.4</v>
      </c>
      <c r="K63" s="739">
        <v>7.2</v>
      </c>
      <c r="L63" s="279">
        <v>6</v>
      </c>
      <c r="M63" s="280">
        <v>6</v>
      </c>
      <c r="N63" s="280">
        <v>1.6</v>
      </c>
      <c r="O63" s="280">
        <v>5.8</v>
      </c>
      <c r="P63" s="282">
        <v>5.8</v>
      </c>
      <c r="Q63" s="737">
        <v>6.2</v>
      </c>
      <c r="R63" s="736">
        <v>6.3</v>
      </c>
      <c r="S63" s="736">
        <v>1.6</v>
      </c>
      <c r="T63" s="736">
        <v>6.1</v>
      </c>
      <c r="U63" s="742">
        <v>6.1</v>
      </c>
      <c r="V63" s="749">
        <f t="shared" si="38"/>
        <v>112.59999999999997</v>
      </c>
      <c r="W63" s="42"/>
      <c r="X63" s="646"/>
      <c r="Y63" s="651"/>
      <c r="Z63" s="651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45">
      <c r="A64" s="171" t="s">
        <v>21</v>
      </c>
      <c r="B64" s="735">
        <v>7</v>
      </c>
      <c r="C64" s="736">
        <v>7.5</v>
      </c>
      <c r="D64" s="736">
        <v>1.1000000000000001</v>
      </c>
      <c r="E64" s="736">
        <v>7.5</v>
      </c>
      <c r="F64" s="737">
        <v>7.4</v>
      </c>
      <c r="G64" s="738">
        <v>7.5</v>
      </c>
      <c r="H64" s="739">
        <v>7.4</v>
      </c>
      <c r="I64" s="799">
        <v>1.1000000000000001</v>
      </c>
      <c r="J64" s="739">
        <v>7.4</v>
      </c>
      <c r="K64" s="739">
        <v>7.3</v>
      </c>
      <c r="L64" s="279">
        <v>6</v>
      </c>
      <c r="M64" s="280">
        <v>6</v>
      </c>
      <c r="N64" s="280">
        <v>1.6</v>
      </c>
      <c r="O64" s="280">
        <v>5.9</v>
      </c>
      <c r="P64" s="282">
        <v>5.8</v>
      </c>
      <c r="Q64" s="737">
        <v>6.2</v>
      </c>
      <c r="R64" s="736">
        <v>6.4</v>
      </c>
      <c r="S64" s="736">
        <v>1.6</v>
      </c>
      <c r="T64" s="736">
        <v>6.1</v>
      </c>
      <c r="U64" s="742">
        <v>6.1</v>
      </c>
      <c r="V64" s="749">
        <f t="shared" si="38"/>
        <v>112.89999999999998</v>
      </c>
      <c r="W64" s="42"/>
      <c r="X64" s="646"/>
      <c r="Y64" s="651"/>
      <c r="Z64" s="651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45">
      <c r="A65" s="171" t="s">
        <v>22</v>
      </c>
      <c r="B65" s="735">
        <v>7</v>
      </c>
      <c r="C65" s="736">
        <v>7.4</v>
      </c>
      <c r="D65" s="736">
        <v>1.1000000000000001</v>
      </c>
      <c r="E65" s="736">
        <v>7.4</v>
      </c>
      <c r="F65" s="737">
        <v>7.4</v>
      </c>
      <c r="G65" s="738">
        <v>7.5</v>
      </c>
      <c r="H65" s="739">
        <v>7.5</v>
      </c>
      <c r="I65" s="799">
        <v>1.1000000000000001</v>
      </c>
      <c r="J65" s="739">
        <v>7.5</v>
      </c>
      <c r="K65" s="739">
        <v>7.3</v>
      </c>
      <c r="L65" s="279">
        <v>6.1</v>
      </c>
      <c r="M65" s="280">
        <v>6</v>
      </c>
      <c r="N65" s="280">
        <v>1.6</v>
      </c>
      <c r="O65" s="280">
        <v>5.9</v>
      </c>
      <c r="P65" s="282">
        <v>5.8</v>
      </c>
      <c r="Q65" s="737">
        <v>6.2</v>
      </c>
      <c r="R65" s="736">
        <v>6.4</v>
      </c>
      <c r="S65" s="736">
        <v>1.6</v>
      </c>
      <c r="T65" s="736">
        <v>6.1</v>
      </c>
      <c r="U65" s="742">
        <v>6.1</v>
      </c>
      <c r="V65" s="412">
        <f t="shared" si="38"/>
        <v>112.99999999999999</v>
      </c>
      <c r="W65" s="42"/>
      <c r="X65" s="646"/>
      <c r="Y65" s="651"/>
      <c r="Z65" s="651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5">
      <c r="A66" s="171" t="s">
        <v>23</v>
      </c>
      <c r="B66" s="735">
        <v>7.1</v>
      </c>
      <c r="C66" s="736">
        <v>7.4</v>
      </c>
      <c r="D66" s="736">
        <v>1.2</v>
      </c>
      <c r="E66" s="736">
        <v>7.4</v>
      </c>
      <c r="F66" s="737">
        <v>7.4</v>
      </c>
      <c r="G66" s="738">
        <v>7.5</v>
      </c>
      <c r="H66" s="739">
        <v>7.5</v>
      </c>
      <c r="I66" s="799">
        <v>1.1000000000000001</v>
      </c>
      <c r="J66" s="739">
        <v>7.5</v>
      </c>
      <c r="K66" s="739">
        <v>7.3</v>
      </c>
      <c r="L66" s="279">
        <v>6.1</v>
      </c>
      <c r="M66" s="280">
        <v>6.1</v>
      </c>
      <c r="N66" s="280">
        <v>1.7</v>
      </c>
      <c r="O66" s="280">
        <v>5.9</v>
      </c>
      <c r="P66" s="282">
        <v>5.8</v>
      </c>
      <c r="Q66" s="737">
        <v>6.1</v>
      </c>
      <c r="R66" s="736">
        <v>6.4</v>
      </c>
      <c r="S66" s="736">
        <v>1.7</v>
      </c>
      <c r="T66" s="736">
        <v>6.2</v>
      </c>
      <c r="U66" s="742">
        <v>6.1</v>
      </c>
      <c r="V66" s="412">
        <f t="shared" si="38"/>
        <v>113.5</v>
      </c>
      <c r="W66" s="42"/>
      <c r="X66" s="646"/>
      <c r="Y66" s="651"/>
      <c r="Z66" s="651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618">
        <f t="shared" ref="B67:U67" si="39">SUM(B60:B66)</f>
        <v>49.1</v>
      </c>
      <c r="C67" s="616">
        <f t="shared" si="39"/>
        <v>52.3</v>
      </c>
      <c r="D67" s="616">
        <f t="shared" si="39"/>
        <v>7.9999999999999991</v>
      </c>
      <c r="E67" s="616">
        <f t="shared" si="39"/>
        <v>52.3</v>
      </c>
      <c r="F67" s="617">
        <f t="shared" si="39"/>
        <v>51.8</v>
      </c>
      <c r="G67" s="719">
        <f t="shared" si="39"/>
        <v>52.5</v>
      </c>
      <c r="H67" s="696">
        <f t="shared" si="39"/>
        <v>52.3</v>
      </c>
      <c r="I67" s="696">
        <f t="shared" si="39"/>
        <v>7.9999999999999982</v>
      </c>
      <c r="J67" s="696">
        <f t="shared" si="39"/>
        <v>52.3</v>
      </c>
      <c r="K67" s="720">
        <f t="shared" si="39"/>
        <v>50.699999999999996</v>
      </c>
      <c r="L67" s="618">
        <f t="shared" si="39"/>
        <v>42.2</v>
      </c>
      <c r="M67" s="616">
        <f t="shared" si="39"/>
        <v>42.1</v>
      </c>
      <c r="N67" s="616">
        <f t="shared" si="39"/>
        <v>11.399999999999999</v>
      </c>
      <c r="O67" s="616">
        <f t="shared" si="39"/>
        <v>41</v>
      </c>
      <c r="P67" s="619">
        <f t="shared" si="39"/>
        <v>40.599999999999994</v>
      </c>
      <c r="Q67" s="615">
        <f t="shared" si="39"/>
        <v>43.4</v>
      </c>
      <c r="R67" s="616">
        <f t="shared" si="39"/>
        <v>44.4</v>
      </c>
      <c r="S67" s="616">
        <f t="shared" si="39"/>
        <v>11.399999999999999</v>
      </c>
      <c r="T67" s="616">
        <f t="shared" si="39"/>
        <v>43.100000000000009</v>
      </c>
      <c r="U67" s="617">
        <f t="shared" si="39"/>
        <v>42.800000000000004</v>
      </c>
      <c r="V67" s="449">
        <f t="shared" si="38"/>
        <v>791.69999999999993</v>
      </c>
      <c r="W67" s="664"/>
      <c r="X67" s="646"/>
      <c r="Y67" s="651"/>
      <c r="Z67" s="651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163</v>
      </c>
      <c r="C68" s="358">
        <v>162.5</v>
      </c>
      <c r="D68" s="358">
        <v>163</v>
      </c>
      <c r="E68" s="358">
        <v>162.5</v>
      </c>
      <c r="F68" s="624">
        <v>161</v>
      </c>
      <c r="G68" s="357">
        <v>163</v>
      </c>
      <c r="H68" s="358">
        <v>162.5</v>
      </c>
      <c r="I68" s="358">
        <v>163</v>
      </c>
      <c r="J68" s="358">
        <v>162.5</v>
      </c>
      <c r="K68" s="624">
        <v>161</v>
      </c>
      <c r="L68" s="357">
        <v>163</v>
      </c>
      <c r="M68" s="358">
        <v>162.5</v>
      </c>
      <c r="N68" s="358">
        <v>163</v>
      </c>
      <c r="O68" s="358">
        <v>162.5</v>
      </c>
      <c r="P68" s="624">
        <v>161</v>
      </c>
      <c r="Q68" s="671">
        <v>163</v>
      </c>
      <c r="R68" s="358">
        <v>162.5</v>
      </c>
      <c r="S68" s="358">
        <v>163</v>
      </c>
      <c r="T68" s="358">
        <v>162.5</v>
      </c>
      <c r="U68" s="624">
        <v>161</v>
      </c>
      <c r="V68" s="296">
        <f>+((V67/V69)/7)*1000</f>
        <v>162.96829971181558</v>
      </c>
      <c r="W68" s="145"/>
      <c r="X68" s="648"/>
      <c r="Y68" s="665"/>
      <c r="Z68" s="522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43</v>
      </c>
      <c r="C69" s="275">
        <v>46</v>
      </c>
      <c r="D69" s="275">
        <v>6</v>
      </c>
      <c r="E69" s="275">
        <v>46</v>
      </c>
      <c r="F69" s="276">
        <v>46</v>
      </c>
      <c r="G69" s="723">
        <v>46</v>
      </c>
      <c r="H69" s="700">
        <v>46</v>
      </c>
      <c r="I69" s="700">
        <v>6</v>
      </c>
      <c r="J69" s="700">
        <v>46</v>
      </c>
      <c r="K69" s="724">
        <v>45</v>
      </c>
      <c r="L69" s="257">
        <v>37</v>
      </c>
      <c r="M69" s="275">
        <v>37</v>
      </c>
      <c r="N69" s="275">
        <v>10</v>
      </c>
      <c r="O69" s="275">
        <v>36</v>
      </c>
      <c r="P69" s="276">
        <v>36</v>
      </c>
      <c r="Q69" s="79">
        <v>38</v>
      </c>
      <c r="R69" s="275">
        <v>38</v>
      </c>
      <c r="S69" s="275">
        <v>10</v>
      </c>
      <c r="T69" s="275">
        <v>38</v>
      </c>
      <c r="U69" s="276">
        <v>38</v>
      </c>
      <c r="V69" s="254">
        <f>SUM(B69:U69)</f>
        <v>694</v>
      </c>
      <c r="W69" s="145"/>
      <c r="X69" s="649"/>
      <c r="Y69" s="665"/>
      <c r="Z69" s="522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>((((B68*7)*B69)/1000)/7)</f>
        <v>7.0090000000000003</v>
      </c>
      <c r="C70" s="31">
        <f t="shared" ref="C70:U70" si="40">((((C68*7)*C69)/1000)/7)</f>
        <v>7.4750000000000005</v>
      </c>
      <c r="D70" s="31">
        <f t="shared" si="40"/>
        <v>0.97799999999999998</v>
      </c>
      <c r="E70" s="31">
        <f t="shared" si="40"/>
        <v>7.4750000000000005</v>
      </c>
      <c r="F70" s="32">
        <f t="shared" si="40"/>
        <v>7.4059999999999997</v>
      </c>
      <c r="G70" s="30">
        <f t="shared" si="40"/>
        <v>7.4979999999999993</v>
      </c>
      <c r="H70" s="31">
        <f t="shared" si="40"/>
        <v>7.4750000000000005</v>
      </c>
      <c r="I70" s="31">
        <f t="shared" si="40"/>
        <v>0.97799999999999998</v>
      </c>
      <c r="J70" s="31">
        <f t="shared" si="40"/>
        <v>7.4750000000000005</v>
      </c>
      <c r="K70" s="32">
        <f t="shared" si="40"/>
        <v>7.2450000000000001</v>
      </c>
      <c r="L70" s="30">
        <f t="shared" si="40"/>
        <v>6.0309999999999997</v>
      </c>
      <c r="M70" s="31">
        <f t="shared" si="40"/>
        <v>6.0125000000000002</v>
      </c>
      <c r="N70" s="31">
        <f t="shared" si="40"/>
        <v>1.6300000000000001</v>
      </c>
      <c r="O70" s="31">
        <f t="shared" si="40"/>
        <v>5.8500000000000005</v>
      </c>
      <c r="P70" s="32">
        <f t="shared" si="40"/>
        <v>5.7960000000000003</v>
      </c>
      <c r="Q70" s="65">
        <f t="shared" si="40"/>
        <v>6.194</v>
      </c>
      <c r="R70" s="31">
        <f t="shared" si="40"/>
        <v>6.1749999999999998</v>
      </c>
      <c r="S70" s="31">
        <f t="shared" si="40"/>
        <v>1.6300000000000001</v>
      </c>
      <c r="T70" s="31">
        <f t="shared" si="40"/>
        <v>6.1749999999999998</v>
      </c>
      <c r="U70" s="32">
        <f t="shared" si="40"/>
        <v>6.1180000000000003</v>
      </c>
      <c r="V70" s="139">
        <f>((V67*1000)/V69)/7</f>
        <v>162.96829971181552</v>
      </c>
      <c r="W70" s="144"/>
      <c r="X70" s="650"/>
      <c r="Y70" s="665"/>
      <c r="Z70" s="522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41">((B69*B68)*7)/1000</f>
        <v>49.063000000000002</v>
      </c>
      <c r="C71" s="280">
        <f t="shared" si="41"/>
        <v>52.325000000000003</v>
      </c>
      <c r="D71" s="280">
        <f t="shared" si="41"/>
        <v>6.8460000000000001</v>
      </c>
      <c r="E71" s="280">
        <f t="shared" si="41"/>
        <v>52.325000000000003</v>
      </c>
      <c r="F71" s="282">
        <f t="shared" si="41"/>
        <v>51.841999999999999</v>
      </c>
      <c r="G71" s="464">
        <f t="shared" si="41"/>
        <v>52.485999999999997</v>
      </c>
      <c r="H71" s="459">
        <f>((H69*H68)*7)/1000</f>
        <v>52.325000000000003</v>
      </c>
      <c r="I71" s="459">
        <f t="shared" si="41"/>
        <v>6.8460000000000001</v>
      </c>
      <c r="J71" s="459">
        <f t="shared" si="41"/>
        <v>52.325000000000003</v>
      </c>
      <c r="K71" s="460">
        <f t="shared" si="41"/>
        <v>50.715000000000003</v>
      </c>
      <c r="L71" s="279">
        <f t="shared" si="41"/>
        <v>42.216999999999999</v>
      </c>
      <c r="M71" s="280">
        <f t="shared" si="41"/>
        <v>42.087499999999999</v>
      </c>
      <c r="N71" s="280">
        <f t="shared" si="41"/>
        <v>11.41</v>
      </c>
      <c r="O71" s="280">
        <f t="shared" si="41"/>
        <v>40.950000000000003</v>
      </c>
      <c r="P71" s="282">
        <f t="shared" si="41"/>
        <v>40.572000000000003</v>
      </c>
      <c r="Q71" s="325">
        <f t="shared" si="41"/>
        <v>43.357999999999997</v>
      </c>
      <c r="R71" s="280">
        <f t="shared" si="41"/>
        <v>43.225000000000001</v>
      </c>
      <c r="S71" s="280">
        <f t="shared" si="41"/>
        <v>11.41</v>
      </c>
      <c r="T71" s="280">
        <f t="shared" si="41"/>
        <v>43.225000000000001</v>
      </c>
      <c r="U71" s="282">
        <f t="shared" si="41"/>
        <v>42.826000000000001</v>
      </c>
      <c r="V71" s="112"/>
      <c r="W71" s="651"/>
      <c r="X71" s="666"/>
      <c r="Y71" s="666"/>
      <c r="Z71" s="666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U72" si="42">+(B67/B69)/7*1000</f>
        <v>163.12292358803987</v>
      </c>
      <c r="C72" s="38">
        <f t="shared" si="42"/>
        <v>162.42236024844721</v>
      </c>
      <c r="D72" s="38">
        <f t="shared" si="42"/>
        <v>190.47619047619045</v>
      </c>
      <c r="E72" s="38">
        <f t="shared" si="42"/>
        <v>162.42236024844721</v>
      </c>
      <c r="F72" s="39">
        <f t="shared" si="42"/>
        <v>160.86956521739128</v>
      </c>
      <c r="G72" s="727">
        <f t="shared" si="42"/>
        <v>163.04347826086956</v>
      </c>
      <c r="H72" s="704">
        <f t="shared" si="42"/>
        <v>162.42236024844721</v>
      </c>
      <c r="I72" s="704">
        <f t="shared" si="42"/>
        <v>190.47619047619042</v>
      </c>
      <c r="J72" s="704">
        <f t="shared" si="42"/>
        <v>162.42236024844721</v>
      </c>
      <c r="K72" s="728">
        <f t="shared" si="42"/>
        <v>160.95238095238093</v>
      </c>
      <c r="L72" s="37">
        <f t="shared" si="42"/>
        <v>162.93436293436295</v>
      </c>
      <c r="M72" s="38">
        <f t="shared" si="42"/>
        <v>162.54826254826258</v>
      </c>
      <c r="N72" s="38">
        <f t="shared" si="42"/>
        <v>162.85714285714283</v>
      </c>
      <c r="O72" s="38">
        <f t="shared" si="42"/>
        <v>162.69841269841271</v>
      </c>
      <c r="P72" s="39">
        <f t="shared" si="42"/>
        <v>161.11111111111106</v>
      </c>
      <c r="Q72" s="67">
        <f t="shared" si="42"/>
        <v>163.15789473684211</v>
      </c>
      <c r="R72" s="38">
        <f t="shared" si="42"/>
        <v>166.91729323308269</v>
      </c>
      <c r="S72" s="38">
        <f t="shared" si="42"/>
        <v>162.85714285714283</v>
      </c>
      <c r="T72" s="38">
        <f t="shared" si="42"/>
        <v>162.03007518796997</v>
      </c>
      <c r="U72" s="39">
        <f t="shared" si="42"/>
        <v>160.90225563909777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43">
        <f>B71-B67</f>
        <v>-3.6999999999999034E-2</v>
      </c>
      <c r="C73" s="43">
        <f t="shared" ref="C73:F73" si="43">C71-C67</f>
        <v>2.5000000000005684E-2</v>
      </c>
      <c r="D73" s="43">
        <f t="shared" si="43"/>
        <v>-1.153999999999999</v>
      </c>
      <c r="E73" s="43">
        <f t="shared" si="43"/>
        <v>2.5000000000005684E-2</v>
      </c>
      <c r="F73" s="43">
        <f t="shared" si="43"/>
        <v>4.2000000000001592E-2</v>
      </c>
      <c r="G73" s="143">
        <f>G71-G67</f>
        <v>-1.4000000000002899E-2</v>
      </c>
      <c r="H73" s="143">
        <f t="shared" ref="H73:P74" si="44">H71-H67</f>
        <v>2.5000000000005684E-2</v>
      </c>
      <c r="I73" s="143">
        <f t="shared" si="44"/>
        <v>-1.1539999999999981</v>
      </c>
      <c r="J73" s="143">
        <f t="shared" si="44"/>
        <v>2.5000000000005684E-2</v>
      </c>
      <c r="K73" s="143">
        <f t="shared" si="44"/>
        <v>1.5000000000007674E-2</v>
      </c>
      <c r="L73" s="43">
        <f>L71-L67</f>
        <v>1.6999999999995907E-2</v>
      </c>
      <c r="M73" s="43">
        <f t="shared" ref="M73:R74" si="45">M71-M67</f>
        <v>-1.2500000000002842E-2</v>
      </c>
      <c r="N73" s="43">
        <f t="shared" si="45"/>
        <v>1.0000000000001563E-2</v>
      </c>
      <c r="O73" s="43">
        <f t="shared" si="45"/>
        <v>-4.9999999999997158E-2</v>
      </c>
      <c r="P73" s="43">
        <f t="shared" si="45"/>
        <v>-2.7999999999991587E-2</v>
      </c>
      <c r="Q73" s="43">
        <f t="shared" si="45"/>
        <v>-4.2000000000001592E-2</v>
      </c>
      <c r="R73" s="43">
        <f t="shared" si="45"/>
        <v>-1.1749999999999972</v>
      </c>
      <c r="S73" s="43">
        <f t="shared" ref="S73:V73" si="46">R71-R67</f>
        <v>-1.1749999999999972</v>
      </c>
      <c r="T73" s="43">
        <f>S71-S67</f>
        <v>1.0000000000001563E-2</v>
      </c>
      <c r="U73" s="43">
        <f>T71-T67</f>
        <v>0.12499999999999289</v>
      </c>
      <c r="V73" s="43">
        <f t="shared" si="46"/>
        <v>2.5999999999996248E-2</v>
      </c>
      <c r="X73" s="144"/>
      <c r="Y73" s="522"/>
      <c r="Z73" s="522"/>
      <c r="AA73" s="522"/>
    </row>
    <row r="74" spans="1:50" ht="33.75" customHeight="1" x14ac:dyDescent="0.25">
      <c r="B74" s="42">
        <f t="shared" ref="B74:J74" si="47">B72-B68</f>
        <v>0.12292358803986758</v>
      </c>
      <c r="C74" s="42">
        <f t="shared" si="47"/>
        <v>-7.7639751552794678E-2</v>
      </c>
      <c r="D74" s="42">
        <f t="shared" si="47"/>
        <v>27.476190476190453</v>
      </c>
      <c r="E74" s="42">
        <f t="shared" si="47"/>
        <v>-7.7639751552794678E-2</v>
      </c>
      <c r="F74" s="42">
        <f t="shared" si="47"/>
        <v>-0.13043478260871666</v>
      </c>
      <c r="G74" s="705">
        <f t="shared" si="47"/>
        <v>4.3478260869562746E-2</v>
      </c>
      <c r="H74" s="705">
        <f t="shared" si="47"/>
        <v>-7.7639751552794678E-2</v>
      </c>
      <c r="I74" s="705">
        <f>I72-I68</f>
        <v>27.476190476190425</v>
      </c>
      <c r="J74" s="705">
        <f t="shared" si="47"/>
        <v>-7.7639751552794678E-2</v>
      </c>
      <c r="K74" s="705">
        <f t="shared" si="44"/>
        <v>-4.7619047619065213E-2</v>
      </c>
      <c r="L74" s="42">
        <f t="shared" si="44"/>
        <v>-6.5637065637048408E-2</v>
      </c>
      <c r="M74" s="42">
        <f t="shared" si="44"/>
        <v>4.8262548262584914E-2</v>
      </c>
      <c r="N74" s="42">
        <f t="shared" si="44"/>
        <v>-0.14285714285716722</v>
      </c>
      <c r="O74" s="42">
        <f t="shared" si="44"/>
        <v>0.19841269841271014</v>
      </c>
      <c r="P74" s="42">
        <f t="shared" si="44"/>
        <v>0.11111111111105743</v>
      </c>
      <c r="Q74" s="42">
        <f t="shared" si="45"/>
        <v>0.15789473684210975</v>
      </c>
      <c r="R74" s="42">
        <f t="shared" si="45"/>
        <v>4.4172932330826882</v>
      </c>
      <c r="S74" s="42">
        <f>R72-R68</f>
        <v>4.4172932330826882</v>
      </c>
      <c r="T74" s="42">
        <f>S72-S68</f>
        <v>-0.14285714285716722</v>
      </c>
      <c r="U74" s="42">
        <f>T72-T68</f>
        <v>-0.46992481203002967</v>
      </c>
      <c r="V74" s="42">
        <f>U72-U68</f>
        <v>-9.7744360902225935E-2</v>
      </c>
      <c r="W74" s="45"/>
      <c r="X74" s="651"/>
      <c r="Y74" s="657"/>
      <c r="Z74" s="657"/>
      <c r="AA74" s="657"/>
      <c r="AB74" s="45"/>
      <c r="AC74" s="45"/>
      <c r="AD74" s="45"/>
      <c r="AE74" s="52"/>
    </row>
    <row r="75" spans="1:50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</row>
    <row r="76" spans="1:50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0" ht="33.75" customHeight="1" x14ac:dyDescent="0.25">
      <c r="A77" s="45"/>
      <c r="B77" s="58"/>
      <c r="C77" s="58"/>
      <c r="D77" s="648" t="s">
        <v>132</v>
      </c>
      <c r="E77" s="58"/>
      <c r="F77" s="58"/>
      <c r="G77" s="58"/>
      <c r="H77" s="648" t="s">
        <v>132</v>
      </c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8">
    <mergeCell ref="A3:C3"/>
    <mergeCell ref="E9:G9"/>
    <mergeCell ref="W9:X9"/>
    <mergeCell ref="O11:P11"/>
    <mergeCell ref="B16:H16"/>
    <mergeCell ref="I16:O16"/>
    <mergeCell ref="P16:T16"/>
    <mergeCell ref="U16:Y16"/>
    <mergeCell ref="B58:F58"/>
    <mergeCell ref="G58:K58"/>
    <mergeCell ref="L58:P58"/>
    <mergeCell ref="Q58:U58"/>
    <mergeCell ref="V58:V59"/>
    <mergeCell ref="Z16:Z17"/>
    <mergeCell ref="B39:F39"/>
    <mergeCell ref="G39:G40"/>
    <mergeCell ref="M39:Q39"/>
    <mergeCell ref="R39:R40"/>
  </mergeCells>
  <pageMargins left="0.23622047244094488" right="0.23622047244094488" top="0.74803149606299213" bottom="0.74803149606299213" header="0.31496062992125984" footer="0.31496062992125984"/>
  <pageSetup paperSize="9" scale="20" fitToWidth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241"/>
  <sheetViews>
    <sheetView topLeftCell="A16" zoomScale="26" zoomScaleNormal="26" workbookViewId="0">
      <selection activeCell="B34" sqref="B34"/>
    </sheetView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54</v>
      </c>
      <c r="P11" s="965"/>
      <c r="Q11" s="6"/>
      <c r="R11" s="6"/>
      <c r="S11" s="6"/>
      <c r="T11" s="1"/>
      <c r="U11" s="1"/>
      <c r="V11" s="1" t="s">
        <v>6</v>
      </c>
      <c r="W11" s="95">
        <v>45717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  <c r="Z16" s="977" t="s">
        <v>9</v>
      </c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828"/>
      <c r="I17" s="188" t="s">
        <v>100</v>
      </c>
      <c r="J17" s="168">
        <v>1</v>
      </c>
      <c r="K17" s="168">
        <v>2</v>
      </c>
      <c r="L17" s="168">
        <v>3</v>
      </c>
      <c r="M17" s="168">
        <v>4</v>
      </c>
      <c r="N17" s="169">
        <v>5</v>
      </c>
      <c r="O17" s="828"/>
      <c r="P17" s="189">
        <v>1</v>
      </c>
      <c r="Q17" s="168">
        <v>2</v>
      </c>
      <c r="R17" s="168">
        <v>3</v>
      </c>
      <c r="S17" s="168">
        <v>4</v>
      </c>
      <c r="T17" s="204">
        <v>5</v>
      </c>
      <c r="U17" s="188">
        <v>1</v>
      </c>
      <c r="V17" s="168">
        <v>2</v>
      </c>
      <c r="W17" s="168">
        <v>3</v>
      </c>
      <c r="X17" s="168">
        <v>4</v>
      </c>
      <c r="Y17" s="169">
        <v>5</v>
      </c>
      <c r="Z17" s="984"/>
      <c r="AD17" s="2"/>
      <c r="AE17" s="15"/>
    </row>
    <row r="18" spans="1:40" ht="39.950000000000003" customHeight="1" x14ac:dyDescent="0.25">
      <c r="A18" s="171" t="s">
        <v>53</v>
      </c>
      <c r="B18" s="847">
        <v>296.89999999999998</v>
      </c>
      <c r="C18" s="848">
        <v>13.6</v>
      </c>
      <c r="D18" s="848">
        <v>14.3</v>
      </c>
      <c r="E18" s="848">
        <v>2</v>
      </c>
      <c r="F18" s="848">
        <v>14.2</v>
      </c>
      <c r="G18" s="849">
        <v>14.3</v>
      </c>
      <c r="H18" s="850">
        <f t="shared" ref="H18" si="0">+SUM(B18:G18)</f>
        <v>355.3</v>
      </c>
      <c r="I18" s="851">
        <v>298.2</v>
      </c>
      <c r="J18" s="848">
        <v>14</v>
      </c>
      <c r="K18" s="848">
        <v>14.2</v>
      </c>
      <c r="L18" s="848">
        <v>1.9</v>
      </c>
      <c r="M18" s="848">
        <v>14.3</v>
      </c>
      <c r="N18" s="852">
        <v>14.4</v>
      </c>
      <c r="O18" s="850">
        <f t="shared" ref="O18" si="1">+SUM(I18:N18)</f>
        <v>356.99999999999994</v>
      </c>
      <c r="P18" s="853">
        <v>72</v>
      </c>
      <c r="Q18" s="854">
        <v>72.599999999999994</v>
      </c>
      <c r="R18" s="848">
        <v>15.7</v>
      </c>
      <c r="S18" s="848">
        <v>71.8</v>
      </c>
      <c r="T18" s="852">
        <v>72.599999999999994</v>
      </c>
      <c r="U18" s="855">
        <v>74</v>
      </c>
      <c r="V18" s="848">
        <v>76.400000000000006</v>
      </c>
      <c r="W18" s="854">
        <v>16.7</v>
      </c>
      <c r="X18" s="854">
        <v>75.599999999999994</v>
      </c>
      <c r="Y18" s="852">
        <v>76.599999999999994</v>
      </c>
      <c r="Z18" s="835">
        <f t="shared" ref="Z18:Z24" si="2">SUM(H18,O18,P18:Y18)</f>
        <v>1336.3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847">
        <v>296.89999999999998</v>
      </c>
      <c r="C19" s="848">
        <v>13.6</v>
      </c>
      <c r="D19" s="848">
        <v>14.3</v>
      </c>
      <c r="E19" s="848">
        <v>2</v>
      </c>
      <c r="F19" s="848">
        <v>14.2</v>
      </c>
      <c r="G19" s="849">
        <v>14.3</v>
      </c>
      <c r="H19" s="850">
        <f t="shared" ref="H19" si="3">+SUM(B19:G19)</f>
        <v>355.3</v>
      </c>
      <c r="I19" s="851">
        <v>298.2</v>
      </c>
      <c r="J19" s="848">
        <v>14</v>
      </c>
      <c r="K19" s="848">
        <v>14.2</v>
      </c>
      <c r="L19" s="848">
        <v>1.9</v>
      </c>
      <c r="M19" s="848">
        <v>14.3</v>
      </c>
      <c r="N19" s="852">
        <v>14.4</v>
      </c>
      <c r="O19" s="850">
        <f t="shared" ref="O19" si="4">+SUM(I19:N19)</f>
        <v>356.99999999999994</v>
      </c>
      <c r="P19" s="853">
        <v>72</v>
      </c>
      <c r="Q19" s="854">
        <v>72.599999999999994</v>
      </c>
      <c r="R19" s="848">
        <v>15.7</v>
      </c>
      <c r="S19" s="848">
        <v>71.8</v>
      </c>
      <c r="T19" s="852">
        <v>72.599999999999994</v>
      </c>
      <c r="U19" s="855">
        <v>74</v>
      </c>
      <c r="V19" s="848">
        <v>76.400000000000006</v>
      </c>
      <c r="W19" s="854">
        <v>16.7</v>
      </c>
      <c r="X19" s="854">
        <v>75.599999999999994</v>
      </c>
      <c r="Y19" s="852">
        <v>76.599999999999994</v>
      </c>
      <c r="Z19" s="638">
        <f t="shared" si="2"/>
        <v>1336.3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847">
        <v>295.10000000000002</v>
      </c>
      <c r="C20" s="848">
        <v>13.5</v>
      </c>
      <c r="D20" s="848">
        <v>14.2</v>
      </c>
      <c r="E20" s="848">
        <v>1.9</v>
      </c>
      <c r="F20" s="848">
        <v>14.1</v>
      </c>
      <c r="G20" s="849">
        <v>14.3</v>
      </c>
      <c r="H20" s="850">
        <f t="shared" ref="H20:H24" si="5">+SUM(B20:G20)</f>
        <v>353.1</v>
      </c>
      <c r="I20" s="851">
        <v>296.8</v>
      </c>
      <c r="J20" s="848">
        <v>13.7</v>
      </c>
      <c r="K20" s="848">
        <v>14.2</v>
      </c>
      <c r="L20" s="848">
        <v>1.7</v>
      </c>
      <c r="M20" s="848">
        <v>14.3</v>
      </c>
      <c r="N20" s="852">
        <v>14.3</v>
      </c>
      <c r="O20" s="850">
        <f t="shared" ref="O20:O24" si="6">+SUM(I20:N20)</f>
        <v>355</v>
      </c>
      <c r="P20" s="853">
        <v>72.099999999999994</v>
      </c>
      <c r="Q20" s="854">
        <v>72.5</v>
      </c>
      <c r="R20" s="848">
        <v>16.3</v>
      </c>
      <c r="S20" s="848">
        <v>71.7</v>
      </c>
      <c r="T20" s="852">
        <v>72.5</v>
      </c>
      <c r="U20" s="855">
        <v>73.8</v>
      </c>
      <c r="V20" s="848">
        <v>76.599999999999994</v>
      </c>
      <c r="W20" s="854">
        <v>16.8</v>
      </c>
      <c r="X20" s="854">
        <v>75.8</v>
      </c>
      <c r="Y20" s="852">
        <v>76.5</v>
      </c>
      <c r="Z20" s="638">
        <f t="shared" si="2"/>
        <v>1332.6999999999998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743">
        <v>295.10000000000002</v>
      </c>
      <c r="C21" s="739">
        <v>13.5</v>
      </c>
      <c r="D21" s="739">
        <v>14.2</v>
      </c>
      <c r="E21" s="739">
        <v>1.9</v>
      </c>
      <c r="F21" s="739">
        <v>14.1</v>
      </c>
      <c r="G21" s="744">
        <v>14.3</v>
      </c>
      <c r="H21" s="753">
        <f t="shared" si="5"/>
        <v>353.1</v>
      </c>
      <c r="I21" s="745">
        <v>296.8</v>
      </c>
      <c r="J21" s="739">
        <v>13.8</v>
      </c>
      <c r="K21" s="739">
        <v>14.2</v>
      </c>
      <c r="L21" s="739">
        <v>1.7</v>
      </c>
      <c r="M21" s="739">
        <v>14.3</v>
      </c>
      <c r="N21" s="746">
        <v>14.4</v>
      </c>
      <c r="O21" s="753">
        <f t="shared" si="6"/>
        <v>355.2</v>
      </c>
      <c r="P21" s="747">
        <v>72.099999999999994</v>
      </c>
      <c r="Q21" s="459">
        <v>72.5</v>
      </c>
      <c r="R21" s="739">
        <v>16.3</v>
      </c>
      <c r="S21" s="739">
        <v>71.7</v>
      </c>
      <c r="T21" s="746">
        <v>72.5</v>
      </c>
      <c r="U21" s="748">
        <v>73.900000000000006</v>
      </c>
      <c r="V21" s="739">
        <v>76.3</v>
      </c>
      <c r="W21" s="459">
        <v>16.8</v>
      </c>
      <c r="X21" s="459">
        <v>75.5</v>
      </c>
      <c r="Y21" s="746">
        <v>76.5</v>
      </c>
      <c r="Z21" s="638">
        <f t="shared" si="2"/>
        <v>1332.3999999999999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743">
        <v>295.10000000000002</v>
      </c>
      <c r="C22" s="739">
        <v>13.5</v>
      </c>
      <c r="D22" s="739">
        <v>14.2</v>
      </c>
      <c r="E22" s="739">
        <v>1.9</v>
      </c>
      <c r="F22" s="739">
        <v>14.1</v>
      </c>
      <c r="G22" s="744">
        <v>14.3</v>
      </c>
      <c r="H22" s="753">
        <f t="shared" si="5"/>
        <v>353.1</v>
      </c>
      <c r="I22" s="745">
        <v>296.8</v>
      </c>
      <c r="J22" s="739">
        <v>13.8</v>
      </c>
      <c r="K22" s="739">
        <v>14.2</v>
      </c>
      <c r="L22" s="739">
        <v>1.7</v>
      </c>
      <c r="M22" s="739">
        <v>14.3</v>
      </c>
      <c r="N22" s="746">
        <v>14.4</v>
      </c>
      <c r="O22" s="753">
        <f t="shared" si="6"/>
        <v>355.2</v>
      </c>
      <c r="P22" s="747">
        <v>72.099999999999994</v>
      </c>
      <c r="Q22" s="459">
        <v>72.5</v>
      </c>
      <c r="R22" s="739">
        <v>16.399999999999999</v>
      </c>
      <c r="S22" s="739">
        <v>71.7</v>
      </c>
      <c r="T22" s="746">
        <v>72.5</v>
      </c>
      <c r="U22" s="748">
        <v>73.900000000000006</v>
      </c>
      <c r="V22" s="739">
        <v>76.3</v>
      </c>
      <c r="W22" s="459">
        <v>16.8</v>
      </c>
      <c r="X22" s="459">
        <v>75.2</v>
      </c>
      <c r="Y22" s="746">
        <v>76.5</v>
      </c>
      <c r="Z22" s="638">
        <f t="shared" si="2"/>
        <v>1332.2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743">
        <v>295.10000000000002</v>
      </c>
      <c r="C23" s="739">
        <v>13.5</v>
      </c>
      <c r="D23" s="739">
        <v>14.2</v>
      </c>
      <c r="E23" s="739">
        <v>1.9</v>
      </c>
      <c r="F23" s="739">
        <v>14.1</v>
      </c>
      <c r="G23" s="744">
        <v>14.3</v>
      </c>
      <c r="H23" s="753">
        <f t="shared" si="5"/>
        <v>353.1</v>
      </c>
      <c r="I23" s="745">
        <v>296.8</v>
      </c>
      <c r="J23" s="739">
        <v>13.8</v>
      </c>
      <c r="K23" s="739">
        <v>14.2</v>
      </c>
      <c r="L23" s="739">
        <v>1.7</v>
      </c>
      <c r="M23" s="739">
        <v>14.3</v>
      </c>
      <c r="N23" s="746">
        <v>14.4</v>
      </c>
      <c r="O23" s="753">
        <f t="shared" si="6"/>
        <v>355.2</v>
      </c>
      <c r="P23" s="747">
        <v>72.099999999999994</v>
      </c>
      <c r="Q23" s="459">
        <v>72.5</v>
      </c>
      <c r="R23" s="739">
        <v>16.399999999999999</v>
      </c>
      <c r="S23" s="739">
        <v>71.8</v>
      </c>
      <c r="T23" s="746">
        <v>72.5</v>
      </c>
      <c r="U23" s="748">
        <v>73.900000000000006</v>
      </c>
      <c r="V23" s="739">
        <v>76.3</v>
      </c>
      <c r="W23" s="459">
        <v>16.8</v>
      </c>
      <c r="X23" s="459">
        <v>75.2</v>
      </c>
      <c r="Y23" s="746">
        <v>76.5</v>
      </c>
      <c r="Z23" s="638">
        <f t="shared" si="2"/>
        <v>1332.3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743">
        <v>295.10000000000002</v>
      </c>
      <c r="C24" s="739">
        <v>13.5</v>
      </c>
      <c r="D24" s="739">
        <v>14.2</v>
      </c>
      <c r="E24" s="739">
        <v>2</v>
      </c>
      <c r="F24" s="739">
        <v>14.1</v>
      </c>
      <c r="G24" s="744">
        <v>14.3</v>
      </c>
      <c r="H24" s="753">
        <f t="shared" si="5"/>
        <v>353.20000000000005</v>
      </c>
      <c r="I24" s="745">
        <v>296.8</v>
      </c>
      <c r="J24" s="739">
        <v>13.8</v>
      </c>
      <c r="K24" s="739">
        <v>14.2</v>
      </c>
      <c r="L24" s="739">
        <v>1.8</v>
      </c>
      <c r="M24" s="739">
        <v>14.3</v>
      </c>
      <c r="N24" s="746">
        <v>14.4</v>
      </c>
      <c r="O24" s="753">
        <f t="shared" si="6"/>
        <v>355.3</v>
      </c>
      <c r="P24" s="747">
        <v>72.099999999999994</v>
      </c>
      <c r="Q24" s="459">
        <v>72.5</v>
      </c>
      <c r="R24" s="739">
        <v>16.399999999999999</v>
      </c>
      <c r="S24" s="739">
        <v>71.8</v>
      </c>
      <c r="T24" s="746">
        <v>72.5</v>
      </c>
      <c r="U24" s="748">
        <v>73.900000000000006</v>
      </c>
      <c r="V24" s="739">
        <v>76.400000000000006</v>
      </c>
      <c r="W24" s="459">
        <v>16.899999999999999</v>
      </c>
      <c r="X24" s="459">
        <v>75.3</v>
      </c>
      <c r="Y24" s="746">
        <v>76.599999999999994</v>
      </c>
      <c r="Z24" s="749">
        <f t="shared" si="2"/>
        <v>1332.9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616">
        <f t="shared" ref="C25:G25" si="7">SUM(C18:C24)</f>
        <v>94.7</v>
      </c>
      <c r="D25" s="616">
        <f t="shared" si="7"/>
        <v>99.600000000000009</v>
      </c>
      <c r="E25" s="616">
        <f t="shared" si="7"/>
        <v>13.600000000000001</v>
      </c>
      <c r="F25" s="616">
        <f t="shared" si="7"/>
        <v>98.899999999999991</v>
      </c>
      <c r="G25" s="617">
        <f t="shared" si="7"/>
        <v>100.1</v>
      </c>
      <c r="H25" s="436"/>
      <c r="I25" s="618"/>
      <c r="J25" s="616">
        <f t="shared" ref="J25:N25" si="8">SUM(J18:J24)</f>
        <v>96.899999999999991</v>
      </c>
      <c r="K25" s="616">
        <f>SUM(K18:K24)</f>
        <v>99.4</v>
      </c>
      <c r="L25" s="616">
        <f t="shared" si="8"/>
        <v>12.4</v>
      </c>
      <c r="M25" s="616">
        <f t="shared" si="8"/>
        <v>100.1</v>
      </c>
      <c r="N25" s="619">
        <f t="shared" si="8"/>
        <v>100.70000000000002</v>
      </c>
      <c r="O25" s="436"/>
      <c r="P25" s="618">
        <f t="shared" ref="P25:W25" si="9">SUM(P18:P24)</f>
        <v>504.5</v>
      </c>
      <c r="Q25" s="618">
        <f t="shared" si="9"/>
        <v>507.7</v>
      </c>
      <c r="R25" s="618">
        <f t="shared" si="9"/>
        <v>113.20000000000002</v>
      </c>
      <c r="S25" s="618">
        <f t="shared" si="9"/>
        <v>502.3</v>
      </c>
      <c r="T25" s="618">
        <f t="shared" si="9"/>
        <v>507.7</v>
      </c>
      <c r="U25" s="618">
        <f t="shared" si="9"/>
        <v>517.4</v>
      </c>
      <c r="V25" s="618">
        <f t="shared" si="9"/>
        <v>534.70000000000005</v>
      </c>
      <c r="W25" s="618">
        <f t="shared" si="9"/>
        <v>117.5</v>
      </c>
      <c r="X25" s="618">
        <f>SUM(X18:X24)</f>
        <v>528.19999999999993</v>
      </c>
      <c r="Y25" s="810">
        <f>SUM(Y18:Y24)</f>
        <v>535.79999999999995</v>
      </c>
      <c r="Z25" s="449">
        <f>SUM(Z18,Z19,Z20,Z21,Z22,Z23,Z24)</f>
        <v>9335.1</v>
      </c>
      <c r="AA25" s="301"/>
    </row>
    <row r="26" spans="1:40" s="2" customFormat="1" ht="36.75" customHeight="1" x14ac:dyDescent="0.25">
      <c r="A26" s="192" t="s">
        <v>11</v>
      </c>
      <c r="B26" s="808"/>
      <c r="C26" s="620">
        <v>155.6</v>
      </c>
      <c r="D26" s="620">
        <v>155.6</v>
      </c>
      <c r="E26" s="620">
        <v>155.6</v>
      </c>
      <c r="F26" s="620">
        <v>155.6</v>
      </c>
      <c r="G26" s="620">
        <v>155.6</v>
      </c>
      <c r="H26" s="809"/>
      <c r="I26" s="620"/>
      <c r="J26" s="620">
        <v>155.6</v>
      </c>
      <c r="K26" s="620">
        <v>155.6</v>
      </c>
      <c r="L26" s="620">
        <v>155.6</v>
      </c>
      <c r="M26" s="620">
        <v>155.6</v>
      </c>
      <c r="N26" s="620">
        <v>155.6</v>
      </c>
      <c r="O26" s="809"/>
      <c r="P26" s="620">
        <v>154</v>
      </c>
      <c r="Q26" s="620">
        <v>154</v>
      </c>
      <c r="R26" s="620">
        <v>154</v>
      </c>
      <c r="S26" s="620">
        <v>154</v>
      </c>
      <c r="T26" s="620">
        <v>154</v>
      </c>
      <c r="U26" s="620">
        <v>154</v>
      </c>
      <c r="V26" s="620">
        <v>154</v>
      </c>
      <c r="W26" s="620">
        <v>154</v>
      </c>
      <c r="X26" s="620">
        <v>154</v>
      </c>
      <c r="Y26" s="620">
        <v>154</v>
      </c>
      <c r="Z26" s="793">
        <f>(((Z25*1000)/7)/Z27)</f>
        <v>155.24862797272576</v>
      </c>
    </row>
    <row r="27" spans="1:40" s="2" customFormat="1" ht="33" customHeight="1" x14ac:dyDescent="0.25">
      <c r="A27" s="193" t="s">
        <v>12</v>
      </c>
      <c r="B27" s="193"/>
      <c r="C27" s="26">
        <v>523</v>
      </c>
      <c r="D27" s="27">
        <v>554</v>
      </c>
      <c r="E27" s="27">
        <v>76</v>
      </c>
      <c r="F27" s="27">
        <v>551</v>
      </c>
      <c r="G27" s="28">
        <v>556</v>
      </c>
      <c r="H27" s="611"/>
      <c r="I27" s="26"/>
      <c r="J27" s="27">
        <v>540</v>
      </c>
      <c r="K27" s="27">
        <v>553</v>
      </c>
      <c r="L27" s="483">
        <v>66</v>
      </c>
      <c r="M27" s="27">
        <v>558</v>
      </c>
      <c r="N27" s="28">
        <v>560</v>
      </c>
      <c r="O27" s="611"/>
      <c r="P27" s="26">
        <v>468</v>
      </c>
      <c r="Q27" s="27">
        <v>471</v>
      </c>
      <c r="R27" s="27">
        <v>105</v>
      </c>
      <c r="S27" s="27">
        <v>466</v>
      </c>
      <c r="T27" s="483">
        <v>471</v>
      </c>
      <c r="U27" s="26">
        <v>480</v>
      </c>
      <c r="V27" s="27">
        <v>496</v>
      </c>
      <c r="W27" s="27">
        <v>109</v>
      </c>
      <c r="X27" s="27">
        <v>490</v>
      </c>
      <c r="Y27" s="28">
        <v>497</v>
      </c>
      <c r="Z27" s="211">
        <f>SUM(C27:Y27)</f>
        <v>8590</v>
      </c>
      <c r="AA27" s="402"/>
    </row>
    <row r="28" spans="1:40" s="2" customFormat="1" ht="33" customHeight="1" x14ac:dyDescent="0.25">
      <c r="A28" s="444" t="s">
        <v>13</v>
      </c>
      <c r="B28" s="444"/>
      <c r="C28" s="30">
        <f>(C33*C27)/1000</f>
        <v>13.388799999999998</v>
      </c>
      <c r="D28" s="31">
        <f>(D33*D27)/1000</f>
        <v>14.182399999999996</v>
      </c>
      <c r="E28" s="31">
        <f t="shared" ref="E28:F28" si="10">(E33*E27)/1000</f>
        <v>1.9455999999999996</v>
      </c>
      <c r="F28" s="31">
        <f t="shared" si="10"/>
        <v>14.105599999999997</v>
      </c>
      <c r="G28" s="32">
        <f>(G33*G27)/1000</f>
        <v>14.233599999999997</v>
      </c>
      <c r="H28" s="612"/>
      <c r="I28" s="30"/>
      <c r="J28" s="31">
        <f>(J33*J27)/1000</f>
        <v>13.823999999999996</v>
      </c>
      <c r="K28" s="31">
        <f t="shared" ref="K28:N28" si="11">(K33*K27)/1000</f>
        <v>14.156799999999997</v>
      </c>
      <c r="L28" s="31">
        <f t="shared" si="11"/>
        <v>1.6895999999999998</v>
      </c>
      <c r="M28" s="31">
        <f t="shared" si="11"/>
        <v>14.284799999999997</v>
      </c>
      <c r="N28" s="32">
        <f t="shared" si="11"/>
        <v>14.335999999999997</v>
      </c>
      <c r="O28" s="612"/>
      <c r="P28" s="30">
        <f>((((P26*7)*P27)/1000)/7)</f>
        <v>72.072000000000003</v>
      </c>
      <c r="Q28" s="31">
        <f t="shared" ref="Q28:Z28" si="12">((((Q26*7)*Q27)/1000)/7)</f>
        <v>72.534000000000006</v>
      </c>
      <c r="R28" s="31">
        <f t="shared" si="12"/>
        <v>16.169999999999998</v>
      </c>
      <c r="S28" s="31">
        <f t="shared" si="12"/>
        <v>71.763999999999996</v>
      </c>
      <c r="T28" s="31">
        <f t="shared" si="12"/>
        <v>72.534000000000006</v>
      </c>
      <c r="U28" s="30">
        <f t="shared" si="12"/>
        <v>73.92</v>
      </c>
      <c r="V28" s="31">
        <f t="shared" si="12"/>
        <v>76.384</v>
      </c>
      <c r="W28" s="31">
        <f t="shared" si="12"/>
        <v>16.785999999999998</v>
      </c>
      <c r="X28" s="31">
        <f t="shared" si="12"/>
        <v>75.460000000000008</v>
      </c>
      <c r="Y28" s="32">
        <f t="shared" si="12"/>
        <v>76.537999999999997</v>
      </c>
      <c r="Z28" s="286">
        <f t="shared" si="12"/>
        <v>1333.5857142857144</v>
      </c>
    </row>
    <row r="29" spans="1:40" ht="33.75" customHeight="1" x14ac:dyDescent="0.25">
      <c r="A29" s="185" t="s">
        <v>14</v>
      </c>
      <c r="B29" s="185"/>
      <c r="C29" s="279">
        <f>((C27*C30)*7)/1000</f>
        <v>94.7</v>
      </c>
      <c r="D29" s="280">
        <f t="shared" ref="D29:G29" si="13">((D27*D30)*7)/1000</f>
        <v>99.600000000000009</v>
      </c>
      <c r="E29" s="280">
        <f>((E27*E30)*7)/1000</f>
        <v>13.600000000000001</v>
      </c>
      <c r="F29" s="280">
        <f t="shared" si="13"/>
        <v>98.9</v>
      </c>
      <c r="G29" s="282">
        <f t="shared" si="13"/>
        <v>100.1</v>
      </c>
      <c r="H29" s="613"/>
      <c r="I29" s="279"/>
      <c r="J29" s="280">
        <f>((J27*J30)*7)/1000</f>
        <v>96.899999999999991</v>
      </c>
      <c r="K29" s="280">
        <f t="shared" ref="K29:N29" si="14">((K27*K30)*7)/1000</f>
        <v>99.40000000000002</v>
      </c>
      <c r="L29" s="280">
        <f t="shared" si="14"/>
        <v>12.4</v>
      </c>
      <c r="M29" s="280">
        <f t="shared" si="14"/>
        <v>100.1</v>
      </c>
      <c r="N29" s="282">
        <f t="shared" si="14"/>
        <v>100.70000000000003</v>
      </c>
      <c r="O29" s="613"/>
      <c r="P29" s="279">
        <f t="shared" ref="P29:Z29" si="15">((P27*P26)*7)/1000</f>
        <v>504.50400000000002</v>
      </c>
      <c r="Q29" s="280">
        <f t="shared" si="15"/>
        <v>507.738</v>
      </c>
      <c r="R29" s="280">
        <f t="shared" si="15"/>
        <v>113.19</v>
      </c>
      <c r="S29" s="280">
        <f t="shared" si="15"/>
        <v>502.34800000000001</v>
      </c>
      <c r="T29" s="280">
        <f t="shared" si="15"/>
        <v>507.738</v>
      </c>
      <c r="U29" s="279">
        <f t="shared" si="15"/>
        <v>517.44000000000005</v>
      </c>
      <c r="V29" s="280">
        <f t="shared" si="15"/>
        <v>534.68799999999999</v>
      </c>
      <c r="W29" s="280">
        <f t="shared" si="15"/>
        <v>117.502</v>
      </c>
      <c r="X29" s="280">
        <f t="shared" si="15"/>
        <v>528.22</v>
      </c>
      <c r="Y29" s="282">
        <f t="shared" si="15"/>
        <v>535.76599999999996</v>
      </c>
      <c r="Z29" s="680">
        <f t="shared" si="15"/>
        <v>9335.1</v>
      </c>
    </row>
    <row r="30" spans="1:40" ht="33.75" customHeight="1" thickBot="1" x14ac:dyDescent="0.3">
      <c r="A30" s="195" t="s">
        <v>15</v>
      </c>
      <c r="B30" s="195"/>
      <c r="C30" s="37">
        <f>+(C25/C27)/7*1000</f>
        <v>25.867249385413821</v>
      </c>
      <c r="D30" s="38">
        <f t="shared" ref="D30:X30" si="16">+(D25/D27)/7*1000</f>
        <v>25.683341928829297</v>
      </c>
      <c r="E30" s="38">
        <f>+(E25/E27)/7*1000</f>
        <v>25.563909774436095</v>
      </c>
      <c r="F30" s="38">
        <f t="shared" si="16"/>
        <v>25.641690432978997</v>
      </c>
      <c r="G30" s="39">
        <f t="shared" si="16"/>
        <v>25.719424460431654</v>
      </c>
      <c r="H30" s="614"/>
      <c r="I30" s="37"/>
      <c r="J30" s="38">
        <f t="shared" si="16"/>
        <v>25.634920634920633</v>
      </c>
      <c r="K30" s="38">
        <f t="shared" si="16"/>
        <v>25.678119349005428</v>
      </c>
      <c r="L30" s="38">
        <f t="shared" si="16"/>
        <v>26.839826839826841</v>
      </c>
      <c r="M30" s="38">
        <f t="shared" si="16"/>
        <v>25.627240143369175</v>
      </c>
      <c r="N30" s="39">
        <f>+(N25/N27)/7*1000</f>
        <v>25.688775510204088</v>
      </c>
      <c r="O30" s="614"/>
      <c r="P30" s="37">
        <f t="shared" si="16"/>
        <v>153.99877899877899</v>
      </c>
      <c r="Q30" s="38">
        <f t="shared" si="16"/>
        <v>153.98847437063995</v>
      </c>
      <c r="R30" s="38">
        <f t="shared" si="16"/>
        <v>154.01360544217687</v>
      </c>
      <c r="S30" s="38">
        <f t="shared" si="16"/>
        <v>153.98528510116495</v>
      </c>
      <c r="T30" s="38">
        <f t="shared" si="16"/>
        <v>153.98847437063995</v>
      </c>
      <c r="U30" s="37">
        <f t="shared" si="16"/>
        <v>153.98809523809524</v>
      </c>
      <c r="V30" s="38">
        <f t="shared" si="16"/>
        <v>154.00345622119818</v>
      </c>
      <c r="W30" s="38">
        <f t="shared" si="16"/>
        <v>153.99737876802098</v>
      </c>
      <c r="X30" s="38">
        <f t="shared" si="16"/>
        <v>153.99416909620987</v>
      </c>
      <c r="Y30" s="39">
        <f>+(Y25/Y27)/7*1000</f>
        <v>154.00977292325376</v>
      </c>
      <c r="Z30" s="262">
        <f>+(Z25/Z27)/7*1000</f>
        <v>155.24862797272579</v>
      </c>
    </row>
    <row r="31" spans="1:40" ht="33.75" customHeight="1" x14ac:dyDescent="0.25">
      <c r="A31" s="41"/>
      <c r="B31" s="41"/>
      <c r="C31" s="42">
        <f>C29-C25</f>
        <v>0</v>
      </c>
      <c r="D31" s="42">
        <f t="shared" ref="D31:Y32" si="17">D29-D25</f>
        <v>0</v>
      </c>
      <c r="E31" s="42">
        <f t="shared" si="17"/>
        <v>0</v>
      </c>
      <c r="F31" s="42">
        <f t="shared" si="17"/>
        <v>0</v>
      </c>
      <c r="G31" s="42">
        <f t="shared" si="17"/>
        <v>0</v>
      </c>
      <c r="H31" s="42"/>
      <c r="I31" s="42"/>
      <c r="J31" s="42">
        <f>J29-J25</f>
        <v>0</v>
      </c>
      <c r="K31" s="42">
        <f>K29-K25</f>
        <v>0</v>
      </c>
      <c r="L31" s="42">
        <f t="shared" si="17"/>
        <v>0</v>
      </c>
      <c r="M31" s="42">
        <f t="shared" si="17"/>
        <v>0</v>
      </c>
      <c r="N31" s="42">
        <f t="shared" si="17"/>
        <v>0</v>
      </c>
      <c r="O31" s="42"/>
      <c r="P31" s="42">
        <f>P29-P25</f>
        <v>4.0000000000190994E-3</v>
      </c>
      <c r="Q31" s="42">
        <f>Q29-Q25</f>
        <v>3.8000000000010914E-2</v>
      </c>
      <c r="R31" s="42">
        <f t="shared" si="17"/>
        <v>-1.0000000000019327E-2</v>
      </c>
      <c r="S31" s="42">
        <f t="shared" si="17"/>
        <v>4.8000000000001819E-2</v>
      </c>
      <c r="T31" s="42">
        <f t="shared" si="17"/>
        <v>3.8000000000010914E-2</v>
      </c>
      <c r="U31" s="42">
        <f>U29-U25</f>
        <v>4.0000000000077307E-2</v>
      </c>
      <c r="V31" s="42">
        <f t="shared" si="17"/>
        <v>-1.2000000000057298E-2</v>
      </c>
      <c r="W31" s="42">
        <f t="shared" si="17"/>
        <v>1.9999999999953388E-3</v>
      </c>
      <c r="X31" s="42">
        <f t="shared" si="17"/>
        <v>2.0000000000095497E-2</v>
      </c>
      <c r="Y31" s="42">
        <f>Y29-Y25</f>
        <v>-3.3999999999991815E-2</v>
      </c>
      <c r="Z31" s="42">
        <f>Z29-Z25</f>
        <v>0</v>
      </c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42">
        <f>C30-C33</f>
        <v>0.2672493854138267</v>
      </c>
      <c r="D32" s="42">
        <f t="shared" ref="D32:G32" si="18">D30-D33</f>
        <v>8.3341928829302248E-2</v>
      </c>
      <c r="E32" s="42">
        <f>E30-E33</f>
        <v>-3.6090225563899736E-2</v>
      </c>
      <c r="F32" s="42">
        <f t="shared" si="18"/>
        <v>4.1690432979002878E-2</v>
      </c>
      <c r="G32" s="42">
        <f t="shared" si="18"/>
        <v>0.11942446043165944</v>
      </c>
      <c r="H32" s="42"/>
      <c r="I32" s="42"/>
      <c r="J32" s="42">
        <f t="shared" ref="J32:M32" si="19">J30-J33</f>
        <v>3.4920634920638349E-2</v>
      </c>
      <c r="K32" s="42">
        <f t="shared" si="19"/>
        <v>7.8119349005433492E-2</v>
      </c>
      <c r="L32" s="42">
        <f t="shared" si="19"/>
        <v>1.239826839826847</v>
      </c>
      <c r="M32" s="42">
        <f t="shared" si="19"/>
        <v>2.7240143369180458E-2</v>
      </c>
      <c r="N32" s="42">
        <f>N30-N33</f>
        <v>8.8775510204094132E-2</v>
      </c>
      <c r="O32" s="42"/>
      <c r="P32" s="42">
        <f>P30-P26</f>
        <v>-1.2210012210118748E-3</v>
      </c>
      <c r="Q32" s="42">
        <f t="shared" si="17"/>
        <v>-1.1525629360050971E-2</v>
      </c>
      <c r="R32" s="42">
        <f t="shared" si="17"/>
        <v>1.3605442176867655E-2</v>
      </c>
      <c r="S32" s="42">
        <f t="shared" si="17"/>
        <v>-1.4714898835052281E-2</v>
      </c>
      <c r="T32" s="42">
        <f t="shared" si="17"/>
        <v>-1.1525629360050971E-2</v>
      </c>
      <c r="U32" s="42">
        <f t="shared" si="17"/>
        <v>-1.1904761904759198E-2</v>
      </c>
      <c r="V32" s="42">
        <f t="shared" si="17"/>
        <v>3.4562211981779001E-3</v>
      </c>
      <c r="W32" s="42">
        <f t="shared" si="17"/>
        <v>-2.6212319790204219E-3</v>
      </c>
      <c r="X32" s="42">
        <f t="shared" si="17"/>
        <v>-5.8309037901267402E-3</v>
      </c>
      <c r="Y32" s="42">
        <f t="shared" si="17"/>
        <v>9.7729232537631106E-3</v>
      </c>
      <c r="Z32" s="42">
        <f t="shared" ref="Z32" si="20">Z30-Z26</f>
        <v>0</v>
      </c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25.599999999999994</v>
      </c>
      <c r="D33" s="42">
        <f t="shared" ref="D33:G33" si="21">D26-$B$34</f>
        <v>25.599999999999994</v>
      </c>
      <c r="E33" s="42">
        <f>E26-$B$34</f>
        <v>25.599999999999994</v>
      </c>
      <c r="F33" s="42">
        <f t="shared" si="21"/>
        <v>25.599999999999994</v>
      </c>
      <c r="G33" s="42">
        <f t="shared" si="21"/>
        <v>25.599999999999994</v>
      </c>
      <c r="H33" s="42"/>
      <c r="I33" s="42"/>
      <c r="J33" s="42">
        <f>J26-$I$34</f>
        <v>25.599999999999994</v>
      </c>
      <c r="K33" s="42">
        <f t="shared" ref="K33:L33" si="22">K26-$I$34</f>
        <v>25.599999999999994</v>
      </c>
      <c r="L33" s="42">
        <f t="shared" si="22"/>
        <v>25.599999999999994</v>
      </c>
      <c r="M33" s="42">
        <f>M26-$I$34</f>
        <v>25.599999999999994</v>
      </c>
      <c r="N33" s="42">
        <f>N26-$I$34</f>
        <v>25.599999999999994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293.8</v>
      </c>
      <c r="D34" s="432">
        <f>SUM(C27:G27)</f>
        <v>2260</v>
      </c>
      <c r="E34" s="42"/>
      <c r="F34" s="42"/>
      <c r="G34" s="42"/>
      <c r="H34" s="42"/>
      <c r="I34" s="514">
        <v>130</v>
      </c>
      <c r="J34" s="431">
        <f>(I34*K34)/1000</f>
        <v>296.01</v>
      </c>
      <c r="K34" s="432">
        <f>SUM(J27:N27)</f>
        <v>2277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977" t="s">
        <v>9</v>
      </c>
      <c r="T39" s="645"/>
      <c r="V39" s="45"/>
      <c r="W39" s="45"/>
      <c r="X39" s="46"/>
      <c r="Y39" s="3"/>
      <c r="Z39" s="45"/>
      <c r="AA39" s="45"/>
      <c r="AB39" s="45"/>
      <c r="AC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204">
        <v>5</v>
      </c>
      <c r="R40" s="984"/>
      <c r="T40" s="645"/>
      <c r="V40" s="47"/>
      <c r="Y40" s="48"/>
      <c r="Z40" s="2"/>
      <c r="AA40" s="2"/>
      <c r="AB40" s="2"/>
      <c r="AC40" s="2"/>
    </row>
    <row r="41" spans="1:38" ht="33.75" customHeight="1" x14ac:dyDescent="0.25">
      <c r="A41" s="171" t="s">
        <v>32</v>
      </c>
      <c r="B41" s="856">
        <v>78.900000000000006</v>
      </c>
      <c r="C41" s="857">
        <v>77.099999999999994</v>
      </c>
      <c r="D41" s="857">
        <v>9.4</v>
      </c>
      <c r="E41" s="857">
        <v>83.8</v>
      </c>
      <c r="F41" s="858">
        <v>79.8</v>
      </c>
      <c r="G41" s="638">
        <f t="shared" ref="G41:G48" si="23">SUM(B41:F41)</f>
        <v>329</v>
      </c>
      <c r="H41" s="364"/>
      <c r="I41" s="364"/>
      <c r="J41" s="364"/>
      <c r="K41" s="364"/>
      <c r="L41" s="171" t="s">
        <v>53</v>
      </c>
      <c r="M41" s="856">
        <v>6.7</v>
      </c>
      <c r="N41" s="857">
        <v>6.6</v>
      </c>
      <c r="O41" s="857">
        <v>1.2</v>
      </c>
      <c r="P41" s="857">
        <v>6.8</v>
      </c>
      <c r="Q41" s="858">
        <v>6.6</v>
      </c>
      <c r="R41" s="800">
        <f>SUM(M41:Q41)</f>
        <v>27.9</v>
      </c>
      <c r="T41" s="646"/>
      <c r="U41" s="675"/>
      <c r="V41" s="657"/>
      <c r="Y41" s="48"/>
      <c r="Z41" s="2"/>
      <c r="AA41" s="2"/>
      <c r="AB41" s="2"/>
      <c r="AC41" s="2"/>
    </row>
    <row r="42" spans="1:38" ht="33.75" customHeight="1" x14ac:dyDescent="0.25">
      <c r="A42" s="171" t="s">
        <v>24</v>
      </c>
      <c r="B42" s="856">
        <v>78.900000000000006</v>
      </c>
      <c r="C42" s="857">
        <v>77.099999999999994</v>
      </c>
      <c r="D42" s="857">
        <v>9.4</v>
      </c>
      <c r="E42" s="857">
        <v>83.8</v>
      </c>
      <c r="F42" s="858">
        <v>79.8</v>
      </c>
      <c r="G42" s="638">
        <f t="shared" si="23"/>
        <v>329</v>
      </c>
      <c r="H42" s="364"/>
      <c r="I42" s="364"/>
      <c r="J42" s="364"/>
      <c r="K42" s="364"/>
      <c r="L42" s="171" t="s">
        <v>24</v>
      </c>
      <c r="M42" s="856">
        <v>6.7</v>
      </c>
      <c r="N42" s="857">
        <v>6.6</v>
      </c>
      <c r="O42" s="857">
        <v>1.2</v>
      </c>
      <c r="P42" s="857">
        <v>6.8</v>
      </c>
      <c r="Q42" s="858">
        <v>6.6</v>
      </c>
      <c r="R42" s="638">
        <f t="shared" ref="R42:R47" si="24">SUM(M42:Q42)</f>
        <v>27.9</v>
      </c>
      <c r="T42" s="646"/>
      <c r="U42" s="647"/>
      <c r="V42" s="658"/>
      <c r="Y42" s="48"/>
      <c r="Z42" s="2"/>
      <c r="AA42" s="2"/>
      <c r="AB42" s="2"/>
      <c r="AC42" s="2"/>
    </row>
    <row r="43" spans="1:38" ht="33.75" customHeight="1" x14ac:dyDescent="0.25">
      <c r="A43" s="171" t="s">
        <v>20</v>
      </c>
      <c r="B43" s="856">
        <v>78.8</v>
      </c>
      <c r="C43" s="857">
        <v>78.3</v>
      </c>
      <c r="D43" s="857">
        <v>9.6</v>
      </c>
      <c r="E43" s="857">
        <v>83.7</v>
      </c>
      <c r="F43" s="858">
        <v>80</v>
      </c>
      <c r="G43" s="638">
        <f>SUM(B43:F43)</f>
        <v>330.4</v>
      </c>
      <c r="H43" s="364"/>
      <c r="I43" s="364"/>
      <c r="J43" s="364"/>
      <c r="K43" s="364"/>
      <c r="L43" s="171" t="s">
        <v>20</v>
      </c>
      <c r="M43" s="856">
        <v>6.6</v>
      </c>
      <c r="N43" s="857">
        <v>6.3</v>
      </c>
      <c r="O43" s="857">
        <v>0.8</v>
      </c>
      <c r="P43" s="857">
        <v>6.6</v>
      </c>
      <c r="Q43" s="858">
        <v>6.5</v>
      </c>
      <c r="R43" s="638">
        <f t="shared" si="24"/>
        <v>26.799999999999997</v>
      </c>
      <c r="T43" s="646"/>
      <c r="U43" s="647"/>
      <c r="V43" s="658"/>
      <c r="Y43" s="48"/>
      <c r="Z43" s="2"/>
      <c r="AA43" s="2"/>
      <c r="AB43" s="2"/>
      <c r="AC43" s="2"/>
    </row>
    <row r="44" spans="1:38" ht="33.75" customHeight="1" x14ac:dyDescent="0.25">
      <c r="A44" s="171" t="s">
        <v>28</v>
      </c>
      <c r="B44" s="279">
        <v>78.900000000000006</v>
      </c>
      <c r="C44" s="280">
        <v>78</v>
      </c>
      <c r="D44" s="280">
        <v>9.4</v>
      </c>
      <c r="E44" s="280">
        <v>83.2</v>
      </c>
      <c r="F44" s="281">
        <v>80</v>
      </c>
      <c r="G44" s="638">
        <f t="shared" si="23"/>
        <v>329.5</v>
      </c>
      <c r="H44" s="651"/>
      <c r="I44" s="364"/>
      <c r="J44" s="364"/>
      <c r="K44" s="364"/>
      <c r="L44" s="171" t="s">
        <v>28</v>
      </c>
      <c r="M44" s="279">
        <v>6.6</v>
      </c>
      <c r="N44" s="280">
        <v>6.3</v>
      </c>
      <c r="O44" s="280">
        <v>0.8</v>
      </c>
      <c r="P44" s="280">
        <v>6.7</v>
      </c>
      <c r="Q44" s="281">
        <v>6.5</v>
      </c>
      <c r="R44" s="638">
        <f t="shared" si="24"/>
        <v>26.9</v>
      </c>
      <c r="T44" s="646"/>
      <c r="U44" s="647"/>
      <c r="V44" s="658"/>
      <c r="Y44" s="48"/>
      <c r="Z44" s="2"/>
      <c r="AA44" s="2"/>
      <c r="AB44" s="2"/>
      <c r="AC44" s="2"/>
    </row>
    <row r="45" spans="1:38" ht="33.75" customHeight="1" x14ac:dyDescent="0.25">
      <c r="A45" s="171" t="s">
        <v>21</v>
      </c>
      <c r="B45" s="279">
        <v>78.900000000000006</v>
      </c>
      <c r="C45" s="280">
        <v>77.7</v>
      </c>
      <c r="D45" s="280">
        <v>9</v>
      </c>
      <c r="E45" s="280">
        <v>83.2</v>
      </c>
      <c r="F45" s="281">
        <v>80</v>
      </c>
      <c r="G45" s="638">
        <f t="shared" si="23"/>
        <v>328.8</v>
      </c>
      <c r="H45" s="651"/>
      <c r="I45" s="364"/>
      <c r="J45" s="364"/>
      <c r="K45" s="364"/>
      <c r="L45" s="171" t="s">
        <v>21</v>
      </c>
      <c r="M45" s="279">
        <v>6.6</v>
      </c>
      <c r="N45" s="280">
        <v>6.3</v>
      </c>
      <c r="O45" s="280">
        <v>0.9</v>
      </c>
      <c r="P45" s="280">
        <v>6.7</v>
      </c>
      <c r="Q45" s="281">
        <v>6.5</v>
      </c>
      <c r="R45" s="638">
        <f t="shared" si="24"/>
        <v>27</v>
      </c>
      <c r="T45" s="646"/>
      <c r="U45" s="647"/>
      <c r="V45" s="658"/>
      <c r="Y45" s="48"/>
      <c r="Z45" s="2"/>
      <c r="AA45" s="2"/>
      <c r="AB45" s="2"/>
      <c r="AC45" s="2"/>
    </row>
    <row r="46" spans="1:38" ht="33.75" customHeight="1" x14ac:dyDescent="0.25">
      <c r="A46" s="171" t="s">
        <v>22</v>
      </c>
      <c r="B46" s="279">
        <v>78.900000000000006</v>
      </c>
      <c r="C46" s="280">
        <v>77.7</v>
      </c>
      <c r="D46" s="280">
        <v>9.1</v>
      </c>
      <c r="E46" s="280">
        <v>83.2</v>
      </c>
      <c r="F46" s="281">
        <v>80</v>
      </c>
      <c r="G46" s="638">
        <f t="shared" si="23"/>
        <v>328.90000000000003</v>
      </c>
      <c r="H46" s="651"/>
      <c r="I46" s="364"/>
      <c r="J46" s="364"/>
      <c r="K46" s="364"/>
      <c r="L46" s="171" t="s">
        <v>22</v>
      </c>
      <c r="M46" s="279">
        <v>6.6</v>
      </c>
      <c r="N46" s="280">
        <v>6.3</v>
      </c>
      <c r="O46" s="280">
        <v>0.9</v>
      </c>
      <c r="P46" s="280">
        <v>6.7</v>
      </c>
      <c r="Q46" s="281">
        <v>6.5</v>
      </c>
      <c r="R46" s="638">
        <f t="shared" si="24"/>
        <v>27</v>
      </c>
      <c r="T46" s="646"/>
      <c r="U46" s="647"/>
      <c r="V46" s="658"/>
      <c r="Y46" s="48"/>
      <c r="Z46" s="2"/>
      <c r="AA46" s="2"/>
      <c r="AB46" s="2"/>
      <c r="AC46" s="2"/>
    </row>
    <row r="47" spans="1:38" ht="33.75" customHeight="1" thickBot="1" x14ac:dyDescent="0.3">
      <c r="A47" s="285" t="s">
        <v>23</v>
      </c>
      <c r="B47" s="279">
        <v>78.900000000000006</v>
      </c>
      <c r="C47" s="280">
        <v>77.8</v>
      </c>
      <c r="D47" s="280">
        <v>9.1</v>
      </c>
      <c r="E47" s="280">
        <v>83.3</v>
      </c>
      <c r="F47" s="281">
        <v>80.099999999999994</v>
      </c>
      <c r="G47" s="778">
        <f t="shared" si="23"/>
        <v>329.19999999999993</v>
      </c>
      <c r="H47" s="651"/>
      <c r="I47" s="364"/>
      <c r="J47" s="364"/>
      <c r="K47" s="364"/>
      <c r="L47" s="285" t="s">
        <v>23</v>
      </c>
      <c r="M47" s="279">
        <v>6.6</v>
      </c>
      <c r="N47" s="280">
        <v>6.4</v>
      </c>
      <c r="O47" s="280">
        <v>0.9</v>
      </c>
      <c r="P47" s="280">
        <v>6.7</v>
      </c>
      <c r="Q47" s="281">
        <v>6.6</v>
      </c>
      <c r="R47" s="778">
        <f t="shared" si="24"/>
        <v>27.200000000000003</v>
      </c>
      <c r="T47" s="646"/>
      <c r="U47" s="647"/>
      <c r="V47" s="658"/>
      <c r="Y47" s="48"/>
      <c r="Z47" s="48"/>
      <c r="AA47" s="48"/>
      <c r="AB47" s="2"/>
      <c r="AC47" s="2"/>
      <c r="AD47" s="2"/>
      <c r="AE47" s="2"/>
    </row>
    <row r="48" spans="1:38" ht="33.75" customHeight="1" thickBot="1" x14ac:dyDescent="0.3">
      <c r="A48" s="290" t="s">
        <v>9</v>
      </c>
      <c r="B48" s="297">
        <f>SUM(B41:B47)</f>
        <v>552.19999999999993</v>
      </c>
      <c r="C48" s="298">
        <f t="shared" ref="C48:F48" si="25">SUM(C41:C47)</f>
        <v>543.69999999999993</v>
      </c>
      <c r="D48" s="298">
        <f t="shared" si="25"/>
        <v>65</v>
      </c>
      <c r="E48" s="298">
        <f t="shared" si="25"/>
        <v>584.19999999999993</v>
      </c>
      <c r="F48" s="448">
        <f t="shared" si="25"/>
        <v>559.70000000000005</v>
      </c>
      <c r="G48" s="729">
        <f t="shared" si="23"/>
        <v>2304.8000000000002</v>
      </c>
      <c r="H48" s="364"/>
      <c r="I48" s="364"/>
      <c r="J48" s="364"/>
      <c r="K48" s="364"/>
      <c r="L48" s="290" t="s">
        <v>9</v>
      </c>
      <c r="M48" s="763">
        <f>SUM(M41:M47)</f>
        <v>46.400000000000006</v>
      </c>
      <c r="N48" s="764">
        <f>SUM(N41:N47)</f>
        <v>44.8</v>
      </c>
      <c r="O48" s="764">
        <f>SUM(O41:O47)</f>
        <v>6.7000000000000011</v>
      </c>
      <c r="P48" s="764">
        <f t="shared" ref="P48:Q48" si="26">SUM(P41:P47)</f>
        <v>47.000000000000007</v>
      </c>
      <c r="Q48" s="765">
        <f t="shared" si="26"/>
        <v>45.800000000000004</v>
      </c>
      <c r="R48" s="815">
        <f>SUM(M48:Q48)</f>
        <v>190.70000000000002</v>
      </c>
      <c r="T48" s="647"/>
      <c r="U48" s="647"/>
      <c r="V48" s="658"/>
      <c r="Y48" s="2"/>
      <c r="Z48" s="2"/>
      <c r="AA48" s="2"/>
      <c r="AB48" s="2"/>
      <c r="AC48" s="2"/>
      <c r="AD48" s="2"/>
      <c r="AE48" s="2"/>
    </row>
    <row r="49" spans="1:50" ht="33.75" customHeight="1" x14ac:dyDescent="0.25">
      <c r="A49" s="192" t="s">
        <v>11</v>
      </c>
      <c r="B49" s="751">
        <v>152.30000000000001</v>
      </c>
      <c r="C49" s="751">
        <v>152.30000000000001</v>
      </c>
      <c r="D49" s="751">
        <v>152.30000000000001</v>
      </c>
      <c r="E49" s="751">
        <v>152.30000000000001</v>
      </c>
      <c r="F49" s="751">
        <v>152.30000000000001</v>
      </c>
      <c r="G49" s="730">
        <f>+((G48/G50)/7)*1000</f>
        <v>152.29285053521875</v>
      </c>
      <c r="H49" s="609"/>
      <c r="I49" s="364"/>
      <c r="J49" s="364"/>
      <c r="K49" s="364"/>
      <c r="L49" s="273" t="s">
        <v>11</v>
      </c>
      <c r="M49" s="357">
        <v>161.5</v>
      </c>
      <c r="N49" s="358">
        <v>160</v>
      </c>
      <c r="O49" s="358">
        <v>160.5</v>
      </c>
      <c r="P49" s="358">
        <v>160</v>
      </c>
      <c r="Q49" s="624">
        <v>159.5</v>
      </c>
      <c r="R49" s="730">
        <f>+((R48/R50)/7)*1000</f>
        <v>160.25210084033614</v>
      </c>
      <c r="T49" s="648"/>
      <c r="U49" s="647"/>
      <c r="V49" s="658"/>
      <c r="W49" s="50"/>
    </row>
    <row r="50" spans="1:50" ht="33.75" customHeight="1" x14ac:dyDescent="0.25">
      <c r="A50" s="193" t="s">
        <v>12</v>
      </c>
      <c r="B50" s="26">
        <v>518</v>
      </c>
      <c r="C50" s="27">
        <v>510</v>
      </c>
      <c r="D50" s="27">
        <v>61</v>
      </c>
      <c r="E50" s="27">
        <v>548</v>
      </c>
      <c r="F50" s="183">
        <v>525</v>
      </c>
      <c r="G50" s="731">
        <f>SUM(B50:F50)</f>
        <v>2162</v>
      </c>
      <c r="H50" s="609"/>
      <c r="I50" s="364"/>
      <c r="J50" s="364"/>
      <c r="K50" s="364"/>
      <c r="L50" s="193" t="s">
        <v>12</v>
      </c>
      <c r="M50" s="257">
        <v>41</v>
      </c>
      <c r="N50" s="275">
        <v>40</v>
      </c>
      <c r="O50" s="275">
        <v>6</v>
      </c>
      <c r="P50" s="275">
        <v>42</v>
      </c>
      <c r="Q50" s="276">
        <v>41</v>
      </c>
      <c r="R50" s="233">
        <f>SUM(M50:Q50)</f>
        <v>170</v>
      </c>
      <c r="T50" s="649"/>
      <c r="U50" s="301"/>
      <c r="V50" s="52"/>
      <c r="W50" s="52"/>
    </row>
    <row r="51" spans="1:50" ht="33.75" customHeight="1" x14ac:dyDescent="0.25">
      <c r="A51" s="194" t="s">
        <v>13</v>
      </c>
      <c r="B51" s="30">
        <f>((((B49*7)*B50)/1000))/7</f>
        <v>78.891400000000004</v>
      </c>
      <c r="C51" s="30">
        <f t="shared" ref="C51:F51" si="27">((((C49*7)*C50)/1000))/7</f>
        <v>77.673000000000016</v>
      </c>
      <c r="D51" s="30">
        <f t="shared" si="27"/>
        <v>9.2903000000000002</v>
      </c>
      <c r="E51" s="30">
        <f t="shared" si="27"/>
        <v>83.460400000000007</v>
      </c>
      <c r="F51" s="30">
        <f t="shared" si="27"/>
        <v>79.95750000000001</v>
      </c>
      <c r="G51" s="732">
        <f>((G48*1000)/G50)/7</f>
        <v>152.29285053521872</v>
      </c>
      <c r="H51" s="609"/>
      <c r="I51" s="364"/>
      <c r="J51" s="364"/>
      <c r="K51" s="364"/>
      <c r="L51" s="194" t="s">
        <v>13</v>
      </c>
      <c r="M51" s="30">
        <f>((((M49*7)*M50)/1000)/7)</f>
        <v>6.6214999999999993</v>
      </c>
      <c r="N51" s="31">
        <f t="shared" ref="N51:Q51" si="28">((((N49*7)*N50)/1000)/7)</f>
        <v>6.3999999999999995</v>
      </c>
      <c r="O51" s="31">
        <f t="shared" si="28"/>
        <v>0.96299999999999997</v>
      </c>
      <c r="P51" s="31">
        <f t="shared" si="28"/>
        <v>6.72</v>
      </c>
      <c r="Q51" s="32">
        <f t="shared" si="28"/>
        <v>6.5394999999999994</v>
      </c>
      <c r="R51" s="234">
        <f>((R48*1000)/R50)/7</f>
        <v>160.25210084033617</v>
      </c>
      <c r="T51" s="650"/>
      <c r="U51" s="301"/>
      <c r="V51" s="52"/>
      <c r="W51" s="52"/>
    </row>
    <row r="52" spans="1:50" ht="33.75" customHeight="1" x14ac:dyDescent="0.25">
      <c r="A52" s="185" t="s">
        <v>14</v>
      </c>
      <c r="B52" s="279">
        <f>((B50*B49)*7)/1000</f>
        <v>552.23980000000006</v>
      </c>
      <c r="C52" s="280">
        <f>((C50*C49)*7)/1000</f>
        <v>543.71100000000001</v>
      </c>
      <c r="D52" s="280">
        <f>((D50*D49)*7)/1000</f>
        <v>65.0321</v>
      </c>
      <c r="E52" s="280">
        <f>((E50*E49)*7)/1000</f>
        <v>584.22280000000001</v>
      </c>
      <c r="F52" s="281">
        <f>((F50*F49)*7)/1000</f>
        <v>559.70249999999999</v>
      </c>
      <c r="G52" s="73"/>
      <c r="H52" s="609"/>
      <c r="I52" s="364"/>
      <c r="J52" s="364"/>
      <c r="K52" s="364"/>
      <c r="L52" s="185" t="s">
        <v>14</v>
      </c>
      <c r="M52" s="279">
        <f>((M50*M49)*7)/1000</f>
        <v>46.350499999999997</v>
      </c>
      <c r="N52" s="280">
        <f>((N50*N49)*7)/1000</f>
        <v>44.8</v>
      </c>
      <c r="O52" s="280">
        <f>((O50*O49)*7)/1000</f>
        <v>6.7409999999999997</v>
      </c>
      <c r="P52" s="280">
        <f t="shared" ref="P52" si="29">((P50*P49)*7)/1000</f>
        <v>47.04</v>
      </c>
      <c r="Q52" s="282">
        <f>((Q50*Q49)*7)/1000</f>
        <v>45.776499999999999</v>
      </c>
      <c r="R52" s="282">
        <f>((R50*R49)*7)/1000</f>
        <v>190.7</v>
      </c>
      <c r="T52" s="522"/>
    </row>
    <row r="53" spans="1:50" ht="33.75" customHeight="1" thickBot="1" x14ac:dyDescent="0.3">
      <c r="A53" s="195" t="s">
        <v>15</v>
      </c>
      <c r="B53" s="37">
        <f>+(B48/B50)/7*1000</f>
        <v>152.28902371759511</v>
      </c>
      <c r="C53" s="38">
        <f t="shared" ref="C53:E53" si="30">+(C48/C50)/7*1000</f>
        <v>152.29691876750698</v>
      </c>
      <c r="D53" s="38">
        <f t="shared" si="30"/>
        <v>152.22482435597189</v>
      </c>
      <c r="E53" s="38">
        <f t="shared" si="30"/>
        <v>152.29405630865483</v>
      </c>
      <c r="F53" s="207">
        <f>+(F48/F50)/7*1000</f>
        <v>152.29931972789117</v>
      </c>
      <c r="G53" s="74"/>
      <c r="H53" s="609"/>
      <c r="I53" s="364"/>
      <c r="J53" s="364"/>
      <c r="K53" s="364"/>
      <c r="L53" s="195" t="s">
        <v>15</v>
      </c>
      <c r="M53" s="37">
        <f>+(M48/M50)/7*1000</f>
        <v>161.67247386759584</v>
      </c>
      <c r="N53" s="38">
        <f>+(N48/N50)/7*1000</f>
        <v>159.99999999999997</v>
      </c>
      <c r="O53" s="38">
        <f>+(O48/O50)/7*1000</f>
        <v>159.52380952380958</v>
      </c>
      <c r="P53" s="38">
        <f t="shared" ref="P53:R53" si="31">+(P48/P50)/7*1000</f>
        <v>159.86394557823132</v>
      </c>
      <c r="Q53" s="39">
        <f t="shared" si="31"/>
        <v>159.58188153310107</v>
      </c>
      <c r="R53" s="39">
        <f t="shared" si="31"/>
        <v>160.25210084033614</v>
      </c>
      <c r="T53" s="651"/>
      <c r="V53" s="42"/>
      <c r="W53" s="42"/>
    </row>
    <row r="54" spans="1:50" ht="33.75" customHeight="1" x14ac:dyDescent="0.25">
      <c r="A54" s="41"/>
      <c r="B54" s="43">
        <f>B52-B48</f>
        <v>3.9800000000127511E-2</v>
      </c>
      <c r="C54" s="43">
        <f t="shared" ref="C54:D55" si="32">C52-C48</f>
        <v>1.1000000000080945E-2</v>
      </c>
      <c r="D54" s="43">
        <f t="shared" si="32"/>
        <v>3.2099999999999795E-2</v>
      </c>
      <c r="E54" s="43">
        <f>E52-E48</f>
        <v>2.280000000007476E-2</v>
      </c>
      <c r="F54" s="43">
        <f>F52-F48</f>
        <v>2.4999999999408828E-3</v>
      </c>
      <c r="G54" s="41"/>
      <c r="H54" s="41"/>
      <c r="I54" s="41"/>
      <c r="J54" s="41"/>
      <c r="K54" s="41"/>
      <c r="L54" s="42"/>
      <c r="M54" s="42">
        <f>M52-M48</f>
        <v>-4.9500000000008981E-2</v>
      </c>
      <c r="N54" s="42">
        <f>N52-N48</f>
        <v>0</v>
      </c>
      <c r="O54" s="42">
        <f t="shared" ref="N54:R55" si="33">O52-O48</f>
        <v>4.0999999999998593E-2</v>
      </c>
      <c r="P54" s="42">
        <f t="shared" si="33"/>
        <v>3.9999999999992042E-2</v>
      </c>
      <c r="Q54" s="42">
        <f t="shared" si="33"/>
        <v>-2.3500000000005627E-2</v>
      </c>
      <c r="R54" s="42">
        <f>R52-R48</f>
        <v>0</v>
      </c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-1.097628240489712E-2</v>
      </c>
      <c r="C55" s="42">
        <f>C53-C49</f>
        <v>-3.0812324930309387E-3</v>
      </c>
      <c r="D55" s="42">
        <f t="shared" si="32"/>
        <v>-7.5175644028121269E-2</v>
      </c>
      <c r="E55" s="42">
        <f>E53-E49</f>
        <v>-5.9436913451804685E-3</v>
      </c>
      <c r="F55" s="42">
        <f>F53-F49</f>
        <v>-6.802721088376984E-4</v>
      </c>
      <c r="G55" s="41"/>
      <c r="H55" s="41"/>
      <c r="I55" s="41"/>
      <c r="J55" s="41"/>
      <c r="K55" s="42"/>
      <c r="L55" s="42"/>
      <c r="M55" s="42">
        <f>M53-M49</f>
        <v>0.1724738675958406</v>
      </c>
      <c r="N55" s="42">
        <f t="shared" si="33"/>
        <v>0</v>
      </c>
      <c r="O55" s="42">
        <f>O53-O49</f>
        <v>-0.97619047619042476</v>
      </c>
      <c r="P55" s="42">
        <f>P53-P49</f>
        <v>-0.13605442176867655</v>
      </c>
      <c r="Q55" s="42">
        <f t="shared" si="33"/>
        <v>8.1881533101068271E-2</v>
      </c>
      <c r="R55" s="42">
        <f t="shared" si="33"/>
        <v>0</v>
      </c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283"/>
      <c r="N57" s="283"/>
      <c r="O57" s="283"/>
      <c r="P57" s="283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99" t="s">
        <v>30</v>
      </c>
      <c r="H58" s="1000"/>
      <c r="I58" s="1000"/>
      <c r="J58" s="1000"/>
      <c r="K58" s="1001"/>
      <c r="L58" s="973" t="s">
        <v>29</v>
      </c>
      <c r="M58" s="974"/>
      <c r="N58" s="974"/>
      <c r="O58" s="974"/>
      <c r="P58" s="991"/>
      <c r="Q58" s="974" t="s">
        <v>31</v>
      </c>
      <c r="R58" s="974"/>
      <c r="S58" s="974"/>
      <c r="T58" s="974"/>
      <c r="U58" s="991"/>
      <c r="V58" s="992" t="s">
        <v>9</v>
      </c>
      <c r="W58" s="661"/>
      <c r="X58" s="662"/>
      <c r="Y58" s="522"/>
      <c r="Z58" s="522"/>
      <c r="AF58" s="43"/>
      <c r="AG58" s="43"/>
      <c r="AH58" s="43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692">
        <v>1</v>
      </c>
      <c r="H59" s="693">
        <v>2</v>
      </c>
      <c r="I59" s="693">
        <v>3</v>
      </c>
      <c r="J59" s="693">
        <v>4</v>
      </c>
      <c r="K59" s="693">
        <v>5</v>
      </c>
      <c r="L59" s="188">
        <v>1</v>
      </c>
      <c r="M59" s="168">
        <v>2</v>
      </c>
      <c r="N59" s="168">
        <v>3</v>
      </c>
      <c r="O59" s="168">
        <v>4</v>
      </c>
      <c r="P59" s="414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993"/>
      <c r="W59" s="663"/>
      <c r="X59" s="645"/>
      <c r="Y59" s="657"/>
      <c r="Z59" s="657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45">
      <c r="A60" s="171" t="s">
        <v>53</v>
      </c>
      <c r="B60" s="859">
        <v>7.1</v>
      </c>
      <c r="C60" s="860">
        <v>7.4</v>
      </c>
      <c r="D60" s="860">
        <v>1.2</v>
      </c>
      <c r="E60" s="860">
        <v>7.4</v>
      </c>
      <c r="F60" s="861">
        <v>7.4</v>
      </c>
      <c r="G60" s="862">
        <v>7.5</v>
      </c>
      <c r="H60" s="848">
        <v>7.5</v>
      </c>
      <c r="I60" s="863">
        <v>1.1000000000000001</v>
      </c>
      <c r="J60" s="848">
        <v>7.5</v>
      </c>
      <c r="K60" s="848">
        <v>7.3</v>
      </c>
      <c r="L60" s="856">
        <v>6.1</v>
      </c>
      <c r="M60" s="857">
        <v>6.1</v>
      </c>
      <c r="N60" s="857">
        <v>1.7</v>
      </c>
      <c r="O60" s="857">
        <v>5.9</v>
      </c>
      <c r="P60" s="864">
        <v>5.8</v>
      </c>
      <c r="Q60" s="861">
        <v>6.1</v>
      </c>
      <c r="R60" s="860">
        <v>6.4</v>
      </c>
      <c r="S60" s="860">
        <v>1.7</v>
      </c>
      <c r="T60" s="860">
        <v>6.2</v>
      </c>
      <c r="U60" s="865">
        <v>6.1</v>
      </c>
      <c r="V60" s="846">
        <f t="shared" ref="V60:V67" si="34">SUM(B60:U60)</f>
        <v>113.5</v>
      </c>
      <c r="W60" s="42"/>
      <c r="X60" s="646"/>
      <c r="Y60" s="657"/>
      <c r="Z60" s="657"/>
      <c r="AC60" s="42"/>
      <c r="AD60" s="2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45">
      <c r="A61" s="171" t="s">
        <v>24</v>
      </c>
      <c r="B61" s="859">
        <v>7.1</v>
      </c>
      <c r="C61" s="860">
        <v>7.4</v>
      </c>
      <c r="D61" s="860">
        <v>1.2</v>
      </c>
      <c r="E61" s="860">
        <v>7.4</v>
      </c>
      <c r="F61" s="861">
        <v>7.4</v>
      </c>
      <c r="G61" s="862">
        <v>7.5</v>
      </c>
      <c r="H61" s="848">
        <v>7.5</v>
      </c>
      <c r="I61" s="863">
        <v>1.1000000000000001</v>
      </c>
      <c r="J61" s="848">
        <v>7.5</v>
      </c>
      <c r="K61" s="848">
        <v>7.3</v>
      </c>
      <c r="L61" s="856">
        <v>6.1</v>
      </c>
      <c r="M61" s="857">
        <v>6.1</v>
      </c>
      <c r="N61" s="857">
        <v>1.7</v>
      </c>
      <c r="O61" s="857">
        <v>5.9</v>
      </c>
      <c r="P61" s="864">
        <v>5.8</v>
      </c>
      <c r="Q61" s="861">
        <v>6.1</v>
      </c>
      <c r="R61" s="860">
        <v>6.4</v>
      </c>
      <c r="S61" s="860">
        <v>1.7</v>
      </c>
      <c r="T61" s="860">
        <v>6.2</v>
      </c>
      <c r="U61" s="865">
        <v>6.1</v>
      </c>
      <c r="V61" s="749">
        <f t="shared" si="34"/>
        <v>113.5</v>
      </c>
      <c r="W61" s="42"/>
      <c r="X61" s="646"/>
      <c r="Y61" s="651"/>
      <c r="Z61" s="651"/>
      <c r="AC61" s="42"/>
      <c r="AD61" s="2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45">
      <c r="A62" s="171" t="s">
        <v>20</v>
      </c>
      <c r="B62" s="859">
        <v>6.9</v>
      </c>
      <c r="C62" s="860">
        <v>7.5</v>
      </c>
      <c r="D62" s="860">
        <v>0.8</v>
      </c>
      <c r="E62" s="860">
        <v>7.5</v>
      </c>
      <c r="F62" s="861">
        <v>7.4</v>
      </c>
      <c r="G62" s="862">
        <v>7.5</v>
      </c>
      <c r="H62" s="848">
        <v>7.4</v>
      </c>
      <c r="I62" s="863">
        <v>0.9</v>
      </c>
      <c r="J62" s="848">
        <v>7.4</v>
      </c>
      <c r="K62" s="848">
        <v>7.2</v>
      </c>
      <c r="L62" s="856">
        <v>6</v>
      </c>
      <c r="M62" s="857">
        <v>5.9</v>
      </c>
      <c r="N62" s="857">
        <v>1.6</v>
      </c>
      <c r="O62" s="857">
        <v>5.8</v>
      </c>
      <c r="P62" s="864">
        <v>5.8</v>
      </c>
      <c r="Q62" s="861">
        <v>6.2</v>
      </c>
      <c r="R62" s="860">
        <v>5.8</v>
      </c>
      <c r="S62" s="860">
        <v>1.6</v>
      </c>
      <c r="T62" s="860">
        <v>6.1</v>
      </c>
      <c r="U62" s="865">
        <v>6.1</v>
      </c>
      <c r="V62" s="749">
        <f t="shared" si="34"/>
        <v>111.39999999999998</v>
      </c>
      <c r="W62" s="42"/>
      <c r="X62" s="646"/>
      <c r="Y62" s="651"/>
      <c r="Z62" s="651"/>
      <c r="AC62" s="42"/>
      <c r="AD62" s="2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45">
      <c r="A63" s="171" t="s">
        <v>28</v>
      </c>
      <c r="B63" s="735">
        <v>7</v>
      </c>
      <c r="C63" s="736">
        <v>7.5</v>
      </c>
      <c r="D63" s="736">
        <v>0.9</v>
      </c>
      <c r="E63" s="736">
        <v>7.5</v>
      </c>
      <c r="F63" s="737">
        <v>7.4</v>
      </c>
      <c r="G63" s="738">
        <v>7.5</v>
      </c>
      <c r="H63" s="739">
        <v>7.4</v>
      </c>
      <c r="I63" s="799">
        <v>0.9</v>
      </c>
      <c r="J63" s="739">
        <v>7.4</v>
      </c>
      <c r="K63" s="739">
        <v>7.2</v>
      </c>
      <c r="L63" s="279">
        <v>6</v>
      </c>
      <c r="M63" s="280">
        <v>6</v>
      </c>
      <c r="N63" s="280">
        <v>1.6</v>
      </c>
      <c r="O63" s="280">
        <v>5.8</v>
      </c>
      <c r="P63" s="282">
        <v>5.8</v>
      </c>
      <c r="Q63" s="737">
        <v>6.2</v>
      </c>
      <c r="R63" s="736">
        <v>5.8</v>
      </c>
      <c r="S63" s="736">
        <v>1.6</v>
      </c>
      <c r="T63" s="736">
        <v>6.1</v>
      </c>
      <c r="U63" s="742">
        <v>6.1</v>
      </c>
      <c r="V63" s="749">
        <f t="shared" si="34"/>
        <v>111.69999999999996</v>
      </c>
      <c r="W63" s="42"/>
      <c r="X63" s="646"/>
      <c r="Y63" s="651"/>
      <c r="Z63" s="651"/>
      <c r="AC63" s="42"/>
      <c r="AD63" s="2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45">
      <c r="A64" s="171" t="s">
        <v>21</v>
      </c>
      <c r="B64" s="735">
        <v>7</v>
      </c>
      <c r="C64" s="736">
        <v>7.5</v>
      </c>
      <c r="D64" s="736">
        <v>0.9</v>
      </c>
      <c r="E64" s="736">
        <v>7.5</v>
      </c>
      <c r="F64" s="737">
        <v>7.4</v>
      </c>
      <c r="G64" s="738">
        <v>7.5</v>
      </c>
      <c r="H64" s="739">
        <v>7.5</v>
      </c>
      <c r="I64" s="799">
        <v>0.9</v>
      </c>
      <c r="J64" s="739">
        <v>7.5</v>
      </c>
      <c r="K64" s="739">
        <v>7.2</v>
      </c>
      <c r="L64" s="279">
        <v>6</v>
      </c>
      <c r="M64" s="280">
        <v>6</v>
      </c>
      <c r="N64" s="280">
        <v>1.6</v>
      </c>
      <c r="O64" s="280">
        <v>5.8</v>
      </c>
      <c r="P64" s="282">
        <v>5.8</v>
      </c>
      <c r="Q64" s="737">
        <v>6.2</v>
      </c>
      <c r="R64" s="736">
        <v>5.9</v>
      </c>
      <c r="S64" s="736">
        <v>1.6</v>
      </c>
      <c r="T64" s="736">
        <v>6.2</v>
      </c>
      <c r="U64" s="742">
        <v>6.1</v>
      </c>
      <c r="V64" s="749">
        <f t="shared" si="34"/>
        <v>112.1</v>
      </c>
      <c r="W64" s="42"/>
      <c r="X64" s="646"/>
      <c r="Y64" s="651"/>
      <c r="Z64" s="651"/>
      <c r="AC64" s="42"/>
      <c r="AD64" s="2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45">
      <c r="A65" s="171" t="s">
        <v>22</v>
      </c>
      <c r="B65" s="735">
        <v>7</v>
      </c>
      <c r="C65" s="736">
        <v>7.5</v>
      </c>
      <c r="D65" s="736">
        <v>0.9</v>
      </c>
      <c r="E65" s="736">
        <v>7.5</v>
      </c>
      <c r="F65" s="737">
        <v>7.4</v>
      </c>
      <c r="G65" s="738">
        <v>7.5</v>
      </c>
      <c r="H65" s="739">
        <v>7.5</v>
      </c>
      <c r="I65" s="799">
        <v>0.9</v>
      </c>
      <c r="J65" s="739">
        <v>7.5</v>
      </c>
      <c r="K65" s="739">
        <v>7.2</v>
      </c>
      <c r="L65" s="279">
        <v>6</v>
      </c>
      <c r="M65" s="280">
        <v>6</v>
      </c>
      <c r="N65" s="280">
        <v>1.6</v>
      </c>
      <c r="O65" s="280">
        <v>5.9</v>
      </c>
      <c r="P65" s="282">
        <v>5.8</v>
      </c>
      <c r="Q65" s="737">
        <v>6.3</v>
      </c>
      <c r="R65" s="736">
        <v>5.9</v>
      </c>
      <c r="S65" s="736">
        <v>1.6</v>
      </c>
      <c r="T65" s="736">
        <v>6.2</v>
      </c>
      <c r="U65" s="742">
        <v>6.1</v>
      </c>
      <c r="V65" s="749">
        <f t="shared" si="34"/>
        <v>112.3</v>
      </c>
      <c r="W65" s="42"/>
      <c r="X65" s="646"/>
      <c r="Y65" s="651"/>
      <c r="Z65" s="651"/>
      <c r="AC65" s="42"/>
      <c r="AD65" s="2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5">
      <c r="A66" s="171" t="s">
        <v>23</v>
      </c>
      <c r="B66" s="735">
        <v>7</v>
      </c>
      <c r="C66" s="736">
        <v>7.5</v>
      </c>
      <c r="D66" s="736">
        <v>0.9</v>
      </c>
      <c r="E66" s="736">
        <v>7.5</v>
      </c>
      <c r="F66" s="737">
        <v>7.4</v>
      </c>
      <c r="G66" s="738">
        <v>7.5</v>
      </c>
      <c r="H66" s="739">
        <v>7.5</v>
      </c>
      <c r="I66" s="799">
        <v>1</v>
      </c>
      <c r="J66" s="739">
        <v>7.5</v>
      </c>
      <c r="K66" s="739">
        <v>7.3</v>
      </c>
      <c r="L66" s="279">
        <v>6</v>
      </c>
      <c r="M66" s="280">
        <v>6</v>
      </c>
      <c r="N66" s="280">
        <v>1.6</v>
      </c>
      <c r="O66" s="280">
        <v>5.9</v>
      </c>
      <c r="P66" s="282">
        <v>5.8</v>
      </c>
      <c r="Q66" s="737">
        <v>6.3</v>
      </c>
      <c r="R66" s="736">
        <v>5.9</v>
      </c>
      <c r="S66" s="736">
        <v>1.6</v>
      </c>
      <c r="T66" s="736">
        <v>6.2</v>
      </c>
      <c r="U66" s="742">
        <v>6.2</v>
      </c>
      <c r="V66" s="749">
        <f t="shared" si="34"/>
        <v>112.6</v>
      </c>
      <c r="W66" s="42"/>
      <c r="X66" s="646"/>
      <c r="Y66" s="651"/>
      <c r="Z66" s="651"/>
      <c r="AC66" s="42"/>
      <c r="AD66" s="2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618">
        <f t="shared" ref="B67:U67" si="35">SUM(B60:B66)</f>
        <v>49.1</v>
      </c>
      <c r="C67" s="616">
        <f t="shared" si="35"/>
        <v>52.3</v>
      </c>
      <c r="D67" s="616">
        <f t="shared" si="35"/>
        <v>6.8000000000000016</v>
      </c>
      <c r="E67" s="616">
        <f t="shared" si="35"/>
        <v>52.3</v>
      </c>
      <c r="F67" s="617">
        <f t="shared" si="35"/>
        <v>51.8</v>
      </c>
      <c r="G67" s="719">
        <f t="shared" si="35"/>
        <v>52.5</v>
      </c>
      <c r="H67" s="696">
        <f t="shared" si="35"/>
        <v>52.3</v>
      </c>
      <c r="I67" s="696">
        <f t="shared" si="35"/>
        <v>6.8000000000000007</v>
      </c>
      <c r="J67" s="696">
        <f t="shared" si="35"/>
        <v>52.3</v>
      </c>
      <c r="K67" s="720">
        <f t="shared" si="35"/>
        <v>50.7</v>
      </c>
      <c r="L67" s="618">
        <f t="shared" si="35"/>
        <v>42.2</v>
      </c>
      <c r="M67" s="616">
        <f t="shared" si="35"/>
        <v>42.1</v>
      </c>
      <c r="N67" s="616">
        <f t="shared" si="35"/>
        <v>11.399999999999999</v>
      </c>
      <c r="O67" s="616">
        <f t="shared" si="35"/>
        <v>41</v>
      </c>
      <c r="P67" s="619">
        <f t="shared" si="35"/>
        <v>40.599999999999994</v>
      </c>
      <c r="Q67" s="615">
        <f t="shared" si="35"/>
        <v>43.399999999999991</v>
      </c>
      <c r="R67" s="616">
        <f t="shared" si="35"/>
        <v>42.1</v>
      </c>
      <c r="S67" s="616">
        <f t="shared" si="35"/>
        <v>11.399999999999999</v>
      </c>
      <c r="T67" s="616">
        <f t="shared" si="35"/>
        <v>43.2</v>
      </c>
      <c r="U67" s="617">
        <f t="shared" si="35"/>
        <v>42.800000000000004</v>
      </c>
      <c r="V67" s="449">
        <f t="shared" si="34"/>
        <v>787.1</v>
      </c>
      <c r="W67" s="664"/>
      <c r="X67" s="646"/>
      <c r="Y67" s="651"/>
      <c r="Z67" s="651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163</v>
      </c>
      <c r="C68" s="358">
        <v>162.5</v>
      </c>
      <c r="D68" s="358">
        <v>163</v>
      </c>
      <c r="E68" s="358">
        <v>162.5</v>
      </c>
      <c r="F68" s="624">
        <v>161</v>
      </c>
      <c r="G68" s="357">
        <v>163</v>
      </c>
      <c r="H68" s="358">
        <v>162.5</v>
      </c>
      <c r="I68" s="358">
        <v>163</v>
      </c>
      <c r="J68" s="358">
        <v>162.5</v>
      </c>
      <c r="K68" s="624">
        <v>161</v>
      </c>
      <c r="L68" s="357">
        <v>163</v>
      </c>
      <c r="M68" s="358">
        <v>162.5</v>
      </c>
      <c r="N68" s="358">
        <v>163</v>
      </c>
      <c r="O68" s="358">
        <v>162.5</v>
      </c>
      <c r="P68" s="624">
        <v>161</v>
      </c>
      <c r="Q68" s="671">
        <v>163</v>
      </c>
      <c r="R68" s="358">
        <v>162.5</v>
      </c>
      <c r="S68" s="358">
        <v>163</v>
      </c>
      <c r="T68" s="358">
        <v>162.5</v>
      </c>
      <c r="U68" s="624">
        <v>161</v>
      </c>
      <c r="V68" s="296">
        <f>+((V67/V69)/7)*1000</f>
        <v>162.25520511234797</v>
      </c>
      <c r="W68" s="145"/>
      <c r="X68" s="648"/>
      <c r="Y68" s="665"/>
      <c r="Z68" s="522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43</v>
      </c>
      <c r="C69" s="275">
        <v>46</v>
      </c>
      <c r="D69" s="275">
        <v>6</v>
      </c>
      <c r="E69" s="275">
        <v>46</v>
      </c>
      <c r="F69" s="276">
        <v>46</v>
      </c>
      <c r="G69" s="723">
        <v>46</v>
      </c>
      <c r="H69" s="700">
        <v>46</v>
      </c>
      <c r="I69" s="700">
        <v>6</v>
      </c>
      <c r="J69" s="700">
        <v>46</v>
      </c>
      <c r="K69" s="724">
        <v>45</v>
      </c>
      <c r="L69" s="257">
        <v>37</v>
      </c>
      <c r="M69" s="275">
        <v>37</v>
      </c>
      <c r="N69" s="275">
        <v>10</v>
      </c>
      <c r="O69" s="275">
        <v>36</v>
      </c>
      <c r="P69" s="276">
        <v>36</v>
      </c>
      <c r="Q69" s="79">
        <v>38</v>
      </c>
      <c r="R69" s="275">
        <v>37</v>
      </c>
      <c r="S69" s="275">
        <v>10</v>
      </c>
      <c r="T69" s="275">
        <v>38</v>
      </c>
      <c r="U69" s="276">
        <v>38</v>
      </c>
      <c r="V69" s="254">
        <f>SUM(B69:U69)</f>
        <v>693</v>
      </c>
      <c r="W69" s="145"/>
      <c r="X69" s="649"/>
      <c r="Y69" s="665"/>
      <c r="Z69" s="522"/>
      <c r="AD69" s="59"/>
      <c r="AH69" s="3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>((((B68*7)*B69)/1000)/7)</f>
        <v>7.0090000000000003</v>
      </c>
      <c r="C70" s="31">
        <f t="shared" ref="C70:U70" si="36">((((C68*7)*C69)/1000)/7)</f>
        <v>7.4750000000000005</v>
      </c>
      <c r="D70" s="31">
        <f t="shared" si="36"/>
        <v>0.97799999999999998</v>
      </c>
      <c r="E70" s="31">
        <f t="shared" si="36"/>
        <v>7.4750000000000005</v>
      </c>
      <c r="F70" s="32">
        <f t="shared" si="36"/>
        <v>7.4059999999999997</v>
      </c>
      <c r="G70" s="30">
        <f t="shared" si="36"/>
        <v>7.4979999999999993</v>
      </c>
      <c r="H70" s="31">
        <f t="shared" si="36"/>
        <v>7.4750000000000005</v>
      </c>
      <c r="I70" s="31">
        <f t="shared" si="36"/>
        <v>0.97799999999999998</v>
      </c>
      <c r="J70" s="31">
        <f t="shared" si="36"/>
        <v>7.4750000000000005</v>
      </c>
      <c r="K70" s="32">
        <f t="shared" si="36"/>
        <v>7.2450000000000001</v>
      </c>
      <c r="L70" s="30">
        <f t="shared" si="36"/>
        <v>6.0309999999999997</v>
      </c>
      <c r="M70" s="31">
        <f t="shared" si="36"/>
        <v>6.0125000000000002</v>
      </c>
      <c r="N70" s="31">
        <f t="shared" si="36"/>
        <v>1.6300000000000001</v>
      </c>
      <c r="O70" s="31">
        <f t="shared" si="36"/>
        <v>5.8500000000000005</v>
      </c>
      <c r="P70" s="32">
        <f t="shared" si="36"/>
        <v>5.7960000000000003</v>
      </c>
      <c r="Q70" s="65">
        <f t="shared" si="36"/>
        <v>6.194</v>
      </c>
      <c r="R70" s="31">
        <f t="shared" si="36"/>
        <v>6.0125000000000002</v>
      </c>
      <c r="S70" s="31">
        <f t="shared" si="36"/>
        <v>1.6300000000000001</v>
      </c>
      <c r="T70" s="31">
        <f t="shared" si="36"/>
        <v>6.1749999999999998</v>
      </c>
      <c r="U70" s="32">
        <f t="shared" si="36"/>
        <v>6.1180000000000003</v>
      </c>
      <c r="V70" s="139">
        <f>((V67*1000)/V69)/7</f>
        <v>162.25520511234797</v>
      </c>
      <c r="W70" s="144"/>
      <c r="X70" s="650"/>
      <c r="Y70" s="665"/>
      <c r="Z70" s="522"/>
      <c r="AH70" s="3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37">((B69*B68)*7)/1000</f>
        <v>49.063000000000002</v>
      </c>
      <c r="C71" s="280">
        <f t="shared" si="37"/>
        <v>52.325000000000003</v>
      </c>
      <c r="D71" s="280">
        <f t="shared" si="37"/>
        <v>6.8460000000000001</v>
      </c>
      <c r="E71" s="280">
        <f t="shared" si="37"/>
        <v>52.325000000000003</v>
      </c>
      <c r="F71" s="282">
        <f t="shared" si="37"/>
        <v>51.841999999999999</v>
      </c>
      <c r="G71" s="464">
        <f t="shared" si="37"/>
        <v>52.485999999999997</v>
      </c>
      <c r="H71" s="459">
        <f>((H69*H68)*7)/1000</f>
        <v>52.325000000000003</v>
      </c>
      <c r="I71" s="459">
        <f t="shared" si="37"/>
        <v>6.8460000000000001</v>
      </c>
      <c r="J71" s="459">
        <f t="shared" si="37"/>
        <v>52.325000000000003</v>
      </c>
      <c r="K71" s="460">
        <f t="shared" si="37"/>
        <v>50.715000000000003</v>
      </c>
      <c r="L71" s="279">
        <f t="shared" si="37"/>
        <v>42.216999999999999</v>
      </c>
      <c r="M71" s="280">
        <f t="shared" si="37"/>
        <v>42.087499999999999</v>
      </c>
      <c r="N71" s="280">
        <f t="shared" si="37"/>
        <v>11.41</v>
      </c>
      <c r="O71" s="280">
        <f t="shared" si="37"/>
        <v>40.950000000000003</v>
      </c>
      <c r="P71" s="282">
        <f t="shared" si="37"/>
        <v>40.572000000000003</v>
      </c>
      <c r="Q71" s="325">
        <f t="shared" si="37"/>
        <v>43.357999999999997</v>
      </c>
      <c r="R71" s="280">
        <f t="shared" si="37"/>
        <v>42.087499999999999</v>
      </c>
      <c r="S71" s="280">
        <f t="shared" si="37"/>
        <v>11.41</v>
      </c>
      <c r="T71" s="280">
        <f t="shared" si="37"/>
        <v>43.225000000000001</v>
      </c>
      <c r="U71" s="282">
        <f t="shared" si="37"/>
        <v>42.826000000000001</v>
      </c>
      <c r="V71" s="112"/>
      <c r="W71" s="651"/>
      <c r="X71" s="666"/>
      <c r="Y71" s="666"/>
      <c r="Z71" s="666"/>
      <c r="AA71" s="41"/>
      <c r="AB71" s="41"/>
      <c r="AC71" s="41"/>
      <c r="AM71" s="3"/>
    </row>
    <row r="72" spans="1:50" ht="33.75" customHeight="1" thickBot="1" x14ac:dyDescent="0.3">
      <c r="A72" s="195" t="s">
        <v>15</v>
      </c>
      <c r="B72" s="37">
        <f t="shared" ref="B72:U72" si="38">+(B67/B69)/7*1000</f>
        <v>163.12292358803987</v>
      </c>
      <c r="C72" s="38">
        <f t="shared" si="38"/>
        <v>162.42236024844721</v>
      </c>
      <c r="D72" s="38">
        <f t="shared" si="38"/>
        <v>161.90476190476193</v>
      </c>
      <c r="E72" s="38">
        <f t="shared" si="38"/>
        <v>162.42236024844721</v>
      </c>
      <c r="F72" s="39">
        <f t="shared" si="38"/>
        <v>160.86956521739128</v>
      </c>
      <c r="G72" s="727">
        <f t="shared" si="38"/>
        <v>163.04347826086956</v>
      </c>
      <c r="H72" s="704">
        <f t="shared" si="38"/>
        <v>162.42236024844721</v>
      </c>
      <c r="I72" s="704">
        <f t="shared" si="38"/>
        <v>161.90476190476193</v>
      </c>
      <c r="J72" s="704">
        <f t="shared" si="38"/>
        <v>162.42236024844721</v>
      </c>
      <c r="K72" s="728">
        <f t="shared" si="38"/>
        <v>160.95238095238096</v>
      </c>
      <c r="L72" s="37">
        <f t="shared" si="38"/>
        <v>162.93436293436295</v>
      </c>
      <c r="M72" s="38">
        <f t="shared" si="38"/>
        <v>162.54826254826258</v>
      </c>
      <c r="N72" s="38">
        <f t="shared" si="38"/>
        <v>162.85714285714283</v>
      </c>
      <c r="O72" s="38">
        <f t="shared" si="38"/>
        <v>162.69841269841271</v>
      </c>
      <c r="P72" s="39">
        <f t="shared" si="38"/>
        <v>161.11111111111106</v>
      </c>
      <c r="Q72" s="67">
        <f t="shared" si="38"/>
        <v>163.15789473684208</v>
      </c>
      <c r="R72" s="38">
        <f t="shared" si="38"/>
        <v>162.54826254826258</v>
      </c>
      <c r="S72" s="38">
        <f t="shared" si="38"/>
        <v>162.85714285714283</v>
      </c>
      <c r="T72" s="38">
        <f t="shared" si="38"/>
        <v>162.40601503759396</v>
      </c>
      <c r="U72" s="39">
        <f t="shared" si="38"/>
        <v>160.90225563909777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43">
        <f>B71-B67</f>
        <v>-3.6999999999999034E-2</v>
      </c>
      <c r="C73" s="43">
        <f t="shared" ref="C73:F73" si="39">C71-C67</f>
        <v>2.5000000000005684E-2</v>
      </c>
      <c r="D73" s="43">
        <f t="shared" si="39"/>
        <v>4.5999999999998487E-2</v>
      </c>
      <c r="E73" s="43">
        <f t="shared" si="39"/>
        <v>2.5000000000005684E-2</v>
      </c>
      <c r="F73" s="43">
        <f t="shared" si="39"/>
        <v>4.2000000000001592E-2</v>
      </c>
      <c r="G73" s="143">
        <f>G71-G67</f>
        <v>-1.4000000000002899E-2</v>
      </c>
      <c r="H73" s="143">
        <f t="shared" ref="H73:P74" si="40">H71-H67</f>
        <v>2.5000000000005684E-2</v>
      </c>
      <c r="I73" s="143">
        <f t="shared" si="40"/>
        <v>4.5999999999999375E-2</v>
      </c>
      <c r="J73" s="143">
        <f t="shared" si="40"/>
        <v>2.5000000000005684E-2</v>
      </c>
      <c r="K73" s="143">
        <f t="shared" si="40"/>
        <v>1.5000000000000568E-2</v>
      </c>
      <c r="L73" s="43">
        <f>L71-L67</f>
        <v>1.6999999999995907E-2</v>
      </c>
      <c r="M73" s="43">
        <f t="shared" ref="M73:R74" si="41">M71-M67</f>
        <v>-1.2500000000002842E-2</v>
      </c>
      <c r="N73" s="43">
        <f t="shared" si="41"/>
        <v>1.0000000000001563E-2</v>
      </c>
      <c r="O73" s="43">
        <f t="shared" si="41"/>
        <v>-4.9999999999997158E-2</v>
      </c>
      <c r="P73" s="43">
        <f t="shared" si="41"/>
        <v>-2.7999999999991587E-2</v>
      </c>
      <c r="Q73" s="43">
        <f t="shared" si="41"/>
        <v>-4.1999999999994486E-2</v>
      </c>
      <c r="R73" s="43">
        <f t="shared" si="41"/>
        <v>-1.2500000000002842E-2</v>
      </c>
      <c r="S73" s="43">
        <f t="shared" ref="S73:U74" si="42">S71-S67</f>
        <v>1.0000000000001563E-2</v>
      </c>
      <c r="T73" s="43">
        <f t="shared" si="42"/>
        <v>2.4999999999998579E-2</v>
      </c>
      <c r="U73" s="43">
        <f t="shared" si="42"/>
        <v>2.5999999999996248E-2</v>
      </c>
      <c r="V73" s="43">
        <f t="shared" ref="V73" si="43">U71-U67</f>
        <v>2.5999999999996248E-2</v>
      </c>
      <c r="X73" s="144"/>
      <c r="Y73" s="522"/>
      <c r="Z73" s="522"/>
      <c r="AA73" s="522"/>
    </row>
    <row r="74" spans="1:50" ht="33.75" customHeight="1" x14ac:dyDescent="0.25">
      <c r="B74" s="42">
        <f t="shared" ref="B74:J74" si="44">B72-B68</f>
        <v>0.12292358803986758</v>
      </c>
      <c r="C74" s="42">
        <f t="shared" si="44"/>
        <v>-7.7639751552794678E-2</v>
      </c>
      <c r="D74" s="42">
        <f t="shared" si="44"/>
        <v>-1.0952380952380736</v>
      </c>
      <c r="E74" s="42">
        <f t="shared" si="44"/>
        <v>-7.7639751552794678E-2</v>
      </c>
      <c r="F74" s="42">
        <f t="shared" si="44"/>
        <v>-0.13043478260871666</v>
      </c>
      <c r="G74" s="705">
        <f t="shared" si="44"/>
        <v>4.3478260869562746E-2</v>
      </c>
      <c r="H74" s="705">
        <f t="shared" si="44"/>
        <v>-7.7639751552794678E-2</v>
      </c>
      <c r="I74" s="705">
        <f>I72-I68</f>
        <v>-1.0952380952380736</v>
      </c>
      <c r="J74" s="705">
        <f t="shared" si="44"/>
        <v>-7.7639751552794678E-2</v>
      </c>
      <c r="K74" s="705">
        <f t="shared" si="40"/>
        <v>-4.7619047619036792E-2</v>
      </c>
      <c r="L74" s="42">
        <f t="shared" si="40"/>
        <v>-6.5637065637048408E-2</v>
      </c>
      <c r="M74" s="42">
        <f t="shared" si="40"/>
        <v>4.8262548262584914E-2</v>
      </c>
      <c r="N74" s="42">
        <f t="shared" si="40"/>
        <v>-0.14285714285716722</v>
      </c>
      <c r="O74" s="42">
        <f t="shared" si="40"/>
        <v>0.19841269841271014</v>
      </c>
      <c r="P74" s="42">
        <f t="shared" si="40"/>
        <v>0.11111111111105743</v>
      </c>
      <c r="Q74" s="42">
        <f t="shared" si="41"/>
        <v>0.15789473684208133</v>
      </c>
      <c r="R74" s="42">
        <f t="shared" si="41"/>
        <v>4.8262548262584914E-2</v>
      </c>
      <c r="S74" s="42">
        <f t="shared" si="42"/>
        <v>-0.14285714285716722</v>
      </c>
      <c r="T74" s="42">
        <f t="shared" si="42"/>
        <v>-9.398496240604004E-2</v>
      </c>
      <c r="U74" s="42">
        <f t="shared" si="42"/>
        <v>-9.7744360902225935E-2</v>
      </c>
      <c r="V74" s="42">
        <f>U72-U68</f>
        <v>-9.7744360902225935E-2</v>
      </c>
      <c r="W74" s="45"/>
      <c r="X74" s="651"/>
      <c r="Y74" s="657"/>
      <c r="Z74" s="657"/>
      <c r="AA74" s="657"/>
      <c r="AB74" s="45"/>
      <c r="AC74" s="45"/>
      <c r="AD74" s="45"/>
      <c r="AE74" s="52"/>
    </row>
    <row r="75" spans="1:50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</row>
    <row r="76" spans="1:50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0" ht="33.75" customHeight="1" x14ac:dyDescent="0.25">
      <c r="A77" s="45"/>
      <c r="B77" s="58"/>
      <c r="C77" s="58"/>
      <c r="D77" s="648" t="s">
        <v>132</v>
      </c>
      <c r="E77" s="58"/>
      <c r="F77" s="58"/>
      <c r="G77" s="58"/>
      <c r="H77" s="648" t="s">
        <v>132</v>
      </c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8">
    <mergeCell ref="A3:C3"/>
    <mergeCell ref="E9:G9"/>
    <mergeCell ref="W9:X9"/>
    <mergeCell ref="O11:P11"/>
    <mergeCell ref="B16:H16"/>
    <mergeCell ref="I16:O16"/>
    <mergeCell ref="P16:T16"/>
    <mergeCell ref="U16:Y16"/>
    <mergeCell ref="B58:F58"/>
    <mergeCell ref="G58:K58"/>
    <mergeCell ref="L58:P58"/>
    <mergeCell ref="Q58:U58"/>
    <mergeCell ref="V58:V59"/>
    <mergeCell ref="Z16:Z17"/>
    <mergeCell ref="B39:F39"/>
    <mergeCell ref="G39:G40"/>
    <mergeCell ref="M39:Q39"/>
    <mergeCell ref="R39:R40"/>
  </mergeCells>
  <pageMargins left="0.23622047244094488" right="0.23622047244094488" top="0.74803149606299213" bottom="0.74803149606299213" header="0.31496062992125984" footer="0.31496062992125984"/>
  <pageSetup paperSize="9" scale="20" fitToWidth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241"/>
  <sheetViews>
    <sheetView topLeftCell="A40" zoomScale="26" zoomScaleNormal="26" workbookViewId="0">
      <selection activeCell="T37" sqref="T37"/>
    </sheetView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2"/>
      <c r="AF3" s="2"/>
      <c r="AG3" s="2"/>
      <c r="AH3" s="2"/>
      <c r="AI3" s="2"/>
      <c r="AJ3" s="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4" t="s">
        <v>1</v>
      </c>
      <c r="B9" s="4"/>
      <c r="C9" s="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54</v>
      </c>
      <c r="P11" s="965"/>
      <c r="Q11" s="6"/>
      <c r="R11" s="6"/>
      <c r="S11" s="6"/>
      <c r="T11" s="1"/>
      <c r="U11" s="1"/>
      <c r="V11" s="1" t="s">
        <v>6</v>
      </c>
      <c r="W11" s="95">
        <v>45733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6"/>
      <c r="U12" s="1"/>
      <c r="V12" s="1"/>
      <c r="W12" s="1"/>
      <c r="X12" s="1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1"/>
    </row>
    <row r="13" spans="1:36" s="3" customFormat="1" ht="26.25" x14ac:dyDescent="0.25">
      <c r="A13" s="4"/>
      <c r="B13" s="4"/>
      <c r="C13" s="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6"/>
      <c r="Q13" s="6"/>
      <c r="R13" s="6"/>
      <c r="S13" s="6"/>
      <c r="T13" s="6"/>
      <c r="U13" s="1"/>
      <c r="V13" s="1"/>
      <c r="W13" s="1"/>
      <c r="X13" s="1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  <c r="Z16" s="977" t="s">
        <v>9</v>
      </c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828"/>
      <c r="I17" s="188" t="s">
        <v>100</v>
      </c>
      <c r="J17" s="168">
        <v>1</v>
      </c>
      <c r="K17" s="168">
        <v>2</v>
      </c>
      <c r="L17" s="168">
        <v>3</v>
      </c>
      <c r="M17" s="168">
        <v>4</v>
      </c>
      <c r="N17" s="169">
        <v>5</v>
      </c>
      <c r="O17" s="828"/>
      <c r="P17" s="189">
        <v>1</v>
      </c>
      <c r="Q17" s="168">
        <v>2</v>
      </c>
      <c r="R17" s="168">
        <v>3</v>
      </c>
      <c r="S17" s="168">
        <v>4</v>
      </c>
      <c r="T17" s="204">
        <v>5</v>
      </c>
      <c r="U17" s="188">
        <v>1</v>
      </c>
      <c r="V17" s="168">
        <v>2</v>
      </c>
      <c r="W17" s="168">
        <v>3</v>
      </c>
      <c r="X17" s="168">
        <v>4</v>
      </c>
      <c r="Y17" s="169">
        <v>5</v>
      </c>
      <c r="Z17" s="984"/>
      <c r="AD17" s="2"/>
      <c r="AE17" s="15"/>
    </row>
    <row r="18" spans="1:40" ht="39.950000000000003" customHeight="1" x14ac:dyDescent="0.25">
      <c r="A18" s="171" t="s">
        <v>53</v>
      </c>
      <c r="B18" s="847">
        <v>295.10000000000002</v>
      </c>
      <c r="C18" s="848">
        <v>13.5</v>
      </c>
      <c r="D18" s="848">
        <v>14.2</v>
      </c>
      <c r="E18" s="848">
        <v>2</v>
      </c>
      <c r="F18" s="848">
        <v>14.1</v>
      </c>
      <c r="G18" s="849">
        <v>14.3</v>
      </c>
      <c r="H18" s="850">
        <f>SUM(B18:G18)</f>
        <v>353.20000000000005</v>
      </c>
      <c r="I18" s="851">
        <v>296.8</v>
      </c>
      <c r="J18" s="848">
        <v>13.8</v>
      </c>
      <c r="K18" s="848">
        <v>14.2</v>
      </c>
      <c r="L18" s="848">
        <v>1.8</v>
      </c>
      <c r="M18" s="848">
        <v>14.3</v>
      </c>
      <c r="N18" s="852">
        <v>14.4</v>
      </c>
      <c r="O18" s="850">
        <f>SUM(I18:N18)</f>
        <v>355.3</v>
      </c>
      <c r="P18" s="853">
        <v>72.099999999999994</v>
      </c>
      <c r="Q18" s="854">
        <v>72.5</v>
      </c>
      <c r="R18" s="848">
        <v>16.399999999999999</v>
      </c>
      <c r="S18" s="848">
        <v>71.8</v>
      </c>
      <c r="T18" s="852">
        <v>72.5</v>
      </c>
      <c r="U18" s="855">
        <v>73.900000000000006</v>
      </c>
      <c r="V18" s="848">
        <v>76.400000000000006</v>
      </c>
      <c r="W18" s="854">
        <v>16.899999999999999</v>
      </c>
      <c r="X18" s="854">
        <v>75.3</v>
      </c>
      <c r="Y18" s="852">
        <v>76.599999999999994</v>
      </c>
      <c r="Z18" s="835">
        <f t="shared" ref="Z18:Z24" si="0">SUM(H18,O18,P18:Y18)</f>
        <v>1332.9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847">
        <v>295.10000000000002</v>
      </c>
      <c r="C19" s="848">
        <v>13.5</v>
      </c>
      <c r="D19" s="848">
        <v>14.2</v>
      </c>
      <c r="E19" s="848">
        <v>2</v>
      </c>
      <c r="F19" s="848">
        <v>14.1</v>
      </c>
      <c r="G19" s="849">
        <v>14.3</v>
      </c>
      <c r="H19" s="850">
        <f>SUM(B19:G19)</f>
        <v>353.20000000000005</v>
      </c>
      <c r="I19" s="851">
        <v>296.8</v>
      </c>
      <c r="J19" s="848">
        <v>13.8</v>
      </c>
      <c r="K19" s="848">
        <v>14.2</v>
      </c>
      <c r="L19" s="848">
        <v>1.8</v>
      </c>
      <c r="M19" s="848">
        <v>14.3</v>
      </c>
      <c r="N19" s="852">
        <v>14.4</v>
      </c>
      <c r="O19" s="850">
        <f>SUM(I19:N19)</f>
        <v>355.3</v>
      </c>
      <c r="P19" s="853">
        <v>72.099999999999994</v>
      </c>
      <c r="Q19" s="854">
        <v>72.5</v>
      </c>
      <c r="R19" s="848">
        <v>16.399999999999999</v>
      </c>
      <c r="S19" s="848">
        <v>71.8</v>
      </c>
      <c r="T19" s="852">
        <v>72.5</v>
      </c>
      <c r="U19" s="855">
        <v>73.900000000000006</v>
      </c>
      <c r="V19" s="848">
        <v>76.400000000000006</v>
      </c>
      <c r="W19" s="854">
        <v>16.899999999999999</v>
      </c>
      <c r="X19" s="854">
        <v>75.3</v>
      </c>
      <c r="Y19" s="852">
        <v>76.599999999999994</v>
      </c>
      <c r="Z19" s="638">
        <f t="shared" si="0"/>
        <v>1332.9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743">
        <v>291.60000000000002</v>
      </c>
      <c r="C20" s="739">
        <v>13.1</v>
      </c>
      <c r="D20" s="739">
        <v>14.1</v>
      </c>
      <c r="E20" s="739">
        <v>1.9</v>
      </c>
      <c r="F20" s="739">
        <v>14</v>
      </c>
      <c r="G20" s="744">
        <v>14</v>
      </c>
      <c r="H20" s="753">
        <f t="shared" ref="H20:H24" si="1">SUM(B20:G20)</f>
        <v>348.70000000000005</v>
      </c>
      <c r="I20" s="745">
        <v>295.39999999999998</v>
      </c>
      <c r="J20" s="739">
        <v>13.8</v>
      </c>
      <c r="K20" s="739">
        <v>14.1</v>
      </c>
      <c r="L20" s="739">
        <v>1.7</v>
      </c>
      <c r="M20" s="739">
        <v>14.2</v>
      </c>
      <c r="N20" s="746">
        <v>14.3</v>
      </c>
      <c r="O20" s="753">
        <f t="shared" ref="O20:O24" si="2">SUM(I20:N20)</f>
        <v>353.5</v>
      </c>
      <c r="P20" s="747">
        <v>72</v>
      </c>
      <c r="Q20" s="459">
        <v>72.099999999999994</v>
      </c>
      <c r="R20" s="739">
        <v>15.8</v>
      </c>
      <c r="S20" s="739">
        <v>71.7</v>
      </c>
      <c r="T20" s="746">
        <v>72.5</v>
      </c>
      <c r="U20" s="748">
        <v>73.900000000000006</v>
      </c>
      <c r="V20" s="739">
        <v>75.900000000000006</v>
      </c>
      <c r="W20" s="459">
        <v>16.5</v>
      </c>
      <c r="X20" s="459">
        <v>75.5</v>
      </c>
      <c r="Y20" s="746">
        <v>76.3</v>
      </c>
      <c r="Z20" s="638">
        <f t="shared" si="0"/>
        <v>1324.4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743">
        <v>291.60000000000002</v>
      </c>
      <c r="C21" s="739">
        <v>13.1</v>
      </c>
      <c r="D21" s="739">
        <v>14.1</v>
      </c>
      <c r="E21" s="739">
        <v>1.9</v>
      </c>
      <c r="F21" s="739">
        <v>14</v>
      </c>
      <c r="G21" s="744">
        <v>14</v>
      </c>
      <c r="H21" s="753">
        <f t="shared" si="1"/>
        <v>348.70000000000005</v>
      </c>
      <c r="I21" s="745">
        <v>295.39999999999998</v>
      </c>
      <c r="J21" s="739">
        <v>13.8</v>
      </c>
      <c r="K21" s="739">
        <v>14.1</v>
      </c>
      <c r="L21" s="739">
        <v>1.7</v>
      </c>
      <c r="M21" s="739">
        <v>14.2</v>
      </c>
      <c r="N21" s="746">
        <v>14.3</v>
      </c>
      <c r="O21" s="753">
        <f t="shared" si="2"/>
        <v>353.5</v>
      </c>
      <c r="P21" s="747">
        <v>72</v>
      </c>
      <c r="Q21" s="459">
        <v>72.099999999999994</v>
      </c>
      <c r="R21" s="739">
        <v>15.8</v>
      </c>
      <c r="S21" s="739">
        <v>71.7</v>
      </c>
      <c r="T21" s="746">
        <v>72.5</v>
      </c>
      <c r="U21" s="748">
        <v>73.900000000000006</v>
      </c>
      <c r="V21" s="739">
        <v>75.900000000000006</v>
      </c>
      <c r="W21" s="459">
        <v>16.5</v>
      </c>
      <c r="X21" s="459">
        <v>75.5</v>
      </c>
      <c r="Y21" s="746">
        <v>76.3</v>
      </c>
      <c r="Z21" s="638">
        <f t="shared" si="0"/>
        <v>1324.4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743">
        <v>291.60000000000002</v>
      </c>
      <c r="C22" s="739">
        <v>13.1</v>
      </c>
      <c r="D22" s="739">
        <v>14.1</v>
      </c>
      <c r="E22" s="739">
        <v>1.9</v>
      </c>
      <c r="F22" s="739">
        <v>14</v>
      </c>
      <c r="G22" s="744">
        <v>14</v>
      </c>
      <c r="H22" s="753">
        <f t="shared" si="1"/>
        <v>348.70000000000005</v>
      </c>
      <c r="I22" s="745">
        <v>295.39999999999998</v>
      </c>
      <c r="J22" s="739">
        <v>13.8</v>
      </c>
      <c r="K22" s="739">
        <v>14.1</v>
      </c>
      <c r="L22" s="739">
        <v>1.7</v>
      </c>
      <c r="M22" s="739">
        <v>14.2</v>
      </c>
      <c r="N22" s="746">
        <v>14.3</v>
      </c>
      <c r="O22" s="753">
        <f t="shared" si="2"/>
        <v>353.5</v>
      </c>
      <c r="P22" s="747">
        <v>72</v>
      </c>
      <c r="Q22" s="459">
        <v>72.099999999999994</v>
      </c>
      <c r="R22" s="739">
        <v>15.8</v>
      </c>
      <c r="S22" s="739">
        <v>71.7</v>
      </c>
      <c r="T22" s="746">
        <v>72.5</v>
      </c>
      <c r="U22" s="748">
        <v>73.900000000000006</v>
      </c>
      <c r="V22" s="739">
        <v>75.900000000000006</v>
      </c>
      <c r="W22" s="459">
        <v>16.5</v>
      </c>
      <c r="X22" s="459">
        <v>75.5</v>
      </c>
      <c r="Y22" s="746">
        <v>76.3</v>
      </c>
      <c r="Z22" s="638">
        <f t="shared" si="0"/>
        <v>1324.4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743">
        <v>290.3</v>
      </c>
      <c r="C23" s="739">
        <v>13.1</v>
      </c>
      <c r="D23" s="739">
        <v>14</v>
      </c>
      <c r="E23" s="739">
        <v>1.6</v>
      </c>
      <c r="F23" s="739">
        <v>13.9</v>
      </c>
      <c r="G23" s="744">
        <v>13.9</v>
      </c>
      <c r="H23" s="753">
        <f t="shared" si="1"/>
        <v>346.8</v>
      </c>
      <c r="I23" s="745">
        <v>294.5</v>
      </c>
      <c r="J23" s="739">
        <v>13.6</v>
      </c>
      <c r="K23" s="739">
        <v>14.1</v>
      </c>
      <c r="L23" s="739">
        <v>1.3</v>
      </c>
      <c r="M23" s="739">
        <v>14.2</v>
      </c>
      <c r="N23" s="746">
        <v>14.2</v>
      </c>
      <c r="O23" s="753">
        <f t="shared" si="2"/>
        <v>351.90000000000003</v>
      </c>
      <c r="P23" s="747">
        <v>72</v>
      </c>
      <c r="Q23" s="459">
        <v>72.099999999999994</v>
      </c>
      <c r="R23" s="739">
        <v>14.9</v>
      </c>
      <c r="S23" s="739">
        <v>71.7</v>
      </c>
      <c r="T23" s="746">
        <v>72.099999999999994</v>
      </c>
      <c r="U23" s="748">
        <v>73.900000000000006</v>
      </c>
      <c r="V23" s="739">
        <v>75.5</v>
      </c>
      <c r="W23" s="459">
        <v>15.5</v>
      </c>
      <c r="X23" s="459">
        <v>75.5</v>
      </c>
      <c r="Y23" s="746">
        <v>76.3</v>
      </c>
      <c r="Z23" s="638">
        <f t="shared" si="0"/>
        <v>1318.2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743">
        <v>290.2</v>
      </c>
      <c r="C24" s="739">
        <v>13</v>
      </c>
      <c r="D24" s="739">
        <v>14</v>
      </c>
      <c r="E24" s="739">
        <v>1.6</v>
      </c>
      <c r="F24" s="739">
        <v>13.8</v>
      </c>
      <c r="G24" s="744">
        <v>13.9</v>
      </c>
      <c r="H24" s="753">
        <f t="shared" si="1"/>
        <v>346.5</v>
      </c>
      <c r="I24" s="745">
        <v>294.39999999999998</v>
      </c>
      <c r="J24" s="739">
        <v>13.3</v>
      </c>
      <c r="K24" s="739">
        <v>14.1</v>
      </c>
      <c r="L24" s="739">
        <v>1.2</v>
      </c>
      <c r="M24" s="739">
        <v>14.1</v>
      </c>
      <c r="N24" s="746">
        <v>14.2</v>
      </c>
      <c r="O24" s="753">
        <f t="shared" si="2"/>
        <v>351.3</v>
      </c>
      <c r="P24" s="747">
        <v>72</v>
      </c>
      <c r="Q24" s="459">
        <v>72.099999999999994</v>
      </c>
      <c r="R24" s="739">
        <v>14.8</v>
      </c>
      <c r="S24" s="739">
        <v>71.7</v>
      </c>
      <c r="T24" s="746">
        <v>72.099999999999994</v>
      </c>
      <c r="U24" s="748">
        <v>73.900000000000006</v>
      </c>
      <c r="V24" s="739">
        <v>75.5</v>
      </c>
      <c r="W24" s="459">
        <v>15.2</v>
      </c>
      <c r="X24" s="459">
        <v>75.5</v>
      </c>
      <c r="Y24" s="746">
        <v>76.3</v>
      </c>
      <c r="Z24" s="749">
        <f t="shared" si="0"/>
        <v>1316.9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616">
        <f t="shared" ref="C25:G25" si="3">SUM(C18:C24)</f>
        <v>92.399999999999991</v>
      </c>
      <c r="D25" s="616">
        <f t="shared" si="3"/>
        <v>98.7</v>
      </c>
      <c r="E25" s="616">
        <f t="shared" si="3"/>
        <v>12.9</v>
      </c>
      <c r="F25" s="616">
        <f t="shared" si="3"/>
        <v>97.9</v>
      </c>
      <c r="G25" s="617">
        <f t="shared" si="3"/>
        <v>98.4</v>
      </c>
      <c r="H25" s="436"/>
      <c r="I25" s="618"/>
      <c r="J25" s="616">
        <f t="shared" ref="J25:N25" si="4">SUM(J18:J24)</f>
        <v>95.899999999999991</v>
      </c>
      <c r="K25" s="616">
        <f>SUM(K18:K24)</f>
        <v>98.899999999999991</v>
      </c>
      <c r="L25" s="616">
        <f t="shared" si="4"/>
        <v>11.2</v>
      </c>
      <c r="M25" s="616">
        <f t="shared" si="4"/>
        <v>99.5</v>
      </c>
      <c r="N25" s="619">
        <f t="shared" si="4"/>
        <v>100.10000000000001</v>
      </c>
      <c r="O25" s="436"/>
      <c r="P25" s="618">
        <f t="shared" ref="P25:W25" si="5">SUM(P18:P24)</f>
        <v>504.2</v>
      </c>
      <c r="Q25" s="618">
        <f t="shared" si="5"/>
        <v>505.5</v>
      </c>
      <c r="R25" s="618">
        <f t="shared" si="5"/>
        <v>109.89999999999999</v>
      </c>
      <c r="S25" s="618">
        <f t="shared" si="5"/>
        <v>502.09999999999997</v>
      </c>
      <c r="T25" s="618">
        <f t="shared" si="5"/>
        <v>506.70000000000005</v>
      </c>
      <c r="U25" s="618">
        <f t="shared" si="5"/>
        <v>517.29999999999995</v>
      </c>
      <c r="V25" s="618">
        <f t="shared" si="5"/>
        <v>531.5</v>
      </c>
      <c r="W25" s="618">
        <f t="shared" si="5"/>
        <v>114</v>
      </c>
      <c r="X25" s="618">
        <f>SUM(X18:X24)</f>
        <v>528.1</v>
      </c>
      <c r="Y25" s="810">
        <f>SUM(Y18:Y24)</f>
        <v>534.70000000000005</v>
      </c>
      <c r="Z25" s="449">
        <f>SUM(Z18,Z19,Z20,Z21,Z22,Z23,Z24)</f>
        <v>9274.1</v>
      </c>
      <c r="AA25" s="301"/>
    </row>
    <row r="26" spans="1:40" s="2" customFormat="1" ht="36.75" customHeight="1" x14ac:dyDescent="0.25">
      <c r="A26" s="192" t="s">
        <v>11</v>
      </c>
      <c r="B26" s="808"/>
      <c r="C26" s="620">
        <v>155.6</v>
      </c>
      <c r="D26" s="620">
        <v>155.6</v>
      </c>
      <c r="E26" s="620">
        <v>155.6</v>
      </c>
      <c r="F26" s="620">
        <v>155.6</v>
      </c>
      <c r="G26" s="620">
        <v>155.6</v>
      </c>
      <c r="H26" s="809"/>
      <c r="I26" s="620"/>
      <c r="J26" s="620">
        <v>155.6</v>
      </c>
      <c r="K26" s="620">
        <v>155.6</v>
      </c>
      <c r="L26" s="620">
        <v>155.6</v>
      </c>
      <c r="M26" s="620">
        <v>155.6</v>
      </c>
      <c r="N26" s="620">
        <v>155.6</v>
      </c>
      <c r="O26" s="809"/>
      <c r="P26" s="620">
        <v>154</v>
      </c>
      <c r="Q26" s="620">
        <v>154</v>
      </c>
      <c r="R26" s="620">
        <v>154</v>
      </c>
      <c r="S26" s="620">
        <v>154</v>
      </c>
      <c r="T26" s="620">
        <v>154</v>
      </c>
      <c r="U26" s="620">
        <v>154</v>
      </c>
      <c r="V26" s="620">
        <v>154</v>
      </c>
      <c r="W26" s="620">
        <v>154</v>
      </c>
      <c r="X26" s="620">
        <v>154</v>
      </c>
      <c r="Y26" s="620">
        <v>154</v>
      </c>
      <c r="Z26" s="793">
        <f>(((Z25*1000)/7)/Z27)</f>
        <v>155.37368694399305</v>
      </c>
    </row>
    <row r="27" spans="1:40" s="2" customFormat="1" ht="33" customHeight="1" x14ac:dyDescent="0.25">
      <c r="A27" s="193" t="s">
        <v>12</v>
      </c>
      <c r="B27" s="193"/>
      <c r="C27" s="26">
        <v>515</v>
      </c>
      <c r="D27" s="27">
        <v>550</v>
      </c>
      <c r="E27" s="27">
        <v>72</v>
      </c>
      <c r="F27" s="27">
        <v>545</v>
      </c>
      <c r="G27" s="28">
        <v>548</v>
      </c>
      <c r="H27" s="611"/>
      <c r="I27" s="26"/>
      <c r="J27" s="27">
        <v>534</v>
      </c>
      <c r="K27" s="27">
        <v>553</v>
      </c>
      <c r="L27" s="483">
        <v>62</v>
      </c>
      <c r="M27" s="27">
        <v>554</v>
      </c>
      <c r="N27" s="28">
        <v>558</v>
      </c>
      <c r="O27" s="611"/>
      <c r="P27" s="26">
        <v>468</v>
      </c>
      <c r="Q27" s="27">
        <v>469</v>
      </c>
      <c r="R27" s="27">
        <v>101</v>
      </c>
      <c r="S27" s="27">
        <v>466</v>
      </c>
      <c r="T27" s="483">
        <v>470</v>
      </c>
      <c r="U27" s="26">
        <v>480</v>
      </c>
      <c r="V27" s="27">
        <v>493</v>
      </c>
      <c r="W27" s="27">
        <v>103</v>
      </c>
      <c r="X27" s="27">
        <v>490</v>
      </c>
      <c r="Y27" s="28">
        <v>496</v>
      </c>
      <c r="Z27" s="211">
        <f>SUM(C27:Y27)</f>
        <v>8527</v>
      </c>
      <c r="AA27" s="402"/>
    </row>
    <row r="28" spans="1:40" s="2" customFormat="1" ht="33" customHeight="1" x14ac:dyDescent="0.25">
      <c r="A28" s="444" t="s">
        <v>13</v>
      </c>
      <c r="B28" s="444"/>
      <c r="C28" s="30">
        <f>(C33*C27-C18-C19)/1000</f>
        <v>13.156999999999996</v>
      </c>
      <c r="D28" s="31">
        <f t="shared" ref="D28:G28" si="6">(D33*D27-D18-D19)/1000</f>
        <v>14.051599999999995</v>
      </c>
      <c r="E28" s="31">
        <f t="shared" si="6"/>
        <v>1.8391999999999995</v>
      </c>
      <c r="F28" s="31">
        <f t="shared" si="6"/>
        <v>13.923799999999996</v>
      </c>
      <c r="G28" s="32">
        <f t="shared" si="6"/>
        <v>14.0002</v>
      </c>
      <c r="H28" s="612"/>
      <c r="I28" s="30"/>
      <c r="J28" s="30">
        <f>(J33*J27-J18-J19)/1000</f>
        <v>13.642799999999999</v>
      </c>
      <c r="K28" s="31">
        <f t="shared" ref="K28" si="7">(K33*K27-K18-K19)/1000</f>
        <v>14.128399999999996</v>
      </c>
      <c r="L28" s="31">
        <f t="shared" ref="L28" si="8">(L33*L27-L18-L19)/1000</f>
        <v>1.5835999999999997</v>
      </c>
      <c r="M28" s="31">
        <f t="shared" ref="M28" si="9">(M33*M27-M18-M19)/1000</f>
        <v>14.153799999999997</v>
      </c>
      <c r="N28" s="32">
        <f t="shared" ref="N28" si="10">(N33*N27-N18-N19)/1000</f>
        <v>14.255999999999998</v>
      </c>
      <c r="O28" s="612"/>
      <c r="P28" s="30">
        <f>((((P26*7)*P27)/1000-P18-P19)/5)</f>
        <v>72.0608</v>
      </c>
      <c r="Q28" s="31">
        <f t="shared" ref="Q28:Y28" si="11">((((Q26*7)*Q27)/1000-Q18-Q19)/5)</f>
        <v>72.116399999999999</v>
      </c>
      <c r="R28" s="31">
        <f t="shared" si="11"/>
        <v>15.2156</v>
      </c>
      <c r="S28" s="31">
        <f t="shared" si="11"/>
        <v>71.749600000000001</v>
      </c>
      <c r="T28" s="31">
        <f t="shared" si="11"/>
        <v>72.332000000000008</v>
      </c>
      <c r="U28" s="30">
        <f t="shared" si="11"/>
        <v>73.928000000000026</v>
      </c>
      <c r="V28" s="31">
        <f t="shared" si="11"/>
        <v>75.730800000000002</v>
      </c>
      <c r="W28" s="31">
        <f t="shared" si="11"/>
        <v>15.446800000000001</v>
      </c>
      <c r="X28" s="31">
        <f t="shared" si="11"/>
        <v>75.524000000000001</v>
      </c>
      <c r="Y28" s="32">
        <f t="shared" si="11"/>
        <v>76.297599999999989</v>
      </c>
      <c r="Z28" s="286">
        <f t="shared" ref="Z28" si="12">((((Z26*7)*Z27)/1000)/7)</f>
        <v>1324.8714285714286</v>
      </c>
    </row>
    <row r="29" spans="1:40" ht="33.75" customHeight="1" x14ac:dyDescent="0.25">
      <c r="A29" s="185" t="s">
        <v>14</v>
      </c>
      <c r="B29" s="185"/>
      <c r="C29" s="279">
        <f>((C27*C30)*7)/1000</f>
        <v>92.4</v>
      </c>
      <c r="D29" s="280">
        <f t="shared" ref="D29:G29" si="13">((D27*D30)*7)/1000</f>
        <v>98.699999999999989</v>
      </c>
      <c r="E29" s="280">
        <f>((E27*E30)*7)/1000</f>
        <v>12.9</v>
      </c>
      <c r="F29" s="280">
        <f t="shared" si="13"/>
        <v>97.9</v>
      </c>
      <c r="G29" s="282">
        <f t="shared" si="13"/>
        <v>98.4</v>
      </c>
      <c r="H29" s="613"/>
      <c r="I29" s="279"/>
      <c r="J29" s="280">
        <f>((J27*J30)*7)/1000</f>
        <v>95.899999999999977</v>
      </c>
      <c r="K29" s="280">
        <f t="shared" ref="K29:N29" si="14">((K27*K30)*7)/1000</f>
        <v>98.9</v>
      </c>
      <c r="L29" s="280">
        <f t="shared" si="14"/>
        <v>11.2</v>
      </c>
      <c r="M29" s="280">
        <f t="shared" si="14"/>
        <v>99.500000000000014</v>
      </c>
      <c r="N29" s="282">
        <f t="shared" si="14"/>
        <v>100.10000000000001</v>
      </c>
      <c r="O29" s="613"/>
      <c r="P29" s="279">
        <f t="shared" ref="P29:Z29" si="15">((P27*P26)*7)/1000</f>
        <v>504.50400000000002</v>
      </c>
      <c r="Q29" s="280">
        <f t="shared" si="15"/>
        <v>505.58199999999999</v>
      </c>
      <c r="R29" s="280">
        <f t="shared" si="15"/>
        <v>108.878</v>
      </c>
      <c r="S29" s="280">
        <f t="shared" si="15"/>
        <v>502.34800000000001</v>
      </c>
      <c r="T29" s="280">
        <f t="shared" si="15"/>
        <v>506.66</v>
      </c>
      <c r="U29" s="279">
        <f t="shared" si="15"/>
        <v>517.44000000000005</v>
      </c>
      <c r="V29" s="280">
        <f t="shared" si="15"/>
        <v>531.45399999999995</v>
      </c>
      <c r="W29" s="280">
        <f t="shared" si="15"/>
        <v>111.03400000000001</v>
      </c>
      <c r="X29" s="280">
        <f t="shared" si="15"/>
        <v>528.22</v>
      </c>
      <c r="Y29" s="282">
        <f t="shared" si="15"/>
        <v>534.68799999999999</v>
      </c>
      <c r="Z29" s="680">
        <f t="shared" si="15"/>
        <v>9274.1</v>
      </c>
    </row>
    <row r="30" spans="1:40" ht="33.75" customHeight="1" thickBot="1" x14ac:dyDescent="0.3">
      <c r="A30" s="195" t="s">
        <v>15</v>
      </c>
      <c r="B30" s="195"/>
      <c r="C30" s="37">
        <f>+(C25/C27)/7*1000</f>
        <v>25.631067961165048</v>
      </c>
      <c r="D30" s="38">
        <f t="shared" ref="D30:X30" si="16">+(D25/D27)/7*1000</f>
        <v>25.636363636363633</v>
      </c>
      <c r="E30" s="38">
        <f>+(E25/E27)/7*1000</f>
        <v>25.595238095238095</v>
      </c>
      <c r="F30" s="38">
        <f t="shared" si="16"/>
        <v>25.661861074705111</v>
      </c>
      <c r="G30" s="39">
        <f t="shared" si="16"/>
        <v>25.651720542231491</v>
      </c>
      <c r="H30" s="614"/>
      <c r="I30" s="37"/>
      <c r="J30" s="38">
        <f t="shared" si="16"/>
        <v>25.655430711610482</v>
      </c>
      <c r="K30" s="38">
        <f t="shared" si="16"/>
        <v>25.548953758718678</v>
      </c>
      <c r="L30" s="38">
        <f t="shared" si="16"/>
        <v>25.806451612903224</v>
      </c>
      <c r="M30" s="38">
        <f t="shared" si="16"/>
        <v>25.657555440948943</v>
      </c>
      <c r="N30" s="39">
        <f>+(N25/N27)/7*1000</f>
        <v>25.627240143369178</v>
      </c>
      <c r="O30" s="614"/>
      <c r="P30" s="37">
        <f t="shared" si="16"/>
        <v>153.90720390720389</v>
      </c>
      <c r="Q30" s="38">
        <f t="shared" si="16"/>
        <v>153.97502284495886</v>
      </c>
      <c r="R30" s="38">
        <f t="shared" si="16"/>
        <v>155.44554455445541</v>
      </c>
      <c r="S30" s="38">
        <f t="shared" si="16"/>
        <v>153.92397302268549</v>
      </c>
      <c r="T30" s="38">
        <f t="shared" si="16"/>
        <v>154.01215805471128</v>
      </c>
      <c r="U30" s="37">
        <f t="shared" si="16"/>
        <v>153.95833333333334</v>
      </c>
      <c r="V30" s="38">
        <f t="shared" si="16"/>
        <v>154.01332946971894</v>
      </c>
      <c r="W30" s="38">
        <f t="shared" si="16"/>
        <v>158.1137309292649</v>
      </c>
      <c r="X30" s="38">
        <f t="shared" si="16"/>
        <v>153.9650145772595</v>
      </c>
      <c r="Y30" s="39">
        <f>+(Y25/Y27)/7*1000</f>
        <v>154.00345622119818</v>
      </c>
      <c r="Z30" s="262">
        <f>+(Z25/Z27)/7*1000</f>
        <v>155.37368694399302</v>
      </c>
    </row>
    <row r="31" spans="1:40" ht="33.75" customHeight="1" x14ac:dyDescent="0.25">
      <c r="A31" s="41"/>
      <c r="B31" s="41"/>
      <c r="C31" s="42">
        <f>C29-C25</f>
        <v>0</v>
      </c>
      <c r="D31" s="42">
        <f t="shared" ref="D31:X32" si="17">D29-D25</f>
        <v>0</v>
      </c>
      <c r="E31" s="42">
        <f t="shared" si="17"/>
        <v>0</v>
      </c>
      <c r="F31" s="42">
        <f t="shared" si="17"/>
        <v>0</v>
      </c>
      <c r="G31" s="42">
        <f t="shared" si="17"/>
        <v>0</v>
      </c>
      <c r="H31" s="42"/>
      <c r="I31" s="42"/>
      <c r="J31" s="42">
        <f>J29-J25</f>
        <v>0</v>
      </c>
      <c r="K31" s="42">
        <f t="shared" ref="K31:N31" si="18">K29-K25</f>
        <v>0</v>
      </c>
      <c r="L31" s="42">
        <f t="shared" si="18"/>
        <v>0</v>
      </c>
      <c r="M31" s="42">
        <f t="shared" si="18"/>
        <v>0</v>
      </c>
      <c r="N31" s="42">
        <f t="shared" si="18"/>
        <v>0</v>
      </c>
      <c r="O31" s="42"/>
      <c r="P31" s="878">
        <f>P29-P25</f>
        <v>0.30400000000003047</v>
      </c>
      <c r="Q31" s="878">
        <f>Q29-Q25</f>
        <v>8.1999999999993634E-2</v>
      </c>
      <c r="R31" s="878">
        <f t="shared" si="17"/>
        <v>-1.0219999999999914</v>
      </c>
      <c r="S31" s="878">
        <f t="shared" si="17"/>
        <v>0.24800000000004729</v>
      </c>
      <c r="T31" s="878">
        <f t="shared" si="17"/>
        <v>-4.0000000000020464E-2</v>
      </c>
      <c r="U31" s="878">
        <f>U29-U25</f>
        <v>0.14000000000010004</v>
      </c>
      <c r="V31" s="878">
        <f t="shared" si="17"/>
        <v>-4.6000000000049113E-2</v>
      </c>
      <c r="W31" s="878">
        <f t="shared" si="17"/>
        <v>-2.965999999999994</v>
      </c>
      <c r="X31" s="878">
        <f t="shared" si="17"/>
        <v>0.12000000000000455</v>
      </c>
      <c r="Y31" s="878">
        <f>Y29-Y25</f>
        <v>-1.2000000000057298E-2</v>
      </c>
      <c r="Z31" s="42">
        <f>Z29-Z25</f>
        <v>0</v>
      </c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878">
        <f>C33-C30</f>
        <v>-3.1067961165053504E-2</v>
      </c>
      <c r="D32" s="878">
        <f t="shared" ref="D32:G32" si="19">D33-D30</f>
        <v>-3.6363636363638818E-2</v>
      </c>
      <c r="E32" s="878">
        <f t="shared" si="19"/>
        <v>4.7619047618994159E-3</v>
      </c>
      <c r="F32" s="878">
        <f t="shared" si="19"/>
        <v>-6.1861074705117147E-2</v>
      </c>
      <c r="G32" s="878">
        <f t="shared" si="19"/>
        <v>-5.172054223149658E-2</v>
      </c>
      <c r="H32" s="878"/>
      <c r="I32" s="878"/>
      <c r="J32" s="878">
        <f>J33-J30</f>
        <v>-5.5430711610487293E-2</v>
      </c>
      <c r="K32" s="878">
        <f t="shared" ref="K32" si="20">K33-K30</f>
        <v>5.1046241281316185E-2</v>
      </c>
      <c r="L32" s="878">
        <f t="shared" ref="L32" si="21">L33-L30</f>
        <v>-0.20645161290322989</v>
      </c>
      <c r="M32" s="878">
        <f t="shared" ref="M32" si="22">M33-M30</f>
        <v>-5.7555440948949155E-2</v>
      </c>
      <c r="N32" s="878">
        <f t="shared" ref="N32" si="23">N33-N30</f>
        <v>-2.7240143369184011E-2</v>
      </c>
      <c r="O32" s="878"/>
      <c r="P32" s="42">
        <f>P30-P26</f>
        <v>-9.2796092796106677E-2</v>
      </c>
      <c r="Q32" s="42">
        <f>Q30-Q26</f>
        <v>-2.4977155041142396E-2</v>
      </c>
      <c r="R32" s="42">
        <f t="shared" si="17"/>
        <v>1.4455445544554095</v>
      </c>
      <c r="S32" s="42">
        <f t="shared" si="17"/>
        <v>-7.6026977314512578E-2</v>
      </c>
      <c r="T32" s="42">
        <f t="shared" si="17"/>
        <v>1.215805471127851E-2</v>
      </c>
      <c r="U32" s="42">
        <f>U30-U26</f>
        <v>-4.1666666666657193E-2</v>
      </c>
      <c r="V32" s="42">
        <f t="shared" si="17"/>
        <v>1.332946971893989E-2</v>
      </c>
      <c r="W32" s="42">
        <f t="shared" si="17"/>
        <v>4.1137309292649036</v>
      </c>
      <c r="X32" s="42">
        <f t="shared" si="17"/>
        <v>-3.4985422740504646E-2</v>
      </c>
      <c r="Y32" s="42">
        <f>Y30-Y26</f>
        <v>3.4562211981779001E-3</v>
      </c>
      <c r="Z32" s="42">
        <f t="shared" ref="Z32" si="24">Z30-Z26</f>
        <v>0</v>
      </c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25.599999999999994</v>
      </c>
      <c r="D33" s="42">
        <f t="shared" ref="D33:G33" si="25">D26-$B$34</f>
        <v>25.599999999999994</v>
      </c>
      <c r="E33" s="42">
        <f>E26-$B$34</f>
        <v>25.599999999999994</v>
      </c>
      <c r="F33" s="42">
        <f t="shared" si="25"/>
        <v>25.599999999999994</v>
      </c>
      <c r="G33" s="42">
        <f t="shared" si="25"/>
        <v>25.599999999999994</v>
      </c>
      <c r="H33" s="42"/>
      <c r="I33" s="42"/>
      <c r="J33" s="42">
        <f>J26-$I$34</f>
        <v>25.599999999999994</v>
      </c>
      <c r="K33" s="42">
        <f t="shared" ref="K33:L33" si="26">K26-$I$34</f>
        <v>25.599999999999994</v>
      </c>
      <c r="L33" s="42">
        <f t="shared" si="26"/>
        <v>25.599999999999994</v>
      </c>
      <c r="M33" s="42">
        <f>M26-$I$34</f>
        <v>25.599999999999994</v>
      </c>
      <c r="N33" s="42">
        <f>N26-$I$34</f>
        <v>25.599999999999994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289.89999999999998</v>
      </c>
      <c r="D34" s="432">
        <f>SUM(C27:G27)</f>
        <v>2230</v>
      </c>
      <c r="E34" s="42"/>
      <c r="F34" s="42"/>
      <c r="G34" s="42"/>
      <c r="H34" s="42"/>
      <c r="I34" s="514">
        <v>130</v>
      </c>
      <c r="J34" s="431">
        <f>(I34*K34)/1000</f>
        <v>293.93</v>
      </c>
      <c r="K34" s="432">
        <f>SUM(J27:N27)</f>
        <v>2261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977" t="s">
        <v>9</v>
      </c>
      <c r="T39" s="645"/>
      <c r="V39" s="45"/>
      <c r="W39" s="45"/>
      <c r="X39" s="46"/>
      <c r="Y39" s="3"/>
      <c r="Z39" s="45"/>
      <c r="AA39" s="45"/>
      <c r="AB39" s="45"/>
      <c r="AC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204">
        <v>5</v>
      </c>
      <c r="R40" s="984"/>
      <c r="T40" s="645"/>
      <c r="V40" s="47"/>
      <c r="Y40" s="48"/>
      <c r="Z40" s="2"/>
      <c r="AA40" s="2"/>
      <c r="AB40" s="2"/>
      <c r="AC40" s="2"/>
    </row>
    <row r="41" spans="1:38" ht="33.75" customHeight="1" x14ac:dyDescent="0.25">
      <c r="A41" s="171" t="s">
        <v>32</v>
      </c>
      <c r="B41" s="856">
        <v>78.900000000000006</v>
      </c>
      <c r="C41" s="857">
        <v>77.8</v>
      </c>
      <c r="D41" s="857">
        <v>9.1</v>
      </c>
      <c r="E41" s="857">
        <v>83.3</v>
      </c>
      <c r="F41" s="858">
        <v>80.099999999999994</v>
      </c>
      <c r="G41" s="638">
        <f t="shared" ref="G41:G48" si="27">SUM(B41:F41)</f>
        <v>329.19999999999993</v>
      </c>
      <c r="H41" s="364"/>
      <c r="I41" s="364"/>
      <c r="J41" s="364"/>
      <c r="K41" s="364"/>
      <c r="L41" s="171" t="s">
        <v>53</v>
      </c>
      <c r="M41" s="856">
        <v>6.6</v>
      </c>
      <c r="N41" s="857">
        <v>6.4</v>
      </c>
      <c r="O41" s="857">
        <v>0.9</v>
      </c>
      <c r="P41" s="857">
        <v>6.7</v>
      </c>
      <c r="Q41" s="858">
        <v>6.6</v>
      </c>
      <c r="R41" s="800">
        <f>SUM(M41:Q41)</f>
        <v>27.200000000000003</v>
      </c>
      <c r="T41" s="646"/>
      <c r="U41" s="675"/>
      <c r="V41" s="657"/>
      <c r="Y41" s="48"/>
      <c r="Z41" s="2"/>
      <c r="AA41" s="2"/>
      <c r="AB41" s="2"/>
      <c r="AC41" s="2"/>
    </row>
    <row r="42" spans="1:38" ht="33.75" customHeight="1" x14ac:dyDescent="0.25">
      <c r="A42" s="171" t="s">
        <v>24</v>
      </c>
      <c r="B42" s="856">
        <v>78.900000000000006</v>
      </c>
      <c r="C42" s="857">
        <v>77.8</v>
      </c>
      <c r="D42" s="857">
        <v>9.1</v>
      </c>
      <c r="E42" s="857">
        <v>83.3</v>
      </c>
      <c r="F42" s="858">
        <v>80.099999999999994</v>
      </c>
      <c r="G42" s="638">
        <f t="shared" si="27"/>
        <v>329.19999999999993</v>
      </c>
      <c r="H42" s="364"/>
      <c r="I42" s="364"/>
      <c r="J42" s="364"/>
      <c r="K42" s="364"/>
      <c r="L42" s="171" t="s">
        <v>24</v>
      </c>
      <c r="M42" s="856">
        <v>6.6</v>
      </c>
      <c r="N42" s="857">
        <v>6.4</v>
      </c>
      <c r="O42" s="857">
        <v>0.9</v>
      </c>
      <c r="P42" s="857">
        <v>6.7</v>
      </c>
      <c r="Q42" s="858">
        <v>6.6</v>
      </c>
      <c r="R42" s="638">
        <f t="shared" ref="R42:R47" si="28">SUM(M42:Q42)</f>
        <v>27.200000000000003</v>
      </c>
      <c r="T42" s="646"/>
      <c r="U42" s="647"/>
      <c r="V42" s="658"/>
      <c r="Y42" s="48"/>
      <c r="Z42" s="2"/>
      <c r="AA42" s="2"/>
      <c r="AB42" s="2"/>
      <c r="AC42" s="2"/>
    </row>
    <row r="43" spans="1:38" ht="33.75" customHeight="1" x14ac:dyDescent="0.25">
      <c r="A43" s="171" t="s">
        <v>20</v>
      </c>
      <c r="B43" s="279">
        <v>78.2</v>
      </c>
      <c r="C43" s="280">
        <v>77.2</v>
      </c>
      <c r="D43" s="280">
        <v>8</v>
      </c>
      <c r="E43" s="280">
        <v>83.3</v>
      </c>
      <c r="F43" s="281">
        <v>79.599999999999994</v>
      </c>
      <c r="G43" s="638">
        <f>SUM(B43:F43)</f>
        <v>326.29999999999995</v>
      </c>
      <c r="H43" s="364"/>
      <c r="I43" s="364"/>
      <c r="J43" s="364"/>
      <c r="K43" s="364"/>
      <c r="L43" s="171" t="s">
        <v>20</v>
      </c>
      <c r="M43" s="279">
        <v>6.6</v>
      </c>
      <c r="N43" s="280">
        <v>6.4</v>
      </c>
      <c r="O43" s="280">
        <v>0.5</v>
      </c>
      <c r="P43" s="280">
        <v>6.7</v>
      </c>
      <c r="Q43" s="281">
        <v>6.5</v>
      </c>
      <c r="R43" s="638">
        <f t="shared" si="28"/>
        <v>26.7</v>
      </c>
      <c r="T43" s="646"/>
      <c r="U43" s="647"/>
      <c r="V43" s="658"/>
      <c r="Y43" s="48"/>
      <c r="Z43" s="2"/>
      <c r="AA43" s="2"/>
      <c r="AB43" s="2"/>
      <c r="AC43" s="2"/>
    </row>
    <row r="44" spans="1:38" ht="33.75" customHeight="1" x14ac:dyDescent="0.25">
      <c r="A44" s="171" t="s">
        <v>28</v>
      </c>
      <c r="B44" s="279">
        <v>78.2</v>
      </c>
      <c r="C44" s="280">
        <v>77.2</v>
      </c>
      <c r="D44" s="280">
        <v>8</v>
      </c>
      <c r="E44" s="280">
        <v>83.3</v>
      </c>
      <c r="F44" s="281">
        <v>79.599999999999994</v>
      </c>
      <c r="G44" s="638">
        <f t="shared" si="27"/>
        <v>326.29999999999995</v>
      </c>
      <c r="H44" s="651"/>
      <c r="I44" s="364"/>
      <c r="J44" s="364"/>
      <c r="K44" s="364"/>
      <c r="L44" s="171" t="s">
        <v>28</v>
      </c>
      <c r="M44" s="279">
        <v>6.6</v>
      </c>
      <c r="N44" s="280">
        <v>6.4</v>
      </c>
      <c r="O44" s="280">
        <v>0.5</v>
      </c>
      <c r="P44" s="280">
        <v>6.7</v>
      </c>
      <c r="Q44" s="281">
        <v>6.5</v>
      </c>
      <c r="R44" s="638">
        <f t="shared" si="28"/>
        <v>26.7</v>
      </c>
      <c r="T44" s="646"/>
      <c r="U44" s="647"/>
      <c r="V44" s="658"/>
      <c r="Y44" s="48"/>
      <c r="Z44" s="2"/>
      <c r="AA44" s="2"/>
      <c r="AB44" s="2"/>
      <c r="AC44" s="2"/>
    </row>
    <row r="45" spans="1:38" ht="33.75" customHeight="1" x14ac:dyDescent="0.25">
      <c r="A45" s="171" t="s">
        <v>21</v>
      </c>
      <c r="B45" s="279">
        <v>78.2</v>
      </c>
      <c r="C45" s="280">
        <v>77.2</v>
      </c>
      <c r="D45" s="280">
        <v>8</v>
      </c>
      <c r="E45" s="280">
        <v>83.3</v>
      </c>
      <c r="F45" s="281">
        <v>79.599999999999994</v>
      </c>
      <c r="G45" s="638">
        <f t="shared" si="27"/>
        <v>326.29999999999995</v>
      </c>
      <c r="H45" s="651"/>
      <c r="I45" s="364"/>
      <c r="J45" s="364"/>
      <c r="K45" s="364"/>
      <c r="L45" s="171" t="s">
        <v>21</v>
      </c>
      <c r="M45" s="279">
        <v>6.6</v>
      </c>
      <c r="N45" s="280">
        <v>6.4</v>
      </c>
      <c r="O45" s="280">
        <v>0.5</v>
      </c>
      <c r="P45" s="280">
        <v>6.7</v>
      </c>
      <c r="Q45" s="281">
        <v>6.5</v>
      </c>
      <c r="R45" s="638">
        <f t="shared" si="28"/>
        <v>26.7</v>
      </c>
      <c r="T45" s="646"/>
      <c r="U45" s="647"/>
      <c r="V45" s="658"/>
      <c r="Y45" s="48"/>
      <c r="Z45" s="2"/>
      <c r="AA45" s="2"/>
      <c r="AB45" s="2"/>
      <c r="AC45" s="2"/>
    </row>
    <row r="46" spans="1:38" ht="33.75" customHeight="1" x14ac:dyDescent="0.25">
      <c r="A46" s="171" t="s">
        <v>22</v>
      </c>
      <c r="B46" s="279">
        <v>78.2</v>
      </c>
      <c r="C46" s="280">
        <v>77.2</v>
      </c>
      <c r="D46" s="280">
        <v>5</v>
      </c>
      <c r="E46" s="280">
        <v>83.3</v>
      </c>
      <c r="F46" s="281">
        <v>78.7</v>
      </c>
      <c r="G46" s="638">
        <f t="shared" si="27"/>
        <v>322.39999999999998</v>
      </c>
      <c r="H46" s="651"/>
      <c r="I46" s="364"/>
      <c r="J46" s="364"/>
      <c r="K46" s="364"/>
      <c r="L46" s="171" t="s">
        <v>22</v>
      </c>
      <c r="M46" s="279">
        <v>6.7</v>
      </c>
      <c r="N46" s="280">
        <v>6.4</v>
      </c>
      <c r="O46" s="280">
        <v>0.6</v>
      </c>
      <c r="P46" s="280">
        <v>6.8</v>
      </c>
      <c r="Q46" s="281">
        <v>6.5</v>
      </c>
      <c r="R46" s="638">
        <f t="shared" si="28"/>
        <v>27</v>
      </c>
      <c r="T46" s="646"/>
      <c r="U46" s="647"/>
      <c r="V46" s="658"/>
      <c r="Y46" s="48"/>
      <c r="Z46" s="2"/>
      <c r="AA46" s="2"/>
      <c r="AB46" s="2"/>
      <c r="AC46" s="2"/>
    </row>
    <row r="47" spans="1:38" ht="33.75" customHeight="1" thickBot="1" x14ac:dyDescent="0.3">
      <c r="A47" s="285" t="s">
        <v>23</v>
      </c>
      <c r="B47" s="279">
        <v>78.099999999999994</v>
      </c>
      <c r="C47" s="280">
        <v>77.099999999999994</v>
      </c>
      <c r="D47" s="280">
        <v>4.9000000000000004</v>
      </c>
      <c r="E47" s="280">
        <v>83.3</v>
      </c>
      <c r="F47" s="281">
        <v>78.7</v>
      </c>
      <c r="G47" s="778">
        <f t="shared" si="27"/>
        <v>322.09999999999997</v>
      </c>
      <c r="H47" s="651"/>
      <c r="I47" s="364"/>
      <c r="J47" s="364"/>
      <c r="K47" s="364"/>
      <c r="L47" s="285" t="s">
        <v>23</v>
      </c>
      <c r="M47" s="279">
        <v>6.7</v>
      </c>
      <c r="N47" s="280">
        <v>6.4</v>
      </c>
      <c r="O47" s="280">
        <v>0.6</v>
      </c>
      <c r="P47" s="280">
        <v>6.8</v>
      </c>
      <c r="Q47" s="281">
        <v>6.5</v>
      </c>
      <c r="R47" s="778">
        <f t="shared" si="28"/>
        <v>27</v>
      </c>
      <c r="T47" s="646"/>
      <c r="U47" s="647"/>
      <c r="V47" s="658"/>
      <c r="Y47" s="48"/>
      <c r="Z47" s="48"/>
      <c r="AA47" s="48"/>
      <c r="AB47" s="2"/>
      <c r="AC47" s="2"/>
      <c r="AD47" s="2"/>
      <c r="AE47" s="2"/>
    </row>
    <row r="48" spans="1:38" ht="33.75" customHeight="1" thickBot="1" x14ac:dyDescent="0.3">
      <c r="A48" s="290" t="s">
        <v>9</v>
      </c>
      <c r="B48" s="297">
        <f>SUM(B41:B47)</f>
        <v>548.69999999999993</v>
      </c>
      <c r="C48" s="298">
        <f t="shared" ref="C48:F48" si="29">SUM(C41:C47)</f>
        <v>541.5</v>
      </c>
      <c r="D48" s="298">
        <f t="shared" si="29"/>
        <v>52.1</v>
      </c>
      <c r="E48" s="298">
        <f t="shared" si="29"/>
        <v>583.1</v>
      </c>
      <c r="F48" s="448">
        <f t="shared" si="29"/>
        <v>556.4</v>
      </c>
      <c r="G48" s="729">
        <f t="shared" si="27"/>
        <v>2281.7999999999997</v>
      </c>
      <c r="H48" s="364"/>
      <c r="I48" s="364"/>
      <c r="J48" s="364"/>
      <c r="K48" s="364"/>
      <c r="L48" s="290" t="s">
        <v>9</v>
      </c>
      <c r="M48" s="763">
        <f>SUM(M41:M47)</f>
        <v>46.400000000000006</v>
      </c>
      <c r="N48" s="764">
        <f>SUM(N41:N47)</f>
        <v>44.8</v>
      </c>
      <c r="O48" s="764">
        <f>SUM(O41:O47)</f>
        <v>4.5</v>
      </c>
      <c r="P48" s="764">
        <f t="shared" ref="P48:Q48" si="30">SUM(P41:P47)</f>
        <v>47.099999999999994</v>
      </c>
      <c r="Q48" s="765">
        <f t="shared" si="30"/>
        <v>45.7</v>
      </c>
      <c r="R48" s="815">
        <f>SUM(M48:Q48)</f>
        <v>188.5</v>
      </c>
      <c r="T48" s="647"/>
      <c r="U48" s="647"/>
      <c r="V48" s="658"/>
      <c r="Y48" s="2"/>
      <c r="Z48" s="2"/>
      <c r="AA48" s="2"/>
      <c r="AB48" s="2"/>
      <c r="AC48" s="2"/>
      <c r="AD48" s="2"/>
      <c r="AE48" s="2"/>
    </row>
    <row r="49" spans="1:50" ht="33.75" customHeight="1" x14ac:dyDescent="0.25">
      <c r="A49" s="192" t="s">
        <v>11</v>
      </c>
      <c r="B49" s="751">
        <v>152.30000000000001</v>
      </c>
      <c r="C49" s="751">
        <v>152.30000000000001</v>
      </c>
      <c r="D49" s="751">
        <v>152.30000000000001</v>
      </c>
      <c r="E49" s="751">
        <v>152.30000000000001</v>
      </c>
      <c r="F49" s="751">
        <v>152.30000000000001</v>
      </c>
      <c r="G49" s="730">
        <f>+((G48/G50)/7)*1000</f>
        <v>152.75137233900119</v>
      </c>
      <c r="H49" s="609"/>
      <c r="I49" s="364"/>
      <c r="J49" s="364"/>
      <c r="K49" s="364"/>
      <c r="L49" s="273" t="s">
        <v>11</v>
      </c>
      <c r="M49" s="357">
        <v>161.5</v>
      </c>
      <c r="N49" s="358">
        <v>160</v>
      </c>
      <c r="O49" s="358">
        <v>160.5</v>
      </c>
      <c r="P49" s="358">
        <v>160</v>
      </c>
      <c r="Q49" s="624">
        <v>159.5</v>
      </c>
      <c r="R49" s="730">
        <f>+((R48/R50)/7)*1000</f>
        <v>160.28911564625849</v>
      </c>
      <c r="T49" s="648"/>
      <c r="U49" s="647"/>
      <c r="V49" s="658"/>
      <c r="W49" s="50"/>
    </row>
    <row r="50" spans="1:50" ht="33.75" customHeight="1" x14ac:dyDescent="0.25">
      <c r="A50" s="193" t="s">
        <v>12</v>
      </c>
      <c r="B50" s="26">
        <v>513</v>
      </c>
      <c r="C50" s="27">
        <v>507</v>
      </c>
      <c r="D50" s="27">
        <v>47</v>
      </c>
      <c r="E50" s="27">
        <v>546</v>
      </c>
      <c r="F50" s="183">
        <v>521</v>
      </c>
      <c r="G50" s="731">
        <f>SUM(B50:F50)</f>
        <v>2134</v>
      </c>
      <c r="H50" s="609"/>
      <c r="I50" s="364"/>
      <c r="J50" s="364"/>
      <c r="K50" s="364"/>
      <c r="L50" s="193" t="s">
        <v>12</v>
      </c>
      <c r="M50" s="257">
        <v>41</v>
      </c>
      <c r="N50" s="275">
        <v>40</v>
      </c>
      <c r="O50" s="275">
        <v>4</v>
      </c>
      <c r="P50" s="275">
        <v>42</v>
      </c>
      <c r="Q50" s="276">
        <v>41</v>
      </c>
      <c r="R50" s="233">
        <f>SUM(M50:Q50)</f>
        <v>168</v>
      </c>
      <c r="T50" s="649"/>
      <c r="U50" s="301"/>
      <c r="V50" s="52"/>
      <c r="W50" s="52"/>
    </row>
    <row r="51" spans="1:50" ht="33.75" customHeight="1" x14ac:dyDescent="0.25">
      <c r="A51" s="194" t="s">
        <v>13</v>
      </c>
      <c r="B51" s="30">
        <f>((((B49*7)*B50)/1000-B41-B42)/5)</f>
        <v>77.821860000000015</v>
      </c>
      <c r="C51" s="30">
        <f t="shared" ref="C51:F51" si="31">((((C49*7)*C50)/1000-C41-C42)/5)</f>
        <v>76.982540000000014</v>
      </c>
      <c r="D51" s="30">
        <f t="shared" si="31"/>
        <v>6.3813399999999998</v>
      </c>
      <c r="E51" s="30">
        <f t="shared" si="31"/>
        <v>83.098120000000023</v>
      </c>
      <c r="F51" s="30">
        <f t="shared" si="31"/>
        <v>79.047620000000009</v>
      </c>
      <c r="G51" s="732">
        <f>((G48*1000)/G50)/7</f>
        <v>152.75137233900116</v>
      </c>
      <c r="H51" s="609"/>
      <c r="I51" s="364"/>
      <c r="J51" s="364"/>
      <c r="K51" s="364"/>
      <c r="L51" s="194" t="s">
        <v>13</v>
      </c>
      <c r="M51" s="30">
        <f>((((M49*7)*M50)/1000-M41-M42)/5)</f>
        <v>6.6300999999999988</v>
      </c>
      <c r="N51" s="30">
        <f t="shared" ref="N51" si="32">((((N49*7)*N50)/1000-N41-N42)/5)</f>
        <v>6.4</v>
      </c>
      <c r="O51" s="30">
        <f t="shared" ref="O51" si="33">((((O49*7)*O50)/1000-O41-O42)/5)</f>
        <v>0.53879999999999995</v>
      </c>
      <c r="P51" s="30">
        <f t="shared" ref="P51" si="34">((((P49*7)*P50)/1000-P41-P42)/5)</f>
        <v>6.7279999999999989</v>
      </c>
      <c r="Q51" s="30">
        <f t="shared" ref="Q51" si="35">((((Q49*7)*Q50)/1000-Q41-Q42)/5)</f>
        <v>6.515299999999999</v>
      </c>
      <c r="R51" s="234">
        <f>((R48*1000)/R50)/7</f>
        <v>160.28911564625852</v>
      </c>
      <c r="T51" s="650"/>
      <c r="U51" s="301"/>
      <c r="V51" s="52"/>
      <c r="W51" s="52"/>
    </row>
    <row r="52" spans="1:50" ht="33.75" customHeight="1" x14ac:dyDescent="0.25">
      <c r="A52" s="185" t="s">
        <v>14</v>
      </c>
      <c r="B52" s="279">
        <f>((B50*B49)*7)/1000</f>
        <v>546.90930000000003</v>
      </c>
      <c r="C52" s="280">
        <f>((C50*C49)*7)/1000</f>
        <v>540.51270000000011</v>
      </c>
      <c r="D52" s="280">
        <f>((D50*D49)*7)/1000</f>
        <v>50.106700000000004</v>
      </c>
      <c r="E52" s="280">
        <f>((E50*E49)*7)/1000</f>
        <v>582.09059999999999</v>
      </c>
      <c r="F52" s="281">
        <f>((F50*F49)*7)/1000</f>
        <v>555.43809999999996</v>
      </c>
      <c r="G52" s="73"/>
      <c r="H52" s="609"/>
      <c r="I52" s="364"/>
      <c r="J52" s="364"/>
      <c r="K52" s="364"/>
      <c r="L52" s="185" t="s">
        <v>14</v>
      </c>
      <c r="M52" s="279">
        <f>((M50*M49)*7)/1000</f>
        <v>46.350499999999997</v>
      </c>
      <c r="N52" s="280">
        <f>((N50*N49)*7)/1000</f>
        <v>44.8</v>
      </c>
      <c r="O52" s="280">
        <f>((O50*O49)*7)/1000</f>
        <v>4.4939999999999998</v>
      </c>
      <c r="P52" s="280">
        <f t="shared" ref="P52" si="36">((P50*P49)*7)/1000</f>
        <v>47.04</v>
      </c>
      <c r="Q52" s="282">
        <f>((Q50*Q49)*7)/1000</f>
        <v>45.776499999999999</v>
      </c>
      <c r="R52" s="282">
        <f>((R50*R49)*7)/1000</f>
        <v>188.5</v>
      </c>
      <c r="T52" s="522"/>
    </row>
    <row r="53" spans="1:50" ht="33.75" customHeight="1" thickBot="1" x14ac:dyDescent="0.3">
      <c r="A53" s="195" t="s">
        <v>15</v>
      </c>
      <c r="B53" s="37">
        <f>+(B48/B50)/7*1000</f>
        <v>152.79866332497909</v>
      </c>
      <c r="C53" s="38">
        <f t="shared" ref="C53:E53" si="37">+(C48/C50)/7*1000</f>
        <v>152.57819103972949</v>
      </c>
      <c r="D53" s="38">
        <f t="shared" si="37"/>
        <v>158.35866261398178</v>
      </c>
      <c r="E53" s="38">
        <f t="shared" si="37"/>
        <v>152.56410256410254</v>
      </c>
      <c r="F53" s="207">
        <f>+(F48/F50)/7*1000</f>
        <v>152.56375102824239</v>
      </c>
      <c r="G53" s="74"/>
      <c r="H53" s="609"/>
      <c r="I53" s="364"/>
      <c r="J53" s="364"/>
      <c r="K53" s="364"/>
      <c r="L53" s="195" t="s">
        <v>15</v>
      </c>
      <c r="M53" s="37">
        <f>+(M48/M50)/7*1000</f>
        <v>161.67247386759584</v>
      </c>
      <c r="N53" s="38">
        <f>+(N48/N50)/7*1000</f>
        <v>159.99999999999997</v>
      </c>
      <c r="O53" s="38">
        <f>+(O48/O50)/7*1000</f>
        <v>160.71428571428572</v>
      </c>
      <c r="P53" s="38">
        <f t="shared" ref="P53:R53" si="38">+(P48/P50)/7*1000</f>
        <v>160.20408163265304</v>
      </c>
      <c r="Q53" s="39">
        <f t="shared" si="38"/>
        <v>159.23344947735194</v>
      </c>
      <c r="R53" s="39">
        <f t="shared" si="38"/>
        <v>160.28911564625849</v>
      </c>
      <c r="T53" s="651"/>
      <c r="V53" s="42"/>
      <c r="W53" s="42"/>
    </row>
    <row r="54" spans="1:50" ht="33.75" customHeight="1" x14ac:dyDescent="0.25">
      <c r="A54" s="41"/>
      <c r="B54" s="316">
        <f>B52-B48</f>
        <v>-1.7906999999999016</v>
      </c>
      <c r="C54" s="316">
        <f t="shared" ref="C54:D55" si="39">C52-C48</f>
        <v>-0.98729999999989104</v>
      </c>
      <c r="D54" s="316">
        <f t="shared" si="39"/>
        <v>-1.9932999999999979</v>
      </c>
      <c r="E54" s="316">
        <f>E52-E48</f>
        <v>-1.0094000000000278</v>
      </c>
      <c r="F54" s="316">
        <f>F52-F48</f>
        <v>-0.96190000000001419</v>
      </c>
      <c r="G54" s="41"/>
      <c r="H54" s="41"/>
      <c r="I54" s="41"/>
      <c r="J54" s="41"/>
      <c r="K54" s="41"/>
      <c r="L54" s="42"/>
      <c r="M54" s="878">
        <f>M52-M48</f>
        <v>-4.9500000000008981E-2</v>
      </c>
      <c r="N54" s="878">
        <f>N52-N48</f>
        <v>0</v>
      </c>
      <c r="O54" s="878">
        <f t="shared" ref="N54:R55" si="40">O52-O48</f>
        <v>-6.0000000000002274E-3</v>
      </c>
      <c r="P54" s="878">
        <f t="shared" si="40"/>
        <v>-5.9999999999995168E-2</v>
      </c>
      <c r="Q54" s="878">
        <f t="shared" si="40"/>
        <v>7.6499999999995794E-2</v>
      </c>
      <c r="R54" s="42">
        <f>R52-R48</f>
        <v>0</v>
      </c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0.49866332497907706</v>
      </c>
      <c r="C55" s="42">
        <f>C53-C49</f>
        <v>0.27819103972947801</v>
      </c>
      <c r="D55" s="42">
        <f t="shared" si="39"/>
        <v>6.0586626139817668</v>
      </c>
      <c r="E55" s="42">
        <f>E53-E49</f>
        <v>0.26410256410252941</v>
      </c>
      <c r="F55" s="42">
        <f>F53-F49</f>
        <v>0.26375102824238184</v>
      </c>
      <c r="G55" s="41"/>
      <c r="H55" s="41"/>
      <c r="I55" s="41"/>
      <c r="J55" s="41"/>
      <c r="K55" s="42"/>
      <c r="L55" s="42"/>
      <c r="M55" s="42">
        <f>M53-M49</f>
        <v>0.1724738675958406</v>
      </c>
      <c r="N55" s="42">
        <f t="shared" si="40"/>
        <v>0</v>
      </c>
      <c r="O55" s="42">
        <f>O53-O49</f>
        <v>0.21428571428572241</v>
      </c>
      <c r="P55" s="42">
        <f>P53-P49</f>
        <v>0.20408163265304324</v>
      </c>
      <c r="Q55" s="42">
        <f t="shared" si="40"/>
        <v>-0.26655052264806045</v>
      </c>
      <c r="R55" s="42">
        <f t="shared" si="40"/>
        <v>0</v>
      </c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54"/>
      <c r="I57" s="54"/>
      <c r="J57" s="54"/>
      <c r="K57" s="54"/>
      <c r="L57" s="54"/>
      <c r="M57" s="283"/>
      <c r="N57" s="283"/>
      <c r="O57" s="283"/>
      <c r="P57" s="283"/>
      <c r="Q57" s="283"/>
      <c r="R57" s="283"/>
      <c r="S57" s="283"/>
      <c r="T57" s="54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99" t="s">
        <v>30</v>
      </c>
      <c r="H58" s="1000"/>
      <c r="I58" s="1000"/>
      <c r="J58" s="1000"/>
      <c r="K58" s="1001"/>
      <c r="L58" s="973" t="s">
        <v>29</v>
      </c>
      <c r="M58" s="974"/>
      <c r="N58" s="974"/>
      <c r="O58" s="974"/>
      <c r="P58" s="991"/>
      <c r="Q58" s="974" t="s">
        <v>31</v>
      </c>
      <c r="R58" s="974"/>
      <c r="S58" s="974"/>
      <c r="T58" s="974"/>
      <c r="U58" s="991"/>
      <c r="V58" s="992" t="s">
        <v>9</v>
      </c>
      <c r="W58" s="661"/>
      <c r="X58" s="662"/>
      <c r="Y58" s="874"/>
      <c r="Z58" s="874"/>
      <c r="AA58" s="148"/>
      <c r="AB58" s="148"/>
      <c r="AC58" s="148"/>
      <c r="AD58" s="148"/>
      <c r="AE58" s="148"/>
      <c r="AF58" s="58"/>
      <c r="AG58" s="58"/>
      <c r="AH58" s="58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692">
        <v>1</v>
      </c>
      <c r="H59" s="693">
        <v>2</v>
      </c>
      <c r="I59" s="693">
        <v>3</v>
      </c>
      <c r="J59" s="693">
        <v>4</v>
      </c>
      <c r="K59" s="693">
        <v>5</v>
      </c>
      <c r="L59" s="188">
        <v>1</v>
      </c>
      <c r="M59" s="168">
        <v>2</v>
      </c>
      <c r="N59" s="168">
        <v>3</v>
      </c>
      <c r="O59" s="168">
        <v>4</v>
      </c>
      <c r="P59" s="414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993"/>
      <c r="W59" s="663"/>
      <c r="X59" s="645"/>
      <c r="Y59" s="657"/>
      <c r="Z59" s="657"/>
      <c r="AA59" s="148"/>
      <c r="AB59" s="148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45">
      <c r="A60" s="171" t="s">
        <v>53</v>
      </c>
      <c r="B60" s="862">
        <v>7</v>
      </c>
      <c r="C60" s="848">
        <v>7.5</v>
      </c>
      <c r="D60" s="848">
        <v>0.9</v>
      </c>
      <c r="E60" s="848">
        <v>7.5</v>
      </c>
      <c r="F60" s="853">
        <v>7.4</v>
      </c>
      <c r="G60" s="862">
        <v>7.5</v>
      </c>
      <c r="H60" s="848">
        <v>7.5</v>
      </c>
      <c r="I60" s="863">
        <v>1</v>
      </c>
      <c r="J60" s="848">
        <v>7.5</v>
      </c>
      <c r="K60" s="848">
        <v>7.3</v>
      </c>
      <c r="L60" s="876">
        <v>6</v>
      </c>
      <c r="M60" s="854">
        <v>6</v>
      </c>
      <c r="N60" s="854">
        <v>1.6</v>
      </c>
      <c r="O60" s="854">
        <v>5.9</v>
      </c>
      <c r="P60" s="877">
        <v>5.8</v>
      </c>
      <c r="Q60" s="853">
        <v>6.3</v>
      </c>
      <c r="R60" s="848">
        <v>5.9</v>
      </c>
      <c r="S60" s="848">
        <v>1.6</v>
      </c>
      <c r="T60" s="848">
        <v>6.2</v>
      </c>
      <c r="U60" s="852">
        <v>6.2</v>
      </c>
      <c r="V60" s="846">
        <f t="shared" ref="V60:V67" si="41">SUM(B60:U60)</f>
        <v>112.6</v>
      </c>
      <c r="W60" s="42"/>
      <c r="X60" s="646"/>
      <c r="Y60" s="657"/>
      <c r="Z60" s="657"/>
      <c r="AA60" s="148"/>
      <c r="AB60" s="148"/>
      <c r="AC60" s="58"/>
      <c r="AD60" s="45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45">
      <c r="A61" s="171" t="s">
        <v>24</v>
      </c>
      <c r="B61" s="862">
        <v>7</v>
      </c>
      <c r="C61" s="848">
        <v>7.5</v>
      </c>
      <c r="D61" s="848">
        <v>0.9</v>
      </c>
      <c r="E61" s="848">
        <v>7.5</v>
      </c>
      <c r="F61" s="853">
        <v>7.4</v>
      </c>
      <c r="G61" s="862">
        <v>7.5</v>
      </c>
      <c r="H61" s="848">
        <v>7.5</v>
      </c>
      <c r="I61" s="863">
        <v>1</v>
      </c>
      <c r="J61" s="848">
        <v>7.5</v>
      </c>
      <c r="K61" s="848">
        <v>7.3</v>
      </c>
      <c r="L61" s="876">
        <v>6</v>
      </c>
      <c r="M61" s="854">
        <v>6</v>
      </c>
      <c r="N61" s="854">
        <v>1.6</v>
      </c>
      <c r="O61" s="854">
        <v>5.9</v>
      </c>
      <c r="P61" s="877">
        <v>5.8</v>
      </c>
      <c r="Q61" s="853">
        <v>6.3</v>
      </c>
      <c r="R61" s="848">
        <v>5.9</v>
      </c>
      <c r="S61" s="848">
        <v>1.6</v>
      </c>
      <c r="T61" s="848">
        <v>6.2</v>
      </c>
      <c r="U61" s="852">
        <v>6.2</v>
      </c>
      <c r="V61" s="749">
        <f t="shared" si="41"/>
        <v>112.6</v>
      </c>
      <c r="W61" s="42"/>
      <c r="X61" s="646"/>
      <c r="Y61" s="875"/>
      <c r="Z61" s="875"/>
      <c r="AA61" s="148"/>
      <c r="AB61" s="148"/>
      <c r="AC61" s="58"/>
      <c r="AD61" s="45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45">
      <c r="A62" s="171" t="s">
        <v>20</v>
      </c>
      <c r="B62" s="738">
        <v>7</v>
      </c>
      <c r="C62" s="739">
        <v>7.4</v>
      </c>
      <c r="D62" s="739">
        <v>1</v>
      </c>
      <c r="E62" s="739">
        <v>7.4</v>
      </c>
      <c r="F62" s="747">
        <v>7.4</v>
      </c>
      <c r="G62" s="738">
        <v>7.5</v>
      </c>
      <c r="H62" s="739">
        <v>7.4</v>
      </c>
      <c r="I62" s="799">
        <v>0.9</v>
      </c>
      <c r="J62" s="739">
        <v>7.4</v>
      </c>
      <c r="K62" s="739">
        <v>7.2</v>
      </c>
      <c r="L62" s="464">
        <v>6</v>
      </c>
      <c r="M62" s="459">
        <v>5.8</v>
      </c>
      <c r="N62" s="459">
        <v>1.6</v>
      </c>
      <c r="O62" s="459">
        <v>5.8</v>
      </c>
      <c r="P62" s="460">
        <v>5.8</v>
      </c>
      <c r="Q62" s="747">
        <v>6.1</v>
      </c>
      <c r="R62" s="739">
        <v>6</v>
      </c>
      <c r="S62" s="739">
        <v>1.6</v>
      </c>
      <c r="T62" s="739">
        <v>6.1</v>
      </c>
      <c r="U62" s="746">
        <v>6</v>
      </c>
      <c r="V62" s="749">
        <f t="shared" si="41"/>
        <v>111.39999999999996</v>
      </c>
      <c r="W62" s="42"/>
      <c r="X62" s="646"/>
      <c r="Y62" s="875"/>
      <c r="Z62" s="875"/>
      <c r="AA62" s="148"/>
      <c r="AB62" s="148"/>
      <c r="AC62" s="58"/>
      <c r="AD62" s="45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45">
      <c r="A63" s="171" t="s">
        <v>28</v>
      </c>
      <c r="B63" s="738">
        <v>7</v>
      </c>
      <c r="C63" s="739">
        <v>7.4</v>
      </c>
      <c r="D63" s="739">
        <v>1</v>
      </c>
      <c r="E63" s="739">
        <v>7.4</v>
      </c>
      <c r="F63" s="747">
        <v>7.4</v>
      </c>
      <c r="G63" s="738">
        <v>7.5</v>
      </c>
      <c r="H63" s="739">
        <v>7.4</v>
      </c>
      <c r="I63" s="799">
        <v>0.9</v>
      </c>
      <c r="J63" s="739">
        <v>7.4</v>
      </c>
      <c r="K63" s="739">
        <v>7.2</v>
      </c>
      <c r="L63" s="464">
        <v>6</v>
      </c>
      <c r="M63" s="459">
        <v>5.8</v>
      </c>
      <c r="N63" s="459">
        <v>1.6</v>
      </c>
      <c r="O63" s="459">
        <v>5.8</v>
      </c>
      <c r="P63" s="460">
        <v>5.8</v>
      </c>
      <c r="Q63" s="747">
        <v>6.1</v>
      </c>
      <c r="R63" s="739">
        <v>6</v>
      </c>
      <c r="S63" s="739">
        <v>1.6</v>
      </c>
      <c r="T63" s="739">
        <v>6.1</v>
      </c>
      <c r="U63" s="746">
        <v>6</v>
      </c>
      <c r="V63" s="749">
        <f t="shared" si="41"/>
        <v>111.39999999999996</v>
      </c>
      <c r="W63" s="42"/>
      <c r="X63" s="646"/>
      <c r="Y63" s="875"/>
      <c r="Z63" s="875"/>
      <c r="AA63" s="148"/>
      <c r="AB63" s="148"/>
      <c r="AC63" s="58"/>
      <c r="AD63" s="45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45">
      <c r="A64" s="171" t="s">
        <v>21</v>
      </c>
      <c r="B64" s="738">
        <v>7</v>
      </c>
      <c r="C64" s="739">
        <v>7.4</v>
      </c>
      <c r="D64" s="739">
        <v>1</v>
      </c>
      <c r="E64" s="739">
        <v>7.4</v>
      </c>
      <c r="F64" s="747">
        <v>7.4</v>
      </c>
      <c r="G64" s="738">
        <v>7.5</v>
      </c>
      <c r="H64" s="739">
        <v>7.4</v>
      </c>
      <c r="I64" s="799">
        <v>0.9</v>
      </c>
      <c r="J64" s="739">
        <v>7.4</v>
      </c>
      <c r="K64" s="739">
        <v>7.2</v>
      </c>
      <c r="L64" s="464">
        <v>6</v>
      </c>
      <c r="M64" s="459">
        <v>5.8</v>
      </c>
      <c r="N64" s="459">
        <v>1.6</v>
      </c>
      <c r="O64" s="459">
        <v>5.8</v>
      </c>
      <c r="P64" s="460">
        <v>5.8</v>
      </c>
      <c r="Q64" s="747">
        <v>6.1</v>
      </c>
      <c r="R64" s="739">
        <v>6</v>
      </c>
      <c r="S64" s="739">
        <v>1.6</v>
      </c>
      <c r="T64" s="739">
        <v>6.1</v>
      </c>
      <c r="U64" s="746">
        <v>6</v>
      </c>
      <c r="V64" s="749">
        <f t="shared" si="41"/>
        <v>111.39999999999996</v>
      </c>
      <c r="W64" s="42"/>
      <c r="X64" s="646"/>
      <c r="Y64" s="875"/>
      <c r="Z64" s="875"/>
      <c r="AA64" s="148"/>
      <c r="AB64" s="148"/>
      <c r="AC64" s="58"/>
      <c r="AD64" s="45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45">
      <c r="A65" s="171" t="s">
        <v>22</v>
      </c>
      <c r="B65" s="738">
        <v>7.1</v>
      </c>
      <c r="C65" s="739">
        <v>7.5</v>
      </c>
      <c r="D65" s="739">
        <v>1</v>
      </c>
      <c r="E65" s="739">
        <v>7.5</v>
      </c>
      <c r="F65" s="747">
        <v>7.4</v>
      </c>
      <c r="G65" s="738">
        <v>7.5</v>
      </c>
      <c r="H65" s="739">
        <v>7.5</v>
      </c>
      <c r="I65" s="799">
        <v>1.1000000000000001</v>
      </c>
      <c r="J65" s="739">
        <v>7.5</v>
      </c>
      <c r="K65" s="739">
        <v>7.3</v>
      </c>
      <c r="L65" s="464">
        <v>6.1</v>
      </c>
      <c r="M65" s="459">
        <v>5.8</v>
      </c>
      <c r="N65" s="459">
        <v>1.7</v>
      </c>
      <c r="O65" s="459">
        <v>5.9</v>
      </c>
      <c r="P65" s="460">
        <v>5.8</v>
      </c>
      <c r="Q65" s="747">
        <v>6.3</v>
      </c>
      <c r="R65" s="739">
        <v>6.2</v>
      </c>
      <c r="S65" s="739">
        <v>1.7</v>
      </c>
      <c r="T65" s="739">
        <v>6.2</v>
      </c>
      <c r="U65" s="746">
        <v>6.2</v>
      </c>
      <c r="V65" s="749">
        <f t="shared" si="41"/>
        <v>113.30000000000001</v>
      </c>
      <c r="W65" s="42"/>
      <c r="X65" s="646"/>
      <c r="Y65" s="875"/>
      <c r="Z65" s="875"/>
      <c r="AA65" s="148"/>
      <c r="AB65" s="148"/>
      <c r="AC65" s="58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5">
      <c r="A66" s="171" t="s">
        <v>23</v>
      </c>
      <c r="B66" s="738">
        <v>7</v>
      </c>
      <c r="C66" s="739">
        <v>7.5</v>
      </c>
      <c r="D66" s="739">
        <v>1</v>
      </c>
      <c r="E66" s="739">
        <v>7.5</v>
      </c>
      <c r="F66" s="747">
        <v>7.4</v>
      </c>
      <c r="G66" s="738">
        <v>7.5</v>
      </c>
      <c r="H66" s="739">
        <v>7.5</v>
      </c>
      <c r="I66" s="799">
        <v>1.1000000000000001</v>
      </c>
      <c r="J66" s="739">
        <v>7.5</v>
      </c>
      <c r="K66" s="739">
        <v>7.3</v>
      </c>
      <c r="L66" s="464">
        <v>6.1</v>
      </c>
      <c r="M66" s="459">
        <v>5.8</v>
      </c>
      <c r="N66" s="459">
        <v>1.7</v>
      </c>
      <c r="O66" s="459">
        <v>5.9</v>
      </c>
      <c r="P66" s="460">
        <v>5.8</v>
      </c>
      <c r="Q66" s="747">
        <v>6.3</v>
      </c>
      <c r="R66" s="739">
        <v>6.2</v>
      </c>
      <c r="S66" s="739">
        <v>1.7</v>
      </c>
      <c r="T66" s="739">
        <v>6.2</v>
      </c>
      <c r="U66" s="746">
        <v>6.2</v>
      </c>
      <c r="V66" s="749">
        <f t="shared" si="41"/>
        <v>113.2</v>
      </c>
      <c r="W66" s="42"/>
      <c r="X66" s="646"/>
      <c r="Y66" s="875"/>
      <c r="Z66" s="875"/>
      <c r="AA66" s="148"/>
      <c r="AB66" s="148"/>
      <c r="AC66" s="58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618">
        <f t="shared" ref="B67:U67" si="42">SUM(B60:B66)</f>
        <v>49.1</v>
      </c>
      <c r="C67" s="616">
        <f t="shared" si="42"/>
        <v>52.199999999999996</v>
      </c>
      <c r="D67" s="616">
        <f t="shared" si="42"/>
        <v>6.8</v>
      </c>
      <c r="E67" s="616">
        <f t="shared" si="42"/>
        <v>52.199999999999996</v>
      </c>
      <c r="F67" s="617">
        <f t="shared" si="42"/>
        <v>51.8</v>
      </c>
      <c r="G67" s="719">
        <f t="shared" si="42"/>
        <v>52.5</v>
      </c>
      <c r="H67" s="696">
        <f t="shared" si="42"/>
        <v>52.199999999999996</v>
      </c>
      <c r="I67" s="696">
        <f t="shared" si="42"/>
        <v>6.9</v>
      </c>
      <c r="J67" s="696">
        <f t="shared" si="42"/>
        <v>52.199999999999996</v>
      </c>
      <c r="K67" s="720">
        <f t="shared" si="42"/>
        <v>50.8</v>
      </c>
      <c r="L67" s="618">
        <f t="shared" si="42"/>
        <v>42.2</v>
      </c>
      <c r="M67" s="616">
        <f t="shared" si="42"/>
        <v>41</v>
      </c>
      <c r="N67" s="616">
        <f t="shared" si="42"/>
        <v>11.399999999999999</v>
      </c>
      <c r="O67" s="616">
        <f t="shared" si="42"/>
        <v>41</v>
      </c>
      <c r="P67" s="619">
        <f t="shared" si="42"/>
        <v>40.599999999999994</v>
      </c>
      <c r="Q67" s="615">
        <f t="shared" si="42"/>
        <v>43.499999999999993</v>
      </c>
      <c r="R67" s="616">
        <f t="shared" si="42"/>
        <v>42.2</v>
      </c>
      <c r="S67" s="616">
        <f t="shared" si="42"/>
        <v>11.399999999999999</v>
      </c>
      <c r="T67" s="616">
        <f t="shared" si="42"/>
        <v>43.100000000000009</v>
      </c>
      <c r="U67" s="617">
        <f t="shared" si="42"/>
        <v>42.800000000000004</v>
      </c>
      <c r="V67" s="449">
        <f t="shared" si="41"/>
        <v>785.9</v>
      </c>
      <c r="W67" s="664"/>
      <c r="X67" s="646"/>
      <c r="Y67" s="875"/>
      <c r="Z67" s="875"/>
      <c r="AA67" s="148"/>
      <c r="AB67" s="148"/>
      <c r="AC67" s="148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163</v>
      </c>
      <c r="C68" s="358">
        <v>162.5</v>
      </c>
      <c r="D68" s="358">
        <v>163</v>
      </c>
      <c r="E68" s="358">
        <v>162.5</v>
      </c>
      <c r="F68" s="624">
        <v>161</v>
      </c>
      <c r="G68" s="357">
        <v>163</v>
      </c>
      <c r="H68" s="358">
        <v>162.5</v>
      </c>
      <c r="I68" s="358">
        <v>163</v>
      </c>
      <c r="J68" s="358">
        <v>162.5</v>
      </c>
      <c r="K68" s="624">
        <v>161</v>
      </c>
      <c r="L68" s="357">
        <v>163</v>
      </c>
      <c r="M68" s="358">
        <v>162.5</v>
      </c>
      <c r="N68" s="358">
        <v>163</v>
      </c>
      <c r="O68" s="358">
        <v>162.5</v>
      </c>
      <c r="P68" s="624">
        <v>161</v>
      </c>
      <c r="Q68" s="671">
        <v>163</v>
      </c>
      <c r="R68" s="358">
        <v>162.5</v>
      </c>
      <c r="S68" s="358">
        <v>163</v>
      </c>
      <c r="T68" s="358">
        <v>162.5</v>
      </c>
      <c r="U68" s="624">
        <v>161</v>
      </c>
      <c r="V68" s="296">
        <f>+((V67/V69)/7)*1000</f>
        <v>162.71221532091099</v>
      </c>
      <c r="W68" s="145"/>
      <c r="X68" s="648"/>
      <c r="Y68" s="874"/>
      <c r="Z68" s="874"/>
      <c r="AA68" s="148"/>
      <c r="AB68" s="148"/>
      <c r="AC68" s="148"/>
      <c r="AD68" s="148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43</v>
      </c>
      <c r="C69" s="275">
        <v>46</v>
      </c>
      <c r="D69" s="275">
        <v>6</v>
      </c>
      <c r="E69" s="275">
        <v>46</v>
      </c>
      <c r="F69" s="276">
        <v>46</v>
      </c>
      <c r="G69" s="723">
        <v>46</v>
      </c>
      <c r="H69" s="700">
        <v>46</v>
      </c>
      <c r="I69" s="700">
        <v>6</v>
      </c>
      <c r="J69" s="700">
        <v>46</v>
      </c>
      <c r="K69" s="724">
        <v>45</v>
      </c>
      <c r="L69" s="257">
        <v>37</v>
      </c>
      <c r="M69" s="275">
        <v>36</v>
      </c>
      <c r="N69" s="275">
        <v>10</v>
      </c>
      <c r="O69" s="275">
        <v>36</v>
      </c>
      <c r="P69" s="276">
        <v>36</v>
      </c>
      <c r="Q69" s="79">
        <v>38</v>
      </c>
      <c r="R69" s="275">
        <v>37</v>
      </c>
      <c r="S69" s="275">
        <v>8</v>
      </c>
      <c r="T69" s="275">
        <v>38</v>
      </c>
      <c r="U69" s="276">
        <v>38</v>
      </c>
      <c r="V69" s="254">
        <f>SUM(B69:U69)</f>
        <v>690</v>
      </c>
      <c r="W69" s="145"/>
      <c r="X69" s="649"/>
      <c r="Y69" s="874"/>
      <c r="Z69" s="874"/>
      <c r="AA69" s="148"/>
      <c r="AB69" s="148"/>
      <c r="AC69" s="148"/>
      <c r="AD69" s="45"/>
      <c r="AE69" s="148"/>
      <c r="AF69" s="148"/>
      <c r="AG69" s="148"/>
      <c r="AH69" s="45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>((((B68*7)*B69)/1000-B60-B61)/5)</f>
        <v>7.0126000000000008</v>
      </c>
      <c r="C70" s="31">
        <f t="shared" ref="C70:U70" si="43">((((C68*7)*C69)/1000-C60-C61)/5)</f>
        <v>7.4650000000000007</v>
      </c>
      <c r="D70" s="31">
        <f t="shared" si="43"/>
        <v>1.0091999999999999</v>
      </c>
      <c r="E70" s="31">
        <f t="shared" si="43"/>
        <v>7.4650000000000007</v>
      </c>
      <c r="F70" s="32">
        <f t="shared" si="43"/>
        <v>7.4084000000000003</v>
      </c>
      <c r="G70" s="30">
        <f t="shared" si="43"/>
        <v>7.4971999999999994</v>
      </c>
      <c r="H70" s="31">
        <f t="shared" si="43"/>
        <v>7.4650000000000007</v>
      </c>
      <c r="I70" s="31">
        <f t="shared" si="43"/>
        <v>0.96920000000000006</v>
      </c>
      <c r="J70" s="31">
        <f t="shared" si="43"/>
        <v>7.4650000000000007</v>
      </c>
      <c r="K70" s="32">
        <f t="shared" si="43"/>
        <v>7.2230000000000016</v>
      </c>
      <c r="L70" s="30">
        <f t="shared" si="43"/>
        <v>6.0434000000000001</v>
      </c>
      <c r="M70" s="31">
        <f t="shared" si="43"/>
        <v>5.7900000000000009</v>
      </c>
      <c r="N70" s="31">
        <f t="shared" si="43"/>
        <v>1.6420000000000001</v>
      </c>
      <c r="O70" s="31">
        <f t="shared" si="43"/>
        <v>5.830000000000001</v>
      </c>
      <c r="P70" s="32">
        <f t="shared" si="43"/>
        <v>5.7944000000000013</v>
      </c>
      <c r="Q70" s="65">
        <f t="shared" si="43"/>
        <v>6.1516000000000002</v>
      </c>
      <c r="R70" s="31">
        <f t="shared" si="43"/>
        <v>6.0575000000000001</v>
      </c>
      <c r="S70" s="31">
        <f t="shared" si="43"/>
        <v>1.1856000000000002</v>
      </c>
      <c r="T70" s="31">
        <f t="shared" si="43"/>
        <v>6.165</v>
      </c>
      <c r="U70" s="32">
        <f t="shared" si="43"/>
        <v>6.0851999999999995</v>
      </c>
      <c r="V70" s="139">
        <f>((V67*1000)/V69)/7</f>
        <v>162.71221532091096</v>
      </c>
      <c r="W70" s="144"/>
      <c r="X70" s="650"/>
      <c r="Y70" s="874"/>
      <c r="Z70" s="874"/>
      <c r="AA70" s="148"/>
      <c r="AB70" s="148"/>
      <c r="AC70" s="148"/>
      <c r="AD70" s="148"/>
      <c r="AE70" s="148"/>
      <c r="AF70" s="148"/>
      <c r="AG70" s="148"/>
      <c r="AH70" s="45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44">((B69*B68)*7)/1000</f>
        <v>49.063000000000002</v>
      </c>
      <c r="C71" s="280">
        <f t="shared" si="44"/>
        <v>52.325000000000003</v>
      </c>
      <c r="D71" s="280">
        <f t="shared" si="44"/>
        <v>6.8460000000000001</v>
      </c>
      <c r="E71" s="280">
        <f t="shared" si="44"/>
        <v>52.325000000000003</v>
      </c>
      <c r="F71" s="282">
        <f t="shared" si="44"/>
        <v>51.841999999999999</v>
      </c>
      <c r="G71" s="464">
        <f t="shared" si="44"/>
        <v>52.485999999999997</v>
      </c>
      <c r="H71" s="459">
        <f>((H69*H68)*7)/1000</f>
        <v>52.325000000000003</v>
      </c>
      <c r="I71" s="459">
        <f t="shared" si="44"/>
        <v>6.8460000000000001</v>
      </c>
      <c r="J71" s="459">
        <f t="shared" si="44"/>
        <v>52.325000000000003</v>
      </c>
      <c r="K71" s="460">
        <f t="shared" si="44"/>
        <v>50.715000000000003</v>
      </c>
      <c r="L71" s="279">
        <f t="shared" si="44"/>
        <v>42.216999999999999</v>
      </c>
      <c r="M71" s="280">
        <f t="shared" si="44"/>
        <v>40.950000000000003</v>
      </c>
      <c r="N71" s="280">
        <f t="shared" si="44"/>
        <v>11.41</v>
      </c>
      <c r="O71" s="280">
        <f t="shared" si="44"/>
        <v>40.950000000000003</v>
      </c>
      <c r="P71" s="282">
        <f t="shared" si="44"/>
        <v>40.572000000000003</v>
      </c>
      <c r="Q71" s="325">
        <f t="shared" si="44"/>
        <v>43.357999999999997</v>
      </c>
      <c r="R71" s="280">
        <f t="shared" si="44"/>
        <v>42.087499999999999</v>
      </c>
      <c r="S71" s="280">
        <f t="shared" si="44"/>
        <v>9.1280000000000001</v>
      </c>
      <c r="T71" s="280">
        <f t="shared" si="44"/>
        <v>43.225000000000001</v>
      </c>
      <c r="U71" s="282">
        <f t="shared" si="44"/>
        <v>42.826000000000001</v>
      </c>
      <c r="V71" s="112"/>
      <c r="W71" s="651"/>
      <c r="X71" s="666"/>
      <c r="Y71" s="657"/>
      <c r="Z71" s="657"/>
      <c r="AA71" s="45"/>
      <c r="AB71" s="45"/>
      <c r="AC71" s="45"/>
      <c r="AD71" s="148"/>
      <c r="AE71" s="148"/>
      <c r="AF71" s="148"/>
      <c r="AG71" s="148"/>
      <c r="AH71" s="148"/>
      <c r="AM71" s="3"/>
    </row>
    <row r="72" spans="1:50" ht="33.75" customHeight="1" thickBot="1" x14ac:dyDescent="0.3">
      <c r="A72" s="195" t="s">
        <v>15</v>
      </c>
      <c r="B72" s="37">
        <f t="shared" ref="B72:U72" si="45">+(B67/B69)/7*1000</f>
        <v>163.12292358803987</v>
      </c>
      <c r="C72" s="38">
        <f t="shared" si="45"/>
        <v>162.111801242236</v>
      </c>
      <c r="D72" s="38">
        <f t="shared" si="45"/>
        <v>161.90476190476193</v>
      </c>
      <c r="E72" s="38">
        <f t="shared" si="45"/>
        <v>162.111801242236</v>
      </c>
      <c r="F72" s="39">
        <f t="shared" si="45"/>
        <v>160.86956521739128</v>
      </c>
      <c r="G72" s="727">
        <f t="shared" si="45"/>
        <v>163.04347826086956</v>
      </c>
      <c r="H72" s="704">
        <f t="shared" si="45"/>
        <v>162.111801242236</v>
      </c>
      <c r="I72" s="704">
        <f t="shared" si="45"/>
        <v>164.28571428571431</v>
      </c>
      <c r="J72" s="704">
        <f t="shared" si="45"/>
        <v>162.111801242236</v>
      </c>
      <c r="K72" s="728">
        <f t="shared" si="45"/>
        <v>161.26984126984127</v>
      </c>
      <c r="L72" s="37">
        <f t="shared" si="45"/>
        <v>162.93436293436295</v>
      </c>
      <c r="M72" s="38">
        <f t="shared" si="45"/>
        <v>162.69841269841271</v>
      </c>
      <c r="N72" s="38">
        <f t="shared" si="45"/>
        <v>162.85714285714283</v>
      </c>
      <c r="O72" s="38">
        <f t="shared" si="45"/>
        <v>162.69841269841271</v>
      </c>
      <c r="P72" s="39">
        <f t="shared" si="45"/>
        <v>161.11111111111106</v>
      </c>
      <c r="Q72" s="67">
        <f t="shared" si="45"/>
        <v>163.53383458646616</v>
      </c>
      <c r="R72" s="38">
        <f t="shared" si="45"/>
        <v>162.93436293436295</v>
      </c>
      <c r="S72" s="38">
        <f t="shared" si="45"/>
        <v>203.57142857142856</v>
      </c>
      <c r="T72" s="38">
        <f t="shared" si="45"/>
        <v>162.03007518796997</v>
      </c>
      <c r="U72" s="39">
        <f t="shared" si="45"/>
        <v>160.90225563909777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316">
        <f>B71-B67</f>
        <v>-3.6999999999999034E-2</v>
      </c>
      <c r="C73" s="316">
        <f t="shared" ref="C73:F73" si="46">C71-C67</f>
        <v>0.12500000000000711</v>
      </c>
      <c r="D73" s="316">
        <f t="shared" si="46"/>
        <v>4.6000000000000263E-2</v>
      </c>
      <c r="E73" s="316">
        <f t="shared" si="46"/>
        <v>0.12500000000000711</v>
      </c>
      <c r="F73" s="316">
        <f t="shared" si="46"/>
        <v>4.2000000000001592E-2</v>
      </c>
      <c r="G73" s="879">
        <f>G71-G67</f>
        <v>-1.4000000000002899E-2</v>
      </c>
      <c r="H73" s="879">
        <f t="shared" ref="H73:P74" si="47">H71-H67</f>
        <v>0.12500000000000711</v>
      </c>
      <c r="I73" s="879">
        <f t="shared" si="47"/>
        <v>-5.400000000000027E-2</v>
      </c>
      <c r="J73" s="879">
        <f t="shared" si="47"/>
        <v>0.12500000000000711</v>
      </c>
      <c r="K73" s="879">
        <f t="shared" si="47"/>
        <v>-8.4999999999993747E-2</v>
      </c>
      <c r="L73" s="316">
        <f>L71-L67</f>
        <v>1.6999999999995907E-2</v>
      </c>
      <c r="M73" s="316">
        <f t="shared" ref="M73:U74" si="48">M71-M67</f>
        <v>-4.9999999999997158E-2</v>
      </c>
      <c r="N73" s="316">
        <f t="shared" si="48"/>
        <v>1.0000000000001563E-2</v>
      </c>
      <c r="O73" s="316">
        <f t="shared" si="48"/>
        <v>-4.9999999999997158E-2</v>
      </c>
      <c r="P73" s="316">
        <f t="shared" si="48"/>
        <v>-2.7999999999991587E-2</v>
      </c>
      <c r="Q73" s="316">
        <f t="shared" si="48"/>
        <v>-0.14199999999999591</v>
      </c>
      <c r="R73" s="316">
        <f t="shared" si="48"/>
        <v>-0.11250000000000426</v>
      </c>
      <c r="S73" s="316">
        <f t="shared" si="48"/>
        <v>-2.2719999999999985</v>
      </c>
      <c r="T73" s="316">
        <f t="shared" si="48"/>
        <v>0.12499999999999289</v>
      </c>
      <c r="U73" s="316">
        <f t="shared" si="48"/>
        <v>2.5999999999996248E-2</v>
      </c>
      <c r="V73" s="43">
        <f t="shared" ref="V73" si="49">U71-U67</f>
        <v>2.5999999999996248E-2</v>
      </c>
      <c r="X73" s="144"/>
      <c r="Y73" s="522"/>
      <c r="Z73" s="522"/>
      <c r="AA73" s="522"/>
    </row>
    <row r="74" spans="1:50" ht="33.75" customHeight="1" x14ac:dyDescent="0.25">
      <c r="B74" s="42">
        <f t="shared" ref="B74:J74" si="50">B72-B68</f>
        <v>0.12292358803986758</v>
      </c>
      <c r="C74" s="42">
        <f t="shared" si="50"/>
        <v>-0.38819875776400181</v>
      </c>
      <c r="D74" s="42">
        <f t="shared" si="50"/>
        <v>-1.0952380952380736</v>
      </c>
      <c r="E74" s="42">
        <f t="shared" si="50"/>
        <v>-0.38819875776400181</v>
      </c>
      <c r="F74" s="42">
        <f t="shared" si="50"/>
        <v>-0.13043478260871666</v>
      </c>
      <c r="G74" s="705">
        <f t="shared" si="50"/>
        <v>4.3478260869562746E-2</v>
      </c>
      <c r="H74" s="705">
        <f t="shared" si="50"/>
        <v>-0.38819875776400181</v>
      </c>
      <c r="I74" s="705">
        <f>I72-I68</f>
        <v>1.285714285714306</v>
      </c>
      <c r="J74" s="705">
        <f t="shared" si="50"/>
        <v>-0.38819875776400181</v>
      </c>
      <c r="K74" s="705">
        <f t="shared" si="47"/>
        <v>0.26984126984126533</v>
      </c>
      <c r="L74" s="42">
        <f t="shared" si="47"/>
        <v>-6.5637065637048408E-2</v>
      </c>
      <c r="M74" s="42">
        <f t="shared" si="47"/>
        <v>0.19841269841271014</v>
      </c>
      <c r="N74" s="42">
        <f t="shared" si="47"/>
        <v>-0.14285714285716722</v>
      </c>
      <c r="O74" s="42">
        <f t="shared" si="47"/>
        <v>0.19841269841271014</v>
      </c>
      <c r="P74" s="42">
        <f t="shared" si="47"/>
        <v>0.11111111111105743</v>
      </c>
      <c r="Q74" s="42">
        <f t="shared" si="48"/>
        <v>0.53383458646615622</v>
      </c>
      <c r="R74" s="42">
        <f t="shared" si="48"/>
        <v>0.43436293436295159</v>
      </c>
      <c r="S74" s="42">
        <f t="shared" si="48"/>
        <v>40.571428571428555</v>
      </c>
      <c r="T74" s="42">
        <f t="shared" si="48"/>
        <v>-0.46992481203002967</v>
      </c>
      <c r="U74" s="42">
        <f t="shared" si="48"/>
        <v>-9.7744360902225935E-2</v>
      </c>
      <c r="V74" s="42">
        <f>U72-U68</f>
        <v>-9.7744360902225935E-2</v>
      </c>
      <c r="W74" s="45"/>
      <c r="X74" s="651"/>
      <c r="Y74" s="657"/>
      <c r="Z74" s="657"/>
      <c r="AA74" s="657"/>
      <c r="AB74" s="45"/>
      <c r="AC74" s="45"/>
      <c r="AD74" s="45"/>
      <c r="AE74" s="52"/>
    </row>
    <row r="75" spans="1:50" ht="33.75" customHeight="1" x14ac:dyDescent="0.25">
      <c r="B75" s="576"/>
      <c r="C75" s="576"/>
      <c r="D75" s="576"/>
      <c r="E75" s="576"/>
      <c r="F75" s="57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</row>
    <row r="76" spans="1:50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0" ht="33.75" customHeight="1" x14ac:dyDescent="0.25">
      <c r="A77" s="45"/>
      <c r="B77" s="58"/>
      <c r="C77" s="58"/>
      <c r="D77" s="648" t="s">
        <v>132</v>
      </c>
      <c r="E77" s="58"/>
      <c r="F77" s="58"/>
      <c r="G77" s="58"/>
      <c r="H77" s="648" t="s">
        <v>132</v>
      </c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8">
    <mergeCell ref="A3:C3"/>
    <mergeCell ref="E9:G9"/>
    <mergeCell ref="W9:X9"/>
    <mergeCell ref="O11:P11"/>
    <mergeCell ref="B16:H16"/>
    <mergeCell ref="I16:O16"/>
    <mergeCell ref="P16:T16"/>
    <mergeCell ref="U16:Y16"/>
    <mergeCell ref="B58:F58"/>
    <mergeCell ref="G58:K58"/>
    <mergeCell ref="L58:P58"/>
    <mergeCell ref="Q58:U58"/>
    <mergeCell ref="V58:V59"/>
    <mergeCell ref="Z16:Z17"/>
    <mergeCell ref="B39:F39"/>
    <mergeCell ref="G39:G40"/>
    <mergeCell ref="M39:Q39"/>
    <mergeCell ref="R39:R40"/>
  </mergeCells>
  <pageMargins left="0.23622047244094488" right="0.23622047244094488" top="0.74803149606299213" bottom="0.74803149606299213" header="0.31496062992125984" footer="0.31496062992125984"/>
  <pageSetup paperSize="9" scale="20" fitToWidth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241"/>
  <sheetViews>
    <sheetView zoomScale="26" zoomScaleNormal="26" workbookViewId="0">
      <selection activeCell="S49" sqref="S49"/>
    </sheetView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881"/>
      <c r="E3" s="881"/>
      <c r="F3" s="881"/>
      <c r="G3" s="881"/>
      <c r="H3" s="881"/>
      <c r="I3" s="881"/>
      <c r="J3" s="881"/>
      <c r="K3" s="881"/>
      <c r="L3" s="881"/>
      <c r="M3" s="881"/>
      <c r="N3" s="881"/>
      <c r="O3" s="881"/>
      <c r="P3" s="881"/>
      <c r="Q3" s="881"/>
      <c r="R3" s="881"/>
      <c r="S3" s="881"/>
      <c r="T3" s="881"/>
      <c r="U3" s="881"/>
      <c r="V3" s="881"/>
      <c r="W3" s="881"/>
      <c r="X3" s="881"/>
      <c r="Y3" s="881"/>
      <c r="Z3" s="881"/>
      <c r="AA3" s="881"/>
      <c r="AB3" s="881"/>
      <c r="AC3" s="881"/>
      <c r="AD3" s="881"/>
      <c r="AE3" s="2"/>
      <c r="AF3" s="2"/>
      <c r="AG3" s="2"/>
      <c r="AH3" s="2"/>
      <c r="AI3" s="2"/>
      <c r="AJ3" s="881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881" t="s">
        <v>1</v>
      </c>
      <c r="B9" s="881"/>
      <c r="C9" s="881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881"/>
      <c r="B10" s="881"/>
      <c r="C10" s="8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881" t="s">
        <v>4</v>
      </c>
      <c r="B11" s="881"/>
      <c r="C11" s="881"/>
      <c r="D11" s="1"/>
      <c r="E11" s="882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58</v>
      </c>
      <c r="P11" s="965"/>
      <c r="Q11" s="883"/>
      <c r="R11" s="883"/>
      <c r="S11" s="883"/>
      <c r="T11" s="1"/>
      <c r="U11" s="1"/>
      <c r="V11" s="1" t="s">
        <v>6</v>
      </c>
      <c r="W11" s="95">
        <v>45735</v>
      </c>
      <c r="X11" s="95">
        <f>W11+6</f>
        <v>45741</v>
      </c>
      <c r="Y11" s="883"/>
      <c r="Z11" s="883"/>
      <c r="AA11" s="883"/>
      <c r="AB11" s="883"/>
      <c r="AC11" s="883"/>
      <c r="AD11" s="1"/>
      <c r="AE11" s="1"/>
      <c r="AF11" s="1"/>
      <c r="AG11" s="1"/>
      <c r="AH11" s="1"/>
      <c r="AI11" s="1"/>
    </row>
    <row r="12" spans="1:36" s="3" customFormat="1" ht="26.25" x14ac:dyDescent="0.25">
      <c r="A12" s="881"/>
      <c r="B12" s="881"/>
      <c r="C12" s="88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883"/>
      <c r="Q12" s="883"/>
      <c r="R12" s="883"/>
      <c r="S12" s="883"/>
      <c r="T12" s="883"/>
      <c r="U12" s="1"/>
      <c r="V12" s="1"/>
      <c r="W12" s="1"/>
      <c r="X12" s="1"/>
      <c r="Y12" s="883"/>
      <c r="Z12" s="883"/>
      <c r="AA12" s="883"/>
      <c r="AB12" s="883"/>
      <c r="AC12" s="883"/>
      <c r="AD12" s="883"/>
      <c r="AE12" s="883"/>
      <c r="AF12" s="883"/>
      <c r="AG12" s="883"/>
      <c r="AH12" s="883"/>
      <c r="AI12" s="883"/>
      <c r="AJ12" s="1"/>
    </row>
    <row r="13" spans="1:36" s="3" customFormat="1" ht="26.25" x14ac:dyDescent="0.25">
      <c r="A13" s="881"/>
      <c r="B13" s="881"/>
      <c r="C13" s="88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883"/>
      <c r="Q13" s="883"/>
      <c r="R13" s="883"/>
      <c r="S13" s="883"/>
      <c r="T13" s="883"/>
      <c r="U13" s="1"/>
      <c r="V13" s="1"/>
      <c r="W13" s="1"/>
      <c r="X13" s="1"/>
      <c r="Y13" s="883"/>
      <c r="Z13" s="883"/>
      <c r="AA13" s="883"/>
      <c r="AB13" s="883"/>
      <c r="AC13" s="883"/>
      <c r="AD13" s="883"/>
      <c r="AE13" s="883"/>
      <c r="AF13" s="883"/>
      <c r="AG13" s="883"/>
      <c r="AH13" s="883"/>
      <c r="AI13" s="883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  <c r="Z16" s="977" t="s">
        <v>9</v>
      </c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828"/>
      <c r="I17" s="188" t="s">
        <v>100</v>
      </c>
      <c r="J17" s="168">
        <v>1</v>
      </c>
      <c r="K17" s="168">
        <v>2</v>
      </c>
      <c r="L17" s="168">
        <v>3</v>
      </c>
      <c r="M17" s="168">
        <v>4</v>
      </c>
      <c r="N17" s="169">
        <v>5</v>
      </c>
      <c r="O17" s="828"/>
      <c r="P17" s="189">
        <v>1</v>
      </c>
      <c r="Q17" s="168">
        <v>2</v>
      </c>
      <c r="R17" s="168">
        <v>3</v>
      </c>
      <c r="S17" s="168">
        <v>4</v>
      </c>
      <c r="T17" s="204">
        <v>5</v>
      </c>
      <c r="U17" s="188">
        <v>1</v>
      </c>
      <c r="V17" s="168">
        <v>2</v>
      </c>
      <c r="W17" s="168">
        <v>3</v>
      </c>
      <c r="X17" s="168">
        <v>4</v>
      </c>
      <c r="Y17" s="169">
        <v>5</v>
      </c>
      <c r="Z17" s="984"/>
      <c r="AD17" s="2"/>
      <c r="AE17" s="15"/>
    </row>
    <row r="18" spans="1:40" ht="39.950000000000003" customHeight="1" x14ac:dyDescent="0.25">
      <c r="A18" s="171" t="s">
        <v>53</v>
      </c>
      <c r="B18" s="595">
        <v>289.89999999999998</v>
      </c>
      <c r="C18" s="596">
        <v>13</v>
      </c>
      <c r="D18" s="596">
        <v>14</v>
      </c>
      <c r="E18" s="596">
        <v>1.7</v>
      </c>
      <c r="F18" s="596">
        <v>13.8</v>
      </c>
      <c r="G18" s="597">
        <v>13.9</v>
      </c>
      <c r="H18" s="506">
        <f>SUM(B18:G18)</f>
        <v>346.29999999999995</v>
      </c>
      <c r="I18" s="599">
        <v>293.89999999999998</v>
      </c>
      <c r="J18" s="596">
        <v>13.3</v>
      </c>
      <c r="K18" s="596">
        <v>14.1</v>
      </c>
      <c r="L18" s="596">
        <v>1.5</v>
      </c>
      <c r="M18" s="596">
        <v>14.1</v>
      </c>
      <c r="N18" s="600">
        <v>14.2</v>
      </c>
      <c r="O18" s="506">
        <f>SUM(I18:N18)</f>
        <v>351.1</v>
      </c>
      <c r="P18" s="601">
        <v>72</v>
      </c>
      <c r="Q18" s="504">
        <v>72.099999999999994</v>
      </c>
      <c r="R18" s="596">
        <v>15.1</v>
      </c>
      <c r="S18" s="596">
        <v>71.7</v>
      </c>
      <c r="T18" s="600">
        <v>72.3</v>
      </c>
      <c r="U18" s="602">
        <v>73.900000000000006</v>
      </c>
      <c r="V18" s="596">
        <v>75.8</v>
      </c>
      <c r="W18" s="504">
        <v>15.6</v>
      </c>
      <c r="X18" s="504">
        <v>75.400000000000006</v>
      </c>
      <c r="Y18" s="600">
        <v>76.3</v>
      </c>
      <c r="Z18" s="835">
        <f t="shared" ref="Z18:Z24" si="0">SUM(H18,O18,P18:Y18)</f>
        <v>1317.6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595">
        <v>289.89999999999998</v>
      </c>
      <c r="C19" s="596">
        <v>13</v>
      </c>
      <c r="D19" s="596">
        <v>14</v>
      </c>
      <c r="E19" s="596">
        <v>1.7</v>
      </c>
      <c r="F19" s="596">
        <v>13.8</v>
      </c>
      <c r="G19" s="597">
        <v>13.9</v>
      </c>
      <c r="H19" s="506">
        <f>SUM(B19:G19)</f>
        <v>346.29999999999995</v>
      </c>
      <c r="I19" s="599">
        <v>293.89999999999998</v>
      </c>
      <c r="J19" s="596">
        <v>13.3</v>
      </c>
      <c r="K19" s="596">
        <v>14.1</v>
      </c>
      <c r="L19" s="596">
        <v>1.5</v>
      </c>
      <c r="M19" s="596">
        <v>14.1</v>
      </c>
      <c r="N19" s="600">
        <v>14.2</v>
      </c>
      <c r="O19" s="506">
        <f>SUM(I19:N19)</f>
        <v>351.1</v>
      </c>
      <c r="P19" s="601">
        <v>72</v>
      </c>
      <c r="Q19" s="504">
        <v>72.099999999999994</v>
      </c>
      <c r="R19" s="596">
        <v>15.1</v>
      </c>
      <c r="S19" s="596">
        <v>71.7</v>
      </c>
      <c r="T19" s="600">
        <v>72.3</v>
      </c>
      <c r="U19" s="602">
        <v>73.900000000000006</v>
      </c>
      <c r="V19" s="596">
        <v>75.8</v>
      </c>
      <c r="W19" s="504">
        <v>15.6</v>
      </c>
      <c r="X19" s="504">
        <v>75.400000000000006</v>
      </c>
      <c r="Y19" s="600">
        <v>76.3</v>
      </c>
      <c r="Z19" s="638">
        <f t="shared" si="0"/>
        <v>1317.6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595">
        <v>289.8</v>
      </c>
      <c r="C20" s="596">
        <v>13</v>
      </c>
      <c r="D20" s="596">
        <v>14</v>
      </c>
      <c r="E20" s="596">
        <v>1.6</v>
      </c>
      <c r="F20" s="596">
        <v>13.8</v>
      </c>
      <c r="G20" s="597">
        <v>13.9</v>
      </c>
      <c r="H20" s="506">
        <f t="shared" ref="H20:H24" si="1">SUM(B20:G20)</f>
        <v>346.1</v>
      </c>
      <c r="I20" s="599">
        <v>293.7</v>
      </c>
      <c r="J20" s="596">
        <v>13</v>
      </c>
      <c r="K20" s="596">
        <v>14</v>
      </c>
      <c r="L20" s="596">
        <v>1.4</v>
      </c>
      <c r="M20" s="596">
        <v>14.1</v>
      </c>
      <c r="N20" s="600">
        <v>14.2</v>
      </c>
      <c r="O20" s="506">
        <f t="shared" ref="O20:O24" si="2">SUM(I20:N20)</f>
        <v>350.4</v>
      </c>
      <c r="P20" s="601">
        <v>72</v>
      </c>
      <c r="Q20" s="504">
        <v>71.8</v>
      </c>
      <c r="R20" s="596">
        <v>15</v>
      </c>
      <c r="S20" s="596">
        <v>71.7</v>
      </c>
      <c r="T20" s="600">
        <v>72.3</v>
      </c>
      <c r="U20" s="602">
        <v>73.900000000000006</v>
      </c>
      <c r="V20" s="596">
        <v>75.8</v>
      </c>
      <c r="W20" s="504">
        <v>15.5</v>
      </c>
      <c r="X20" s="504">
        <v>75.400000000000006</v>
      </c>
      <c r="Y20" s="600">
        <v>76.3</v>
      </c>
      <c r="Z20" s="638">
        <f t="shared" si="0"/>
        <v>1316.2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595">
        <v>289.7</v>
      </c>
      <c r="C21" s="596">
        <v>12.7</v>
      </c>
      <c r="D21" s="596">
        <v>14</v>
      </c>
      <c r="E21" s="596">
        <v>1.6</v>
      </c>
      <c r="F21" s="596">
        <v>13.8</v>
      </c>
      <c r="G21" s="597">
        <v>13.9</v>
      </c>
      <c r="H21" s="506">
        <f t="shared" si="1"/>
        <v>345.7</v>
      </c>
      <c r="I21" s="599">
        <v>293.7</v>
      </c>
      <c r="J21" s="596">
        <v>12.9</v>
      </c>
      <c r="K21" s="596">
        <v>13.9</v>
      </c>
      <c r="L21" s="596">
        <v>1.3</v>
      </c>
      <c r="M21" s="596">
        <v>14.1</v>
      </c>
      <c r="N21" s="600">
        <v>14.2</v>
      </c>
      <c r="O21" s="506">
        <f t="shared" si="2"/>
        <v>350.09999999999997</v>
      </c>
      <c r="P21" s="601">
        <v>72</v>
      </c>
      <c r="Q21" s="504">
        <v>71.7</v>
      </c>
      <c r="R21" s="596">
        <v>15</v>
      </c>
      <c r="S21" s="596">
        <v>71.7</v>
      </c>
      <c r="T21" s="600">
        <v>72.3</v>
      </c>
      <c r="U21" s="602">
        <v>73.900000000000006</v>
      </c>
      <c r="V21" s="596">
        <v>75.8</v>
      </c>
      <c r="W21" s="504">
        <v>15.4</v>
      </c>
      <c r="X21" s="504">
        <v>75.400000000000006</v>
      </c>
      <c r="Y21" s="600">
        <v>76.3</v>
      </c>
      <c r="Z21" s="638">
        <f t="shared" si="0"/>
        <v>1315.3000000000002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595">
        <v>289.60000000000002</v>
      </c>
      <c r="C22" s="596">
        <v>12.9</v>
      </c>
      <c r="D22" s="596">
        <v>14.1</v>
      </c>
      <c r="E22" s="596">
        <v>2</v>
      </c>
      <c r="F22" s="596">
        <v>13.8</v>
      </c>
      <c r="G22" s="597">
        <v>13.9</v>
      </c>
      <c r="H22" s="506">
        <f t="shared" si="1"/>
        <v>346.3</v>
      </c>
      <c r="I22" s="599">
        <v>293.7</v>
      </c>
      <c r="J22" s="596">
        <v>13.4</v>
      </c>
      <c r="K22" s="596">
        <v>13.9</v>
      </c>
      <c r="L22" s="596">
        <v>1.6</v>
      </c>
      <c r="M22" s="596">
        <v>14.1</v>
      </c>
      <c r="N22" s="600">
        <v>14.2</v>
      </c>
      <c r="O22" s="506">
        <f t="shared" si="2"/>
        <v>350.9</v>
      </c>
      <c r="P22" s="601">
        <v>72.2</v>
      </c>
      <c r="Q22" s="504">
        <v>71.599999999999994</v>
      </c>
      <c r="R22" s="596">
        <v>15.3</v>
      </c>
      <c r="S22" s="596">
        <v>71.8</v>
      </c>
      <c r="T22" s="600">
        <v>72.400000000000006</v>
      </c>
      <c r="U22" s="602">
        <v>73.900000000000006</v>
      </c>
      <c r="V22" s="596">
        <v>75.8</v>
      </c>
      <c r="W22" s="504">
        <v>15.4</v>
      </c>
      <c r="X22" s="504">
        <v>75.400000000000006</v>
      </c>
      <c r="Y22" s="600">
        <v>76.3</v>
      </c>
      <c r="Z22" s="638">
        <f t="shared" si="0"/>
        <v>1317.3000000000002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595">
        <v>289.5</v>
      </c>
      <c r="C23" s="596">
        <v>12.8</v>
      </c>
      <c r="D23" s="596">
        <v>14.1</v>
      </c>
      <c r="E23" s="596">
        <v>1.9</v>
      </c>
      <c r="F23" s="596">
        <v>13.2</v>
      </c>
      <c r="G23" s="597">
        <v>13.9</v>
      </c>
      <c r="H23" s="506">
        <f t="shared" si="1"/>
        <v>345.4</v>
      </c>
      <c r="I23" s="599">
        <v>293.60000000000002</v>
      </c>
      <c r="J23" s="596">
        <v>13.4</v>
      </c>
      <c r="K23" s="596">
        <v>13.9</v>
      </c>
      <c r="L23" s="596">
        <v>1.3</v>
      </c>
      <c r="M23" s="596">
        <v>14.1</v>
      </c>
      <c r="N23" s="600">
        <v>14.1</v>
      </c>
      <c r="O23" s="506">
        <f t="shared" si="2"/>
        <v>350.40000000000003</v>
      </c>
      <c r="P23" s="601">
        <v>72.2</v>
      </c>
      <c r="Q23" s="504">
        <v>71.599999999999994</v>
      </c>
      <c r="R23" s="596">
        <v>15.3</v>
      </c>
      <c r="S23" s="596">
        <v>71.8</v>
      </c>
      <c r="T23" s="600">
        <v>72.400000000000006</v>
      </c>
      <c r="U23" s="602">
        <v>73.900000000000006</v>
      </c>
      <c r="V23" s="596">
        <v>75.7</v>
      </c>
      <c r="W23" s="504">
        <v>15.4</v>
      </c>
      <c r="X23" s="504">
        <v>75.400000000000006</v>
      </c>
      <c r="Y23" s="600">
        <v>76.2</v>
      </c>
      <c r="Z23" s="638">
        <f t="shared" si="0"/>
        <v>1315.7000000000003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595">
        <v>289.39999999999998</v>
      </c>
      <c r="C24" s="596">
        <v>12.7</v>
      </c>
      <c r="D24" s="596">
        <v>14.1</v>
      </c>
      <c r="E24" s="596">
        <v>1.8</v>
      </c>
      <c r="F24" s="596">
        <v>13.2</v>
      </c>
      <c r="G24" s="597">
        <v>13.8</v>
      </c>
      <c r="H24" s="506">
        <f t="shared" si="1"/>
        <v>345</v>
      </c>
      <c r="I24" s="599">
        <v>293.5</v>
      </c>
      <c r="J24" s="596">
        <v>13.4</v>
      </c>
      <c r="K24" s="596">
        <v>13.9</v>
      </c>
      <c r="L24" s="596">
        <v>1.3</v>
      </c>
      <c r="M24" s="596">
        <v>14.1</v>
      </c>
      <c r="N24" s="600">
        <v>14.1</v>
      </c>
      <c r="O24" s="506">
        <f t="shared" si="2"/>
        <v>350.3</v>
      </c>
      <c r="P24" s="601">
        <v>71.900000000000006</v>
      </c>
      <c r="Q24" s="504">
        <v>71.599999999999994</v>
      </c>
      <c r="R24" s="596">
        <v>15.3</v>
      </c>
      <c r="S24" s="596">
        <v>71.8</v>
      </c>
      <c r="T24" s="600">
        <v>72.400000000000006</v>
      </c>
      <c r="U24" s="602">
        <v>73.8</v>
      </c>
      <c r="V24" s="596">
        <v>75.7</v>
      </c>
      <c r="W24" s="504">
        <v>15.4</v>
      </c>
      <c r="X24" s="504">
        <v>75.400000000000006</v>
      </c>
      <c r="Y24" s="600">
        <v>76.2</v>
      </c>
      <c r="Z24" s="749">
        <f t="shared" si="0"/>
        <v>1314.8000000000002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616">
        <f t="shared" ref="C25:G25" si="3">SUM(C18:C24)</f>
        <v>90.100000000000009</v>
      </c>
      <c r="D25" s="616">
        <f t="shared" si="3"/>
        <v>98.299999999999983</v>
      </c>
      <c r="E25" s="616">
        <f t="shared" si="3"/>
        <v>12.3</v>
      </c>
      <c r="F25" s="616">
        <f t="shared" si="3"/>
        <v>95.4</v>
      </c>
      <c r="G25" s="617">
        <f t="shared" si="3"/>
        <v>97.2</v>
      </c>
      <c r="H25" s="436"/>
      <c r="I25" s="618"/>
      <c r="J25" s="616">
        <f t="shared" ref="J25:N25" si="4">SUM(J18:J24)</f>
        <v>92.700000000000017</v>
      </c>
      <c r="K25" s="616">
        <f>SUM(K18:K24)</f>
        <v>97.800000000000011</v>
      </c>
      <c r="L25" s="616">
        <f t="shared" si="4"/>
        <v>9.9000000000000021</v>
      </c>
      <c r="M25" s="616">
        <f t="shared" si="4"/>
        <v>98.699999999999989</v>
      </c>
      <c r="N25" s="619">
        <f t="shared" si="4"/>
        <v>99.199999999999989</v>
      </c>
      <c r="O25" s="436"/>
      <c r="P25" s="618">
        <f t="shared" ref="P25:W25" si="5">SUM(P18:P24)</f>
        <v>504.29999999999995</v>
      </c>
      <c r="Q25" s="618">
        <f t="shared" si="5"/>
        <v>502.5</v>
      </c>
      <c r="R25" s="618">
        <f t="shared" si="5"/>
        <v>106.1</v>
      </c>
      <c r="S25" s="618">
        <f t="shared" si="5"/>
        <v>502.20000000000005</v>
      </c>
      <c r="T25" s="618">
        <f t="shared" si="5"/>
        <v>506.4</v>
      </c>
      <c r="U25" s="618">
        <f t="shared" si="5"/>
        <v>517.19999999999993</v>
      </c>
      <c r="V25" s="618">
        <f t="shared" si="5"/>
        <v>530.4</v>
      </c>
      <c r="W25" s="618">
        <f t="shared" si="5"/>
        <v>108.30000000000001</v>
      </c>
      <c r="X25" s="618">
        <f>SUM(X18:X24)</f>
        <v>527.79999999999995</v>
      </c>
      <c r="Y25" s="810">
        <f>SUM(Y18:Y24)</f>
        <v>533.9</v>
      </c>
      <c r="Z25" s="449">
        <f>SUM(Z18,Z19,Z20,Z21,Z22,Z23,Z24)</f>
        <v>9214.5</v>
      </c>
      <c r="AA25" s="301"/>
    </row>
    <row r="26" spans="1:40" s="2" customFormat="1" ht="36.75" customHeight="1" x14ac:dyDescent="0.25">
      <c r="A26" s="192" t="s">
        <v>11</v>
      </c>
      <c r="B26" s="808"/>
      <c r="C26" s="620">
        <v>155.6</v>
      </c>
      <c r="D26" s="620">
        <v>155.6</v>
      </c>
      <c r="E26" s="620">
        <v>155.6</v>
      </c>
      <c r="F26" s="620">
        <v>155.6</v>
      </c>
      <c r="G26" s="620">
        <v>155.6</v>
      </c>
      <c r="H26" s="809"/>
      <c r="I26" s="620"/>
      <c r="J26" s="620">
        <v>155.6</v>
      </c>
      <c r="K26" s="620">
        <v>155.6</v>
      </c>
      <c r="L26" s="620">
        <v>155.6</v>
      </c>
      <c r="M26" s="620">
        <v>155.6</v>
      </c>
      <c r="N26" s="620">
        <v>155.6</v>
      </c>
      <c r="O26" s="809"/>
      <c r="P26" s="620">
        <v>154</v>
      </c>
      <c r="Q26" s="620">
        <v>154</v>
      </c>
      <c r="R26" s="620">
        <v>154</v>
      </c>
      <c r="S26" s="620">
        <v>154</v>
      </c>
      <c r="T26" s="620">
        <v>154</v>
      </c>
      <c r="U26" s="620">
        <v>154</v>
      </c>
      <c r="V26" s="620">
        <v>154</v>
      </c>
      <c r="W26" s="620">
        <v>154</v>
      </c>
      <c r="X26" s="620">
        <v>154</v>
      </c>
      <c r="Y26" s="620">
        <v>154</v>
      </c>
      <c r="Z26" s="793">
        <f>(((Z25*1000)/7)/Z27)</f>
        <v>155.4507726567245</v>
      </c>
    </row>
    <row r="27" spans="1:40" s="2" customFormat="1" ht="33" customHeight="1" x14ac:dyDescent="0.25">
      <c r="A27" s="193" t="s">
        <v>12</v>
      </c>
      <c r="B27" s="193"/>
      <c r="C27" s="26">
        <v>511</v>
      </c>
      <c r="D27" s="27">
        <v>549</v>
      </c>
      <c r="E27" s="27">
        <v>66</v>
      </c>
      <c r="F27" s="27">
        <v>540</v>
      </c>
      <c r="G27" s="28">
        <v>544</v>
      </c>
      <c r="H27" s="611"/>
      <c r="I27" s="26"/>
      <c r="J27" s="27">
        <v>528</v>
      </c>
      <c r="K27" s="27">
        <v>548</v>
      </c>
      <c r="L27" s="483">
        <v>58</v>
      </c>
      <c r="M27" s="27">
        <v>554</v>
      </c>
      <c r="N27" s="28">
        <v>555</v>
      </c>
      <c r="O27" s="611"/>
      <c r="P27" s="26">
        <v>465</v>
      </c>
      <c r="Q27" s="27">
        <v>465</v>
      </c>
      <c r="R27" s="27">
        <v>97</v>
      </c>
      <c r="S27" s="27">
        <v>466</v>
      </c>
      <c r="T27" s="483">
        <v>470</v>
      </c>
      <c r="U27" s="26">
        <v>479</v>
      </c>
      <c r="V27" s="27">
        <v>491</v>
      </c>
      <c r="W27" s="27">
        <v>100</v>
      </c>
      <c r="X27" s="27">
        <v>489</v>
      </c>
      <c r="Y27" s="28">
        <v>493</v>
      </c>
      <c r="Z27" s="211">
        <f>SUM(C27:Y27)</f>
        <v>8468</v>
      </c>
      <c r="AA27" s="402"/>
    </row>
    <row r="28" spans="1:40" s="2" customFormat="1" ht="33" customHeight="1" x14ac:dyDescent="0.25">
      <c r="A28" s="444" t="s">
        <v>13</v>
      </c>
      <c r="B28" s="444"/>
      <c r="C28" s="30">
        <f>(C33*C27-C18-C19)/1000</f>
        <v>13.055599999999997</v>
      </c>
      <c r="D28" s="31">
        <f t="shared" ref="D28:G28" si="6">(D33*D27-D18-D19)/1000</f>
        <v>14.026399999999995</v>
      </c>
      <c r="E28" s="31">
        <f t="shared" si="6"/>
        <v>1.6861999999999997</v>
      </c>
      <c r="F28" s="31">
        <f t="shared" si="6"/>
        <v>13.796399999999998</v>
      </c>
      <c r="G28" s="32">
        <f t="shared" si="6"/>
        <v>13.898599999999998</v>
      </c>
      <c r="H28" s="612"/>
      <c r="I28" s="30"/>
      <c r="J28" s="30">
        <f>(J33*J27-J18-J19)/1000</f>
        <v>13.4902</v>
      </c>
      <c r="K28" s="31">
        <f t="shared" ref="K28:N28" si="7">(K33*K27-K18-K19)/1000</f>
        <v>14.000599999999997</v>
      </c>
      <c r="L28" s="31">
        <f t="shared" si="7"/>
        <v>1.4817999999999998</v>
      </c>
      <c r="M28" s="31">
        <f t="shared" si="7"/>
        <v>14.154199999999996</v>
      </c>
      <c r="N28" s="32">
        <f t="shared" si="7"/>
        <v>14.179599999999995</v>
      </c>
      <c r="O28" s="612"/>
      <c r="P28" s="30">
        <f>((((P26*7)*P27)/1000-P18-P19)/5)</f>
        <v>71.453999999999994</v>
      </c>
      <c r="Q28" s="31">
        <f t="shared" ref="Q28:Y28" si="8">((((Q26*7)*Q27)/1000-Q18-Q19)/5)</f>
        <v>71.413999999999987</v>
      </c>
      <c r="R28" s="31">
        <f t="shared" si="8"/>
        <v>14.873200000000002</v>
      </c>
      <c r="S28" s="31">
        <f t="shared" si="8"/>
        <v>71.789600000000007</v>
      </c>
      <c r="T28" s="31">
        <f t="shared" si="8"/>
        <v>72.412000000000006</v>
      </c>
      <c r="U28" s="30">
        <f t="shared" si="8"/>
        <v>73.712400000000002</v>
      </c>
      <c r="V28" s="31">
        <f t="shared" si="8"/>
        <v>75.539599999999993</v>
      </c>
      <c r="W28" s="31">
        <f t="shared" si="8"/>
        <v>15.320000000000002</v>
      </c>
      <c r="X28" s="31">
        <f t="shared" si="8"/>
        <v>75.268400000000014</v>
      </c>
      <c r="Y28" s="32">
        <f t="shared" si="8"/>
        <v>75.77079999999998</v>
      </c>
      <c r="Z28" s="286">
        <f t="shared" ref="Z28" si="9">((((Z26*7)*Z27)/1000)/7)</f>
        <v>1316.3571428571431</v>
      </c>
    </row>
    <row r="29" spans="1:40" ht="33.75" customHeight="1" x14ac:dyDescent="0.25">
      <c r="A29" s="185" t="s">
        <v>14</v>
      </c>
      <c r="B29" s="185"/>
      <c r="C29" s="279">
        <f>((C27*C30)*7)/1000</f>
        <v>90.100000000000009</v>
      </c>
      <c r="D29" s="280">
        <f t="shared" ref="D29:G29" si="10">((D27*D30)*7)/1000</f>
        <v>98.299999999999983</v>
      </c>
      <c r="E29" s="280">
        <f>((E27*E30)*7)/1000</f>
        <v>12.300000000000002</v>
      </c>
      <c r="F29" s="280">
        <f t="shared" si="10"/>
        <v>95.4</v>
      </c>
      <c r="G29" s="282">
        <f t="shared" si="10"/>
        <v>97.2</v>
      </c>
      <c r="H29" s="613"/>
      <c r="I29" s="279"/>
      <c r="J29" s="280">
        <f>((J27*J30)*7)/1000</f>
        <v>92.700000000000017</v>
      </c>
      <c r="K29" s="280">
        <f t="shared" ref="K29:N29" si="11">((K27*K30)*7)/1000</f>
        <v>97.8</v>
      </c>
      <c r="L29" s="280">
        <f t="shared" si="11"/>
        <v>9.9000000000000021</v>
      </c>
      <c r="M29" s="280">
        <f t="shared" si="11"/>
        <v>98.699999999999989</v>
      </c>
      <c r="N29" s="282">
        <f t="shared" si="11"/>
        <v>99.2</v>
      </c>
      <c r="O29" s="613"/>
      <c r="P29" s="279">
        <f t="shared" ref="P29:Z29" si="12">((P27*P26)*7)/1000</f>
        <v>501.27</v>
      </c>
      <c r="Q29" s="280">
        <f t="shared" si="12"/>
        <v>501.27</v>
      </c>
      <c r="R29" s="280">
        <f t="shared" si="12"/>
        <v>104.566</v>
      </c>
      <c r="S29" s="280">
        <f t="shared" si="12"/>
        <v>502.34800000000001</v>
      </c>
      <c r="T29" s="280">
        <f t="shared" si="12"/>
        <v>506.66</v>
      </c>
      <c r="U29" s="279">
        <f t="shared" si="12"/>
        <v>516.36199999999997</v>
      </c>
      <c r="V29" s="280">
        <f t="shared" si="12"/>
        <v>529.298</v>
      </c>
      <c r="W29" s="280">
        <f t="shared" si="12"/>
        <v>107.8</v>
      </c>
      <c r="X29" s="280">
        <f t="shared" si="12"/>
        <v>527.14200000000005</v>
      </c>
      <c r="Y29" s="282">
        <f t="shared" si="12"/>
        <v>531.45399999999995</v>
      </c>
      <c r="Z29" s="680">
        <f t="shared" si="12"/>
        <v>9214.5</v>
      </c>
    </row>
    <row r="30" spans="1:40" ht="33.75" customHeight="1" thickBot="1" x14ac:dyDescent="0.3">
      <c r="A30" s="195" t="s">
        <v>15</v>
      </c>
      <c r="B30" s="195"/>
      <c r="C30" s="37">
        <f>+(C25/C27)/7*1000</f>
        <v>25.188705619234</v>
      </c>
      <c r="D30" s="38">
        <f t="shared" ref="D30:X30" si="13">+(D25/D27)/7*1000</f>
        <v>25.578974759302625</v>
      </c>
      <c r="E30" s="38">
        <f>+(E25/E27)/7*1000</f>
        <v>26.623376623376625</v>
      </c>
      <c r="F30" s="38">
        <f t="shared" si="13"/>
        <v>25.238095238095237</v>
      </c>
      <c r="G30" s="39">
        <f t="shared" si="13"/>
        <v>25.525210084033613</v>
      </c>
      <c r="H30" s="614"/>
      <c r="I30" s="37"/>
      <c r="J30" s="38">
        <f t="shared" si="13"/>
        <v>25.081168831168835</v>
      </c>
      <c r="K30" s="38">
        <f t="shared" si="13"/>
        <v>25.495307612095935</v>
      </c>
      <c r="L30" s="38">
        <f t="shared" si="13"/>
        <v>24.384236453201975</v>
      </c>
      <c r="M30" s="38">
        <f t="shared" si="13"/>
        <v>25.451263537906133</v>
      </c>
      <c r="N30" s="39">
        <f>+(N25/N27)/7*1000</f>
        <v>25.534105534105532</v>
      </c>
      <c r="O30" s="614"/>
      <c r="P30" s="37">
        <f t="shared" si="13"/>
        <v>154.93087557603684</v>
      </c>
      <c r="Q30" s="38">
        <f t="shared" si="13"/>
        <v>154.37788018433179</v>
      </c>
      <c r="R30" s="38">
        <f t="shared" si="13"/>
        <v>156.25920471281293</v>
      </c>
      <c r="S30" s="38">
        <f t="shared" si="13"/>
        <v>153.9546290619252</v>
      </c>
      <c r="T30" s="38">
        <f t="shared" si="13"/>
        <v>153.92097264437689</v>
      </c>
      <c r="U30" s="37">
        <f t="shared" si="13"/>
        <v>154.24992543990453</v>
      </c>
      <c r="V30" s="38">
        <f t="shared" si="13"/>
        <v>154.32062845504802</v>
      </c>
      <c r="W30" s="38">
        <f t="shared" si="13"/>
        <v>154.71428571428575</v>
      </c>
      <c r="X30" s="38">
        <f t="shared" si="13"/>
        <v>154.1922290388548</v>
      </c>
      <c r="Y30" s="39">
        <f>+(Y25/Y27)/7*1000</f>
        <v>154.70878006374963</v>
      </c>
      <c r="Z30" s="262">
        <f>+(Z25/Z27)/7*1000</f>
        <v>155.45077265672447</v>
      </c>
    </row>
    <row r="31" spans="1:40" ht="33.75" customHeight="1" x14ac:dyDescent="0.25">
      <c r="A31" s="41"/>
      <c r="B31" s="41"/>
      <c r="C31" s="42">
        <f>C29-C25</f>
        <v>0</v>
      </c>
      <c r="D31" s="42">
        <f t="shared" ref="D31:X32" si="14">D29-D25</f>
        <v>0</v>
      </c>
      <c r="E31" s="42">
        <f t="shared" si="14"/>
        <v>0</v>
      </c>
      <c r="F31" s="42">
        <f t="shared" si="14"/>
        <v>0</v>
      </c>
      <c r="G31" s="42">
        <f t="shared" si="14"/>
        <v>0</v>
      </c>
      <c r="H31" s="42"/>
      <c r="I31" s="42"/>
      <c r="J31" s="42">
        <f>J29-J25</f>
        <v>0</v>
      </c>
      <c r="K31" s="42">
        <f t="shared" ref="K31:N31" si="15">K29-K25</f>
        <v>0</v>
      </c>
      <c r="L31" s="42">
        <f t="shared" si="15"/>
        <v>0</v>
      </c>
      <c r="M31" s="42">
        <f t="shared" si="15"/>
        <v>0</v>
      </c>
      <c r="N31" s="42">
        <f t="shared" si="15"/>
        <v>0</v>
      </c>
      <c r="O31" s="42"/>
      <c r="P31" s="878">
        <f>P29-P25</f>
        <v>-3.0299999999999727</v>
      </c>
      <c r="Q31" s="878">
        <f>Q29-Q25</f>
        <v>-1.2300000000000182</v>
      </c>
      <c r="R31" s="878">
        <f t="shared" si="14"/>
        <v>-1.5339999999999918</v>
      </c>
      <c r="S31" s="878">
        <f t="shared" si="14"/>
        <v>0.14799999999996771</v>
      </c>
      <c r="T31" s="878">
        <f t="shared" si="14"/>
        <v>0.26000000000004775</v>
      </c>
      <c r="U31" s="878">
        <f>U29-U25</f>
        <v>-0.83799999999996544</v>
      </c>
      <c r="V31" s="878">
        <f t="shared" si="14"/>
        <v>-1.1019999999999754</v>
      </c>
      <c r="W31" s="878">
        <f t="shared" si="14"/>
        <v>-0.50000000000001421</v>
      </c>
      <c r="X31" s="878">
        <f t="shared" si="14"/>
        <v>-0.65799999999990177</v>
      </c>
      <c r="Y31" s="878">
        <f>Y29-Y25</f>
        <v>-2.4460000000000264</v>
      </c>
      <c r="Z31" s="42">
        <f>Z29-Z25</f>
        <v>0</v>
      </c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878">
        <f>C33-C30</f>
        <v>0.41129438076599456</v>
      </c>
      <c r="D32" s="878">
        <f t="shared" ref="D32:G32" si="16">D33-D30</f>
        <v>2.1025240697369441E-2</v>
      </c>
      <c r="E32" s="878">
        <f t="shared" si="16"/>
        <v>-1.023376623376631</v>
      </c>
      <c r="F32" s="878">
        <f t="shared" si="16"/>
        <v>0.36190476190475707</v>
      </c>
      <c r="G32" s="878">
        <f t="shared" si="16"/>
        <v>7.478991596638096E-2</v>
      </c>
      <c r="H32" s="878"/>
      <c r="I32" s="878"/>
      <c r="J32" s="878">
        <f>J33-J30</f>
        <v>0.51883116883115932</v>
      </c>
      <c r="K32" s="878">
        <f t="shared" ref="K32:N32" si="17">K33-K30</f>
        <v>0.1046923879040591</v>
      </c>
      <c r="L32" s="878">
        <f t="shared" si="17"/>
        <v>1.2157635467980192</v>
      </c>
      <c r="M32" s="878">
        <f t="shared" si="17"/>
        <v>0.14873646209386138</v>
      </c>
      <c r="N32" s="878">
        <f t="shared" si="17"/>
        <v>6.5894465894462684E-2</v>
      </c>
      <c r="O32" s="878"/>
      <c r="P32" s="42">
        <f>P30-P26</f>
        <v>0.9308755760368399</v>
      </c>
      <c r="Q32" s="42">
        <f>Q30-Q26</f>
        <v>0.3778801843317865</v>
      </c>
      <c r="R32" s="42">
        <f t="shared" si="14"/>
        <v>2.2592047128129309</v>
      </c>
      <c r="S32" s="42">
        <f t="shared" si="14"/>
        <v>-4.5370938074796641E-2</v>
      </c>
      <c r="T32" s="42">
        <f t="shared" si="14"/>
        <v>-7.9027355623111362E-2</v>
      </c>
      <c r="U32" s="42">
        <f>U30-U26</f>
        <v>0.24992543990452987</v>
      </c>
      <c r="V32" s="42">
        <f t="shared" si="14"/>
        <v>0.3206284550480234</v>
      </c>
      <c r="W32" s="42">
        <f t="shared" si="14"/>
        <v>0.71428571428575083</v>
      </c>
      <c r="X32" s="42">
        <f t="shared" si="14"/>
        <v>0.19222903885480491</v>
      </c>
      <c r="Y32" s="42">
        <f>Y30-Y26</f>
        <v>0.70878006374962865</v>
      </c>
      <c r="Z32" s="42">
        <f t="shared" ref="Z32" si="18">Z30-Z26</f>
        <v>0</v>
      </c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25.599999999999994</v>
      </c>
      <c r="D33" s="42">
        <f t="shared" ref="D33:G33" si="19">D26-$B$34</f>
        <v>25.599999999999994</v>
      </c>
      <c r="E33" s="42">
        <f>E26-$B$34</f>
        <v>25.599999999999994</v>
      </c>
      <c r="F33" s="42">
        <f t="shared" si="19"/>
        <v>25.599999999999994</v>
      </c>
      <c r="G33" s="42">
        <f t="shared" si="19"/>
        <v>25.599999999999994</v>
      </c>
      <c r="H33" s="42"/>
      <c r="I33" s="42"/>
      <c r="J33" s="42">
        <f>J26-$I$34</f>
        <v>25.599999999999994</v>
      </c>
      <c r="K33" s="42">
        <f t="shared" ref="K33:L33" si="20">K26-$I$34</f>
        <v>25.599999999999994</v>
      </c>
      <c r="L33" s="42">
        <f t="shared" si="20"/>
        <v>25.599999999999994</v>
      </c>
      <c r="M33" s="42">
        <f>M26-$I$34</f>
        <v>25.599999999999994</v>
      </c>
      <c r="N33" s="42">
        <f>N26-$I$34</f>
        <v>25.599999999999994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287.3</v>
      </c>
      <c r="D34" s="432">
        <f>SUM(C27:G27)</f>
        <v>2210</v>
      </c>
      <c r="E34" s="42"/>
      <c r="F34" s="42"/>
      <c r="G34" s="42"/>
      <c r="H34" s="42"/>
      <c r="I34" s="514">
        <v>130</v>
      </c>
      <c r="J34" s="431">
        <f>(I34*K34)/1000</f>
        <v>291.58999999999997</v>
      </c>
      <c r="K34" s="432">
        <f>SUM(J27:N27)</f>
        <v>2243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350"/>
      <c r="D38" s="350"/>
      <c r="E38" s="350"/>
      <c r="F38" s="350"/>
      <c r="G38" s="350"/>
      <c r="H38" s="318"/>
      <c r="I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977" t="s">
        <v>9</v>
      </c>
      <c r="T39" s="645"/>
      <c r="V39" s="45"/>
      <c r="W39" s="45"/>
      <c r="X39" s="46"/>
      <c r="Y39" s="3"/>
      <c r="Z39" s="45"/>
      <c r="AA39" s="45"/>
      <c r="AB39" s="45"/>
      <c r="AC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204">
        <v>5</v>
      </c>
      <c r="R40" s="984"/>
      <c r="T40" s="645"/>
      <c r="V40" s="47"/>
      <c r="Y40" s="48"/>
      <c r="Z40" s="2"/>
      <c r="AA40" s="2"/>
      <c r="AB40" s="2"/>
      <c r="AC40" s="2"/>
    </row>
    <row r="41" spans="1:38" ht="33.75" customHeight="1" x14ac:dyDescent="0.25">
      <c r="A41" s="171" t="s">
        <v>32</v>
      </c>
      <c r="B41" s="142">
        <v>78.099999999999994</v>
      </c>
      <c r="C41" s="486">
        <v>77.099999999999994</v>
      </c>
      <c r="D41" s="486">
        <v>5</v>
      </c>
      <c r="E41" s="486">
        <v>83.3</v>
      </c>
      <c r="F41" s="537">
        <v>78.8</v>
      </c>
      <c r="G41" s="638">
        <f t="shared" ref="G41:G48" si="21">SUM(B41:F41)</f>
        <v>322.3</v>
      </c>
      <c r="H41" s="364"/>
      <c r="I41" s="364"/>
      <c r="J41" s="364"/>
      <c r="K41" s="364"/>
      <c r="L41" s="171" t="s">
        <v>53</v>
      </c>
      <c r="M41" s="142">
        <v>6.7</v>
      </c>
      <c r="N41" s="486">
        <v>6.4</v>
      </c>
      <c r="O41" s="486">
        <v>0.6</v>
      </c>
      <c r="P41" s="486">
        <v>6.8</v>
      </c>
      <c r="Q41" s="537">
        <v>6.5</v>
      </c>
      <c r="R41" s="800">
        <f>SUM(M41:Q41)</f>
        <v>27</v>
      </c>
      <c r="T41" s="646"/>
      <c r="U41" s="675"/>
      <c r="V41" s="657"/>
      <c r="Y41" s="48"/>
      <c r="Z41" s="2"/>
      <c r="AA41" s="2"/>
      <c r="AB41" s="2"/>
      <c r="AC41" s="2"/>
    </row>
    <row r="42" spans="1:38" ht="33.75" customHeight="1" x14ac:dyDescent="0.25">
      <c r="A42" s="171" t="s">
        <v>24</v>
      </c>
      <c r="B42" s="142">
        <v>78.099999999999994</v>
      </c>
      <c r="C42" s="486">
        <v>77.099999999999994</v>
      </c>
      <c r="D42" s="486">
        <v>5</v>
      </c>
      <c r="E42" s="486">
        <v>83.3</v>
      </c>
      <c r="F42" s="537">
        <v>78.8</v>
      </c>
      <c r="G42" s="638">
        <f t="shared" si="21"/>
        <v>322.3</v>
      </c>
      <c r="H42" s="364"/>
      <c r="I42" s="364"/>
      <c r="J42" s="364"/>
      <c r="K42" s="364"/>
      <c r="L42" s="171" t="s">
        <v>24</v>
      </c>
      <c r="M42" s="142">
        <v>6.7</v>
      </c>
      <c r="N42" s="486">
        <v>6.4</v>
      </c>
      <c r="O42" s="486">
        <v>0.6</v>
      </c>
      <c r="P42" s="486">
        <v>6.8</v>
      </c>
      <c r="Q42" s="537">
        <v>6.5</v>
      </c>
      <c r="R42" s="638">
        <f t="shared" ref="R42:R47" si="22">SUM(M42:Q42)</f>
        <v>27</v>
      </c>
      <c r="T42" s="646"/>
      <c r="U42" s="647"/>
      <c r="V42" s="658"/>
      <c r="Y42" s="48"/>
      <c r="Z42" s="2"/>
      <c r="AA42" s="2"/>
      <c r="AB42" s="2"/>
      <c r="AC42" s="2"/>
    </row>
    <row r="43" spans="1:38" ht="33.75" customHeight="1" x14ac:dyDescent="0.25">
      <c r="A43" s="171" t="s">
        <v>20</v>
      </c>
      <c r="B43" s="142">
        <v>78.099999999999994</v>
      </c>
      <c r="C43" s="486">
        <v>77.099999999999994</v>
      </c>
      <c r="D43" s="486">
        <v>4.7</v>
      </c>
      <c r="E43" s="486">
        <v>83.3</v>
      </c>
      <c r="F43" s="537">
        <v>78.8</v>
      </c>
      <c r="G43" s="638">
        <f>SUM(B43:F43)</f>
        <v>322</v>
      </c>
      <c r="H43" s="364"/>
      <c r="I43" s="364"/>
      <c r="J43" s="364"/>
      <c r="K43" s="364"/>
      <c r="L43" s="171" t="s">
        <v>20</v>
      </c>
      <c r="M43" s="142">
        <v>6.7</v>
      </c>
      <c r="N43" s="486">
        <v>6.4</v>
      </c>
      <c r="O43" s="486">
        <v>0.6</v>
      </c>
      <c r="P43" s="486">
        <v>6.8</v>
      </c>
      <c r="Q43" s="537">
        <v>6.5</v>
      </c>
      <c r="R43" s="638">
        <f t="shared" si="22"/>
        <v>27</v>
      </c>
      <c r="T43" s="646"/>
      <c r="U43" s="647"/>
      <c r="V43" s="658"/>
      <c r="Y43" s="48"/>
      <c r="Z43" s="2"/>
      <c r="AA43" s="2"/>
      <c r="AB43" s="2"/>
      <c r="AC43" s="2"/>
    </row>
    <row r="44" spans="1:38" ht="33.75" customHeight="1" x14ac:dyDescent="0.25">
      <c r="A44" s="171" t="s">
        <v>28</v>
      </c>
      <c r="B44" s="142">
        <v>78.099999999999994</v>
      </c>
      <c r="C44" s="486">
        <v>77.099999999999994</v>
      </c>
      <c r="D44" s="486">
        <v>4.5999999999999996</v>
      </c>
      <c r="E44" s="486">
        <v>83.3</v>
      </c>
      <c r="F44" s="537">
        <v>78.8</v>
      </c>
      <c r="G44" s="638">
        <f t="shared" si="21"/>
        <v>321.89999999999998</v>
      </c>
      <c r="H44" s="651"/>
      <c r="I44" s="364"/>
      <c r="J44" s="364"/>
      <c r="K44" s="364"/>
      <c r="L44" s="171" t="s">
        <v>28</v>
      </c>
      <c r="M44" s="142">
        <v>6.7</v>
      </c>
      <c r="N44" s="486">
        <v>6.4</v>
      </c>
      <c r="O44" s="486">
        <v>0.6</v>
      </c>
      <c r="P44" s="486">
        <v>6.8</v>
      </c>
      <c r="Q44" s="537">
        <v>6.5</v>
      </c>
      <c r="R44" s="638">
        <f t="shared" si="22"/>
        <v>27</v>
      </c>
      <c r="T44" s="646"/>
      <c r="U44" s="647"/>
      <c r="V44" s="658"/>
      <c r="Y44" s="48"/>
      <c r="Z44" s="2"/>
      <c r="AA44" s="2"/>
      <c r="AB44" s="2"/>
      <c r="AC44" s="2"/>
    </row>
    <row r="45" spans="1:38" ht="33.75" customHeight="1" x14ac:dyDescent="0.25">
      <c r="A45" s="171" t="s">
        <v>21</v>
      </c>
      <c r="B45" s="142">
        <v>77.400000000000006</v>
      </c>
      <c r="C45" s="486">
        <v>77</v>
      </c>
      <c r="D45" s="486">
        <v>5.3</v>
      </c>
      <c r="E45" s="486">
        <v>82.8</v>
      </c>
      <c r="F45" s="537">
        <v>79.099999999999994</v>
      </c>
      <c r="G45" s="638">
        <f t="shared" si="21"/>
        <v>321.60000000000002</v>
      </c>
      <c r="H45" s="651"/>
      <c r="I45" s="364"/>
      <c r="J45" s="364"/>
      <c r="K45" s="364"/>
      <c r="L45" s="171" t="s">
        <v>21</v>
      </c>
      <c r="M45" s="142">
        <v>6.6</v>
      </c>
      <c r="N45" s="486">
        <v>6.4</v>
      </c>
      <c r="O45" s="486">
        <v>0.7</v>
      </c>
      <c r="P45" s="486">
        <v>6.7</v>
      </c>
      <c r="Q45" s="537">
        <v>6.6</v>
      </c>
      <c r="R45" s="638">
        <f t="shared" si="22"/>
        <v>27</v>
      </c>
      <c r="T45" s="646"/>
      <c r="U45" s="647"/>
      <c r="V45" s="658"/>
      <c r="Y45" s="48"/>
      <c r="Z45" s="2"/>
      <c r="AA45" s="2"/>
      <c r="AB45" s="2"/>
      <c r="AC45" s="2"/>
    </row>
    <row r="46" spans="1:38" ht="33.75" customHeight="1" x14ac:dyDescent="0.25">
      <c r="A46" s="171" t="s">
        <v>22</v>
      </c>
      <c r="B46" s="142">
        <v>77.400000000000006</v>
      </c>
      <c r="C46" s="486">
        <v>77</v>
      </c>
      <c r="D46" s="486">
        <v>5.3</v>
      </c>
      <c r="E46" s="486">
        <v>82.7</v>
      </c>
      <c r="F46" s="537">
        <v>79.099999999999994</v>
      </c>
      <c r="G46" s="638">
        <f t="shared" si="21"/>
        <v>321.5</v>
      </c>
      <c r="H46" s="651"/>
      <c r="I46" s="364"/>
      <c r="J46" s="364"/>
      <c r="K46" s="364"/>
      <c r="L46" s="171" t="s">
        <v>22</v>
      </c>
      <c r="M46" s="142">
        <v>6.6</v>
      </c>
      <c r="N46" s="486">
        <v>6.4</v>
      </c>
      <c r="O46" s="486">
        <v>0.7</v>
      </c>
      <c r="P46" s="486">
        <v>6.7</v>
      </c>
      <c r="Q46" s="537">
        <v>6.6</v>
      </c>
      <c r="R46" s="638">
        <f t="shared" si="22"/>
        <v>27</v>
      </c>
      <c r="T46" s="646"/>
      <c r="U46" s="647"/>
      <c r="V46" s="658"/>
      <c r="Y46" s="48"/>
      <c r="Z46" s="2"/>
      <c r="AA46" s="2"/>
      <c r="AB46" s="2"/>
      <c r="AC46" s="2"/>
    </row>
    <row r="47" spans="1:38" ht="33.75" customHeight="1" thickBot="1" x14ac:dyDescent="0.3">
      <c r="A47" s="285" t="s">
        <v>23</v>
      </c>
      <c r="B47" s="142">
        <v>77.400000000000006</v>
      </c>
      <c r="C47" s="486">
        <v>77</v>
      </c>
      <c r="D47" s="486">
        <v>5.2</v>
      </c>
      <c r="E47" s="486">
        <v>82.7</v>
      </c>
      <c r="F47" s="537">
        <v>79</v>
      </c>
      <c r="G47" s="778">
        <f t="shared" si="21"/>
        <v>321.3</v>
      </c>
      <c r="H47" s="651"/>
      <c r="I47" s="364"/>
      <c r="J47" s="364"/>
      <c r="K47" s="364"/>
      <c r="L47" s="285" t="s">
        <v>23</v>
      </c>
      <c r="M47" s="142">
        <v>6.6</v>
      </c>
      <c r="N47" s="486">
        <v>6.4</v>
      </c>
      <c r="O47" s="486">
        <v>0.7</v>
      </c>
      <c r="P47" s="486">
        <v>6.7</v>
      </c>
      <c r="Q47" s="537">
        <v>6.6</v>
      </c>
      <c r="R47" s="778">
        <f t="shared" si="22"/>
        <v>27</v>
      </c>
      <c r="T47" s="646"/>
      <c r="U47" s="647"/>
      <c r="V47" s="658"/>
      <c r="Y47" s="48"/>
      <c r="Z47" s="48"/>
      <c r="AA47" s="48"/>
      <c r="AB47" s="2"/>
      <c r="AC47" s="2"/>
      <c r="AD47" s="2"/>
      <c r="AE47" s="2"/>
    </row>
    <row r="48" spans="1:38" ht="33.75" customHeight="1" thickBot="1" x14ac:dyDescent="0.3">
      <c r="A48" s="290" t="s">
        <v>9</v>
      </c>
      <c r="B48" s="297">
        <f>SUM(B41:B47)</f>
        <v>544.59999999999991</v>
      </c>
      <c r="C48" s="298">
        <f t="shared" ref="C48:F48" si="23">SUM(C41:C47)</f>
        <v>539.4</v>
      </c>
      <c r="D48" s="298">
        <f t="shared" si="23"/>
        <v>35.1</v>
      </c>
      <c r="E48" s="298">
        <f t="shared" si="23"/>
        <v>581.4</v>
      </c>
      <c r="F48" s="448">
        <f t="shared" si="23"/>
        <v>552.4</v>
      </c>
      <c r="G48" s="729">
        <f t="shared" si="21"/>
        <v>2252.9</v>
      </c>
      <c r="H48" s="364"/>
      <c r="I48" s="364"/>
      <c r="J48" s="364"/>
      <c r="K48" s="364"/>
      <c r="L48" s="290" t="s">
        <v>9</v>
      </c>
      <c r="M48" s="763">
        <f>SUM(M41:M47)</f>
        <v>46.6</v>
      </c>
      <c r="N48" s="764">
        <f>SUM(N41:N47)</f>
        <v>44.8</v>
      </c>
      <c r="O48" s="764">
        <f>SUM(O41:O47)</f>
        <v>4.5</v>
      </c>
      <c r="P48" s="764">
        <f t="shared" ref="P48:Q48" si="24">SUM(P41:P47)</f>
        <v>47.300000000000004</v>
      </c>
      <c r="Q48" s="765">
        <f t="shared" si="24"/>
        <v>45.800000000000004</v>
      </c>
      <c r="R48" s="815">
        <f>SUM(M48:Q48)</f>
        <v>189.00000000000003</v>
      </c>
      <c r="T48" s="647"/>
      <c r="U48" s="647"/>
      <c r="V48" s="658"/>
      <c r="Y48" s="2"/>
      <c r="Z48" s="2"/>
      <c r="AA48" s="2"/>
      <c r="AB48" s="2"/>
      <c r="AC48" s="2"/>
      <c r="AD48" s="2"/>
      <c r="AE48" s="2"/>
    </row>
    <row r="49" spans="1:50" ht="33.75" customHeight="1" x14ac:dyDescent="0.25">
      <c r="A49" s="192" t="s">
        <v>11</v>
      </c>
      <c r="B49" s="751">
        <v>152.30000000000001</v>
      </c>
      <c r="C49" s="751">
        <v>152.30000000000001</v>
      </c>
      <c r="D49" s="751">
        <v>152.30000000000001</v>
      </c>
      <c r="E49" s="751">
        <v>152.30000000000001</v>
      </c>
      <c r="F49" s="751">
        <v>152.30000000000001</v>
      </c>
      <c r="G49" s="730">
        <f>+((G48/G50)/7)*1000</f>
        <v>152.24354642519259</v>
      </c>
      <c r="H49" s="609"/>
      <c r="I49" s="364"/>
      <c r="J49" s="364"/>
      <c r="K49" s="364"/>
      <c r="L49" s="273" t="s">
        <v>11</v>
      </c>
      <c r="M49" s="357">
        <v>162</v>
      </c>
      <c r="N49" s="358">
        <v>160.5</v>
      </c>
      <c r="O49" s="358">
        <v>161</v>
      </c>
      <c r="P49" s="358">
        <v>160.5</v>
      </c>
      <c r="Q49" s="624">
        <v>160</v>
      </c>
      <c r="R49" s="730">
        <f>+((R48/R50)/7)*1000</f>
        <v>160.71428571428575</v>
      </c>
      <c r="T49" s="648"/>
      <c r="U49" s="647"/>
      <c r="V49" s="658"/>
      <c r="W49" s="50"/>
    </row>
    <row r="50" spans="1:50" ht="33.75" customHeight="1" x14ac:dyDescent="0.25">
      <c r="A50" s="193" t="s">
        <v>12</v>
      </c>
      <c r="B50" s="26">
        <v>509</v>
      </c>
      <c r="C50" s="27">
        <v>505</v>
      </c>
      <c r="D50" s="27">
        <v>40</v>
      </c>
      <c r="E50" s="27">
        <v>542</v>
      </c>
      <c r="F50" s="183">
        <v>518</v>
      </c>
      <c r="G50" s="731">
        <f>SUM(B50:F50)</f>
        <v>2114</v>
      </c>
      <c r="H50" s="609"/>
      <c r="I50" s="364"/>
      <c r="J50" s="364"/>
      <c r="K50" s="364"/>
      <c r="L50" s="193" t="s">
        <v>12</v>
      </c>
      <c r="M50" s="257">
        <v>41</v>
      </c>
      <c r="N50" s="275">
        <v>40</v>
      </c>
      <c r="O50" s="275">
        <v>4</v>
      </c>
      <c r="P50" s="275">
        <v>42</v>
      </c>
      <c r="Q50" s="276">
        <v>41</v>
      </c>
      <c r="R50" s="233">
        <f>SUM(M50:Q50)</f>
        <v>168</v>
      </c>
      <c r="T50" s="649"/>
      <c r="U50" s="301"/>
      <c r="V50" s="52"/>
      <c r="W50" s="52"/>
    </row>
    <row r="51" spans="1:50" ht="33.75" customHeight="1" x14ac:dyDescent="0.25">
      <c r="A51" s="194" t="s">
        <v>13</v>
      </c>
      <c r="B51" s="30">
        <f>((((B49*7)*B50)/1000-B41-B42)/5)</f>
        <v>77.288979999999995</v>
      </c>
      <c r="C51" s="30">
        <f t="shared" ref="C51:F51" si="25">((((C49*7)*C50)/1000-C41-C42)/5)</f>
        <v>76.836100000000016</v>
      </c>
      <c r="D51" s="30">
        <f t="shared" si="25"/>
        <v>6.5288000000000013</v>
      </c>
      <c r="E51" s="30">
        <f t="shared" si="25"/>
        <v>82.24524000000001</v>
      </c>
      <c r="F51" s="30">
        <f t="shared" si="25"/>
        <v>78.927960000000013</v>
      </c>
      <c r="G51" s="732">
        <f>((G48*1000)/G50)/7</f>
        <v>152.24354642519259</v>
      </c>
      <c r="H51" s="609"/>
      <c r="I51" s="364"/>
      <c r="J51" s="364"/>
      <c r="K51" s="364"/>
      <c r="L51" s="194" t="s">
        <v>13</v>
      </c>
      <c r="M51" s="30">
        <f>((((M49*7)*M50)/1000-M41-M42)/5)</f>
        <v>6.6187999999999985</v>
      </c>
      <c r="N51" s="30">
        <f t="shared" ref="N51:Q51" si="26">((((N49*7)*N50)/1000-N41-N42)/5)</f>
        <v>6.4279999999999999</v>
      </c>
      <c r="O51" s="30">
        <f t="shared" si="26"/>
        <v>0.66159999999999997</v>
      </c>
      <c r="P51" s="30">
        <f t="shared" si="26"/>
        <v>6.7174000000000005</v>
      </c>
      <c r="Q51" s="30">
        <f t="shared" si="26"/>
        <v>6.5840000000000005</v>
      </c>
      <c r="R51" s="234">
        <f>((R48*1000)/R50)/7</f>
        <v>160.71428571428575</v>
      </c>
      <c r="T51" s="650"/>
      <c r="U51" s="301"/>
      <c r="V51" s="52"/>
      <c r="W51" s="52"/>
    </row>
    <row r="52" spans="1:50" ht="33.75" customHeight="1" x14ac:dyDescent="0.25">
      <c r="A52" s="185" t="s">
        <v>14</v>
      </c>
      <c r="B52" s="279">
        <f>((B50*B49)*7)/1000</f>
        <v>542.64490000000012</v>
      </c>
      <c r="C52" s="280">
        <f>((C50*C49)*7)/1000</f>
        <v>538.38049999999998</v>
      </c>
      <c r="D52" s="280">
        <f>((D50*D49)*7)/1000</f>
        <v>42.643999999999998</v>
      </c>
      <c r="E52" s="280">
        <f>((E50*E49)*7)/1000</f>
        <v>577.82620000000009</v>
      </c>
      <c r="F52" s="281">
        <f>((F50*F49)*7)/1000</f>
        <v>552.23980000000006</v>
      </c>
      <c r="G52" s="73"/>
      <c r="H52" s="609"/>
      <c r="I52" s="364"/>
      <c r="J52" s="364"/>
      <c r="K52" s="364"/>
      <c r="L52" s="185" t="s">
        <v>14</v>
      </c>
      <c r="M52" s="279">
        <f>((M50*M49)*7)/1000</f>
        <v>46.494</v>
      </c>
      <c r="N52" s="280">
        <f>((N50*N49)*7)/1000</f>
        <v>44.94</v>
      </c>
      <c r="O52" s="280">
        <f>((O50*O49)*7)/1000</f>
        <v>4.508</v>
      </c>
      <c r="P52" s="280">
        <f t="shared" ref="P52" si="27">((P50*P49)*7)/1000</f>
        <v>47.186999999999998</v>
      </c>
      <c r="Q52" s="282">
        <f>((Q50*Q49)*7)/1000</f>
        <v>45.92</v>
      </c>
      <c r="R52" s="282">
        <f>((R50*R49)*7)/1000</f>
        <v>189.00000000000006</v>
      </c>
      <c r="T52" s="522"/>
    </row>
    <row r="53" spans="1:50" ht="33.75" customHeight="1" thickBot="1" x14ac:dyDescent="0.3">
      <c r="A53" s="195" t="s">
        <v>15</v>
      </c>
      <c r="B53" s="37">
        <f>+(B48/B50)/7*1000</f>
        <v>152.84872298624748</v>
      </c>
      <c r="C53" s="38">
        <f t="shared" ref="C53:E53" si="28">+(C48/C50)/7*1000</f>
        <v>152.58840169731261</v>
      </c>
      <c r="D53" s="38">
        <f t="shared" si="28"/>
        <v>125.35714285714286</v>
      </c>
      <c r="E53" s="38">
        <f t="shared" si="28"/>
        <v>153.2419609910385</v>
      </c>
      <c r="F53" s="207">
        <f>+(F48/F50)/7*1000</f>
        <v>152.34418091560948</v>
      </c>
      <c r="G53" s="74"/>
      <c r="H53" s="609"/>
      <c r="I53" s="364"/>
      <c r="J53" s="364"/>
      <c r="K53" s="364"/>
      <c r="L53" s="195" t="s">
        <v>15</v>
      </c>
      <c r="M53" s="37">
        <f>+(M48/M50)/7*1000</f>
        <v>162.3693379790941</v>
      </c>
      <c r="N53" s="38">
        <f>+(N48/N50)/7*1000</f>
        <v>159.99999999999997</v>
      </c>
      <c r="O53" s="38">
        <f>+(O48/O50)/7*1000</f>
        <v>160.71428571428572</v>
      </c>
      <c r="P53" s="38">
        <f t="shared" ref="P53:R53" si="29">+(P48/P50)/7*1000</f>
        <v>160.8843537414966</v>
      </c>
      <c r="Q53" s="39">
        <f t="shared" si="29"/>
        <v>159.58188153310107</v>
      </c>
      <c r="R53" s="39">
        <f t="shared" si="29"/>
        <v>160.71428571428575</v>
      </c>
      <c r="T53" s="651"/>
      <c r="V53" s="42"/>
      <c r="W53" s="42"/>
    </row>
    <row r="54" spans="1:50" ht="33.75" customHeight="1" x14ac:dyDescent="0.25">
      <c r="A54" s="41"/>
      <c r="B54" s="316">
        <f>B52-B48</f>
        <v>-1.9550999999997885</v>
      </c>
      <c r="C54" s="316">
        <f t="shared" ref="C54:D55" si="30">C52-C48</f>
        <v>-1.0194999999999936</v>
      </c>
      <c r="D54" s="316">
        <f t="shared" si="30"/>
        <v>7.5439999999999969</v>
      </c>
      <c r="E54" s="316">
        <f>E52-E48</f>
        <v>-3.573799999999892</v>
      </c>
      <c r="F54" s="316">
        <f>F52-F48</f>
        <v>-0.16019999999991796</v>
      </c>
      <c r="G54" s="41"/>
      <c r="H54" s="41"/>
      <c r="I54" s="41"/>
      <c r="J54" s="41"/>
      <c r="K54" s="41"/>
      <c r="L54" s="42"/>
      <c r="M54" s="878">
        <f>M52-M48</f>
        <v>-0.10600000000000165</v>
      </c>
      <c r="N54" s="878">
        <f>N52-N48</f>
        <v>0.14000000000000057</v>
      </c>
      <c r="O54" s="878">
        <f t="shared" ref="N54:R55" si="31">O52-O48</f>
        <v>8.0000000000000071E-3</v>
      </c>
      <c r="P54" s="878">
        <f t="shared" si="31"/>
        <v>-0.11300000000000665</v>
      </c>
      <c r="Q54" s="878">
        <f t="shared" si="31"/>
        <v>0.11999999999999744</v>
      </c>
      <c r="R54" s="42">
        <f>R52-R48</f>
        <v>0</v>
      </c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0.54872298624746918</v>
      </c>
      <c r="C55" s="42">
        <f>C53-C49</f>
        <v>0.2884016973125938</v>
      </c>
      <c r="D55" s="42">
        <f t="shared" si="30"/>
        <v>-26.94285714285715</v>
      </c>
      <c r="E55" s="42">
        <f>E53-E49</f>
        <v>0.94196099103848496</v>
      </c>
      <c r="F55" s="42">
        <f>F53-F49</f>
        <v>4.4180915609473459E-2</v>
      </c>
      <c r="G55" s="41"/>
      <c r="H55" s="41"/>
      <c r="I55" s="41"/>
      <c r="J55" s="41"/>
      <c r="K55" s="42"/>
      <c r="L55" s="42"/>
      <c r="M55" s="42">
        <f>M53-M49</f>
        <v>0.36933797909409805</v>
      </c>
      <c r="N55" s="42">
        <f t="shared" si="31"/>
        <v>-0.50000000000002842</v>
      </c>
      <c r="O55" s="42">
        <f>O53-O49</f>
        <v>-0.28571428571427759</v>
      </c>
      <c r="P55" s="42">
        <f>P53-P49</f>
        <v>0.38435374149659651</v>
      </c>
      <c r="Q55" s="42">
        <f t="shared" si="31"/>
        <v>-0.41811846689893173</v>
      </c>
      <c r="R55" s="42">
        <f t="shared" si="31"/>
        <v>0</v>
      </c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880"/>
      <c r="I57" s="880"/>
      <c r="J57" s="880"/>
      <c r="K57" s="880"/>
      <c r="L57" s="880"/>
      <c r="M57" s="283"/>
      <c r="N57" s="283"/>
      <c r="O57" s="283"/>
      <c r="P57" s="283"/>
      <c r="Q57" s="283"/>
      <c r="R57" s="283"/>
      <c r="S57" s="283"/>
      <c r="T57" s="880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99" t="s">
        <v>30</v>
      </c>
      <c r="H58" s="1000"/>
      <c r="I58" s="1000"/>
      <c r="J58" s="1000"/>
      <c r="K58" s="1001"/>
      <c r="L58" s="973" t="s">
        <v>29</v>
      </c>
      <c r="M58" s="974"/>
      <c r="N58" s="974"/>
      <c r="O58" s="974"/>
      <c r="P58" s="991"/>
      <c r="Q58" s="974" t="s">
        <v>31</v>
      </c>
      <c r="R58" s="974"/>
      <c r="S58" s="974"/>
      <c r="T58" s="974"/>
      <c r="U58" s="991"/>
      <c r="V58" s="992" t="s">
        <v>9</v>
      </c>
      <c r="W58" s="661"/>
      <c r="X58" s="662"/>
      <c r="Y58" s="874"/>
      <c r="Z58" s="874"/>
      <c r="AA58" s="148"/>
      <c r="AB58" s="148"/>
      <c r="AC58" s="148"/>
      <c r="AD58" s="148"/>
      <c r="AE58" s="148"/>
      <c r="AF58" s="58"/>
      <c r="AG58" s="58"/>
      <c r="AH58" s="58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692">
        <v>1</v>
      </c>
      <c r="H59" s="693">
        <v>2</v>
      </c>
      <c r="I59" s="693">
        <v>3</v>
      </c>
      <c r="J59" s="693">
        <v>4</v>
      </c>
      <c r="K59" s="693">
        <v>5</v>
      </c>
      <c r="L59" s="188">
        <v>1</v>
      </c>
      <c r="M59" s="168">
        <v>2</v>
      </c>
      <c r="N59" s="168">
        <v>3</v>
      </c>
      <c r="O59" s="168">
        <v>4</v>
      </c>
      <c r="P59" s="414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993"/>
      <c r="W59" s="663"/>
      <c r="X59" s="645"/>
      <c r="Y59" s="657"/>
      <c r="Z59" s="657"/>
      <c r="AA59" s="148"/>
      <c r="AB59" s="148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45">
      <c r="A60" s="171" t="s">
        <v>53</v>
      </c>
      <c r="B60" s="884">
        <v>7</v>
      </c>
      <c r="C60" s="596">
        <v>7.5</v>
      </c>
      <c r="D60" s="596">
        <v>1</v>
      </c>
      <c r="E60" s="596">
        <v>7.5</v>
      </c>
      <c r="F60" s="601">
        <v>7.4</v>
      </c>
      <c r="G60" s="884">
        <v>7.5</v>
      </c>
      <c r="H60" s="596">
        <v>7.5</v>
      </c>
      <c r="I60" s="885">
        <v>1</v>
      </c>
      <c r="J60" s="596">
        <v>7.5</v>
      </c>
      <c r="K60" s="596">
        <v>7.3</v>
      </c>
      <c r="L60" s="508">
        <v>6.1</v>
      </c>
      <c r="M60" s="504">
        <v>5.8</v>
      </c>
      <c r="N60" s="504">
        <v>1.7</v>
      </c>
      <c r="O60" s="504">
        <v>5.9</v>
      </c>
      <c r="P60" s="507">
        <v>5.8</v>
      </c>
      <c r="Q60" s="601">
        <v>6.2</v>
      </c>
      <c r="R60" s="596">
        <v>6</v>
      </c>
      <c r="S60" s="596">
        <v>1.4</v>
      </c>
      <c r="T60" s="596">
        <v>6.2</v>
      </c>
      <c r="U60" s="600">
        <v>6.2</v>
      </c>
      <c r="V60" s="846">
        <f t="shared" ref="V60:V67" si="32">SUM(B60:U60)</f>
        <v>112.50000000000001</v>
      </c>
      <c r="W60" s="42"/>
      <c r="X60" s="646"/>
      <c r="Y60" s="657"/>
      <c r="Z60" s="657"/>
      <c r="AA60" s="148"/>
      <c r="AB60" s="148"/>
      <c r="AC60" s="58"/>
      <c r="AD60" s="45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45">
      <c r="A61" s="171" t="s">
        <v>24</v>
      </c>
      <c r="B61" s="884">
        <v>7</v>
      </c>
      <c r="C61" s="596">
        <v>7.5</v>
      </c>
      <c r="D61" s="596">
        <v>1</v>
      </c>
      <c r="E61" s="596">
        <v>7.5</v>
      </c>
      <c r="F61" s="601">
        <v>7.4</v>
      </c>
      <c r="G61" s="884">
        <v>7.5</v>
      </c>
      <c r="H61" s="596">
        <v>7.5</v>
      </c>
      <c r="I61" s="885">
        <v>1</v>
      </c>
      <c r="J61" s="596">
        <v>7.5</v>
      </c>
      <c r="K61" s="596">
        <v>7.3</v>
      </c>
      <c r="L61" s="508">
        <v>6.1</v>
      </c>
      <c r="M61" s="504">
        <v>5.8</v>
      </c>
      <c r="N61" s="504">
        <v>1.7</v>
      </c>
      <c r="O61" s="504">
        <v>5.9</v>
      </c>
      <c r="P61" s="507">
        <v>5.8</v>
      </c>
      <c r="Q61" s="601">
        <v>6.2</v>
      </c>
      <c r="R61" s="596">
        <v>6</v>
      </c>
      <c r="S61" s="596">
        <v>1.4</v>
      </c>
      <c r="T61" s="596">
        <v>6.2</v>
      </c>
      <c r="U61" s="600">
        <v>6.2</v>
      </c>
      <c r="V61" s="749">
        <f t="shared" si="32"/>
        <v>112.50000000000001</v>
      </c>
      <c r="W61" s="42"/>
      <c r="X61" s="646"/>
      <c r="Y61" s="875"/>
      <c r="Z61" s="875"/>
      <c r="AA61" s="148"/>
      <c r="AB61" s="148"/>
      <c r="AC61" s="58"/>
      <c r="AD61" s="45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45">
      <c r="A62" s="171" t="s">
        <v>20</v>
      </c>
      <c r="B62" s="884">
        <v>7</v>
      </c>
      <c r="C62" s="596">
        <v>7.5</v>
      </c>
      <c r="D62" s="596">
        <v>1</v>
      </c>
      <c r="E62" s="596">
        <v>7.5</v>
      </c>
      <c r="F62" s="601">
        <v>7.4</v>
      </c>
      <c r="G62" s="884">
        <v>7.5</v>
      </c>
      <c r="H62" s="596">
        <v>7.5</v>
      </c>
      <c r="I62" s="885">
        <v>1</v>
      </c>
      <c r="J62" s="596">
        <v>7.5</v>
      </c>
      <c r="K62" s="596">
        <v>7.3</v>
      </c>
      <c r="L62" s="508">
        <v>6.1</v>
      </c>
      <c r="M62" s="504">
        <v>5.8</v>
      </c>
      <c r="N62" s="504">
        <v>1.7</v>
      </c>
      <c r="O62" s="504">
        <v>5.9</v>
      </c>
      <c r="P62" s="507">
        <v>5.8</v>
      </c>
      <c r="Q62" s="601">
        <v>6.2</v>
      </c>
      <c r="R62" s="596">
        <v>6</v>
      </c>
      <c r="S62" s="596">
        <v>1.4</v>
      </c>
      <c r="T62" s="596">
        <v>6.2</v>
      </c>
      <c r="U62" s="600">
        <v>6.2</v>
      </c>
      <c r="V62" s="749">
        <f t="shared" si="32"/>
        <v>112.50000000000001</v>
      </c>
      <c r="W62" s="42"/>
      <c r="X62" s="646"/>
      <c r="Y62" s="875"/>
      <c r="Z62" s="875"/>
      <c r="AA62" s="148"/>
      <c r="AB62" s="148"/>
      <c r="AC62" s="58"/>
      <c r="AD62" s="45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45">
      <c r="A63" s="171" t="s">
        <v>28</v>
      </c>
      <c r="B63" s="884">
        <v>7</v>
      </c>
      <c r="C63" s="596">
        <v>7.5</v>
      </c>
      <c r="D63" s="596">
        <v>1</v>
      </c>
      <c r="E63" s="596">
        <v>7.5</v>
      </c>
      <c r="F63" s="601">
        <v>7.4</v>
      </c>
      <c r="G63" s="884">
        <v>7.5</v>
      </c>
      <c r="H63" s="596">
        <v>7.5</v>
      </c>
      <c r="I63" s="885">
        <v>1</v>
      </c>
      <c r="J63" s="596">
        <v>7.5</v>
      </c>
      <c r="K63" s="596">
        <v>7.3</v>
      </c>
      <c r="L63" s="508">
        <v>6.1</v>
      </c>
      <c r="M63" s="504">
        <v>5.8</v>
      </c>
      <c r="N63" s="504">
        <v>1.7</v>
      </c>
      <c r="O63" s="504">
        <v>5.9</v>
      </c>
      <c r="P63" s="507">
        <v>5.8</v>
      </c>
      <c r="Q63" s="601">
        <v>6.2</v>
      </c>
      <c r="R63" s="596">
        <v>6</v>
      </c>
      <c r="S63" s="596">
        <v>1.4</v>
      </c>
      <c r="T63" s="596">
        <v>6.2</v>
      </c>
      <c r="U63" s="600">
        <v>6.2</v>
      </c>
      <c r="V63" s="749">
        <f t="shared" si="32"/>
        <v>112.50000000000001</v>
      </c>
      <c r="W63" s="42"/>
      <c r="X63" s="646"/>
      <c r="Y63" s="875"/>
      <c r="Z63" s="875"/>
      <c r="AA63" s="148"/>
      <c r="AB63" s="148"/>
      <c r="AC63" s="58"/>
      <c r="AD63" s="45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45">
      <c r="A64" s="171" t="s">
        <v>21</v>
      </c>
      <c r="B64" s="884">
        <v>7</v>
      </c>
      <c r="C64" s="596">
        <v>7.5</v>
      </c>
      <c r="D64" s="596">
        <v>1</v>
      </c>
      <c r="E64" s="596">
        <v>7.5</v>
      </c>
      <c r="F64" s="601">
        <v>7.4</v>
      </c>
      <c r="G64" s="884">
        <v>7.5</v>
      </c>
      <c r="H64" s="596">
        <v>7.5</v>
      </c>
      <c r="I64" s="885">
        <v>1</v>
      </c>
      <c r="J64" s="596">
        <v>7.5</v>
      </c>
      <c r="K64" s="596">
        <v>7.3</v>
      </c>
      <c r="L64" s="508">
        <v>6</v>
      </c>
      <c r="M64" s="504">
        <v>5.9</v>
      </c>
      <c r="N64" s="504">
        <v>1.6</v>
      </c>
      <c r="O64" s="504">
        <v>5.9</v>
      </c>
      <c r="P64" s="507">
        <v>5.8</v>
      </c>
      <c r="Q64" s="601">
        <v>6.2</v>
      </c>
      <c r="R64" s="596">
        <v>6</v>
      </c>
      <c r="S64" s="596">
        <v>1.2</v>
      </c>
      <c r="T64" s="596">
        <v>6.2</v>
      </c>
      <c r="U64" s="600">
        <v>6</v>
      </c>
      <c r="V64" s="749">
        <f t="shared" si="32"/>
        <v>112</v>
      </c>
      <c r="W64" s="42"/>
      <c r="X64" s="646"/>
      <c r="Y64" s="875"/>
      <c r="Z64" s="875"/>
      <c r="AA64" s="148"/>
      <c r="AB64" s="148"/>
      <c r="AC64" s="58"/>
      <c r="AD64" s="45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45">
      <c r="A65" s="171" t="s">
        <v>22</v>
      </c>
      <c r="B65" s="884">
        <v>7.1</v>
      </c>
      <c r="C65" s="596">
        <v>7.5</v>
      </c>
      <c r="D65" s="596">
        <v>1</v>
      </c>
      <c r="E65" s="596">
        <v>7.5</v>
      </c>
      <c r="F65" s="601">
        <v>7.5</v>
      </c>
      <c r="G65" s="884">
        <v>7.5</v>
      </c>
      <c r="H65" s="596">
        <v>7.5</v>
      </c>
      <c r="I65" s="885">
        <v>1</v>
      </c>
      <c r="J65" s="596">
        <v>7.5</v>
      </c>
      <c r="K65" s="596">
        <v>7.2</v>
      </c>
      <c r="L65" s="508">
        <v>6</v>
      </c>
      <c r="M65" s="504">
        <v>5.9</v>
      </c>
      <c r="N65" s="504">
        <v>1.6</v>
      </c>
      <c r="O65" s="504">
        <v>5.9</v>
      </c>
      <c r="P65" s="507">
        <v>5.8</v>
      </c>
      <c r="Q65" s="601">
        <v>6.2</v>
      </c>
      <c r="R65" s="596">
        <v>6</v>
      </c>
      <c r="S65" s="596">
        <v>1.2</v>
      </c>
      <c r="T65" s="596">
        <v>6.2</v>
      </c>
      <c r="U65" s="600">
        <v>6</v>
      </c>
      <c r="V65" s="749">
        <f t="shared" si="32"/>
        <v>112.10000000000002</v>
      </c>
      <c r="W65" s="42"/>
      <c r="X65" s="646"/>
      <c r="Y65" s="875"/>
      <c r="Z65" s="875"/>
      <c r="AA65" s="148"/>
      <c r="AB65" s="148"/>
      <c r="AC65" s="58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5">
      <c r="A66" s="171" t="s">
        <v>23</v>
      </c>
      <c r="B66" s="884">
        <v>7.1</v>
      </c>
      <c r="C66" s="596">
        <v>7.4</v>
      </c>
      <c r="D66" s="596">
        <v>0.9</v>
      </c>
      <c r="E66" s="596">
        <v>7.5</v>
      </c>
      <c r="F66" s="601">
        <v>7.5</v>
      </c>
      <c r="G66" s="884">
        <v>7.6</v>
      </c>
      <c r="H66" s="596">
        <v>7.5</v>
      </c>
      <c r="I66" s="885">
        <v>1</v>
      </c>
      <c r="J66" s="596">
        <v>7.5</v>
      </c>
      <c r="K66" s="596">
        <v>7.2</v>
      </c>
      <c r="L66" s="508">
        <v>6</v>
      </c>
      <c r="M66" s="504">
        <v>5.9</v>
      </c>
      <c r="N66" s="504">
        <v>1.6</v>
      </c>
      <c r="O66" s="504">
        <v>5.9</v>
      </c>
      <c r="P66" s="507">
        <v>5.8</v>
      </c>
      <c r="Q66" s="601">
        <v>6.2</v>
      </c>
      <c r="R66" s="596">
        <v>6</v>
      </c>
      <c r="S66" s="596">
        <v>1.2</v>
      </c>
      <c r="T66" s="596">
        <v>6.2</v>
      </c>
      <c r="U66" s="600">
        <v>6</v>
      </c>
      <c r="V66" s="749">
        <f t="shared" si="32"/>
        <v>112.00000000000001</v>
      </c>
      <c r="W66" s="42"/>
      <c r="X66" s="646"/>
      <c r="Y66" s="875"/>
      <c r="Z66" s="875"/>
      <c r="AA66" s="148"/>
      <c r="AB66" s="148"/>
      <c r="AC66" s="58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618">
        <f t="shared" ref="B67:U67" si="33">SUM(B60:B66)</f>
        <v>49.2</v>
      </c>
      <c r="C67" s="616">
        <f t="shared" si="33"/>
        <v>52.4</v>
      </c>
      <c r="D67" s="616">
        <f t="shared" si="33"/>
        <v>6.9</v>
      </c>
      <c r="E67" s="616">
        <f t="shared" si="33"/>
        <v>52.5</v>
      </c>
      <c r="F67" s="617">
        <f t="shared" si="33"/>
        <v>52</v>
      </c>
      <c r="G67" s="719">
        <f t="shared" si="33"/>
        <v>52.6</v>
      </c>
      <c r="H67" s="696">
        <f t="shared" si="33"/>
        <v>52.5</v>
      </c>
      <c r="I67" s="696">
        <f t="shared" si="33"/>
        <v>7</v>
      </c>
      <c r="J67" s="696">
        <f t="shared" si="33"/>
        <v>52.5</v>
      </c>
      <c r="K67" s="720">
        <f t="shared" si="33"/>
        <v>50.900000000000006</v>
      </c>
      <c r="L67" s="618">
        <f t="shared" si="33"/>
        <v>42.4</v>
      </c>
      <c r="M67" s="616">
        <f t="shared" si="33"/>
        <v>40.9</v>
      </c>
      <c r="N67" s="616">
        <f t="shared" si="33"/>
        <v>11.6</v>
      </c>
      <c r="O67" s="616">
        <f t="shared" si="33"/>
        <v>41.3</v>
      </c>
      <c r="P67" s="619">
        <f t="shared" si="33"/>
        <v>40.599999999999994</v>
      </c>
      <c r="Q67" s="615">
        <f t="shared" si="33"/>
        <v>43.400000000000006</v>
      </c>
      <c r="R67" s="616">
        <f t="shared" si="33"/>
        <v>42</v>
      </c>
      <c r="S67" s="616">
        <f t="shared" si="33"/>
        <v>9.1999999999999993</v>
      </c>
      <c r="T67" s="616">
        <f t="shared" si="33"/>
        <v>43.400000000000006</v>
      </c>
      <c r="U67" s="617">
        <f t="shared" si="33"/>
        <v>42.8</v>
      </c>
      <c r="V67" s="449">
        <f t="shared" si="32"/>
        <v>786.09999999999991</v>
      </c>
      <c r="W67" s="664"/>
      <c r="X67" s="646"/>
      <c r="Y67" s="875"/>
      <c r="Z67" s="875"/>
      <c r="AA67" s="148"/>
      <c r="AB67" s="148"/>
      <c r="AC67" s="148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163.5</v>
      </c>
      <c r="C68" s="358">
        <v>163</v>
      </c>
      <c r="D68" s="358">
        <v>163.5</v>
      </c>
      <c r="E68" s="358">
        <v>163</v>
      </c>
      <c r="F68" s="624">
        <v>161.5</v>
      </c>
      <c r="G68" s="357">
        <v>163.5</v>
      </c>
      <c r="H68" s="358">
        <v>163</v>
      </c>
      <c r="I68" s="358">
        <v>163.5</v>
      </c>
      <c r="J68" s="358">
        <v>163</v>
      </c>
      <c r="K68" s="624">
        <v>161.5</v>
      </c>
      <c r="L68" s="357">
        <v>163.5</v>
      </c>
      <c r="M68" s="358">
        <v>163</v>
      </c>
      <c r="N68" s="358">
        <v>163.5</v>
      </c>
      <c r="O68" s="358">
        <v>163</v>
      </c>
      <c r="P68" s="624">
        <v>161.5</v>
      </c>
      <c r="Q68" s="671">
        <v>163.5</v>
      </c>
      <c r="R68" s="358">
        <v>163</v>
      </c>
      <c r="S68" s="358">
        <v>163.5</v>
      </c>
      <c r="T68" s="358">
        <v>163</v>
      </c>
      <c r="U68" s="624">
        <v>161.5</v>
      </c>
      <c r="V68" s="296">
        <f>+((V67/V69)/7)*1000</f>
        <v>163.22674418604649</v>
      </c>
      <c r="W68" s="145"/>
      <c r="X68" s="648"/>
      <c r="Y68" s="874"/>
      <c r="Z68" s="874"/>
      <c r="AA68" s="148"/>
      <c r="AB68" s="148"/>
      <c r="AC68" s="148"/>
      <c r="AD68" s="148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43</v>
      </c>
      <c r="C69" s="275">
        <v>45</v>
      </c>
      <c r="D69" s="275">
        <v>6</v>
      </c>
      <c r="E69" s="275">
        <v>46</v>
      </c>
      <c r="F69" s="276">
        <v>46</v>
      </c>
      <c r="G69" s="723">
        <v>46</v>
      </c>
      <c r="H69" s="700">
        <v>46</v>
      </c>
      <c r="I69" s="700">
        <v>6</v>
      </c>
      <c r="J69" s="700">
        <v>46</v>
      </c>
      <c r="K69" s="724">
        <v>45</v>
      </c>
      <c r="L69" s="257">
        <v>37</v>
      </c>
      <c r="M69" s="275">
        <v>36</v>
      </c>
      <c r="N69" s="275">
        <v>10</v>
      </c>
      <c r="O69" s="275">
        <v>36</v>
      </c>
      <c r="P69" s="276">
        <v>35</v>
      </c>
      <c r="Q69" s="79">
        <v>38</v>
      </c>
      <c r="R69" s="275">
        <v>37</v>
      </c>
      <c r="S69" s="275">
        <v>8</v>
      </c>
      <c r="T69" s="275">
        <v>38</v>
      </c>
      <c r="U69" s="276">
        <v>38</v>
      </c>
      <c r="V69" s="254">
        <f>SUM(B69:U69)</f>
        <v>688</v>
      </c>
      <c r="W69" s="145"/>
      <c r="X69" s="649"/>
      <c r="Y69" s="874"/>
      <c r="Z69" s="874"/>
      <c r="AA69" s="148"/>
      <c r="AB69" s="148"/>
      <c r="AC69" s="148"/>
      <c r="AD69" s="45"/>
      <c r="AE69" s="148"/>
      <c r="AF69" s="148"/>
      <c r="AG69" s="148"/>
      <c r="AH69" s="45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>((((B68*7)*B69)/1000-B60-B61)/5)</f>
        <v>7.0427000000000008</v>
      </c>
      <c r="C70" s="31">
        <f t="shared" ref="C70:U70" si="34">((((C68*7)*C69)/1000-C60-C61)/5)</f>
        <v>7.2690000000000001</v>
      </c>
      <c r="D70" s="31">
        <f t="shared" si="34"/>
        <v>0.97340000000000004</v>
      </c>
      <c r="E70" s="31">
        <f t="shared" si="34"/>
        <v>7.4971999999999994</v>
      </c>
      <c r="F70" s="32">
        <f t="shared" si="34"/>
        <v>7.4406000000000008</v>
      </c>
      <c r="G70" s="30">
        <f t="shared" si="34"/>
        <v>7.5293999999999999</v>
      </c>
      <c r="H70" s="31">
        <f t="shared" si="34"/>
        <v>7.4971999999999994</v>
      </c>
      <c r="I70" s="31">
        <f t="shared" si="34"/>
        <v>0.97340000000000004</v>
      </c>
      <c r="J70" s="31">
        <f t="shared" si="34"/>
        <v>7.4971999999999994</v>
      </c>
      <c r="K70" s="32">
        <f t="shared" si="34"/>
        <v>7.2545000000000019</v>
      </c>
      <c r="L70" s="30">
        <f t="shared" si="34"/>
        <v>6.0292999999999992</v>
      </c>
      <c r="M70" s="31">
        <f t="shared" si="34"/>
        <v>5.8952000000000009</v>
      </c>
      <c r="N70" s="31">
        <f t="shared" si="34"/>
        <v>1.6090000000000004</v>
      </c>
      <c r="O70" s="31">
        <f t="shared" si="34"/>
        <v>5.8552000000000008</v>
      </c>
      <c r="P70" s="32">
        <f t="shared" si="34"/>
        <v>5.5935000000000006</v>
      </c>
      <c r="Q70" s="65">
        <f t="shared" si="34"/>
        <v>6.2181999999999995</v>
      </c>
      <c r="R70" s="31">
        <f t="shared" si="34"/>
        <v>6.0434000000000001</v>
      </c>
      <c r="S70" s="31">
        <f t="shared" si="34"/>
        <v>1.2711999999999999</v>
      </c>
      <c r="T70" s="31">
        <f t="shared" si="34"/>
        <v>6.1915999999999993</v>
      </c>
      <c r="U70" s="32">
        <f t="shared" si="34"/>
        <v>6.1118000000000006</v>
      </c>
      <c r="V70" s="139">
        <f>((V67*1000)/V69)/7</f>
        <v>163.22674418604649</v>
      </c>
      <c r="W70" s="144"/>
      <c r="X70" s="650"/>
      <c r="Y70" s="874"/>
      <c r="Z70" s="874"/>
      <c r="AA70" s="148"/>
      <c r="AB70" s="148"/>
      <c r="AC70" s="148"/>
      <c r="AD70" s="148"/>
      <c r="AE70" s="148"/>
      <c r="AF70" s="148"/>
      <c r="AG70" s="148"/>
      <c r="AH70" s="45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35">((B69*B68)*7)/1000</f>
        <v>49.213500000000003</v>
      </c>
      <c r="C71" s="280">
        <f t="shared" si="35"/>
        <v>51.344999999999999</v>
      </c>
      <c r="D71" s="280">
        <f t="shared" si="35"/>
        <v>6.867</v>
      </c>
      <c r="E71" s="280">
        <f t="shared" si="35"/>
        <v>52.485999999999997</v>
      </c>
      <c r="F71" s="282">
        <f t="shared" si="35"/>
        <v>52.003</v>
      </c>
      <c r="G71" s="464">
        <f t="shared" si="35"/>
        <v>52.646999999999998</v>
      </c>
      <c r="H71" s="459">
        <f>((H69*H68)*7)/1000</f>
        <v>52.485999999999997</v>
      </c>
      <c r="I71" s="459">
        <f t="shared" si="35"/>
        <v>6.867</v>
      </c>
      <c r="J71" s="459">
        <f t="shared" si="35"/>
        <v>52.485999999999997</v>
      </c>
      <c r="K71" s="460">
        <f t="shared" si="35"/>
        <v>50.872500000000002</v>
      </c>
      <c r="L71" s="279">
        <f t="shared" si="35"/>
        <v>42.346499999999999</v>
      </c>
      <c r="M71" s="280">
        <f t="shared" si="35"/>
        <v>41.076000000000001</v>
      </c>
      <c r="N71" s="280">
        <f t="shared" si="35"/>
        <v>11.445</v>
      </c>
      <c r="O71" s="280">
        <f t="shared" si="35"/>
        <v>41.076000000000001</v>
      </c>
      <c r="P71" s="282">
        <f t="shared" si="35"/>
        <v>39.567500000000003</v>
      </c>
      <c r="Q71" s="325">
        <f t="shared" si="35"/>
        <v>43.491</v>
      </c>
      <c r="R71" s="280">
        <f t="shared" si="35"/>
        <v>42.216999999999999</v>
      </c>
      <c r="S71" s="280">
        <f t="shared" si="35"/>
        <v>9.1560000000000006</v>
      </c>
      <c r="T71" s="280">
        <f t="shared" si="35"/>
        <v>43.357999999999997</v>
      </c>
      <c r="U71" s="282">
        <f t="shared" si="35"/>
        <v>42.959000000000003</v>
      </c>
      <c r="V71" s="112"/>
      <c r="W71" s="651"/>
      <c r="X71" s="666"/>
      <c r="Y71" s="657"/>
      <c r="Z71" s="657"/>
      <c r="AA71" s="45"/>
      <c r="AB71" s="45"/>
      <c r="AC71" s="45"/>
      <c r="AD71" s="148"/>
      <c r="AE71" s="148"/>
      <c r="AF71" s="148"/>
      <c r="AG71" s="148"/>
      <c r="AH71" s="148"/>
      <c r="AM71" s="3"/>
    </row>
    <row r="72" spans="1:50" ht="33.75" customHeight="1" thickBot="1" x14ac:dyDescent="0.3">
      <c r="A72" s="195" t="s">
        <v>15</v>
      </c>
      <c r="B72" s="37">
        <f t="shared" ref="B72:U72" si="36">+(B67/B69)/7*1000</f>
        <v>163.45514950166114</v>
      </c>
      <c r="C72" s="38">
        <f t="shared" si="36"/>
        <v>166.34920634920633</v>
      </c>
      <c r="D72" s="38">
        <f t="shared" si="36"/>
        <v>164.28571428571431</v>
      </c>
      <c r="E72" s="38">
        <f t="shared" si="36"/>
        <v>163.04347826086956</v>
      </c>
      <c r="F72" s="39">
        <f t="shared" si="36"/>
        <v>161.49068322981367</v>
      </c>
      <c r="G72" s="727">
        <f t="shared" si="36"/>
        <v>163.35403726708074</v>
      </c>
      <c r="H72" s="704">
        <f t="shared" si="36"/>
        <v>163.04347826086956</v>
      </c>
      <c r="I72" s="704">
        <f t="shared" si="36"/>
        <v>166.66666666666669</v>
      </c>
      <c r="J72" s="704">
        <f t="shared" si="36"/>
        <v>163.04347826086956</v>
      </c>
      <c r="K72" s="728">
        <f t="shared" si="36"/>
        <v>161.5873015873016</v>
      </c>
      <c r="L72" s="37">
        <f t="shared" si="36"/>
        <v>163.70656370656371</v>
      </c>
      <c r="M72" s="38">
        <f t="shared" si="36"/>
        <v>162.30158730158732</v>
      </c>
      <c r="N72" s="38">
        <f t="shared" si="36"/>
        <v>165.71428571428569</v>
      </c>
      <c r="O72" s="38">
        <f t="shared" si="36"/>
        <v>163.88888888888889</v>
      </c>
      <c r="P72" s="39">
        <f t="shared" si="36"/>
        <v>165.71428571428569</v>
      </c>
      <c r="Q72" s="67">
        <f t="shared" si="36"/>
        <v>163.15789473684214</v>
      </c>
      <c r="R72" s="38">
        <f t="shared" si="36"/>
        <v>162.16216216216213</v>
      </c>
      <c r="S72" s="38">
        <f t="shared" si="36"/>
        <v>164.28571428571428</v>
      </c>
      <c r="T72" s="38">
        <f t="shared" si="36"/>
        <v>163.15789473684214</v>
      </c>
      <c r="U72" s="39">
        <f t="shared" si="36"/>
        <v>160.90225563909775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316">
        <f>B71-B67</f>
        <v>1.3500000000000512E-2</v>
      </c>
      <c r="C73" s="316">
        <f t="shared" ref="C73:F73" si="37">C71-C67</f>
        <v>-1.0549999999999997</v>
      </c>
      <c r="D73" s="316">
        <f t="shared" si="37"/>
        <v>-3.3000000000000362E-2</v>
      </c>
      <c r="E73" s="316">
        <f t="shared" si="37"/>
        <v>-1.4000000000002899E-2</v>
      </c>
      <c r="F73" s="316">
        <f t="shared" si="37"/>
        <v>3.0000000000001137E-3</v>
      </c>
      <c r="G73" s="879">
        <f>G71-G67</f>
        <v>4.6999999999997044E-2</v>
      </c>
      <c r="H73" s="879">
        <f t="shared" ref="H73:P74" si="38">H71-H67</f>
        <v>-1.4000000000002899E-2</v>
      </c>
      <c r="I73" s="879">
        <f t="shared" si="38"/>
        <v>-0.13300000000000001</v>
      </c>
      <c r="J73" s="879">
        <f t="shared" si="38"/>
        <v>-1.4000000000002899E-2</v>
      </c>
      <c r="K73" s="879">
        <f t="shared" si="38"/>
        <v>-2.7500000000003411E-2</v>
      </c>
      <c r="L73" s="316">
        <f>L71-L67</f>
        <v>-5.3499999999999659E-2</v>
      </c>
      <c r="M73" s="316">
        <f t="shared" ref="M73:U74" si="39">M71-M67</f>
        <v>0.17600000000000193</v>
      </c>
      <c r="N73" s="316">
        <f t="shared" si="39"/>
        <v>-0.15499999999999936</v>
      </c>
      <c r="O73" s="316">
        <f t="shared" si="39"/>
        <v>-0.22399999999999665</v>
      </c>
      <c r="P73" s="316">
        <f t="shared" si="39"/>
        <v>-1.0324999999999918</v>
      </c>
      <c r="Q73" s="316">
        <f t="shared" si="39"/>
        <v>9.0999999999993975E-2</v>
      </c>
      <c r="R73" s="316">
        <f t="shared" si="39"/>
        <v>0.21699999999999875</v>
      </c>
      <c r="S73" s="316">
        <f t="shared" si="39"/>
        <v>-4.3999999999998707E-2</v>
      </c>
      <c r="T73" s="316">
        <f t="shared" si="39"/>
        <v>-4.2000000000008697E-2</v>
      </c>
      <c r="U73" s="316">
        <f t="shared" si="39"/>
        <v>0.15900000000000603</v>
      </c>
      <c r="V73" s="43">
        <f t="shared" ref="V73" si="40">U71-U67</f>
        <v>0.15900000000000603</v>
      </c>
      <c r="X73" s="144"/>
      <c r="Y73" s="522"/>
      <c r="Z73" s="522"/>
      <c r="AA73" s="522"/>
    </row>
    <row r="74" spans="1:50" ht="33.75" customHeight="1" x14ac:dyDescent="0.25">
      <c r="B74" s="42">
        <f t="shared" ref="B74:J74" si="41">B72-B68</f>
        <v>-4.4850498338860234E-2</v>
      </c>
      <c r="C74" s="42">
        <f t="shared" si="41"/>
        <v>3.3492063492063266</v>
      </c>
      <c r="D74" s="42">
        <f t="shared" si="41"/>
        <v>0.78571428571430602</v>
      </c>
      <c r="E74" s="42">
        <f t="shared" si="41"/>
        <v>4.3478260869562746E-2</v>
      </c>
      <c r="F74" s="42">
        <f t="shared" si="41"/>
        <v>-9.3167701863308139E-3</v>
      </c>
      <c r="G74" s="705">
        <f t="shared" si="41"/>
        <v>-0.14596273291925854</v>
      </c>
      <c r="H74" s="705">
        <f t="shared" si="41"/>
        <v>4.3478260869562746E-2</v>
      </c>
      <c r="I74" s="705">
        <f>I72-I68</f>
        <v>3.1666666666666856</v>
      </c>
      <c r="J74" s="705">
        <f t="shared" si="41"/>
        <v>4.3478260869562746E-2</v>
      </c>
      <c r="K74" s="705">
        <f t="shared" si="38"/>
        <v>8.7301587301595873E-2</v>
      </c>
      <c r="L74" s="42">
        <f t="shared" si="38"/>
        <v>0.20656370656371337</v>
      </c>
      <c r="M74" s="42">
        <f t="shared" si="38"/>
        <v>-0.69841269841268172</v>
      </c>
      <c r="N74" s="42">
        <f t="shared" si="38"/>
        <v>2.214285714285694</v>
      </c>
      <c r="O74" s="42">
        <f t="shared" si="38"/>
        <v>0.88888888888888573</v>
      </c>
      <c r="P74" s="42">
        <f t="shared" si="38"/>
        <v>4.214285714285694</v>
      </c>
      <c r="Q74" s="42">
        <f t="shared" si="39"/>
        <v>-0.34210526315786183</v>
      </c>
      <c r="R74" s="42">
        <f t="shared" si="39"/>
        <v>-0.83783783783786703</v>
      </c>
      <c r="S74" s="42">
        <f t="shared" si="39"/>
        <v>0.78571428571427759</v>
      </c>
      <c r="T74" s="42">
        <f t="shared" si="39"/>
        <v>0.15789473684213817</v>
      </c>
      <c r="U74" s="42">
        <f t="shared" si="39"/>
        <v>-0.59774436090225436</v>
      </c>
      <c r="V74" s="42">
        <f>U72-U68</f>
        <v>-0.59774436090225436</v>
      </c>
      <c r="W74" s="45"/>
      <c r="X74" s="651"/>
      <c r="Y74" s="657"/>
      <c r="Z74" s="657"/>
      <c r="AA74" s="657"/>
      <c r="AB74" s="45"/>
      <c r="AC74" s="45"/>
      <c r="AD74" s="45"/>
      <c r="AE74" s="52"/>
    </row>
    <row r="75" spans="1:50" ht="33.75" customHeight="1" x14ac:dyDescent="0.25">
      <c r="B75" s="576"/>
      <c r="C75" s="576"/>
      <c r="D75" s="576"/>
      <c r="E75" s="576"/>
      <c r="F75" s="576"/>
      <c r="G75" s="576"/>
      <c r="H75" s="576"/>
      <c r="I75" s="576"/>
      <c r="J75" s="576"/>
      <c r="K75" s="576"/>
      <c r="L75" s="576"/>
      <c r="M75" s="576"/>
      <c r="N75" s="576"/>
      <c r="O75" s="576"/>
      <c r="P75" s="576"/>
      <c r="Q75" s="576"/>
      <c r="R75" s="576"/>
      <c r="S75" s="576"/>
      <c r="T75" s="576"/>
      <c r="U75" s="576"/>
      <c r="V75" s="636"/>
    </row>
    <row r="76" spans="1:50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0" ht="33.75" customHeight="1" x14ac:dyDescent="0.25">
      <c r="A77" s="45"/>
      <c r="B77" s="58"/>
      <c r="C77" s="58"/>
      <c r="D77" s="648" t="s">
        <v>132</v>
      </c>
      <c r="E77" s="58"/>
      <c r="F77" s="58"/>
      <c r="G77" s="58"/>
      <c r="H77" s="648" t="s">
        <v>132</v>
      </c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8">
    <mergeCell ref="Z16:Z17"/>
    <mergeCell ref="B39:F39"/>
    <mergeCell ref="G39:G40"/>
    <mergeCell ref="M39:Q39"/>
    <mergeCell ref="R39:R40"/>
    <mergeCell ref="B58:F58"/>
    <mergeCell ref="G58:K58"/>
    <mergeCell ref="L58:P58"/>
    <mergeCell ref="Q58:U58"/>
    <mergeCell ref="V58:V59"/>
    <mergeCell ref="A3:C3"/>
    <mergeCell ref="E9:G9"/>
    <mergeCell ref="W9:X9"/>
    <mergeCell ref="O11:P11"/>
    <mergeCell ref="B16:H16"/>
    <mergeCell ref="I16:O16"/>
    <mergeCell ref="P16:T16"/>
    <mergeCell ref="U16:Y16"/>
  </mergeCells>
  <pageMargins left="0.23622047244094488" right="0.23622047244094488" top="0.74803149606299213" bottom="0.74803149606299213" header="0.31496062992125984" footer="0.31496062992125984"/>
  <pageSetup paperSize="9" scale="20" fitToWidth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241"/>
  <sheetViews>
    <sheetView zoomScale="26" zoomScaleNormal="26" workbookViewId="0">
      <selection activeCell="A24" sqref="A24:XFD24"/>
    </sheetView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8" width="20.7109375" style="14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887"/>
      <c r="E3" s="887"/>
      <c r="F3" s="887"/>
      <c r="G3" s="887"/>
      <c r="H3" s="887"/>
      <c r="I3" s="887"/>
      <c r="J3" s="887"/>
      <c r="K3" s="887"/>
      <c r="L3" s="887"/>
      <c r="M3" s="887"/>
      <c r="N3" s="887"/>
      <c r="O3" s="887"/>
      <c r="P3" s="887"/>
      <c r="Q3" s="887"/>
      <c r="R3" s="887"/>
      <c r="S3" s="887"/>
      <c r="T3" s="887"/>
      <c r="U3" s="887"/>
      <c r="V3" s="887"/>
      <c r="W3" s="887"/>
      <c r="X3" s="887"/>
      <c r="Y3" s="887"/>
      <c r="Z3" s="887"/>
      <c r="AA3" s="887"/>
      <c r="AB3" s="887"/>
      <c r="AC3" s="887"/>
      <c r="AD3" s="887"/>
      <c r="AE3" s="2"/>
      <c r="AF3" s="2"/>
      <c r="AG3" s="2"/>
      <c r="AH3" s="2"/>
      <c r="AI3" s="2"/>
      <c r="AJ3" s="887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887" t="s">
        <v>1</v>
      </c>
      <c r="B9" s="887"/>
      <c r="C9" s="887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887"/>
      <c r="B10" s="887"/>
      <c r="C10" s="88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887" t="s">
        <v>4</v>
      </c>
      <c r="B11" s="887"/>
      <c r="C11" s="887"/>
      <c r="D11" s="1"/>
      <c r="E11" s="888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59</v>
      </c>
      <c r="P11" s="965"/>
      <c r="Q11" s="889"/>
      <c r="R11" s="889"/>
      <c r="S11" s="889"/>
      <c r="T11" s="1"/>
      <c r="U11" s="1"/>
      <c r="V11" s="1" t="s">
        <v>6</v>
      </c>
      <c r="W11" s="95">
        <v>45742</v>
      </c>
      <c r="X11" s="95">
        <f>W11+6</f>
        <v>45748</v>
      </c>
      <c r="Y11" s="889"/>
      <c r="Z11" s="889"/>
      <c r="AA11" s="889"/>
      <c r="AB11" s="889"/>
      <c r="AC11" s="889"/>
      <c r="AD11" s="1"/>
      <c r="AE11" s="1"/>
      <c r="AF11" s="1"/>
      <c r="AG11" s="1"/>
      <c r="AH11" s="1"/>
      <c r="AI11" s="1"/>
    </row>
    <row r="12" spans="1:36" s="3" customFormat="1" ht="26.25" x14ac:dyDescent="0.25">
      <c r="A12" s="887"/>
      <c r="B12" s="887"/>
      <c r="C12" s="887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889"/>
      <c r="Q12" s="889"/>
      <c r="R12" s="889"/>
      <c r="S12" s="889"/>
      <c r="T12" s="889"/>
      <c r="U12" s="1"/>
      <c r="V12" s="1"/>
      <c r="W12" s="1"/>
      <c r="X12" s="1"/>
      <c r="Y12" s="889"/>
      <c r="Z12" s="889"/>
      <c r="AA12" s="889"/>
      <c r="AB12" s="889"/>
      <c r="AC12" s="889"/>
      <c r="AD12" s="889"/>
      <c r="AE12" s="889"/>
      <c r="AF12" s="889"/>
      <c r="AG12" s="889"/>
      <c r="AH12" s="889"/>
      <c r="AI12" s="889"/>
      <c r="AJ12" s="1"/>
    </row>
    <row r="13" spans="1:36" s="3" customFormat="1" ht="26.25" x14ac:dyDescent="0.25">
      <c r="A13" s="887"/>
      <c r="B13" s="887"/>
      <c r="C13" s="887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889"/>
      <c r="Q13" s="889"/>
      <c r="R13" s="889"/>
      <c r="S13" s="889"/>
      <c r="T13" s="889"/>
      <c r="U13" s="1"/>
      <c r="V13" s="1"/>
      <c r="W13" s="1"/>
      <c r="X13" s="1"/>
      <c r="Y13" s="889"/>
      <c r="Z13" s="889"/>
      <c r="AA13" s="889"/>
      <c r="AB13" s="889"/>
      <c r="AC13" s="889"/>
      <c r="AD13" s="889"/>
      <c r="AE13" s="889"/>
      <c r="AF13" s="889"/>
      <c r="AG13" s="889"/>
      <c r="AH13" s="889"/>
      <c r="AI13" s="889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  <c r="Z16" s="977" t="s">
        <v>9</v>
      </c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828"/>
      <c r="I17" s="188" t="s">
        <v>100</v>
      </c>
      <c r="J17" s="168">
        <v>1</v>
      </c>
      <c r="K17" s="168">
        <v>2</v>
      </c>
      <c r="L17" s="168">
        <v>3</v>
      </c>
      <c r="M17" s="168">
        <v>4</v>
      </c>
      <c r="N17" s="169">
        <v>5</v>
      </c>
      <c r="O17" s="828"/>
      <c r="P17" s="189">
        <v>1</v>
      </c>
      <c r="Q17" s="168">
        <v>2</v>
      </c>
      <c r="R17" s="168">
        <v>3</v>
      </c>
      <c r="S17" s="168">
        <v>4</v>
      </c>
      <c r="T17" s="204">
        <v>5</v>
      </c>
      <c r="U17" s="188">
        <v>1</v>
      </c>
      <c r="V17" s="168">
        <v>2</v>
      </c>
      <c r="W17" s="168">
        <v>3</v>
      </c>
      <c r="X17" s="168">
        <v>4</v>
      </c>
      <c r="Y17" s="169">
        <v>5</v>
      </c>
      <c r="Z17" s="984"/>
      <c r="AD17" s="2"/>
      <c r="AE17" s="15"/>
    </row>
    <row r="18" spans="1:40" ht="39.950000000000003" customHeight="1" x14ac:dyDescent="0.25">
      <c r="A18" s="171" t="s">
        <v>53</v>
      </c>
      <c r="B18" s="595">
        <v>287.39999999999998</v>
      </c>
      <c r="C18" s="596">
        <v>12.7</v>
      </c>
      <c r="D18" s="596">
        <v>14.1</v>
      </c>
      <c r="E18" s="596">
        <v>1.8</v>
      </c>
      <c r="F18" s="596">
        <v>13.2</v>
      </c>
      <c r="G18" s="597">
        <v>13.8</v>
      </c>
      <c r="H18" s="506">
        <f>SUM(B18:G18)</f>
        <v>343</v>
      </c>
      <c r="I18" s="599">
        <v>291.7</v>
      </c>
      <c r="J18" s="596">
        <v>13.4</v>
      </c>
      <c r="K18" s="596">
        <v>13.9</v>
      </c>
      <c r="L18" s="596">
        <v>1.3</v>
      </c>
      <c r="M18" s="596">
        <v>14.1</v>
      </c>
      <c r="N18" s="600">
        <v>14.1</v>
      </c>
      <c r="O18" s="506">
        <f>SUM(I18:N18)</f>
        <v>348.5</v>
      </c>
      <c r="P18" s="601">
        <v>71.900000000000006</v>
      </c>
      <c r="Q18" s="504">
        <v>71.599999999999994</v>
      </c>
      <c r="R18" s="596">
        <v>15.3</v>
      </c>
      <c r="S18" s="596">
        <v>71.8</v>
      </c>
      <c r="T18" s="600">
        <v>72.400000000000006</v>
      </c>
      <c r="U18" s="602">
        <v>73.8</v>
      </c>
      <c r="V18" s="596">
        <v>75.7</v>
      </c>
      <c r="W18" s="504">
        <v>15.4</v>
      </c>
      <c r="X18" s="504">
        <v>75.400000000000006</v>
      </c>
      <c r="Y18" s="600">
        <v>76.2</v>
      </c>
      <c r="Z18" s="835">
        <f t="shared" ref="Z18:Z23" si="0">SUM(H18,O18,P18:Y18)</f>
        <v>1311.0000000000002</v>
      </c>
      <c r="AA18" s="301"/>
      <c r="AB18" s="302"/>
      <c r="AD18" s="2"/>
      <c r="AE18" s="15"/>
    </row>
    <row r="19" spans="1:40" ht="39.950000000000003" customHeight="1" x14ac:dyDescent="0.25">
      <c r="A19" s="171" t="s">
        <v>24</v>
      </c>
      <c r="B19" s="595">
        <v>287.3</v>
      </c>
      <c r="C19" s="596">
        <v>12.9</v>
      </c>
      <c r="D19" s="596">
        <v>14.1</v>
      </c>
      <c r="E19" s="596">
        <v>1.7</v>
      </c>
      <c r="F19" s="596">
        <v>13.6</v>
      </c>
      <c r="G19" s="597">
        <v>13.7</v>
      </c>
      <c r="H19" s="506">
        <f>SUM(B19:G19)</f>
        <v>343.3</v>
      </c>
      <c r="I19" s="599">
        <v>291.60000000000002</v>
      </c>
      <c r="J19" s="596">
        <v>13.4</v>
      </c>
      <c r="K19" s="596">
        <v>13.9</v>
      </c>
      <c r="L19" s="596">
        <v>1.5</v>
      </c>
      <c r="M19" s="596">
        <v>14.1</v>
      </c>
      <c r="N19" s="600">
        <v>14</v>
      </c>
      <c r="O19" s="506">
        <f>SUM(I19:N19)</f>
        <v>348.5</v>
      </c>
      <c r="P19" s="601">
        <v>71.599999999999994</v>
      </c>
      <c r="Q19" s="504">
        <v>71.599999999999994</v>
      </c>
      <c r="R19" s="596">
        <v>14.9</v>
      </c>
      <c r="S19" s="596">
        <v>71.8</v>
      </c>
      <c r="T19" s="600">
        <v>72.400000000000006</v>
      </c>
      <c r="U19" s="602">
        <v>73.8</v>
      </c>
      <c r="V19" s="596">
        <v>75.7</v>
      </c>
      <c r="W19" s="504">
        <v>15.4</v>
      </c>
      <c r="X19" s="504">
        <v>75.3</v>
      </c>
      <c r="Y19" s="600">
        <v>75.900000000000006</v>
      </c>
      <c r="Z19" s="638">
        <f t="shared" si="0"/>
        <v>1310.2</v>
      </c>
      <c r="AA19" s="520"/>
      <c r="AB19" s="521"/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595">
        <v>287.2</v>
      </c>
      <c r="C20" s="596">
        <v>12.9</v>
      </c>
      <c r="D20" s="596">
        <v>14.1</v>
      </c>
      <c r="E20" s="596">
        <v>1.7</v>
      </c>
      <c r="F20" s="596">
        <v>13.6</v>
      </c>
      <c r="G20" s="597">
        <v>13.7</v>
      </c>
      <c r="H20" s="506">
        <f t="shared" ref="H20:H23" si="1">SUM(B20:G20)</f>
        <v>343.2</v>
      </c>
      <c r="I20" s="599">
        <v>291.5</v>
      </c>
      <c r="J20" s="596">
        <v>13.4</v>
      </c>
      <c r="K20" s="596">
        <v>13.9</v>
      </c>
      <c r="L20" s="596">
        <v>1.5</v>
      </c>
      <c r="M20" s="596">
        <v>14.1</v>
      </c>
      <c r="N20" s="600">
        <v>14</v>
      </c>
      <c r="O20" s="506">
        <f t="shared" ref="O20:O23" si="2">SUM(I20:N20)</f>
        <v>348.4</v>
      </c>
      <c r="P20" s="601">
        <v>71.599999999999994</v>
      </c>
      <c r="Q20" s="504">
        <v>71.599999999999994</v>
      </c>
      <c r="R20" s="596">
        <v>15</v>
      </c>
      <c r="S20" s="596">
        <v>71.8</v>
      </c>
      <c r="T20" s="600">
        <v>72.400000000000006</v>
      </c>
      <c r="U20" s="602">
        <v>73.8</v>
      </c>
      <c r="V20" s="596">
        <v>75.7</v>
      </c>
      <c r="W20" s="504">
        <v>15.4</v>
      </c>
      <c r="X20" s="504">
        <v>75.3</v>
      </c>
      <c r="Y20" s="600">
        <v>75.900000000000006</v>
      </c>
      <c r="Z20" s="509">
        <f t="shared" si="0"/>
        <v>1310.1000000000001</v>
      </c>
      <c r="AA20" s="520"/>
      <c r="AB20" s="521"/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595">
        <v>287.10000000000002</v>
      </c>
      <c r="C21" s="596">
        <v>13.2</v>
      </c>
      <c r="D21" s="596">
        <v>14</v>
      </c>
      <c r="E21" s="596">
        <v>1.3</v>
      </c>
      <c r="F21" s="596">
        <v>13.9</v>
      </c>
      <c r="G21" s="597">
        <v>13.9</v>
      </c>
      <c r="H21" s="506">
        <f t="shared" si="1"/>
        <v>343.4</v>
      </c>
      <c r="I21" s="599">
        <v>291.39999999999998</v>
      </c>
      <c r="J21" s="596">
        <v>12.9</v>
      </c>
      <c r="K21" s="596">
        <v>13.8</v>
      </c>
      <c r="L21" s="596">
        <v>1.5</v>
      </c>
      <c r="M21" s="596">
        <v>14.1</v>
      </c>
      <c r="N21" s="600">
        <v>14.3</v>
      </c>
      <c r="O21" s="506">
        <f t="shared" si="2"/>
        <v>348</v>
      </c>
      <c r="P21" s="601">
        <v>71.5</v>
      </c>
      <c r="Q21" s="504">
        <v>71.599999999999994</v>
      </c>
      <c r="R21" s="596">
        <v>15.1</v>
      </c>
      <c r="S21" s="596">
        <v>71.8</v>
      </c>
      <c r="T21" s="600">
        <v>72.400000000000006</v>
      </c>
      <c r="U21" s="602">
        <v>73.8</v>
      </c>
      <c r="V21" s="596">
        <v>75.8</v>
      </c>
      <c r="W21" s="504">
        <v>15.4</v>
      </c>
      <c r="X21" s="504">
        <v>75.2</v>
      </c>
      <c r="Y21" s="600">
        <v>75.900000000000006</v>
      </c>
      <c r="Z21" s="509">
        <f t="shared" si="0"/>
        <v>1309.9000000000001</v>
      </c>
      <c r="AA21" s="301"/>
      <c r="AB21" s="302"/>
      <c r="AD21" s="2"/>
      <c r="AE21" s="15"/>
    </row>
    <row r="22" spans="1:40" ht="39.950000000000003" customHeight="1" x14ac:dyDescent="0.25">
      <c r="A22" s="171" t="s">
        <v>21</v>
      </c>
      <c r="B22" s="595">
        <v>286.8</v>
      </c>
      <c r="C22" s="596">
        <v>13.1</v>
      </c>
      <c r="D22" s="596">
        <v>14</v>
      </c>
      <c r="E22" s="596">
        <v>1.2</v>
      </c>
      <c r="F22" s="596">
        <v>13.9</v>
      </c>
      <c r="G22" s="597">
        <v>13.9</v>
      </c>
      <c r="H22" s="506">
        <f t="shared" si="1"/>
        <v>342.9</v>
      </c>
      <c r="I22" s="599">
        <v>291.39999999999998</v>
      </c>
      <c r="J22" s="596">
        <v>12.8</v>
      </c>
      <c r="K22" s="596">
        <v>13.7</v>
      </c>
      <c r="L22" s="596">
        <v>1.5</v>
      </c>
      <c r="M22" s="596">
        <v>14.1</v>
      </c>
      <c r="N22" s="600">
        <v>14.3</v>
      </c>
      <c r="O22" s="506">
        <f t="shared" si="2"/>
        <v>347.8</v>
      </c>
      <c r="P22" s="601">
        <v>71.5</v>
      </c>
      <c r="Q22" s="504">
        <v>71.5</v>
      </c>
      <c r="R22" s="596">
        <v>15.1</v>
      </c>
      <c r="S22" s="596">
        <v>71.8</v>
      </c>
      <c r="T22" s="600">
        <v>72.3</v>
      </c>
      <c r="U22" s="602">
        <v>73.7</v>
      </c>
      <c r="V22" s="596">
        <v>75.5</v>
      </c>
      <c r="W22" s="504">
        <v>15.4</v>
      </c>
      <c r="X22" s="504">
        <v>75.2</v>
      </c>
      <c r="Y22" s="600">
        <v>75.900000000000006</v>
      </c>
      <c r="Z22" s="509">
        <f t="shared" si="0"/>
        <v>1308.6000000000001</v>
      </c>
      <c r="AA22" s="301"/>
      <c r="AB22" s="302"/>
      <c r="AD22" s="2"/>
      <c r="AE22" s="15"/>
    </row>
    <row r="23" spans="1:40" ht="39.950000000000003" customHeight="1" x14ac:dyDescent="0.25">
      <c r="A23" s="171" t="s">
        <v>22</v>
      </c>
      <c r="B23" s="595">
        <v>286.7</v>
      </c>
      <c r="C23" s="596">
        <v>13</v>
      </c>
      <c r="D23" s="596">
        <v>14</v>
      </c>
      <c r="E23" s="596">
        <v>1.2</v>
      </c>
      <c r="F23" s="596">
        <v>13.9</v>
      </c>
      <c r="G23" s="597">
        <v>13.9</v>
      </c>
      <c r="H23" s="506">
        <f t="shared" si="1"/>
        <v>342.69999999999993</v>
      </c>
      <c r="I23" s="599">
        <v>291.3</v>
      </c>
      <c r="J23" s="596">
        <v>12.8</v>
      </c>
      <c r="K23" s="596">
        <v>13.7</v>
      </c>
      <c r="L23" s="596">
        <v>1.5</v>
      </c>
      <c r="M23" s="596">
        <v>14.1</v>
      </c>
      <c r="N23" s="600">
        <v>14.2</v>
      </c>
      <c r="O23" s="506">
        <f t="shared" si="2"/>
        <v>347.6</v>
      </c>
      <c r="P23" s="894">
        <v>71.2</v>
      </c>
      <c r="Q23" s="504">
        <v>71.5</v>
      </c>
      <c r="R23" s="596">
        <v>15.1</v>
      </c>
      <c r="S23" s="596">
        <v>71.8</v>
      </c>
      <c r="T23" s="600">
        <v>72.3</v>
      </c>
      <c r="U23" s="602">
        <v>73.7</v>
      </c>
      <c r="V23" s="596">
        <v>75.5</v>
      </c>
      <c r="W23" s="504">
        <v>15.4</v>
      </c>
      <c r="X23" s="895">
        <v>75.099999999999994</v>
      </c>
      <c r="Y23" s="600">
        <v>75.900000000000006</v>
      </c>
      <c r="Z23" s="509">
        <f t="shared" si="0"/>
        <v>1307.8</v>
      </c>
      <c r="AA23" s="301"/>
      <c r="AB23" s="302"/>
      <c r="AD23" s="2"/>
      <c r="AE23" s="15"/>
    </row>
    <row r="24" spans="1:40" ht="39.950000000000003" customHeight="1" thickBot="1" x14ac:dyDescent="0.3">
      <c r="A24" s="285" t="s">
        <v>23</v>
      </c>
      <c r="B24" s="595">
        <v>286.7</v>
      </c>
      <c r="C24" s="596">
        <v>12.9</v>
      </c>
      <c r="D24" s="596">
        <v>14</v>
      </c>
      <c r="E24" s="596">
        <v>1.1000000000000001</v>
      </c>
      <c r="F24" s="596">
        <v>13.9</v>
      </c>
      <c r="G24" s="597">
        <v>13.9</v>
      </c>
      <c r="H24" s="506">
        <f t="shared" ref="H24" si="3">SUM(B24:G24)</f>
        <v>342.49999999999994</v>
      </c>
      <c r="I24" s="599">
        <v>291.3</v>
      </c>
      <c r="J24" s="596">
        <v>12.7</v>
      </c>
      <c r="K24" s="596">
        <v>13.6</v>
      </c>
      <c r="L24" s="596">
        <v>1.4</v>
      </c>
      <c r="M24" s="596">
        <v>13.6</v>
      </c>
      <c r="N24" s="600">
        <v>14.2</v>
      </c>
      <c r="O24" s="506">
        <f t="shared" ref="O24" si="4">SUM(I24:N24)</f>
        <v>346.8</v>
      </c>
      <c r="P24" s="601">
        <v>71.2</v>
      </c>
      <c r="Q24" s="504">
        <v>71.5</v>
      </c>
      <c r="R24" s="596">
        <v>15</v>
      </c>
      <c r="S24" s="596">
        <v>71.8</v>
      </c>
      <c r="T24" s="600">
        <v>72.3</v>
      </c>
      <c r="U24" s="602">
        <v>73.599999999999994</v>
      </c>
      <c r="V24" s="596">
        <v>75.5</v>
      </c>
      <c r="W24" s="504">
        <v>15.4</v>
      </c>
      <c r="X24" s="504">
        <v>75.099999999999994</v>
      </c>
      <c r="Y24" s="600">
        <v>75.900000000000006</v>
      </c>
      <c r="Z24" s="509">
        <f t="shared" ref="Z24" si="5">SUM(H24,O24,P24:Y24)</f>
        <v>1306.5999999999999</v>
      </c>
      <c r="AA24" s="301"/>
      <c r="AB24" s="302"/>
      <c r="AD24" s="2"/>
    </row>
    <row r="25" spans="1:40" ht="41.45" customHeight="1" thickBot="1" x14ac:dyDescent="0.3">
      <c r="A25" s="268" t="s">
        <v>9</v>
      </c>
      <c r="B25" s="606"/>
      <c r="C25" s="616">
        <f t="shared" ref="C25:G25" si="6">SUM(C18:C24)</f>
        <v>90.7</v>
      </c>
      <c r="D25" s="616">
        <f t="shared" si="6"/>
        <v>98.3</v>
      </c>
      <c r="E25" s="616">
        <f t="shared" si="6"/>
        <v>10</v>
      </c>
      <c r="F25" s="616">
        <f t="shared" si="6"/>
        <v>96.000000000000014</v>
      </c>
      <c r="G25" s="617">
        <f t="shared" si="6"/>
        <v>96.800000000000011</v>
      </c>
      <c r="H25" s="436"/>
      <c r="I25" s="618"/>
      <c r="J25" s="616">
        <f t="shared" ref="J25:N25" si="7">SUM(J18:J24)</f>
        <v>91.4</v>
      </c>
      <c r="K25" s="616">
        <f>SUM(K18:K24)</f>
        <v>96.5</v>
      </c>
      <c r="L25" s="616">
        <f t="shared" si="7"/>
        <v>10.200000000000001</v>
      </c>
      <c r="M25" s="616">
        <f t="shared" si="7"/>
        <v>98.199999999999989</v>
      </c>
      <c r="N25" s="619">
        <f t="shared" si="7"/>
        <v>99.100000000000009</v>
      </c>
      <c r="O25" s="436"/>
      <c r="P25" s="618">
        <f t="shared" ref="P25:W25" si="8">SUM(P18:P24)</f>
        <v>500.5</v>
      </c>
      <c r="Q25" s="618">
        <f t="shared" si="8"/>
        <v>500.9</v>
      </c>
      <c r="R25" s="618">
        <f t="shared" si="8"/>
        <v>105.5</v>
      </c>
      <c r="S25" s="618">
        <f t="shared" si="8"/>
        <v>502.6</v>
      </c>
      <c r="T25" s="618">
        <f t="shared" si="8"/>
        <v>506.50000000000006</v>
      </c>
      <c r="U25" s="618">
        <f t="shared" si="8"/>
        <v>516.19999999999993</v>
      </c>
      <c r="V25" s="618">
        <f t="shared" si="8"/>
        <v>529.40000000000009</v>
      </c>
      <c r="W25" s="618">
        <f t="shared" si="8"/>
        <v>107.80000000000001</v>
      </c>
      <c r="X25" s="618">
        <f>SUM(X18:X24)</f>
        <v>526.6</v>
      </c>
      <c r="Y25" s="810">
        <f>SUM(Y18:Y24)</f>
        <v>531.6</v>
      </c>
      <c r="Z25" s="449">
        <f>SUM(Z18,Z19,Z20,Z21,Z22,Z23,Z24)</f>
        <v>9164.2000000000007</v>
      </c>
      <c r="AA25" s="301"/>
    </row>
    <row r="26" spans="1:40" s="2" customFormat="1" ht="36.75" customHeight="1" x14ac:dyDescent="0.25">
      <c r="A26" s="192" t="s">
        <v>11</v>
      </c>
      <c r="B26" s="808"/>
      <c r="C26" s="620">
        <v>155.6</v>
      </c>
      <c r="D26" s="620">
        <v>155.6</v>
      </c>
      <c r="E26" s="620">
        <v>155.6</v>
      </c>
      <c r="F26" s="620">
        <v>155.6</v>
      </c>
      <c r="G26" s="620">
        <v>155.6</v>
      </c>
      <c r="H26" s="809"/>
      <c r="I26" s="620"/>
      <c r="J26" s="620">
        <v>155.6</v>
      </c>
      <c r="K26" s="620">
        <v>155.6</v>
      </c>
      <c r="L26" s="620">
        <v>155.6</v>
      </c>
      <c r="M26" s="620">
        <v>155.6</v>
      </c>
      <c r="N26" s="620">
        <v>155.6</v>
      </c>
      <c r="O26" s="809"/>
      <c r="P26" s="620">
        <v>154</v>
      </c>
      <c r="Q26" s="620">
        <v>154</v>
      </c>
      <c r="R26" s="620">
        <v>154</v>
      </c>
      <c r="S26" s="620">
        <v>154</v>
      </c>
      <c r="T26" s="620">
        <v>154</v>
      </c>
      <c r="U26" s="620">
        <v>154</v>
      </c>
      <c r="V26" s="620">
        <v>154</v>
      </c>
      <c r="W26" s="620">
        <v>154</v>
      </c>
      <c r="X26" s="620">
        <v>154</v>
      </c>
      <c r="Y26" s="620">
        <v>154</v>
      </c>
      <c r="Z26" s="793">
        <f>(((Z25*1000)/7)/Z27)</f>
        <v>154.73010620156347</v>
      </c>
    </row>
    <row r="27" spans="1:40" s="2" customFormat="1" ht="33" customHeight="1" x14ac:dyDescent="0.25">
      <c r="A27" s="193" t="s">
        <v>12</v>
      </c>
      <c r="B27" s="193"/>
      <c r="C27" s="26">
        <v>509</v>
      </c>
      <c r="D27" s="27">
        <v>548</v>
      </c>
      <c r="E27" s="27">
        <v>65</v>
      </c>
      <c r="F27" s="27">
        <v>539</v>
      </c>
      <c r="G27" s="28">
        <v>543</v>
      </c>
      <c r="H27" s="611"/>
      <c r="I27" s="26"/>
      <c r="J27" s="27">
        <v>528</v>
      </c>
      <c r="K27" s="27">
        <v>547</v>
      </c>
      <c r="L27" s="483">
        <v>58</v>
      </c>
      <c r="M27" s="27">
        <v>554</v>
      </c>
      <c r="N27" s="28">
        <v>555</v>
      </c>
      <c r="O27" s="611"/>
      <c r="P27" s="26">
        <v>465</v>
      </c>
      <c r="Q27" s="27">
        <v>465</v>
      </c>
      <c r="R27" s="27">
        <v>97</v>
      </c>
      <c r="S27" s="27">
        <v>466</v>
      </c>
      <c r="T27" s="483">
        <v>470</v>
      </c>
      <c r="U27" s="26">
        <v>479</v>
      </c>
      <c r="V27" s="27">
        <v>491</v>
      </c>
      <c r="W27" s="27">
        <v>100</v>
      </c>
      <c r="X27" s="27">
        <v>489</v>
      </c>
      <c r="Y27" s="28">
        <v>493</v>
      </c>
      <c r="Z27" s="211">
        <f>SUM(C27:Y27)</f>
        <v>8461</v>
      </c>
      <c r="AA27" s="402"/>
    </row>
    <row r="28" spans="1:40" s="2" customFormat="1" ht="33" customHeight="1" x14ac:dyDescent="0.25">
      <c r="A28" s="444" t="s">
        <v>13</v>
      </c>
      <c r="B28" s="444"/>
      <c r="C28" s="30">
        <f>(C33*C27-C18-C19)/1000</f>
        <v>13.004799999999998</v>
      </c>
      <c r="D28" s="31">
        <f t="shared" ref="D28:G28" si="9">(D33*D27-D18-D19)/1000</f>
        <v>14.000599999999997</v>
      </c>
      <c r="E28" s="31">
        <f t="shared" si="9"/>
        <v>1.6604999999999996</v>
      </c>
      <c r="F28" s="31">
        <f t="shared" si="9"/>
        <v>13.771599999999996</v>
      </c>
      <c r="G28" s="32">
        <f t="shared" si="9"/>
        <v>13.873299999999997</v>
      </c>
      <c r="H28" s="612"/>
      <c r="I28" s="30"/>
      <c r="J28" s="30">
        <f>(J33*J27-J18-J19)/1000</f>
        <v>13.489999999999998</v>
      </c>
      <c r="K28" s="31">
        <f t="shared" ref="K28:N28" si="10">(K33*K27-K18-K19)/1000</f>
        <v>13.975399999999997</v>
      </c>
      <c r="L28" s="31">
        <f t="shared" si="10"/>
        <v>1.4819999999999998</v>
      </c>
      <c r="M28" s="31">
        <f t="shared" si="10"/>
        <v>14.154199999999996</v>
      </c>
      <c r="N28" s="32">
        <f t="shared" si="10"/>
        <v>14.179899999999996</v>
      </c>
      <c r="O28" s="612"/>
      <c r="P28" s="30">
        <f>((((P26*7)*P27)/1000-P18-P19)/5)</f>
        <v>71.554000000000002</v>
      </c>
      <c r="Q28" s="31">
        <f t="shared" ref="Q28:Y28" si="11">((((Q26*7)*Q27)/1000-Q18-Q19)/5)</f>
        <v>71.61399999999999</v>
      </c>
      <c r="R28" s="31">
        <f t="shared" si="11"/>
        <v>14.873200000000001</v>
      </c>
      <c r="S28" s="31">
        <f t="shared" si="11"/>
        <v>71.749600000000001</v>
      </c>
      <c r="T28" s="31">
        <f t="shared" si="11"/>
        <v>72.372</v>
      </c>
      <c r="U28" s="30">
        <f t="shared" si="11"/>
        <v>73.752399999999994</v>
      </c>
      <c r="V28" s="31">
        <f t="shared" si="11"/>
        <v>75.579599999999999</v>
      </c>
      <c r="W28" s="31">
        <f t="shared" si="11"/>
        <v>15.399999999999997</v>
      </c>
      <c r="X28" s="31">
        <f t="shared" si="11"/>
        <v>75.28840000000001</v>
      </c>
      <c r="Y28" s="32">
        <f t="shared" si="11"/>
        <v>75.870799999999988</v>
      </c>
      <c r="Z28" s="286">
        <f t="shared" ref="Z28" si="12">((((Z26*7)*Z27)/1000)/7)</f>
        <v>1309.1714285714286</v>
      </c>
    </row>
    <row r="29" spans="1:40" ht="33.75" customHeight="1" x14ac:dyDescent="0.25">
      <c r="A29" s="185" t="s">
        <v>14</v>
      </c>
      <c r="B29" s="185"/>
      <c r="C29" s="279">
        <f>((C27*C30)*7)/1000</f>
        <v>90.7</v>
      </c>
      <c r="D29" s="280">
        <f t="shared" ref="D29:G29" si="13">((D27*D30)*7)/1000</f>
        <v>98.3</v>
      </c>
      <c r="E29" s="280">
        <f>((E27*E30)*7)/1000</f>
        <v>10</v>
      </c>
      <c r="F29" s="280">
        <f t="shared" si="13"/>
        <v>96.000000000000028</v>
      </c>
      <c r="G29" s="282">
        <f t="shared" si="13"/>
        <v>96.800000000000011</v>
      </c>
      <c r="H29" s="613"/>
      <c r="I29" s="279"/>
      <c r="J29" s="280">
        <f>((J27*J30)*7)/1000</f>
        <v>91.400000000000034</v>
      </c>
      <c r="K29" s="280">
        <f t="shared" ref="K29:N29" si="14">((K27*K30)*7)/1000</f>
        <v>96.5</v>
      </c>
      <c r="L29" s="280">
        <f t="shared" si="14"/>
        <v>10.200000000000001</v>
      </c>
      <c r="M29" s="280">
        <f t="shared" si="14"/>
        <v>98.2</v>
      </c>
      <c r="N29" s="282">
        <f t="shared" si="14"/>
        <v>99.100000000000009</v>
      </c>
      <c r="O29" s="613"/>
      <c r="P29" s="279">
        <f t="shared" ref="P29:Z29" si="15">((P27*P26)*7)/1000</f>
        <v>501.27</v>
      </c>
      <c r="Q29" s="280">
        <f t="shared" si="15"/>
        <v>501.27</v>
      </c>
      <c r="R29" s="280">
        <f t="shared" si="15"/>
        <v>104.566</v>
      </c>
      <c r="S29" s="280">
        <f t="shared" si="15"/>
        <v>502.34800000000001</v>
      </c>
      <c r="T29" s="280">
        <f t="shared" si="15"/>
        <v>506.66</v>
      </c>
      <c r="U29" s="279">
        <f t="shared" si="15"/>
        <v>516.36199999999997</v>
      </c>
      <c r="V29" s="280">
        <f t="shared" si="15"/>
        <v>529.298</v>
      </c>
      <c r="W29" s="280">
        <f t="shared" si="15"/>
        <v>107.8</v>
      </c>
      <c r="X29" s="280">
        <f t="shared" si="15"/>
        <v>527.14200000000005</v>
      </c>
      <c r="Y29" s="282">
        <f t="shared" si="15"/>
        <v>531.45399999999995</v>
      </c>
      <c r="Z29" s="680">
        <f t="shared" si="15"/>
        <v>9164.2000000000007</v>
      </c>
    </row>
    <row r="30" spans="1:40" ht="33.75" customHeight="1" thickBot="1" x14ac:dyDescent="0.3">
      <c r="A30" s="195" t="s">
        <v>15</v>
      </c>
      <c r="B30" s="195"/>
      <c r="C30" s="37">
        <f>+(C25/C27)/7*1000</f>
        <v>25.456076340162785</v>
      </c>
      <c r="D30" s="38">
        <f t="shared" ref="D30:X30" si="16">+(D25/D27)/7*1000</f>
        <v>25.625651720542233</v>
      </c>
      <c r="E30" s="38">
        <f>+(E25/E27)/7*1000</f>
        <v>21.978021978021978</v>
      </c>
      <c r="F30" s="38">
        <f t="shared" si="16"/>
        <v>25.443943811290755</v>
      </c>
      <c r="G30" s="39">
        <f t="shared" si="16"/>
        <v>25.466982373059725</v>
      </c>
      <c r="H30" s="614"/>
      <c r="I30" s="37"/>
      <c r="J30" s="38">
        <f t="shared" si="16"/>
        <v>24.729437229437234</v>
      </c>
      <c r="K30" s="38">
        <f t="shared" si="16"/>
        <v>25.20240271611387</v>
      </c>
      <c r="L30" s="38">
        <f t="shared" si="16"/>
        <v>25.123152709359609</v>
      </c>
      <c r="M30" s="38">
        <f t="shared" si="16"/>
        <v>25.322331098504382</v>
      </c>
      <c r="N30" s="39">
        <f>+(N25/N27)/7*1000</f>
        <v>25.508365508365511</v>
      </c>
      <c r="O30" s="614"/>
      <c r="P30" s="37">
        <f t="shared" si="16"/>
        <v>153.76344086021507</v>
      </c>
      <c r="Q30" s="38">
        <f t="shared" si="16"/>
        <v>153.8863287250384</v>
      </c>
      <c r="R30" s="38">
        <f t="shared" si="16"/>
        <v>155.37555228276875</v>
      </c>
      <c r="S30" s="38">
        <f t="shared" si="16"/>
        <v>154.07725321888412</v>
      </c>
      <c r="T30" s="38">
        <f t="shared" si="16"/>
        <v>153.95136778115503</v>
      </c>
      <c r="U30" s="37">
        <f t="shared" si="16"/>
        <v>153.95168505815684</v>
      </c>
      <c r="V30" s="38">
        <f t="shared" si="16"/>
        <v>154.0296770439337</v>
      </c>
      <c r="W30" s="38">
        <f t="shared" si="16"/>
        <v>154</v>
      </c>
      <c r="X30" s="38">
        <f t="shared" si="16"/>
        <v>153.84165936313175</v>
      </c>
      <c r="Y30" s="39">
        <f>+(Y25/Y27)/7*1000</f>
        <v>154.04230657780354</v>
      </c>
      <c r="Z30" s="262">
        <f>+(Z25/Z27)/7*1000</f>
        <v>154.7301062015635</v>
      </c>
    </row>
    <row r="31" spans="1:40" ht="33.75" customHeight="1" x14ac:dyDescent="0.25">
      <c r="A31" s="41"/>
      <c r="B31" s="41"/>
      <c r="C31" s="42">
        <f>C29-C25</f>
        <v>0</v>
      </c>
      <c r="D31" s="42">
        <f t="shared" ref="D31:X32" si="17">D29-D25</f>
        <v>0</v>
      </c>
      <c r="E31" s="42">
        <f t="shared" si="17"/>
        <v>0</v>
      </c>
      <c r="F31" s="42">
        <f t="shared" si="17"/>
        <v>0</v>
      </c>
      <c r="G31" s="42">
        <f t="shared" si="17"/>
        <v>0</v>
      </c>
      <c r="H31" s="42"/>
      <c r="I31" s="42"/>
      <c r="J31" s="42">
        <f>J29-J25</f>
        <v>0</v>
      </c>
      <c r="K31" s="42">
        <f t="shared" ref="K31:N31" si="18">K29-K25</f>
        <v>0</v>
      </c>
      <c r="L31" s="42">
        <f t="shared" si="18"/>
        <v>0</v>
      </c>
      <c r="M31" s="42">
        <f t="shared" si="18"/>
        <v>0</v>
      </c>
      <c r="N31" s="42">
        <f t="shared" si="18"/>
        <v>0</v>
      </c>
      <c r="O31" s="42"/>
      <c r="P31" s="878">
        <f>P29-P25</f>
        <v>0.76999999999998181</v>
      </c>
      <c r="Q31" s="878">
        <f>Q29-Q25</f>
        <v>0.37000000000000455</v>
      </c>
      <c r="R31" s="878">
        <f t="shared" si="17"/>
        <v>-0.9339999999999975</v>
      </c>
      <c r="S31" s="878">
        <f t="shared" si="17"/>
        <v>-0.25200000000000955</v>
      </c>
      <c r="T31" s="878">
        <f t="shared" si="17"/>
        <v>0.15999999999996817</v>
      </c>
      <c r="U31" s="878">
        <f>U29-U25</f>
        <v>0.16200000000003456</v>
      </c>
      <c r="V31" s="878">
        <f t="shared" si="17"/>
        <v>-0.10200000000008913</v>
      </c>
      <c r="W31" s="878">
        <f t="shared" si="17"/>
        <v>0</v>
      </c>
      <c r="X31" s="878">
        <f t="shared" si="17"/>
        <v>0.54200000000003001</v>
      </c>
      <c r="Y31" s="878">
        <f>Y29-Y25</f>
        <v>-0.14600000000007185</v>
      </c>
      <c r="Z31" s="42">
        <f>Z29-Z25</f>
        <v>0</v>
      </c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878">
        <f>C33-C30</f>
        <v>0.14392365983720978</v>
      </c>
      <c r="D32" s="878">
        <f t="shared" ref="D32:G32" si="19">D33-D30</f>
        <v>-2.5651720542239076E-2</v>
      </c>
      <c r="E32" s="878">
        <f t="shared" si="19"/>
        <v>3.6219780219780162</v>
      </c>
      <c r="F32" s="878">
        <f t="shared" si="19"/>
        <v>0.15605618870923976</v>
      </c>
      <c r="G32" s="878">
        <f t="shared" si="19"/>
        <v>0.1330176269402692</v>
      </c>
      <c r="H32" s="878"/>
      <c r="I32" s="878"/>
      <c r="J32" s="878">
        <f>J33-J30</f>
        <v>0.87056277056275988</v>
      </c>
      <c r="K32" s="878">
        <f t="shared" ref="K32:N32" si="20">K33-K30</f>
        <v>0.39759728388612459</v>
      </c>
      <c r="L32" s="878">
        <f t="shared" si="20"/>
        <v>0.47684729064038578</v>
      </c>
      <c r="M32" s="878">
        <f t="shared" si="20"/>
        <v>0.27766890149561263</v>
      </c>
      <c r="N32" s="878">
        <f t="shared" si="20"/>
        <v>9.1634491634483339E-2</v>
      </c>
      <c r="O32" s="878"/>
      <c r="P32" s="42">
        <f>P30-P26</f>
        <v>-0.23655913978493004</v>
      </c>
      <c r="Q32" s="42">
        <f>Q30-Q26</f>
        <v>-0.11367127496160379</v>
      </c>
      <c r="R32" s="42">
        <f t="shared" si="17"/>
        <v>1.3755522827687514</v>
      </c>
      <c r="S32" s="42">
        <f t="shared" si="17"/>
        <v>7.7253218884123953E-2</v>
      </c>
      <c r="T32" s="42">
        <f t="shared" si="17"/>
        <v>-4.8632218844971931E-2</v>
      </c>
      <c r="U32" s="42">
        <f>U30-U26</f>
        <v>-4.8314941843159431E-2</v>
      </c>
      <c r="V32" s="42">
        <f t="shared" si="17"/>
        <v>2.9677043933702407E-2</v>
      </c>
      <c r="W32" s="42">
        <f t="shared" si="17"/>
        <v>0</v>
      </c>
      <c r="X32" s="42">
        <f t="shared" si="17"/>
        <v>-0.15834063686824607</v>
      </c>
      <c r="Y32" s="42">
        <f>Y30-Y26</f>
        <v>4.2306577803543632E-2</v>
      </c>
      <c r="Z32" s="42">
        <f t="shared" ref="Z32" si="21">Z30-Z26</f>
        <v>0</v>
      </c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25.599999999999994</v>
      </c>
      <c r="D33" s="42">
        <f t="shared" ref="D33:G33" si="22">D26-$B$34</f>
        <v>25.599999999999994</v>
      </c>
      <c r="E33" s="42">
        <f>E26-$B$34</f>
        <v>25.599999999999994</v>
      </c>
      <c r="F33" s="42">
        <f t="shared" si="22"/>
        <v>25.599999999999994</v>
      </c>
      <c r="G33" s="42">
        <f t="shared" si="22"/>
        <v>25.599999999999994</v>
      </c>
      <c r="H33" s="42"/>
      <c r="I33" s="42"/>
      <c r="J33" s="42">
        <f>J26-$I$34</f>
        <v>25.599999999999994</v>
      </c>
      <c r="K33" s="42">
        <f t="shared" ref="K33:L33" si="23">K26-$I$34</f>
        <v>25.599999999999994</v>
      </c>
      <c r="L33" s="42">
        <f t="shared" si="23"/>
        <v>25.599999999999994</v>
      </c>
      <c r="M33" s="42">
        <f>M26-$I$34</f>
        <v>25.599999999999994</v>
      </c>
      <c r="N33" s="42">
        <f>N26-$I$34</f>
        <v>25.599999999999994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286.52</v>
      </c>
      <c r="D34" s="432">
        <f>SUM(C27:G27)</f>
        <v>2204</v>
      </c>
      <c r="E34" s="42"/>
      <c r="F34" s="42"/>
      <c r="G34" s="42"/>
      <c r="H34" s="42"/>
      <c r="I34" s="514">
        <v>130</v>
      </c>
      <c r="J34" s="431">
        <f>(I34*K34)/1000</f>
        <v>291.45999999999998</v>
      </c>
      <c r="K34" s="432">
        <f>SUM(J27:N27)</f>
        <v>2242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977" t="s">
        <v>9</v>
      </c>
      <c r="T39" s="645"/>
      <c r="V39" s="45"/>
      <c r="W39" s="45"/>
      <c r="X39" s="46"/>
      <c r="Y39" s="3"/>
      <c r="Z39" s="45"/>
      <c r="AA39" s="45"/>
      <c r="AB39" s="45"/>
      <c r="AC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204">
        <v>5</v>
      </c>
      <c r="R40" s="984"/>
      <c r="T40" s="645"/>
      <c r="V40" s="47"/>
      <c r="Y40" s="48"/>
      <c r="Z40" s="2"/>
      <c r="AA40" s="2"/>
      <c r="AB40" s="2"/>
      <c r="AC40" s="2"/>
    </row>
    <row r="41" spans="1:38" ht="33.75" customHeight="1" x14ac:dyDescent="0.25">
      <c r="A41" s="171" t="s">
        <v>32</v>
      </c>
      <c r="B41" s="142">
        <v>77.400000000000006</v>
      </c>
      <c r="C41" s="486">
        <v>77</v>
      </c>
      <c r="D41" s="486">
        <v>5.2</v>
      </c>
      <c r="E41" s="486">
        <v>82.7</v>
      </c>
      <c r="F41" s="537">
        <v>79</v>
      </c>
      <c r="G41" s="638">
        <f t="shared" ref="G41:G48" si="24">SUM(B41:F41)</f>
        <v>321.3</v>
      </c>
      <c r="H41" s="364"/>
      <c r="I41" s="364"/>
      <c r="J41" s="364"/>
      <c r="K41" s="364"/>
      <c r="L41" s="171" t="s">
        <v>53</v>
      </c>
      <c r="M41" s="142">
        <v>6.6</v>
      </c>
      <c r="N41" s="486">
        <v>6.4</v>
      </c>
      <c r="O41" s="486">
        <v>0.7</v>
      </c>
      <c r="P41" s="486">
        <v>6.7</v>
      </c>
      <c r="Q41" s="537">
        <v>6.6</v>
      </c>
      <c r="R41" s="800">
        <f>SUM(M41:Q41)</f>
        <v>27</v>
      </c>
      <c r="T41" s="646"/>
      <c r="U41" s="675"/>
      <c r="V41" s="657"/>
      <c r="Y41" s="48"/>
      <c r="Z41" s="2"/>
      <c r="AA41" s="2"/>
      <c r="AB41" s="2"/>
      <c r="AC41" s="2"/>
    </row>
    <row r="42" spans="1:38" ht="33.75" customHeight="1" x14ac:dyDescent="0.25">
      <c r="A42" s="171" t="s">
        <v>24</v>
      </c>
      <c r="B42" s="142">
        <v>77.5</v>
      </c>
      <c r="C42" s="486">
        <v>76.900000000000006</v>
      </c>
      <c r="D42" s="486">
        <v>5.8</v>
      </c>
      <c r="E42" s="486">
        <v>82.5</v>
      </c>
      <c r="F42" s="537">
        <v>78.900000000000006</v>
      </c>
      <c r="G42" s="638">
        <f t="shared" si="24"/>
        <v>321.60000000000002</v>
      </c>
      <c r="H42" s="364"/>
      <c r="I42" s="364"/>
      <c r="J42" s="364"/>
      <c r="K42" s="364"/>
      <c r="L42" s="171" t="s">
        <v>24</v>
      </c>
      <c r="M42" s="142">
        <v>6.6</v>
      </c>
      <c r="N42" s="486">
        <v>6.4</v>
      </c>
      <c r="O42" s="486">
        <v>0.6</v>
      </c>
      <c r="P42" s="486">
        <v>6.7</v>
      </c>
      <c r="Q42" s="537">
        <v>6.5</v>
      </c>
      <c r="R42" s="638">
        <f t="shared" ref="R42:R47" si="25">SUM(M42:Q42)</f>
        <v>26.8</v>
      </c>
      <c r="T42" s="646"/>
      <c r="U42" s="647"/>
      <c r="V42" s="658"/>
      <c r="Y42" s="48"/>
      <c r="Z42" s="2"/>
      <c r="AA42" s="2"/>
      <c r="AB42" s="2"/>
      <c r="AC42" s="2"/>
    </row>
    <row r="43" spans="1:38" ht="33.75" customHeight="1" x14ac:dyDescent="0.25">
      <c r="A43" s="171" t="s">
        <v>20</v>
      </c>
      <c r="B43" s="142">
        <v>77.7</v>
      </c>
      <c r="C43" s="486">
        <v>76.900000000000006</v>
      </c>
      <c r="D43" s="486">
        <v>5.8</v>
      </c>
      <c r="E43" s="486">
        <v>82.5</v>
      </c>
      <c r="F43" s="537">
        <v>78.900000000000006</v>
      </c>
      <c r="G43" s="509">
        <f>SUM(B43:F43)</f>
        <v>321.80000000000007</v>
      </c>
      <c r="H43" s="364"/>
      <c r="I43" s="364"/>
      <c r="J43" s="364"/>
      <c r="K43" s="364"/>
      <c r="L43" s="171" t="s">
        <v>20</v>
      </c>
      <c r="M43" s="142">
        <v>6.6</v>
      </c>
      <c r="N43" s="486">
        <v>6.4</v>
      </c>
      <c r="O43" s="486">
        <v>0.6</v>
      </c>
      <c r="P43" s="486">
        <v>6.7</v>
      </c>
      <c r="Q43" s="537">
        <v>6.5</v>
      </c>
      <c r="R43" s="509">
        <f t="shared" si="25"/>
        <v>26.8</v>
      </c>
      <c r="T43" s="646"/>
      <c r="U43" s="647"/>
      <c r="V43" s="658"/>
      <c r="Y43" s="48"/>
      <c r="Z43" s="2"/>
      <c r="AA43" s="2"/>
      <c r="AB43" s="2"/>
      <c r="AC43" s="2"/>
    </row>
    <row r="44" spans="1:38" ht="33.75" customHeight="1" x14ac:dyDescent="0.25">
      <c r="A44" s="171" t="s">
        <v>28</v>
      </c>
      <c r="B44" s="142">
        <v>77.400000000000006</v>
      </c>
      <c r="C44" s="486">
        <v>76.900000000000006</v>
      </c>
      <c r="D44" s="486">
        <v>5.3</v>
      </c>
      <c r="E44" s="486">
        <v>82.3</v>
      </c>
      <c r="F44" s="537">
        <v>78.8</v>
      </c>
      <c r="G44" s="509">
        <f t="shared" si="24"/>
        <v>320.70000000000005</v>
      </c>
      <c r="H44" s="651"/>
      <c r="I44" s="364"/>
      <c r="J44" s="364"/>
      <c r="K44" s="364"/>
      <c r="L44" s="171" t="s">
        <v>28</v>
      </c>
      <c r="M44" s="142">
        <v>6.6</v>
      </c>
      <c r="N44" s="486">
        <v>6.5</v>
      </c>
      <c r="O44" s="486">
        <v>0.6</v>
      </c>
      <c r="P44" s="486">
        <v>6.7</v>
      </c>
      <c r="Q44" s="537">
        <v>6.5</v>
      </c>
      <c r="R44" s="509">
        <f t="shared" si="25"/>
        <v>26.9</v>
      </c>
      <c r="T44" s="646"/>
      <c r="U44" s="647"/>
      <c r="V44" s="658"/>
      <c r="Y44" s="48"/>
      <c r="Z44" s="2"/>
      <c r="AA44" s="2"/>
      <c r="AB44" s="2"/>
      <c r="AC44" s="2"/>
    </row>
    <row r="45" spans="1:38" ht="33.75" customHeight="1" x14ac:dyDescent="0.25">
      <c r="A45" s="171" t="s">
        <v>21</v>
      </c>
      <c r="B45" s="142">
        <v>77.400000000000006</v>
      </c>
      <c r="C45" s="486">
        <v>76.900000000000006</v>
      </c>
      <c r="D45" s="486">
        <v>5.2</v>
      </c>
      <c r="E45" s="486">
        <v>82.3</v>
      </c>
      <c r="F45" s="537">
        <v>78.7</v>
      </c>
      <c r="G45" s="509">
        <f t="shared" si="24"/>
        <v>320.5</v>
      </c>
      <c r="H45" s="651"/>
      <c r="I45" s="364"/>
      <c r="J45" s="364"/>
      <c r="K45" s="364"/>
      <c r="L45" s="171" t="s">
        <v>21</v>
      </c>
      <c r="M45" s="142">
        <v>6.8</v>
      </c>
      <c r="N45" s="486">
        <v>6.5</v>
      </c>
      <c r="O45" s="486">
        <v>0.6</v>
      </c>
      <c r="P45" s="486">
        <v>6.9</v>
      </c>
      <c r="Q45" s="537">
        <v>6.7</v>
      </c>
      <c r="R45" s="509">
        <f t="shared" si="25"/>
        <v>27.5</v>
      </c>
      <c r="T45" s="646"/>
      <c r="U45" s="647"/>
      <c r="V45" s="658"/>
      <c r="Y45" s="48"/>
      <c r="Z45" s="2"/>
      <c r="AA45" s="2"/>
      <c r="AB45" s="2"/>
      <c r="AC45" s="2"/>
    </row>
    <row r="46" spans="1:38" ht="33.75" customHeight="1" x14ac:dyDescent="0.25">
      <c r="A46" s="171" t="s">
        <v>22</v>
      </c>
      <c r="B46" s="142">
        <v>77.400000000000006</v>
      </c>
      <c r="C46" s="486">
        <v>76.900000000000006</v>
      </c>
      <c r="D46" s="486">
        <v>5.2</v>
      </c>
      <c r="E46" s="486">
        <v>82</v>
      </c>
      <c r="F46" s="537">
        <v>78.7</v>
      </c>
      <c r="G46" s="509">
        <f t="shared" si="24"/>
        <v>320.2</v>
      </c>
      <c r="H46" s="651"/>
      <c r="I46" s="364"/>
      <c r="J46" s="364"/>
      <c r="K46" s="364"/>
      <c r="L46" s="171" t="s">
        <v>22</v>
      </c>
      <c r="M46" s="142">
        <v>6.8</v>
      </c>
      <c r="N46" s="486">
        <v>6.5</v>
      </c>
      <c r="O46" s="486">
        <v>0.7</v>
      </c>
      <c r="P46" s="486">
        <v>6.9</v>
      </c>
      <c r="Q46" s="537">
        <v>6.7</v>
      </c>
      <c r="R46" s="509">
        <f t="shared" si="25"/>
        <v>27.599999999999998</v>
      </c>
      <c r="T46" s="646"/>
      <c r="U46" s="647"/>
      <c r="V46" s="658"/>
      <c r="Y46" s="48"/>
      <c r="Z46" s="2"/>
      <c r="AA46" s="2"/>
      <c r="AB46" s="2"/>
      <c r="AC46" s="2"/>
    </row>
    <row r="47" spans="1:38" ht="33.75" customHeight="1" thickBot="1" x14ac:dyDescent="0.3">
      <c r="A47" s="285" t="s">
        <v>23</v>
      </c>
      <c r="B47" s="142">
        <v>77.400000000000006</v>
      </c>
      <c r="C47" s="486">
        <v>76.8</v>
      </c>
      <c r="D47" s="486">
        <v>5.2</v>
      </c>
      <c r="E47" s="486">
        <v>82</v>
      </c>
      <c r="F47" s="537">
        <v>78.7</v>
      </c>
      <c r="G47" s="376">
        <f t="shared" si="24"/>
        <v>320.09999999999997</v>
      </c>
      <c r="H47" s="651"/>
      <c r="I47" s="364"/>
      <c r="J47" s="364"/>
      <c r="K47" s="364"/>
      <c r="L47" s="285" t="s">
        <v>23</v>
      </c>
      <c r="M47" s="142">
        <v>6.8</v>
      </c>
      <c r="N47" s="486">
        <v>6.5</v>
      </c>
      <c r="O47" s="486">
        <v>0.7</v>
      </c>
      <c r="P47" s="486">
        <v>6.9</v>
      </c>
      <c r="Q47" s="537">
        <v>6.7</v>
      </c>
      <c r="R47" s="376">
        <f t="shared" si="25"/>
        <v>27.599999999999998</v>
      </c>
      <c r="T47" s="646"/>
      <c r="U47" s="647"/>
      <c r="V47" s="658"/>
      <c r="Y47" s="48"/>
      <c r="Z47" s="48"/>
      <c r="AA47" s="48"/>
      <c r="AB47" s="2"/>
      <c r="AC47" s="2"/>
      <c r="AD47" s="2"/>
      <c r="AE47" s="2"/>
    </row>
    <row r="48" spans="1:38" ht="33.75" customHeight="1" thickBot="1" x14ac:dyDescent="0.3">
      <c r="A48" s="290" t="s">
        <v>9</v>
      </c>
      <c r="B48" s="297">
        <f>SUM(B41:B47)</f>
        <v>542.19999999999993</v>
      </c>
      <c r="C48" s="298">
        <f t="shared" ref="C48:F48" si="26">SUM(C41:C47)</f>
        <v>538.29999999999995</v>
      </c>
      <c r="D48" s="298">
        <f t="shared" si="26"/>
        <v>37.700000000000003</v>
      </c>
      <c r="E48" s="298">
        <f t="shared" si="26"/>
        <v>576.29999999999995</v>
      </c>
      <c r="F48" s="448">
        <f t="shared" si="26"/>
        <v>551.70000000000005</v>
      </c>
      <c r="G48" s="729">
        <f t="shared" si="24"/>
        <v>2246.1999999999998</v>
      </c>
      <c r="H48" s="364"/>
      <c r="I48" s="364"/>
      <c r="J48" s="364"/>
      <c r="K48" s="364"/>
      <c r="L48" s="290" t="s">
        <v>9</v>
      </c>
      <c r="M48" s="763">
        <f>SUM(M41:M47)</f>
        <v>46.79999999999999</v>
      </c>
      <c r="N48" s="764">
        <f>SUM(N41:N47)</f>
        <v>45.2</v>
      </c>
      <c r="O48" s="764">
        <f>SUM(O41:O47)</f>
        <v>4.5</v>
      </c>
      <c r="P48" s="764">
        <f t="shared" ref="P48:Q48" si="27">SUM(P41:P47)</f>
        <v>47.5</v>
      </c>
      <c r="Q48" s="765">
        <f t="shared" si="27"/>
        <v>46.20000000000001</v>
      </c>
      <c r="R48" s="815">
        <f>SUM(M48:Q48)</f>
        <v>190.20000000000002</v>
      </c>
      <c r="T48" s="647"/>
      <c r="U48" s="647"/>
      <c r="V48" s="658"/>
      <c r="Y48" s="2"/>
      <c r="Z48" s="2"/>
      <c r="AA48" s="2"/>
      <c r="AB48" s="2"/>
      <c r="AC48" s="2"/>
      <c r="AD48" s="2"/>
      <c r="AE48" s="2"/>
    </row>
    <row r="49" spans="1:50" ht="33.75" customHeight="1" x14ac:dyDescent="0.25">
      <c r="A49" s="192" t="s">
        <v>11</v>
      </c>
      <c r="B49" s="751">
        <v>152.30000000000001</v>
      </c>
      <c r="C49" s="751">
        <v>152.30000000000001</v>
      </c>
      <c r="D49" s="751">
        <v>152.30000000000001</v>
      </c>
      <c r="E49" s="751">
        <v>152.30000000000001</v>
      </c>
      <c r="F49" s="751">
        <v>152.30000000000001</v>
      </c>
      <c r="G49" s="730">
        <f>+((G48/G50)/7)*1000</f>
        <v>151.86261916030017</v>
      </c>
      <c r="H49" s="609"/>
      <c r="I49" s="364"/>
      <c r="J49" s="364"/>
      <c r="K49" s="364"/>
      <c r="L49" s="273" t="s">
        <v>11</v>
      </c>
      <c r="M49" s="357">
        <v>163</v>
      </c>
      <c r="N49" s="358">
        <v>161.5</v>
      </c>
      <c r="O49" s="358">
        <v>162</v>
      </c>
      <c r="P49" s="358">
        <v>161.5</v>
      </c>
      <c r="Q49" s="624">
        <v>161</v>
      </c>
      <c r="R49" s="730">
        <f>+((R48/R50)/7)*1000</f>
        <v>161.73469387755105</v>
      </c>
      <c r="T49" s="648"/>
      <c r="U49" s="647"/>
      <c r="V49" s="658"/>
      <c r="W49" s="50"/>
    </row>
    <row r="50" spans="1:50" ht="33.75" customHeight="1" x14ac:dyDescent="0.25">
      <c r="A50" s="193" t="s">
        <v>12</v>
      </c>
      <c r="B50" s="26">
        <v>509</v>
      </c>
      <c r="C50" s="27">
        <v>505</v>
      </c>
      <c r="D50" s="27">
        <v>40</v>
      </c>
      <c r="E50" s="27">
        <v>541</v>
      </c>
      <c r="F50" s="183">
        <v>518</v>
      </c>
      <c r="G50" s="731">
        <f>SUM(B50:F50)</f>
        <v>2113</v>
      </c>
      <c r="H50" s="609"/>
      <c r="I50" s="364"/>
      <c r="J50" s="364"/>
      <c r="K50" s="364"/>
      <c r="L50" s="193" t="s">
        <v>12</v>
      </c>
      <c r="M50" s="257">
        <v>41</v>
      </c>
      <c r="N50" s="275">
        <v>40</v>
      </c>
      <c r="O50" s="275">
        <v>4</v>
      </c>
      <c r="P50" s="275">
        <v>42</v>
      </c>
      <c r="Q50" s="276">
        <v>41</v>
      </c>
      <c r="R50" s="233">
        <f>SUM(M50:Q50)</f>
        <v>168</v>
      </c>
      <c r="T50" s="649"/>
      <c r="U50" s="301"/>
      <c r="V50" s="52"/>
      <c r="W50" s="52"/>
    </row>
    <row r="51" spans="1:50" ht="33.75" customHeight="1" x14ac:dyDescent="0.25">
      <c r="A51" s="194" t="s">
        <v>13</v>
      </c>
      <c r="B51" s="30">
        <f>((((B49*7)*B50)/1000-B41-B42)/5)</f>
        <v>77.54898</v>
      </c>
      <c r="C51" s="30">
        <f t="shared" ref="C51:F51" si="28">((((C49*7)*C50)/1000-C41-C42)/5)</f>
        <v>76.896100000000018</v>
      </c>
      <c r="D51" s="30">
        <f t="shared" si="28"/>
        <v>6.3288000000000002</v>
      </c>
      <c r="E51" s="30">
        <f t="shared" si="28"/>
        <v>82.312020000000018</v>
      </c>
      <c r="F51" s="30">
        <f t="shared" si="28"/>
        <v>78.867960000000011</v>
      </c>
      <c r="G51" s="732">
        <f>((G48*1000)/G50)/7</f>
        <v>151.8626191603002</v>
      </c>
      <c r="H51" s="609"/>
      <c r="I51" s="364"/>
      <c r="J51" s="364"/>
      <c r="K51" s="364"/>
      <c r="L51" s="194" t="s">
        <v>13</v>
      </c>
      <c r="M51" s="30">
        <f>((((M49*7)*M50)/1000-M41-M42)/5)</f>
        <v>6.7161999999999988</v>
      </c>
      <c r="N51" s="30">
        <f t="shared" ref="N51:Q51" si="29">((((N49*7)*N50)/1000-N41-N42)/5)</f>
        <v>6.484</v>
      </c>
      <c r="O51" s="30">
        <f t="shared" si="29"/>
        <v>0.64719999999999989</v>
      </c>
      <c r="P51" s="30">
        <f t="shared" si="29"/>
        <v>6.8161999999999994</v>
      </c>
      <c r="Q51" s="30">
        <f t="shared" si="29"/>
        <v>6.6213999999999995</v>
      </c>
      <c r="R51" s="234">
        <f>((R48*1000)/R50)/7</f>
        <v>161.73469387755105</v>
      </c>
      <c r="T51" s="650"/>
      <c r="U51" s="301"/>
      <c r="V51" s="52"/>
      <c r="W51" s="52"/>
    </row>
    <row r="52" spans="1:50" ht="33.75" customHeight="1" x14ac:dyDescent="0.25">
      <c r="A52" s="185" t="s">
        <v>14</v>
      </c>
      <c r="B52" s="279">
        <f>((B50*B49)*7)/1000</f>
        <v>542.64490000000012</v>
      </c>
      <c r="C52" s="280">
        <f>((C50*C49)*7)/1000</f>
        <v>538.38049999999998</v>
      </c>
      <c r="D52" s="280">
        <f>((D50*D49)*7)/1000</f>
        <v>42.643999999999998</v>
      </c>
      <c r="E52" s="280">
        <f>((E50*E49)*7)/1000</f>
        <v>576.76009999999997</v>
      </c>
      <c r="F52" s="281">
        <f>((F50*F49)*7)/1000</f>
        <v>552.23980000000006</v>
      </c>
      <c r="G52" s="73"/>
      <c r="H52" s="609"/>
      <c r="I52" s="364"/>
      <c r="J52" s="364"/>
      <c r="K52" s="364"/>
      <c r="L52" s="185" t="s">
        <v>14</v>
      </c>
      <c r="M52" s="279">
        <f>((M50*M49)*7)/1000</f>
        <v>46.780999999999999</v>
      </c>
      <c r="N52" s="280">
        <f>((N50*N49)*7)/1000</f>
        <v>45.22</v>
      </c>
      <c r="O52" s="280">
        <f>((O50*O49)*7)/1000</f>
        <v>4.5359999999999996</v>
      </c>
      <c r="P52" s="280">
        <f t="shared" ref="P52" si="30">((P50*P49)*7)/1000</f>
        <v>47.481000000000002</v>
      </c>
      <c r="Q52" s="282">
        <f>((Q50*Q49)*7)/1000</f>
        <v>46.207000000000001</v>
      </c>
      <c r="R52" s="282">
        <f>((R50*R49)*7)/1000</f>
        <v>190.20000000000002</v>
      </c>
      <c r="T52" s="522"/>
    </row>
    <row r="53" spans="1:50" ht="33.75" customHeight="1" thickBot="1" x14ac:dyDescent="0.3">
      <c r="A53" s="195" t="s">
        <v>15</v>
      </c>
      <c r="B53" s="37">
        <f>+(B48/B50)/7*1000</f>
        <v>152.17513331462249</v>
      </c>
      <c r="C53" s="38">
        <f t="shared" ref="C53:E53" si="31">+(C48/C50)/7*1000</f>
        <v>152.27722772277224</v>
      </c>
      <c r="D53" s="38">
        <f t="shared" si="31"/>
        <v>134.64285714285714</v>
      </c>
      <c r="E53" s="38">
        <f t="shared" si="31"/>
        <v>152.17850541325586</v>
      </c>
      <c r="F53" s="207">
        <f>+(F48/F50)/7*1000</f>
        <v>152.15113072255932</v>
      </c>
      <c r="G53" s="74"/>
      <c r="H53" s="609"/>
      <c r="I53" s="364"/>
      <c r="J53" s="364"/>
      <c r="K53" s="364"/>
      <c r="L53" s="195" t="s">
        <v>15</v>
      </c>
      <c r="M53" s="37">
        <f>+(M48/M50)/7*1000</f>
        <v>163.06620209059227</v>
      </c>
      <c r="N53" s="38">
        <f>+(N48/N50)/7*1000</f>
        <v>161.42857142857144</v>
      </c>
      <c r="O53" s="38">
        <f>+(O48/O50)/7*1000</f>
        <v>160.71428571428572</v>
      </c>
      <c r="P53" s="38">
        <f t="shared" ref="P53:R53" si="32">+(P48/P50)/7*1000</f>
        <v>161.56462585034012</v>
      </c>
      <c r="Q53" s="39">
        <f t="shared" si="32"/>
        <v>160.97560975609761</v>
      </c>
      <c r="R53" s="39">
        <f t="shared" si="32"/>
        <v>161.73469387755105</v>
      </c>
      <c r="T53" s="651"/>
      <c r="V53" s="42"/>
      <c r="W53" s="42"/>
    </row>
    <row r="54" spans="1:50" ht="33.75" customHeight="1" x14ac:dyDescent="0.25">
      <c r="A54" s="41"/>
      <c r="B54" s="316">
        <f>B52-B48</f>
        <v>0.44490000000018881</v>
      </c>
      <c r="C54" s="316">
        <f t="shared" ref="C54:D55" si="33">C52-C48</f>
        <v>8.0500000000029104E-2</v>
      </c>
      <c r="D54" s="316">
        <f t="shared" si="33"/>
        <v>4.9439999999999955</v>
      </c>
      <c r="E54" s="316">
        <f>E52-E48</f>
        <v>0.46010000000001128</v>
      </c>
      <c r="F54" s="316">
        <f>F52-F48</f>
        <v>0.53980000000001382</v>
      </c>
      <c r="G54" s="41"/>
      <c r="H54" s="41"/>
      <c r="I54" s="41"/>
      <c r="J54" s="41"/>
      <c r="K54" s="41"/>
      <c r="L54" s="42"/>
      <c r="M54" s="878">
        <f>M52-M48</f>
        <v>-1.8999999999991246E-2</v>
      </c>
      <c r="N54" s="878">
        <f>N52-N48</f>
        <v>1.9999999999996021E-2</v>
      </c>
      <c r="O54" s="878">
        <f t="shared" ref="N54:R55" si="34">O52-O48</f>
        <v>3.5999999999999588E-2</v>
      </c>
      <c r="P54" s="878">
        <f t="shared" si="34"/>
        <v>-1.8999999999998352E-2</v>
      </c>
      <c r="Q54" s="878">
        <f t="shared" si="34"/>
        <v>6.9999999999907914E-3</v>
      </c>
      <c r="R54" s="42">
        <f>R52-R48</f>
        <v>0</v>
      </c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-0.12486668537752621</v>
      </c>
      <c r="C55" s="42">
        <f>C53-C49</f>
        <v>-2.2772277227772975E-2</v>
      </c>
      <c r="D55" s="42">
        <f t="shared" si="33"/>
        <v>-17.657142857142873</v>
      </c>
      <c r="E55" s="42">
        <f>E53-E49</f>
        <v>-0.12149458674414859</v>
      </c>
      <c r="F55" s="42">
        <f>F53-F49</f>
        <v>-0.14886927744069567</v>
      </c>
      <c r="G55" s="41"/>
      <c r="H55" s="41"/>
      <c r="I55" s="41"/>
      <c r="J55" s="41"/>
      <c r="K55" s="42"/>
      <c r="L55" s="42"/>
      <c r="M55" s="42">
        <f>M53-M49</f>
        <v>6.6202090592270224E-2</v>
      </c>
      <c r="N55" s="42">
        <f t="shared" si="34"/>
        <v>-7.1428571428555188E-2</v>
      </c>
      <c r="O55" s="42">
        <f>O53-O49</f>
        <v>-1.2857142857142776</v>
      </c>
      <c r="P55" s="42">
        <f>P53-P49</f>
        <v>6.462585034012136E-2</v>
      </c>
      <c r="Q55" s="42">
        <f t="shared" si="34"/>
        <v>-2.439024390238842E-2</v>
      </c>
      <c r="R55" s="42">
        <f t="shared" si="34"/>
        <v>0</v>
      </c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886"/>
      <c r="I57" s="886"/>
      <c r="J57" s="886"/>
      <c r="K57" s="886"/>
      <c r="L57" s="886"/>
      <c r="M57" s="283"/>
      <c r="N57" s="283"/>
      <c r="O57" s="283"/>
      <c r="P57" s="283"/>
      <c r="Q57" s="283"/>
      <c r="R57" s="283"/>
      <c r="S57" s="283"/>
      <c r="T57" s="886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99" t="s">
        <v>30</v>
      </c>
      <c r="H58" s="1000"/>
      <c r="I58" s="1000"/>
      <c r="J58" s="1000"/>
      <c r="K58" s="1001"/>
      <c r="L58" s="973" t="s">
        <v>29</v>
      </c>
      <c r="M58" s="974"/>
      <c r="N58" s="974"/>
      <c r="O58" s="974"/>
      <c r="P58" s="991"/>
      <c r="Q58" s="974" t="s">
        <v>31</v>
      </c>
      <c r="R58" s="974"/>
      <c r="S58" s="974"/>
      <c r="T58" s="974"/>
      <c r="U58" s="991"/>
      <c r="V58" s="992" t="s">
        <v>9</v>
      </c>
      <c r="W58" s="661"/>
      <c r="X58" s="662"/>
      <c r="Y58" s="874"/>
      <c r="Z58" s="874"/>
      <c r="AA58" s="148"/>
      <c r="AB58" s="148"/>
      <c r="AC58" s="148"/>
      <c r="AD58" s="148"/>
      <c r="AE58" s="148"/>
      <c r="AF58" s="58"/>
      <c r="AG58" s="58"/>
      <c r="AH58" s="58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692">
        <v>1</v>
      </c>
      <c r="H59" s="693">
        <v>2</v>
      </c>
      <c r="I59" s="693">
        <v>3</v>
      </c>
      <c r="J59" s="693">
        <v>4</v>
      </c>
      <c r="K59" s="693">
        <v>5</v>
      </c>
      <c r="L59" s="188">
        <v>1</v>
      </c>
      <c r="M59" s="168">
        <v>2</v>
      </c>
      <c r="N59" s="168">
        <v>3</v>
      </c>
      <c r="O59" s="168">
        <v>4</v>
      </c>
      <c r="P59" s="414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993"/>
      <c r="W59" s="663"/>
      <c r="X59" s="645"/>
      <c r="Y59" s="657"/>
      <c r="Z59" s="657"/>
      <c r="AA59" s="148"/>
      <c r="AB59" s="148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45">
      <c r="A60" s="171" t="s">
        <v>53</v>
      </c>
      <c r="B60" s="884">
        <v>7.1</v>
      </c>
      <c r="C60" s="596">
        <v>7.4</v>
      </c>
      <c r="D60" s="596">
        <v>0.9</v>
      </c>
      <c r="E60" s="596">
        <v>7.5</v>
      </c>
      <c r="F60" s="601">
        <v>7.5</v>
      </c>
      <c r="G60" s="884">
        <v>7.6</v>
      </c>
      <c r="H60" s="596">
        <v>7.5</v>
      </c>
      <c r="I60" s="885">
        <v>1</v>
      </c>
      <c r="J60" s="596">
        <v>7.5</v>
      </c>
      <c r="K60" s="596">
        <v>7.2</v>
      </c>
      <c r="L60" s="508">
        <v>6</v>
      </c>
      <c r="M60" s="504">
        <v>5.9</v>
      </c>
      <c r="N60" s="504">
        <v>1.6</v>
      </c>
      <c r="O60" s="504">
        <v>5.9</v>
      </c>
      <c r="P60" s="507">
        <v>5.8</v>
      </c>
      <c r="Q60" s="601">
        <v>6.2</v>
      </c>
      <c r="R60" s="596">
        <v>6</v>
      </c>
      <c r="S60" s="596">
        <v>1.2</v>
      </c>
      <c r="T60" s="596">
        <v>6.2</v>
      </c>
      <c r="U60" s="600">
        <v>6</v>
      </c>
      <c r="V60" s="846">
        <f t="shared" ref="V60:V67" si="35">SUM(B60:U60)</f>
        <v>112.00000000000001</v>
      </c>
      <c r="W60" s="42"/>
      <c r="X60" s="646"/>
      <c r="Y60" s="657"/>
      <c r="Z60" s="657"/>
      <c r="AA60" s="148"/>
      <c r="AB60" s="148"/>
      <c r="AC60" s="58"/>
      <c r="AD60" s="45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45">
      <c r="A61" s="171" t="s">
        <v>24</v>
      </c>
      <c r="B61" s="884">
        <v>7.1</v>
      </c>
      <c r="C61" s="596">
        <v>7.4</v>
      </c>
      <c r="D61" s="596">
        <v>1</v>
      </c>
      <c r="E61" s="596">
        <v>7.5</v>
      </c>
      <c r="F61" s="601">
        <v>7.5</v>
      </c>
      <c r="G61" s="884">
        <v>7.5</v>
      </c>
      <c r="H61" s="596">
        <v>7.5</v>
      </c>
      <c r="I61" s="885">
        <v>1</v>
      </c>
      <c r="J61" s="596">
        <v>7.5</v>
      </c>
      <c r="K61" s="596">
        <v>7.2</v>
      </c>
      <c r="L61" s="508">
        <v>6</v>
      </c>
      <c r="M61" s="504">
        <v>5.8</v>
      </c>
      <c r="N61" s="504">
        <v>1.6</v>
      </c>
      <c r="O61" s="504">
        <v>5.8</v>
      </c>
      <c r="P61" s="507">
        <v>5.6</v>
      </c>
      <c r="Q61" s="601">
        <v>6.2</v>
      </c>
      <c r="R61" s="596">
        <v>6</v>
      </c>
      <c r="S61" s="596">
        <v>1.3</v>
      </c>
      <c r="T61" s="596">
        <v>6.2</v>
      </c>
      <c r="U61" s="600">
        <v>6.1</v>
      </c>
      <c r="V61" s="749">
        <f t="shared" si="35"/>
        <v>111.79999999999998</v>
      </c>
      <c r="W61" s="42"/>
      <c r="X61" s="646"/>
      <c r="Y61" s="875"/>
      <c r="Z61" s="875"/>
      <c r="AA61" s="148"/>
      <c r="AB61" s="148"/>
      <c r="AC61" s="58"/>
      <c r="AD61" s="45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45">
      <c r="A62" s="171" t="s">
        <v>20</v>
      </c>
      <c r="B62" s="884">
        <v>7</v>
      </c>
      <c r="C62" s="596">
        <v>7.3</v>
      </c>
      <c r="D62" s="596">
        <v>1</v>
      </c>
      <c r="E62" s="596">
        <v>7.5</v>
      </c>
      <c r="F62" s="601">
        <v>7.4</v>
      </c>
      <c r="G62" s="884">
        <v>7.5</v>
      </c>
      <c r="H62" s="596">
        <v>7.5</v>
      </c>
      <c r="I62" s="885">
        <v>1</v>
      </c>
      <c r="J62" s="596">
        <v>7.5</v>
      </c>
      <c r="K62" s="596">
        <v>7.2</v>
      </c>
      <c r="L62" s="508">
        <v>6</v>
      </c>
      <c r="M62" s="504">
        <v>5.8</v>
      </c>
      <c r="N62" s="504">
        <v>1.6</v>
      </c>
      <c r="O62" s="504">
        <v>5.8</v>
      </c>
      <c r="P62" s="507">
        <v>5.6</v>
      </c>
      <c r="Q62" s="601">
        <v>6.2</v>
      </c>
      <c r="R62" s="596">
        <v>6.1</v>
      </c>
      <c r="S62" s="596">
        <v>1.3</v>
      </c>
      <c r="T62" s="596">
        <v>6.2</v>
      </c>
      <c r="U62" s="600">
        <v>6.1</v>
      </c>
      <c r="V62" s="643">
        <f t="shared" si="35"/>
        <v>111.59999999999998</v>
      </c>
      <c r="W62" s="42"/>
      <c r="X62" s="646"/>
      <c r="Y62" s="875"/>
      <c r="Z62" s="875"/>
      <c r="AA62" s="148"/>
      <c r="AB62" s="148"/>
      <c r="AC62" s="58"/>
      <c r="AD62" s="45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45">
      <c r="A63" s="171" t="s">
        <v>28</v>
      </c>
      <c r="B63" s="884">
        <v>7</v>
      </c>
      <c r="C63" s="596">
        <v>7.4</v>
      </c>
      <c r="D63" s="596">
        <v>1</v>
      </c>
      <c r="E63" s="596">
        <v>7.5</v>
      </c>
      <c r="F63" s="601">
        <v>7.4</v>
      </c>
      <c r="G63" s="884">
        <v>7.6</v>
      </c>
      <c r="H63" s="596">
        <v>7.5</v>
      </c>
      <c r="I63" s="885">
        <v>0.9</v>
      </c>
      <c r="J63" s="596">
        <v>7.5</v>
      </c>
      <c r="K63" s="596">
        <v>7.4</v>
      </c>
      <c r="L63" s="508">
        <v>6</v>
      </c>
      <c r="M63" s="504">
        <v>5.9</v>
      </c>
      <c r="N63" s="504">
        <v>1.6</v>
      </c>
      <c r="O63" s="504">
        <v>5.9</v>
      </c>
      <c r="P63" s="507">
        <v>5.6</v>
      </c>
      <c r="Q63" s="601">
        <v>6.3</v>
      </c>
      <c r="R63" s="596">
        <v>6.1</v>
      </c>
      <c r="S63" s="596">
        <v>1.3</v>
      </c>
      <c r="T63" s="596">
        <v>6.2</v>
      </c>
      <c r="U63" s="600">
        <v>6.2</v>
      </c>
      <c r="V63" s="643">
        <f t="shared" si="35"/>
        <v>112.29999999999998</v>
      </c>
      <c r="W63" s="42"/>
      <c r="X63" s="646"/>
      <c r="Y63" s="875"/>
      <c r="Z63" s="875"/>
      <c r="AA63" s="148"/>
      <c r="AB63" s="148"/>
      <c r="AC63" s="58"/>
      <c r="AD63" s="45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45">
      <c r="A64" s="171" t="s">
        <v>21</v>
      </c>
      <c r="B64" s="884">
        <v>7.1</v>
      </c>
      <c r="C64" s="596">
        <v>7.4</v>
      </c>
      <c r="D64" s="596">
        <v>1</v>
      </c>
      <c r="E64" s="596">
        <v>7.6</v>
      </c>
      <c r="F64" s="601">
        <v>7.5</v>
      </c>
      <c r="G64" s="884">
        <v>7.6</v>
      </c>
      <c r="H64" s="596">
        <v>7.6</v>
      </c>
      <c r="I64" s="885">
        <v>1</v>
      </c>
      <c r="J64" s="596">
        <v>7.6</v>
      </c>
      <c r="K64" s="596">
        <v>7.4</v>
      </c>
      <c r="L64" s="508">
        <v>6.2</v>
      </c>
      <c r="M64" s="504">
        <v>5.9</v>
      </c>
      <c r="N64" s="504">
        <v>1.7</v>
      </c>
      <c r="O64" s="504">
        <v>5.9</v>
      </c>
      <c r="P64" s="507">
        <v>5.6</v>
      </c>
      <c r="Q64" s="601">
        <v>6.3</v>
      </c>
      <c r="R64" s="596">
        <v>6.1</v>
      </c>
      <c r="S64" s="596">
        <v>1.3</v>
      </c>
      <c r="T64" s="596">
        <v>6.2</v>
      </c>
      <c r="U64" s="600">
        <v>6.2</v>
      </c>
      <c r="V64" s="643">
        <f t="shared" si="35"/>
        <v>113.2</v>
      </c>
      <c r="W64" s="42"/>
      <c r="X64" s="646"/>
      <c r="Y64" s="875"/>
      <c r="Z64" s="875"/>
      <c r="AA64" s="148"/>
      <c r="AB64" s="148"/>
      <c r="AC64" s="58"/>
      <c r="AD64" s="45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45">
      <c r="A65" s="171" t="s">
        <v>22</v>
      </c>
      <c r="B65" s="884">
        <v>7.1</v>
      </c>
      <c r="C65" s="596">
        <v>7.4</v>
      </c>
      <c r="D65" s="596">
        <v>1</v>
      </c>
      <c r="E65" s="596">
        <v>7.6</v>
      </c>
      <c r="F65" s="601">
        <v>7.5</v>
      </c>
      <c r="G65" s="884">
        <v>7.6</v>
      </c>
      <c r="H65" s="596">
        <v>7.6</v>
      </c>
      <c r="I65" s="885">
        <v>1</v>
      </c>
      <c r="J65" s="596">
        <v>7.6</v>
      </c>
      <c r="K65" s="596">
        <v>7.4</v>
      </c>
      <c r="L65" s="508">
        <v>6.2</v>
      </c>
      <c r="M65" s="504">
        <v>6</v>
      </c>
      <c r="N65" s="504">
        <v>1.7</v>
      </c>
      <c r="O65" s="504">
        <v>6</v>
      </c>
      <c r="P65" s="507">
        <v>5.8</v>
      </c>
      <c r="Q65" s="601">
        <v>6.3</v>
      </c>
      <c r="R65" s="596">
        <v>6.1</v>
      </c>
      <c r="S65" s="596">
        <v>1.4</v>
      </c>
      <c r="T65" s="596">
        <v>6.3</v>
      </c>
      <c r="U65" s="600">
        <v>6.3</v>
      </c>
      <c r="V65" s="643">
        <f t="shared" si="35"/>
        <v>113.89999999999999</v>
      </c>
      <c r="W65" s="42"/>
      <c r="X65" s="646"/>
      <c r="Y65" s="875"/>
      <c r="Z65" s="875"/>
      <c r="AA65" s="148"/>
      <c r="AB65" s="148"/>
      <c r="AC65" s="58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5">
      <c r="A66" s="171" t="s">
        <v>23</v>
      </c>
      <c r="B66" s="884">
        <v>7.1</v>
      </c>
      <c r="C66" s="596">
        <v>7.4</v>
      </c>
      <c r="D66" s="596">
        <v>1</v>
      </c>
      <c r="E66" s="596">
        <v>7.6</v>
      </c>
      <c r="F66" s="601">
        <v>7.5</v>
      </c>
      <c r="G66" s="884">
        <v>7.6</v>
      </c>
      <c r="H66" s="596">
        <v>7.6</v>
      </c>
      <c r="I66" s="885">
        <v>1</v>
      </c>
      <c r="J66" s="596">
        <v>7.6</v>
      </c>
      <c r="K66" s="596">
        <v>7.4</v>
      </c>
      <c r="L66" s="508">
        <v>6.2</v>
      </c>
      <c r="M66" s="504">
        <v>6</v>
      </c>
      <c r="N66" s="504">
        <v>1.7</v>
      </c>
      <c r="O66" s="504">
        <v>6</v>
      </c>
      <c r="P66" s="507">
        <v>5.8</v>
      </c>
      <c r="Q66" s="601">
        <v>6.3</v>
      </c>
      <c r="R66" s="596">
        <v>6.1</v>
      </c>
      <c r="S66" s="596">
        <v>1.4</v>
      </c>
      <c r="T66" s="596">
        <v>6.3</v>
      </c>
      <c r="U66" s="600">
        <v>6.3</v>
      </c>
      <c r="V66" s="643">
        <f t="shared" si="35"/>
        <v>113.89999999999999</v>
      </c>
      <c r="W66" s="42"/>
      <c r="X66" s="646"/>
      <c r="Y66" s="875"/>
      <c r="Z66" s="875"/>
      <c r="AA66" s="148"/>
      <c r="AB66" s="148"/>
      <c r="AC66" s="58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618">
        <f t="shared" ref="B67:U67" si="36">SUM(B60:B66)</f>
        <v>49.5</v>
      </c>
      <c r="C67" s="616">
        <f t="shared" si="36"/>
        <v>51.699999999999996</v>
      </c>
      <c r="D67" s="616">
        <f t="shared" si="36"/>
        <v>6.9</v>
      </c>
      <c r="E67" s="616">
        <f t="shared" si="36"/>
        <v>52.800000000000004</v>
      </c>
      <c r="F67" s="617">
        <f t="shared" si="36"/>
        <v>52.3</v>
      </c>
      <c r="G67" s="719">
        <f t="shared" si="36"/>
        <v>53.000000000000007</v>
      </c>
      <c r="H67" s="696">
        <f t="shared" si="36"/>
        <v>52.800000000000004</v>
      </c>
      <c r="I67" s="696">
        <f t="shared" si="36"/>
        <v>6.9</v>
      </c>
      <c r="J67" s="696">
        <f t="shared" si="36"/>
        <v>52.800000000000004</v>
      </c>
      <c r="K67" s="720">
        <f t="shared" si="36"/>
        <v>51.199999999999996</v>
      </c>
      <c r="L67" s="618">
        <f t="shared" si="36"/>
        <v>42.6</v>
      </c>
      <c r="M67" s="616">
        <f t="shared" si="36"/>
        <v>41.3</v>
      </c>
      <c r="N67" s="616">
        <f t="shared" si="36"/>
        <v>11.499999999999998</v>
      </c>
      <c r="O67" s="616">
        <f t="shared" si="36"/>
        <v>41.3</v>
      </c>
      <c r="P67" s="619">
        <f t="shared" si="36"/>
        <v>39.799999999999997</v>
      </c>
      <c r="Q67" s="615">
        <f t="shared" si="36"/>
        <v>43.8</v>
      </c>
      <c r="R67" s="616">
        <f t="shared" si="36"/>
        <v>42.500000000000007</v>
      </c>
      <c r="S67" s="616">
        <f t="shared" si="36"/>
        <v>9.1999999999999993</v>
      </c>
      <c r="T67" s="616">
        <f t="shared" si="36"/>
        <v>43.599999999999994</v>
      </c>
      <c r="U67" s="617">
        <f t="shared" si="36"/>
        <v>43.199999999999996</v>
      </c>
      <c r="V67" s="449">
        <f t="shared" si="35"/>
        <v>788.69999999999993</v>
      </c>
      <c r="W67" s="664"/>
      <c r="X67" s="646"/>
      <c r="Y67" s="875"/>
      <c r="Z67" s="875"/>
      <c r="AA67" s="148"/>
      <c r="AB67" s="148"/>
      <c r="AC67" s="148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164.5</v>
      </c>
      <c r="C68" s="358">
        <v>164</v>
      </c>
      <c r="D68" s="358">
        <v>164.5</v>
      </c>
      <c r="E68" s="358">
        <v>164</v>
      </c>
      <c r="F68" s="624">
        <v>162.5</v>
      </c>
      <c r="G68" s="357">
        <v>164.5</v>
      </c>
      <c r="H68" s="358">
        <v>164</v>
      </c>
      <c r="I68" s="358">
        <v>164.5</v>
      </c>
      <c r="J68" s="358">
        <v>164</v>
      </c>
      <c r="K68" s="624">
        <v>162.5</v>
      </c>
      <c r="L68" s="357">
        <v>164.5</v>
      </c>
      <c r="M68" s="358">
        <v>164</v>
      </c>
      <c r="N68" s="358">
        <v>164.5</v>
      </c>
      <c r="O68" s="358">
        <v>164</v>
      </c>
      <c r="P68" s="624">
        <v>162.5</v>
      </c>
      <c r="Q68" s="671">
        <v>164.5</v>
      </c>
      <c r="R68" s="358">
        <v>164</v>
      </c>
      <c r="S68" s="358">
        <v>164.5</v>
      </c>
      <c r="T68" s="358">
        <v>164</v>
      </c>
      <c r="U68" s="624">
        <v>162.5</v>
      </c>
      <c r="V68" s="296">
        <f>+((V67/V69)/7)*1000</f>
        <v>163.76661129568103</v>
      </c>
      <c r="W68" s="145"/>
      <c r="X68" s="648"/>
      <c r="Y68" s="874"/>
      <c r="Z68" s="874"/>
      <c r="AA68" s="148"/>
      <c r="AB68" s="148"/>
      <c r="AC68" s="148"/>
      <c r="AD68" s="148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43</v>
      </c>
      <c r="C69" s="275">
        <v>45</v>
      </c>
      <c r="D69" s="275">
        <v>6</v>
      </c>
      <c r="E69" s="275">
        <v>46</v>
      </c>
      <c r="F69" s="276">
        <v>46</v>
      </c>
      <c r="G69" s="723">
        <v>46</v>
      </c>
      <c r="H69" s="700">
        <v>46</v>
      </c>
      <c r="I69" s="700">
        <v>6</v>
      </c>
      <c r="J69" s="700">
        <v>46</v>
      </c>
      <c r="K69" s="724">
        <v>45</v>
      </c>
      <c r="L69" s="257">
        <v>37</v>
      </c>
      <c r="M69" s="275">
        <v>36</v>
      </c>
      <c r="N69" s="275">
        <v>10</v>
      </c>
      <c r="O69" s="275">
        <v>36</v>
      </c>
      <c r="P69" s="276">
        <v>35</v>
      </c>
      <c r="Q69" s="79">
        <v>38</v>
      </c>
      <c r="R69" s="275">
        <v>37</v>
      </c>
      <c r="S69" s="275">
        <v>8</v>
      </c>
      <c r="T69" s="275">
        <v>38</v>
      </c>
      <c r="U69" s="276">
        <v>38</v>
      </c>
      <c r="V69" s="254">
        <f>SUM(B69:U69)</f>
        <v>688</v>
      </c>
      <c r="W69" s="145"/>
      <c r="X69" s="649"/>
      <c r="Y69" s="874"/>
      <c r="Z69" s="874"/>
      <c r="AA69" s="148"/>
      <c r="AB69" s="148"/>
      <c r="AC69" s="148"/>
      <c r="AD69" s="45"/>
      <c r="AE69" s="148"/>
      <c r="AF69" s="148"/>
      <c r="AG69" s="148"/>
      <c r="AH69" s="45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>((((B68*7)*B69)/1000-B60-B61)/5)</f>
        <v>7.0628999999999991</v>
      </c>
      <c r="C70" s="31">
        <f t="shared" ref="C70:U70" si="37">((((C68*7)*C69)/1000-C60-C61)/5)</f>
        <v>7.3719999999999999</v>
      </c>
      <c r="D70" s="31">
        <f t="shared" si="37"/>
        <v>1.0017999999999998</v>
      </c>
      <c r="E70" s="31">
        <f t="shared" si="37"/>
        <v>7.5616000000000003</v>
      </c>
      <c r="F70" s="32">
        <f t="shared" si="37"/>
        <v>7.4650000000000007</v>
      </c>
      <c r="G70" s="30">
        <f t="shared" si="37"/>
        <v>7.5738000000000003</v>
      </c>
      <c r="H70" s="31">
        <f t="shared" si="37"/>
        <v>7.5616000000000003</v>
      </c>
      <c r="I70" s="31">
        <f t="shared" si="37"/>
        <v>0.98180000000000001</v>
      </c>
      <c r="J70" s="31">
        <f t="shared" si="37"/>
        <v>7.5616000000000003</v>
      </c>
      <c r="K70" s="32">
        <f t="shared" si="37"/>
        <v>7.357499999999999</v>
      </c>
      <c r="L70" s="30">
        <f t="shared" si="37"/>
        <v>6.1211000000000002</v>
      </c>
      <c r="M70" s="31">
        <f t="shared" si="37"/>
        <v>5.9256000000000011</v>
      </c>
      <c r="N70" s="31">
        <f t="shared" si="37"/>
        <v>1.6630000000000003</v>
      </c>
      <c r="O70" s="31">
        <f t="shared" si="37"/>
        <v>5.9256000000000011</v>
      </c>
      <c r="P70" s="32">
        <f t="shared" si="37"/>
        <v>5.6825000000000001</v>
      </c>
      <c r="Q70" s="65">
        <f t="shared" si="37"/>
        <v>6.271399999999999</v>
      </c>
      <c r="R70" s="31">
        <f t="shared" si="37"/>
        <v>6.0952000000000002</v>
      </c>
      <c r="S70" s="31">
        <f t="shared" si="37"/>
        <v>1.3424</v>
      </c>
      <c r="T70" s="31">
        <f t="shared" si="37"/>
        <v>6.2447999999999997</v>
      </c>
      <c r="U70" s="32">
        <f t="shared" si="37"/>
        <v>6.2249999999999996</v>
      </c>
      <c r="V70" s="139">
        <f>((V67*1000)/V69)/7</f>
        <v>163.76661129568103</v>
      </c>
      <c r="W70" s="144"/>
      <c r="X70" s="650"/>
      <c r="Y70" s="874"/>
      <c r="Z70" s="874"/>
      <c r="AA70" s="148"/>
      <c r="AB70" s="148"/>
      <c r="AC70" s="148"/>
      <c r="AD70" s="148"/>
      <c r="AE70" s="148"/>
      <c r="AF70" s="148"/>
      <c r="AG70" s="148"/>
      <c r="AH70" s="45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38">((B69*B68)*7)/1000</f>
        <v>49.514499999999998</v>
      </c>
      <c r="C71" s="280">
        <f t="shared" si="38"/>
        <v>51.66</v>
      </c>
      <c r="D71" s="280">
        <f t="shared" si="38"/>
        <v>6.9089999999999998</v>
      </c>
      <c r="E71" s="280">
        <f t="shared" si="38"/>
        <v>52.808</v>
      </c>
      <c r="F71" s="282">
        <f t="shared" si="38"/>
        <v>52.325000000000003</v>
      </c>
      <c r="G71" s="464">
        <f t="shared" si="38"/>
        <v>52.969000000000001</v>
      </c>
      <c r="H71" s="459">
        <f>((H69*H68)*7)/1000</f>
        <v>52.808</v>
      </c>
      <c r="I71" s="459">
        <f t="shared" si="38"/>
        <v>6.9089999999999998</v>
      </c>
      <c r="J71" s="459">
        <f t="shared" si="38"/>
        <v>52.808</v>
      </c>
      <c r="K71" s="460">
        <f t="shared" si="38"/>
        <v>51.1875</v>
      </c>
      <c r="L71" s="279">
        <f t="shared" si="38"/>
        <v>42.605499999999999</v>
      </c>
      <c r="M71" s="280">
        <f t="shared" si="38"/>
        <v>41.328000000000003</v>
      </c>
      <c r="N71" s="280">
        <f t="shared" si="38"/>
        <v>11.515000000000001</v>
      </c>
      <c r="O71" s="280">
        <f t="shared" si="38"/>
        <v>41.328000000000003</v>
      </c>
      <c r="P71" s="282">
        <f t="shared" si="38"/>
        <v>39.8125</v>
      </c>
      <c r="Q71" s="325">
        <f t="shared" si="38"/>
        <v>43.756999999999998</v>
      </c>
      <c r="R71" s="280">
        <f t="shared" si="38"/>
        <v>42.475999999999999</v>
      </c>
      <c r="S71" s="280">
        <f t="shared" si="38"/>
        <v>9.2119999999999997</v>
      </c>
      <c r="T71" s="280">
        <f t="shared" si="38"/>
        <v>43.624000000000002</v>
      </c>
      <c r="U71" s="282">
        <f t="shared" si="38"/>
        <v>43.225000000000001</v>
      </c>
      <c r="V71" s="112"/>
      <c r="W71" s="651"/>
      <c r="X71" s="666"/>
      <c r="Y71" s="657"/>
      <c r="Z71" s="657"/>
      <c r="AA71" s="45"/>
      <c r="AB71" s="45"/>
      <c r="AC71" s="45"/>
      <c r="AD71" s="148"/>
      <c r="AE71" s="148"/>
      <c r="AF71" s="148"/>
      <c r="AG71" s="148"/>
      <c r="AH71" s="148"/>
      <c r="AM71" s="3"/>
    </row>
    <row r="72" spans="1:50" ht="33.75" customHeight="1" thickBot="1" x14ac:dyDescent="0.3">
      <c r="A72" s="195" t="s">
        <v>15</v>
      </c>
      <c r="B72" s="37">
        <f t="shared" ref="B72:U72" si="39">+(B67/B69)/7*1000</f>
        <v>164.4518272425249</v>
      </c>
      <c r="C72" s="38">
        <f t="shared" si="39"/>
        <v>164.12698412698413</v>
      </c>
      <c r="D72" s="38">
        <f t="shared" si="39"/>
        <v>164.28571428571431</v>
      </c>
      <c r="E72" s="38">
        <f t="shared" si="39"/>
        <v>163.9751552795031</v>
      </c>
      <c r="F72" s="39">
        <f t="shared" si="39"/>
        <v>162.42236024844721</v>
      </c>
      <c r="G72" s="727">
        <f t="shared" si="39"/>
        <v>164.59627329192551</v>
      </c>
      <c r="H72" s="704">
        <f t="shared" si="39"/>
        <v>163.9751552795031</v>
      </c>
      <c r="I72" s="704">
        <f t="shared" si="39"/>
        <v>164.28571428571431</v>
      </c>
      <c r="J72" s="704">
        <f t="shared" si="39"/>
        <v>163.9751552795031</v>
      </c>
      <c r="K72" s="728">
        <f t="shared" si="39"/>
        <v>162.53968253968253</v>
      </c>
      <c r="L72" s="37">
        <f t="shared" si="39"/>
        <v>164.47876447876448</v>
      </c>
      <c r="M72" s="38">
        <f t="shared" si="39"/>
        <v>163.88888888888889</v>
      </c>
      <c r="N72" s="38">
        <f t="shared" si="39"/>
        <v>164.28571428571428</v>
      </c>
      <c r="O72" s="38">
        <f t="shared" si="39"/>
        <v>163.88888888888889</v>
      </c>
      <c r="P72" s="39">
        <f t="shared" si="39"/>
        <v>162.44897959183672</v>
      </c>
      <c r="Q72" s="67">
        <f t="shared" si="39"/>
        <v>164.66165413533835</v>
      </c>
      <c r="R72" s="38">
        <f t="shared" si="39"/>
        <v>164.09266409266414</v>
      </c>
      <c r="S72" s="38">
        <f t="shared" si="39"/>
        <v>164.28571428571428</v>
      </c>
      <c r="T72" s="38">
        <f t="shared" si="39"/>
        <v>163.9097744360902</v>
      </c>
      <c r="U72" s="39">
        <f t="shared" si="39"/>
        <v>162.40601503759396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316">
        <f>B71-B67</f>
        <v>1.4499999999998181E-2</v>
      </c>
      <c r="C73" s="316">
        <f t="shared" ref="C73:F73" si="40">C71-C67</f>
        <v>-3.9999999999999147E-2</v>
      </c>
      <c r="D73" s="316">
        <f t="shared" si="40"/>
        <v>8.9999999999994529E-3</v>
      </c>
      <c r="E73" s="316">
        <f t="shared" si="40"/>
        <v>7.9999999999955662E-3</v>
      </c>
      <c r="F73" s="316">
        <f t="shared" si="40"/>
        <v>2.5000000000005684E-2</v>
      </c>
      <c r="G73" s="879">
        <f>G71-G67</f>
        <v>-3.1000000000005912E-2</v>
      </c>
      <c r="H73" s="879">
        <f t="shared" ref="H73:P74" si="41">H71-H67</f>
        <v>7.9999999999955662E-3</v>
      </c>
      <c r="I73" s="879">
        <f t="shared" si="41"/>
        <v>8.9999999999994529E-3</v>
      </c>
      <c r="J73" s="879">
        <f t="shared" si="41"/>
        <v>7.9999999999955662E-3</v>
      </c>
      <c r="K73" s="879">
        <f t="shared" si="41"/>
        <v>-1.2499999999995737E-2</v>
      </c>
      <c r="L73" s="316">
        <f>L71-L67</f>
        <v>5.49999999999784E-3</v>
      </c>
      <c r="M73" s="316">
        <f t="shared" ref="M73:U74" si="42">M71-M67</f>
        <v>2.8000000000005798E-2</v>
      </c>
      <c r="N73" s="316">
        <f t="shared" si="42"/>
        <v>1.5000000000002345E-2</v>
      </c>
      <c r="O73" s="316">
        <f t="shared" si="42"/>
        <v>2.8000000000005798E-2</v>
      </c>
      <c r="P73" s="316">
        <f t="shared" si="42"/>
        <v>1.2500000000002842E-2</v>
      </c>
      <c r="Q73" s="316">
        <f t="shared" si="42"/>
        <v>-4.2999999999999261E-2</v>
      </c>
      <c r="R73" s="316">
        <f t="shared" si="42"/>
        <v>-2.4000000000008015E-2</v>
      </c>
      <c r="S73" s="316">
        <f t="shared" si="42"/>
        <v>1.2000000000000455E-2</v>
      </c>
      <c r="T73" s="316">
        <f t="shared" si="42"/>
        <v>2.4000000000008015E-2</v>
      </c>
      <c r="U73" s="316">
        <f t="shared" si="42"/>
        <v>2.5000000000005684E-2</v>
      </c>
      <c r="V73" s="43">
        <f t="shared" ref="V73" si="43">U71-U67</f>
        <v>2.5000000000005684E-2</v>
      </c>
      <c r="X73" s="144"/>
      <c r="Y73" s="522"/>
      <c r="Z73" s="522"/>
      <c r="AA73" s="522"/>
    </row>
    <row r="74" spans="1:50" ht="33.75" customHeight="1" x14ac:dyDescent="0.25">
      <c r="B74" s="42">
        <f t="shared" ref="B74:J74" si="44">B72-B68</f>
        <v>-4.8172757475100525E-2</v>
      </c>
      <c r="C74" s="42">
        <f t="shared" si="44"/>
        <v>0.12698412698412653</v>
      </c>
      <c r="D74" s="42">
        <f t="shared" si="44"/>
        <v>-0.21428571428569398</v>
      </c>
      <c r="E74" s="42">
        <f t="shared" si="44"/>
        <v>-2.4844720496901118E-2</v>
      </c>
      <c r="F74" s="42">
        <f t="shared" si="44"/>
        <v>-7.7639751552794678E-2</v>
      </c>
      <c r="G74" s="705">
        <f t="shared" si="44"/>
        <v>9.6273291925513149E-2</v>
      </c>
      <c r="H74" s="705">
        <f t="shared" si="44"/>
        <v>-2.4844720496901118E-2</v>
      </c>
      <c r="I74" s="705">
        <f>I72-I68</f>
        <v>-0.21428571428569398</v>
      </c>
      <c r="J74" s="705">
        <f t="shared" si="44"/>
        <v>-2.4844720496901118E-2</v>
      </c>
      <c r="K74" s="705">
        <f t="shared" si="41"/>
        <v>3.968253968253066E-2</v>
      </c>
      <c r="L74" s="42">
        <f t="shared" si="41"/>
        <v>-2.1235521235524857E-2</v>
      </c>
      <c r="M74" s="42">
        <f t="shared" si="41"/>
        <v>-0.11111111111111427</v>
      </c>
      <c r="N74" s="42">
        <f t="shared" si="41"/>
        <v>-0.21428571428572241</v>
      </c>
      <c r="O74" s="42">
        <f t="shared" si="41"/>
        <v>-0.11111111111111427</v>
      </c>
      <c r="P74" s="42">
        <f t="shared" si="41"/>
        <v>-5.1020408163282127E-2</v>
      </c>
      <c r="Q74" s="42">
        <f t="shared" si="42"/>
        <v>0.16165413533835249</v>
      </c>
      <c r="R74" s="42">
        <f t="shared" si="42"/>
        <v>9.2664092664136888E-2</v>
      </c>
      <c r="S74" s="42">
        <f t="shared" si="42"/>
        <v>-0.21428571428572241</v>
      </c>
      <c r="T74" s="42">
        <f t="shared" si="42"/>
        <v>-9.0225563909797302E-2</v>
      </c>
      <c r="U74" s="42">
        <f t="shared" si="42"/>
        <v>-9.398496240604004E-2</v>
      </c>
      <c r="V74" s="42">
        <f>U72-U68</f>
        <v>-9.398496240604004E-2</v>
      </c>
      <c r="W74" s="45"/>
      <c r="X74" s="651"/>
      <c r="Y74" s="657"/>
      <c r="Z74" s="657"/>
      <c r="AA74" s="657"/>
      <c r="AB74" s="45"/>
      <c r="AC74" s="45"/>
      <c r="AD74" s="45"/>
      <c r="AE74" s="52"/>
    </row>
    <row r="75" spans="1:50" ht="33.75" customHeight="1" x14ac:dyDescent="0.25">
      <c r="B75" s="576"/>
      <c r="C75" s="576"/>
      <c r="D75" s="576"/>
      <c r="E75" s="576"/>
      <c r="F75" s="576"/>
      <c r="G75" s="576"/>
      <c r="H75" s="576"/>
      <c r="I75" s="576"/>
      <c r="J75" s="576"/>
      <c r="K75" s="576"/>
      <c r="L75" s="576"/>
      <c r="M75" s="576"/>
      <c r="N75" s="576"/>
      <c r="O75" s="576"/>
      <c r="P75" s="576"/>
      <c r="Q75" s="576"/>
      <c r="R75" s="576"/>
      <c r="S75" s="576"/>
      <c r="T75" s="576"/>
      <c r="U75" s="576"/>
      <c r="V75" s="636"/>
    </row>
    <row r="76" spans="1:50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0" ht="33.75" customHeight="1" x14ac:dyDescent="0.25">
      <c r="A77" s="45"/>
      <c r="B77" s="58"/>
      <c r="C77" s="58"/>
      <c r="D77" s="648" t="s">
        <v>132</v>
      </c>
      <c r="E77" s="58"/>
      <c r="F77" s="58"/>
      <c r="G77" s="58"/>
      <c r="H77" s="648" t="s">
        <v>132</v>
      </c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8">
    <mergeCell ref="A3:C3"/>
    <mergeCell ref="E9:G9"/>
    <mergeCell ref="W9:X9"/>
    <mergeCell ref="O11:P11"/>
    <mergeCell ref="B16:H16"/>
    <mergeCell ref="I16:O16"/>
    <mergeCell ref="P16:T16"/>
    <mergeCell ref="U16:Y16"/>
    <mergeCell ref="B58:F58"/>
    <mergeCell ref="G58:K58"/>
    <mergeCell ref="L58:P58"/>
    <mergeCell ref="Q58:U58"/>
    <mergeCell ref="V58:V59"/>
    <mergeCell ref="Z16:Z17"/>
    <mergeCell ref="B39:F39"/>
    <mergeCell ref="G39:G40"/>
    <mergeCell ref="M39:Q39"/>
    <mergeCell ref="R39:R40"/>
  </mergeCells>
  <pageMargins left="0.23622047244094488" right="0.23622047244094488" top="0.74803149606299213" bottom="0.74803149606299213" header="0.31496062992125984" footer="0.31496062992125984"/>
  <pageSetup paperSize="9" scale="20" fitToWidth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00B050"/>
    <pageSetUpPr fitToPage="1"/>
  </sheetPr>
  <dimension ref="A1:AO51"/>
  <sheetViews>
    <sheetView tabSelected="1" view="pageBreakPreview" zoomScale="32" zoomScaleNormal="32" zoomScaleSheetLayoutView="32" zoomScalePageLayoutView="55" workbookViewId="0">
      <selection activeCell="AH16" sqref="AH16"/>
    </sheetView>
  </sheetViews>
  <sheetFormatPr baseColWidth="10" defaultRowHeight="30" x14ac:dyDescent="0.25"/>
  <cols>
    <col min="1" max="1" width="13.7109375" bestFit="1" customWidth="1"/>
    <col min="2" max="2" width="33.140625" style="100" bestFit="1" customWidth="1"/>
    <col min="3" max="3" width="18.5703125" style="100" customWidth="1"/>
    <col min="4" max="4" width="15.7109375" style="100" bestFit="1" customWidth="1"/>
    <col min="5" max="5" width="14.28515625" style="100" customWidth="1"/>
    <col min="6" max="6" width="15.7109375" style="100" bestFit="1" customWidth="1"/>
    <col min="7" max="7" width="17.85546875" style="100" customWidth="1"/>
    <col min="8" max="8" width="20.42578125" style="100" customWidth="1"/>
    <col min="9" max="9" width="30.5703125" style="100" customWidth="1"/>
    <col min="10" max="10" width="17.7109375" style="100" customWidth="1"/>
    <col min="11" max="11" width="33" style="100" customWidth="1"/>
    <col min="12" max="15" width="14.28515625" style="100" customWidth="1"/>
    <col min="16" max="16" width="20.140625" style="100" customWidth="1"/>
    <col min="17" max="17" width="20.42578125" style="100" customWidth="1"/>
    <col min="18" max="18" width="16.85546875" style="100" customWidth="1"/>
    <col min="19" max="19" width="14.28515625" style="100" customWidth="1"/>
    <col min="20" max="22" width="15.7109375" style="100" bestFit="1" customWidth="1"/>
    <col min="23" max="23" width="17.5703125" style="100" customWidth="1"/>
    <col min="24" max="24" width="21.42578125" style="100" customWidth="1"/>
    <col min="25" max="25" width="15.7109375" style="100" bestFit="1" customWidth="1"/>
    <col min="26" max="26" width="15.7109375" bestFit="1" customWidth="1"/>
    <col min="27" max="27" width="21.28515625" bestFit="1" customWidth="1"/>
    <col min="28" max="28" width="31.85546875" customWidth="1"/>
    <col min="29" max="29" width="16.28515625" bestFit="1" customWidth="1"/>
    <col min="30" max="30" width="35.5703125" customWidth="1"/>
    <col min="31" max="31" width="20" customWidth="1"/>
    <col min="32" max="32" width="20.42578125" customWidth="1"/>
  </cols>
  <sheetData>
    <row r="1" spans="1:33" ht="39.75" customHeight="1" x14ac:dyDescent="0.25">
      <c r="A1" s="782"/>
      <c r="B1" s="1004"/>
      <c r="C1" s="1017" t="s">
        <v>36</v>
      </c>
      <c r="D1" s="1017"/>
      <c r="E1" s="1017"/>
      <c r="F1" s="1017"/>
      <c r="G1" s="1017"/>
      <c r="H1" s="1017"/>
      <c r="I1" s="1017"/>
      <c r="J1" s="1017"/>
      <c r="K1" s="1017"/>
      <c r="L1" s="1017"/>
      <c r="M1" s="1018"/>
      <c r="N1" s="1006" t="s">
        <v>37</v>
      </c>
      <c r="O1" s="1007"/>
      <c r="P1" s="1007"/>
      <c r="Q1" s="1007"/>
      <c r="R1" s="1008"/>
      <c r="S1" s="1046"/>
      <c r="T1" s="1040"/>
      <c r="U1" s="1040"/>
      <c r="V1" s="1040"/>
      <c r="W1" s="1041"/>
      <c r="X1" s="1040"/>
      <c r="Y1" s="1040"/>
      <c r="Z1" s="1040"/>
      <c r="AA1" s="1041"/>
    </row>
    <row r="2" spans="1:33" ht="39.75" customHeight="1" x14ac:dyDescent="0.25">
      <c r="A2" s="783"/>
      <c r="B2" s="1005"/>
      <c r="C2" s="1019" t="s">
        <v>38</v>
      </c>
      <c r="D2" s="1019"/>
      <c r="E2" s="1019"/>
      <c r="F2" s="1019"/>
      <c r="G2" s="1019"/>
      <c r="H2" s="1019"/>
      <c r="I2" s="1019"/>
      <c r="J2" s="1019"/>
      <c r="K2" s="1019"/>
      <c r="L2" s="1019"/>
      <c r="M2" s="1020"/>
      <c r="N2" s="1009" t="s">
        <v>39</v>
      </c>
      <c r="O2" s="1010"/>
      <c r="P2" s="1010"/>
      <c r="Q2" s="1010"/>
      <c r="R2" s="1011"/>
      <c r="S2" s="1047"/>
      <c r="T2" s="1042"/>
      <c r="U2" s="1042"/>
      <c r="V2" s="1042"/>
      <c r="W2" s="1043"/>
      <c r="X2" s="1042"/>
      <c r="Y2" s="1042"/>
      <c r="Z2" s="1042"/>
      <c r="AA2" s="1043"/>
    </row>
    <row r="3" spans="1:33" ht="39.75" customHeight="1" thickBot="1" x14ac:dyDescent="0.3">
      <c r="A3" s="783"/>
      <c r="B3" s="1005"/>
      <c r="C3" s="1015"/>
      <c r="D3" s="1015"/>
      <c r="E3" s="1015"/>
      <c r="F3" s="1015"/>
      <c r="G3" s="1015"/>
      <c r="H3" s="1015"/>
      <c r="I3" s="1015"/>
      <c r="J3" s="1015"/>
      <c r="K3" s="1015"/>
      <c r="L3" s="1015"/>
      <c r="M3" s="1021"/>
      <c r="N3" s="1012" t="s">
        <v>40</v>
      </c>
      <c r="O3" s="1013"/>
      <c r="P3" s="1013"/>
      <c r="Q3" s="1013"/>
      <c r="R3" s="1014"/>
      <c r="S3" s="1047"/>
      <c r="T3" s="1042"/>
      <c r="U3" s="1042"/>
      <c r="V3" s="1042"/>
      <c r="W3" s="1043"/>
      <c r="X3" s="1042"/>
      <c r="Y3" s="1042"/>
      <c r="Z3" s="1042"/>
      <c r="AA3" s="1043"/>
    </row>
    <row r="4" spans="1:33" ht="39.75" customHeight="1" x14ac:dyDescent="0.25">
      <c r="A4" s="783"/>
      <c r="B4" s="784"/>
      <c r="C4" s="101"/>
      <c r="D4" s="101"/>
      <c r="E4" s="101"/>
      <c r="F4" s="101"/>
      <c r="G4" s="101"/>
      <c r="H4" s="101"/>
      <c r="I4" s="101"/>
      <c r="J4" s="101"/>
      <c r="K4" s="101"/>
      <c r="L4" s="101"/>
      <c r="M4" s="101"/>
      <c r="N4" s="417"/>
      <c r="O4" s="417"/>
      <c r="P4" s="417"/>
      <c r="Q4" s="417"/>
      <c r="R4" s="417"/>
      <c r="S4" s="1047"/>
      <c r="T4" s="1042"/>
      <c r="U4" s="1042"/>
      <c r="V4" s="1042"/>
      <c r="W4" s="1043"/>
      <c r="X4" s="1042"/>
      <c r="Y4" s="1042"/>
      <c r="Z4" s="1042"/>
      <c r="AA4" s="1043"/>
    </row>
    <row r="5" spans="1:33" ht="39.75" customHeight="1" x14ac:dyDescent="0.25">
      <c r="A5" s="783"/>
      <c r="B5" s="785" t="s">
        <v>41</v>
      </c>
      <c r="C5" s="1015">
        <v>1</v>
      </c>
      <c r="D5" s="1015"/>
      <c r="E5" s="377"/>
      <c r="F5" s="377"/>
      <c r="G5" s="377" t="s">
        <v>42</v>
      </c>
      <c r="H5" s="1016" t="s">
        <v>51</v>
      </c>
      <c r="I5" s="1016"/>
      <c r="J5" s="303"/>
      <c r="K5" s="303"/>
      <c r="L5" s="303"/>
      <c r="M5" s="304"/>
      <c r="N5" s="377" t="s">
        <v>43</v>
      </c>
      <c r="O5" s="776">
        <v>61</v>
      </c>
      <c r="P5" s="777"/>
      <c r="S5" s="1047"/>
      <c r="T5" s="1042"/>
      <c r="U5" s="1042"/>
      <c r="V5" s="1042"/>
      <c r="W5" s="1043"/>
      <c r="X5" s="1042"/>
      <c r="Y5" s="1042"/>
      <c r="Z5" s="1042"/>
      <c r="AA5" s="1043"/>
    </row>
    <row r="6" spans="1:33" ht="39.75" customHeight="1" thickBot="1" x14ac:dyDescent="0.3">
      <c r="A6" s="783"/>
      <c r="B6" s="785"/>
      <c r="C6" s="377"/>
      <c r="D6" s="377"/>
      <c r="E6" s="377"/>
      <c r="F6" s="377"/>
      <c r="G6" s="377"/>
      <c r="H6" s="377"/>
      <c r="I6" s="377"/>
      <c r="J6" s="377"/>
      <c r="K6" s="377"/>
      <c r="L6" s="377"/>
      <c r="M6" s="377"/>
      <c r="N6" s="377"/>
      <c r="O6" s="377"/>
      <c r="P6" s="377"/>
      <c r="Q6" s="377"/>
      <c r="R6" s="377"/>
      <c r="S6" s="1048"/>
      <c r="T6" s="1044"/>
      <c r="U6" s="1044"/>
      <c r="V6" s="1044"/>
      <c r="W6" s="1045"/>
      <c r="X6" s="1044"/>
      <c r="Y6" s="1044"/>
      <c r="Z6" s="1044"/>
      <c r="AA6" s="1045"/>
    </row>
    <row r="7" spans="1:33" ht="39.75" customHeight="1" x14ac:dyDescent="0.25">
      <c r="A7" s="783"/>
      <c r="B7" s="786" t="s">
        <v>44</v>
      </c>
      <c r="C7" s="1022" t="s">
        <v>2</v>
      </c>
      <c r="D7" s="1022"/>
      <c r="E7" s="305"/>
      <c r="F7" s="305"/>
      <c r="G7" s="377" t="s">
        <v>45</v>
      </c>
      <c r="H7" s="1023">
        <v>45756</v>
      </c>
      <c r="I7" s="1016"/>
      <c r="J7" s="1016"/>
      <c r="K7" s="1016"/>
      <c r="L7" s="303"/>
      <c r="M7" s="1025" t="s">
        <v>46</v>
      </c>
      <c r="N7" s="1025"/>
      <c r="O7" s="1025"/>
      <c r="P7" s="1024" t="s">
        <v>121</v>
      </c>
      <c r="Q7" s="1024"/>
      <c r="R7" s="1024"/>
      <c r="S7" s="1024"/>
      <c r="T7" s="306"/>
      <c r="U7" s="417"/>
      <c r="V7" s="417"/>
      <c r="W7" s="417"/>
      <c r="X7" s="417"/>
      <c r="Y7" s="417"/>
    </row>
    <row r="8" spans="1:33" ht="39.75" customHeight="1" thickBot="1" x14ac:dyDescent="0.3">
      <c r="A8" s="787"/>
      <c r="B8" s="788"/>
      <c r="C8" s="377"/>
      <c r="D8" s="377"/>
      <c r="E8" s="377"/>
      <c r="F8" s="377"/>
      <c r="G8" s="377"/>
      <c r="H8" s="377"/>
      <c r="I8" s="377"/>
      <c r="J8" s="377"/>
      <c r="K8" s="377"/>
      <c r="L8" s="377"/>
      <c r="M8" s="377"/>
      <c r="N8" s="377"/>
      <c r="O8" s="377"/>
      <c r="P8" s="377"/>
      <c r="Q8" s="377"/>
      <c r="R8" s="377"/>
      <c r="S8" s="377"/>
      <c r="T8" s="377"/>
      <c r="U8" s="417"/>
      <c r="V8" s="417"/>
      <c r="W8" s="417"/>
      <c r="X8" s="417"/>
      <c r="Y8" s="417"/>
    </row>
    <row r="9" spans="1:33" ht="39.75" customHeight="1" thickBot="1" x14ac:dyDescent="0.3">
      <c r="A9" s="1059" t="s">
        <v>47</v>
      </c>
      <c r="B9" s="1060"/>
      <c r="C9" s="1031" t="s">
        <v>8</v>
      </c>
      <c r="D9" s="1026"/>
      <c r="E9" s="1026"/>
      <c r="F9" s="1026"/>
      <c r="G9" s="1026"/>
      <c r="H9" s="1027"/>
      <c r="I9" s="1032" t="s">
        <v>109</v>
      </c>
      <c r="J9" s="1031" t="s">
        <v>30</v>
      </c>
      <c r="K9" s="1026"/>
      <c r="L9" s="1026"/>
      <c r="M9" s="1026"/>
      <c r="N9" s="1026"/>
      <c r="O9" s="1027"/>
      <c r="P9" s="1034" t="s">
        <v>109</v>
      </c>
      <c r="Q9" s="1026" t="s">
        <v>29</v>
      </c>
      <c r="R9" s="1026"/>
      <c r="S9" s="1026"/>
      <c r="T9" s="1026"/>
      <c r="U9" s="1027"/>
      <c r="V9" s="1031" t="s">
        <v>31</v>
      </c>
      <c r="W9" s="1026"/>
      <c r="X9" s="1026"/>
      <c r="Y9" s="1026"/>
      <c r="Z9" s="1027"/>
      <c r="AA9" s="410"/>
    </row>
    <row r="10" spans="1:33" ht="39.75" customHeight="1" thickBot="1" x14ac:dyDescent="0.3">
      <c r="A10" s="1051" t="s">
        <v>48</v>
      </c>
      <c r="B10" s="1058"/>
      <c r="C10" s="867" t="s">
        <v>100</v>
      </c>
      <c r="D10" s="242">
        <v>1</v>
      </c>
      <c r="E10" s="242">
        <v>2</v>
      </c>
      <c r="F10" s="242">
        <v>3</v>
      </c>
      <c r="G10" s="242">
        <v>4</v>
      </c>
      <c r="H10" s="714">
        <v>5</v>
      </c>
      <c r="I10" s="1033"/>
      <c r="J10" s="535" t="s">
        <v>100</v>
      </c>
      <c r="K10" s="164">
        <v>1</v>
      </c>
      <c r="L10" s="164">
        <v>2</v>
      </c>
      <c r="M10" s="164">
        <v>3</v>
      </c>
      <c r="N10" s="164">
        <v>4</v>
      </c>
      <c r="O10" s="165">
        <v>5</v>
      </c>
      <c r="P10" s="1035"/>
      <c r="Q10" s="245">
        <v>1</v>
      </c>
      <c r="R10" s="242">
        <v>2</v>
      </c>
      <c r="S10" s="242">
        <v>3</v>
      </c>
      <c r="T10" s="242">
        <v>4</v>
      </c>
      <c r="U10" s="243">
        <v>5</v>
      </c>
      <c r="V10" s="406">
        <v>1</v>
      </c>
      <c r="W10" s="407">
        <v>2</v>
      </c>
      <c r="X10" s="407">
        <v>3</v>
      </c>
      <c r="Y10" s="407">
        <v>4</v>
      </c>
      <c r="Z10" s="408">
        <v>5</v>
      </c>
      <c r="AA10" s="409" t="s">
        <v>9</v>
      </c>
      <c r="AB10" s="391"/>
    </row>
    <row r="11" spans="1:33" ht="39.75" customHeight="1" x14ac:dyDescent="0.25">
      <c r="A11" s="450" t="s">
        <v>130</v>
      </c>
      <c r="B11" s="830">
        <v>45756</v>
      </c>
      <c r="C11" s="873">
        <f ca="1">INDIRECT("'SEM " &amp; $O$5 &amp; "'!" &amp; ADDRESS(18, COLUMN(B18)))</f>
        <v>288.5</v>
      </c>
      <c r="D11" s="871">
        <f t="shared" ref="D11:Z11" ca="1" si="0">INDIRECT("'SEM " &amp; $O$5 &amp; "'!" &amp; ADDRESS(18, COLUMN(C18)))</f>
        <v>12</v>
      </c>
      <c r="E11" s="871">
        <f t="shared" ca="1" si="0"/>
        <v>13.8</v>
      </c>
      <c r="F11" s="871">
        <f t="shared" ca="1" si="0"/>
        <v>0.8</v>
      </c>
      <c r="G11" s="871">
        <f t="shared" ca="1" si="0"/>
        <v>13.5</v>
      </c>
      <c r="H11" s="872">
        <f t="shared" ca="1" si="0"/>
        <v>13.8</v>
      </c>
      <c r="I11" s="866">
        <f t="shared" ca="1" si="0"/>
        <v>342.40000000000003</v>
      </c>
      <c r="J11" s="745">
        <f t="shared" ca="1" si="0"/>
        <v>291.5</v>
      </c>
      <c r="K11" s="739">
        <f t="shared" ca="1" si="0"/>
        <v>13.2</v>
      </c>
      <c r="L11" s="739">
        <f t="shared" ca="1" si="0"/>
        <v>13.6</v>
      </c>
      <c r="M11" s="739">
        <f t="shared" ca="1" si="0"/>
        <v>1</v>
      </c>
      <c r="N11" s="739">
        <f t="shared" ca="1" si="0"/>
        <v>13.8</v>
      </c>
      <c r="O11" s="746">
        <f t="shared" ca="1" si="0"/>
        <v>13.8</v>
      </c>
      <c r="P11" s="753">
        <f t="shared" ca="1" si="0"/>
        <v>346.90000000000003</v>
      </c>
      <c r="Q11" s="747">
        <f t="shared" ca="1" si="0"/>
        <v>67.400000000000006</v>
      </c>
      <c r="R11" s="459">
        <f t="shared" ca="1" si="0"/>
        <v>70.099999999999994</v>
      </c>
      <c r="S11" s="739">
        <f t="shared" ca="1" si="0"/>
        <v>13.5</v>
      </c>
      <c r="T11" s="739">
        <f t="shared" ca="1" si="0"/>
        <v>70.099999999999994</v>
      </c>
      <c r="U11" s="746">
        <f t="shared" ca="1" si="0"/>
        <v>69.58</v>
      </c>
      <c r="V11" s="748">
        <f t="shared" ca="1" si="0"/>
        <v>70.8</v>
      </c>
      <c r="W11" s="739">
        <f t="shared" ca="1" si="0"/>
        <v>72.7</v>
      </c>
      <c r="X11" s="459">
        <f t="shared" ca="1" si="0"/>
        <v>11.9</v>
      </c>
      <c r="Y11" s="459">
        <f t="shared" ca="1" si="0"/>
        <v>72.599999999999994</v>
      </c>
      <c r="Z11" s="746">
        <f t="shared" ca="1" si="0"/>
        <v>76.099999999999994</v>
      </c>
      <c r="AA11" s="580">
        <f ca="1">SUM(C11:Z11)-I11-P11</f>
        <v>1284.0799999999997</v>
      </c>
      <c r="AB11" s="780"/>
      <c r="AC11" s="403"/>
      <c r="AD11" s="244"/>
      <c r="AE11" s="244"/>
      <c r="AF11" s="244"/>
      <c r="AG11" s="244"/>
    </row>
    <row r="12" spans="1:33" ht="39.75" customHeight="1" x14ac:dyDescent="0.25">
      <c r="A12" s="450" t="s">
        <v>124</v>
      </c>
      <c r="B12" s="830">
        <f>B11+1</f>
        <v>45757</v>
      </c>
      <c r="C12" s="279">
        <f t="shared" ref="C12:Z12" ca="1" si="1">INDIRECT("'SEM " &amp; $O$5 &amp; "'!" &amp; ADDRESS(19, COLUMN(B19)))</f>
        <v>288.5</v>
      </c>
      <c r="D12" s="459">
        <f t="shared" ca="1" si="1"/>
        <v>12</v>
      </c>
      <c r="E12" s="459">
        <f t="shared" ca="1" si="1"/>
        <v>13.8</v>
      </c>
      <c r="F12" s="459">
        <f t="shared" ca="1" si="1"/>
        <v>0.8</v>
      </c>
      <c r="G12" s="459">
        <f t="shared" ca="1" si="1"/>
        <v>13.5</v>
      </c>
      <c r="H12" s="460">
        <f t="shared" ca="1" si="1"/>
        <v>13.8</v>
      </c>
      <c r="I12" s="866">
        <f t="shared" ca="1" si="1"/>
        <v>342.40000000000003</v>
      </c>
      <c r="J12" s="745">
        <f t="shared" ca="1" si="1"/>
        <v>291.5</v>
      </c>
      <c r="K12" s="739">
        <f t="shared" ca="1" si="1"/>
        <v>13.2</v>
      </c>
      <c r="L12" s="739">
        <f t="shared" ca="1" si="1"/>
        <v>13.6</v>
      </c>
      <c r="M12" s="739">
        <f t="shared" ca="1" si="1"/>
        <v>1</v>
      </c>
      <c r="N12" s="739">
        <f t="shared" ca="1" si="1"/>
        <v>13.8</v>
      </c>
      <c r="O12" s="746">
        <f t="shared" ca="1" si="1"/>
        <v>13.8</v>
      </c>
      <c r="P12" s="753">
        <f t="shared" ca="1" si="1"/>
        <v>346.90000000000003</v>
      </c>
      <c r="Q12" s="747">
        <f t="shared" ca="1" si="1"/>
        <v>67.400000000000006</v>
      </c>
      <c r="R12" s="459">
        <f t="shared" ca="1" si="1"/>
        <v>70.099999999999994</v>
      </c>
      <c r="S12" s="739">
        <f t="shared" ca="1" si="1"/>
        <v>13.5</v>
      </c>
      <c r="T12" s="739">
        <f t="shared" ca="1" si="1"/>
        <v>70.099999999999994</v>
      </c>
      <c r="U12" s="746">
        <f t="shared" ca="1" si="1"/>
        <v>69.58</v>
      </c>
      <c r="V12" s="748">
        <f t="shared" ca="1" si="1"/>
        <v>70.8</v>
      </c>
      <c r="W12" s="739">
        <f t="shared" ca="1" si="1"/>
        <v>72.7</v>
      </c>
      <c r="X12" s="459">
        <f t="shared" ca="1" si="1"/>
        <v>11.9</v>
      </c>
      <c r="Y12" s="459">
        <f t="shared" ca="1" si="1"/>
        <v>72.599999999999994</v>
      </c>
      <c r="Z12" s="746">
        <f t="shared" ca="1" si="1"/>
        <v>76.099999999999994</v>
      </c>
      <c r="AA12" s="582">
        <f ca="1">SUM(C12:Z12)-I12-P12</f>
        <v>1284.0799999999997</v>
      </c>
      <c r="AB12" s="780"/>
      <c r="AC12" s="403"/>
      <c r="AD12" s="103"/>
      <c r="AE12" s="103"/>
      <c r="AF12" s="103"/>
      <c r="AG12" s="103"/>
    </row>
    <row r="13" spans="1:33" ht="39.75" customHeight="1" x14ac:dyDescent="0.25">
      <c r="A13" s="450" t="s">
        <v>125</v>
      </c>
      <c r="B13" s="830">
        <f t="shared" ref="B13:B17" si="2">B12+1</f>
        <v>45758</v>
      </c>
      <c r="C13" s="279">
        <f t="shared" ref="C13:Z13" ca="1" si="3">INDIRECT("'SEM " &amp; $O$5 &amp; "'!" &amp; ADDRESS(20, COLUMN(B20)))</f>
        <v>288.5</v>
      </c>
      <c r="D13" s="459">
        <f t="shared" ca="1" si="3"/>
        <v>12</v>
      </c>
      <c r="E13" s="459">
        <f t="shared" ca="1" si="3"/>
        <v>13.8</v>
      </c>
      <c r="F13" s="459">
        <f t="shared" ca="1" si="3"/>
        <v>0.8</v>
      </c>
      <c r="G13" s="459">
        <f t="shared" ca="1" si="3"/>
        <v>13.5</v>
      </c>
      <c r="H13" s="460">
        <f t="shared" ca="1" si="3"/>
        <v>13.8</v>
      </c>
      <c r="I13" s="866">
        <f t="shared" ca="1" si="3"/>
        <v>342.40000000000003</v>
      </c>
      <c r="J13" s="745">
        <f t="shared" ca="1" si="3"/>
        <v>291.5</v>
      </c>
      <c r="K13" s="739">
        <f t="shared" ca="1" si="3"/>
        <v>13.2</v>
      </c>
      <c r="L13" s="739">
        <f t="shared" ca="1" si="3"/>
        <v>13.6</v>
      </c>
      <c r="M13" s="739">
        <f t="shared" ca="1" si="3"/>
        <v>1</v>
      </c>
      <c r="N13" s="739">
        <f t="shared" ca="1" si="3"/>
        <v>13.8</v>
      </c>
      <c r="O13" s="746">
        <f t="shared" ca="1" si="3"/>
        <v>13.8</v>
      </c>
      <c r="P13" s="753">
        <f t="shared" ca="1" si="3"/>
        <v>346.90000000000003</v>
      </c>
      <c r="Q13" s="747">
        <f t="shared" ca="1" si="3"/>
        <v>67.400000000000006</v>
      </c>
      <c r="R13" s="459">
        <f t="shared" ca="1" si="3"/>
        <v>70.099999999999994</v>
      </c>
      <c r="S13" s="739">
        <f t="shared" ca="1" si="3"/>
        <v>13.5</v>
      </c>
      <c r="T13" s="739">
        <f t="shared" ca="1" si="3"/>
        <v>70.099999999999994</v>
      </c>
      <c r="U13" s="746">
        <f t="shared" ca="1" si="3"/>
        <v>69.58</v>
      </c>
      <c r="V13" s="748">
        <f t="shared" ca="1" si="3"/>
        <v>70.8</v>
      </c>
      <c r="W13" s="739">
        <f t="shared" ca="1" si="3"/>
        <v>72.7</v>
      </c>
      <c r="X13" s="459">
        <f t="shared" ca="1" si="3"/>
        <v>11.9</v>
      </c>
      <c r="Y13" s="459">
        <f t="shared" ca="1" si="3"/>
        <v>72.599999999999994</v>
      </c>
      <c r="Z13" s="746">
        <f t="shared" ca="1" si="3"/>
        <v>76.099999999999994</v>
      </c>
      <c r="AA13" s="582">
        <f t="shared" ref="AA13:AA17" ca="1" si="4">SUM(C13:Z13)-I13-P13</f>
        <v>1284.0799999999997</v>
      </c>
      <c r="AB13" s="780"/>
      <c r="AC13" s="403"/>
      <c r="AD13" s="102"/>
      <c r="AE13" s="102"/>
      <c r="AF13" s="102"/>
      <c r="AG13" s="143"/>
    </row>
    <row r="14" spans="1:33" ht="39.75" customHeight="1" x14ac:dyDescent="0.25">
      <c r="A14" s="450" t="s">
        <v>126</v>
      </c>
      <c r="B14" s="830">
        <f t="shared" si="2"/>
        <v>45759</v>
      </c>
      <c r="C14" s="279">
        <f t="shared" ref="C14:Z14" ca="1" si="5">INDIRECT("'SEM " &amp; $O$5 &amp; "'!" &amp; ADDRESS(21, COLUMN(B21)))</f>
        <v>0</v>
      </c>
      <c r="D14" s="459">
        <f t="shared" ca="1" si="5"/>
        <v>0</v>
      </c>
      <c r="E14" s="459">
        <f t="shared" ca="1" si="5"/>
        <v>0</v>
      </c>
      <c r="F14" s="459">
        <f t="shared" ca="1" si="5"/>
        <v>0</v>
      </c>
      <c r="G14" s="459">
        <f t="shared" ca="1" si="5"/>
        <v>0</v>
      </c>
      <c r="H14" s="460">
        <f t="shared" ca="1" si="5"/>
        <v>0</v>
      </c>
      <c r="I14" s="866">
        <f t="shared" ca="1" si="5"/>
        <v>0</v>
      </c>
      <c r="J14" s="745">
        <f t="shared" ca="1" si="5"/>
        <v>0</v>
      </c>
      <c r="K14" s="739">
        <f t="shared" ca="1" si="5"/>
        <v>0</v>
      </c>
      <c r="L14" s="739">
        <f t="shared" ca="1" si="5"/>
        <v>0</v>
      </c>
      <c r="M14" s="739">
        <f t="shared" ca="1" si="5"/>
        <v>0</v>
      </c>
      <c r="N14" s="739">
        <f t="shared" ca="1" si="5"/>
        <v>0</v>
      </c>
      <c r="O14" s="746">
        <f t="shared" ca="1" si="5"/>
        <v>0</v>
      </c>
      <c r="P14" s="753">
        <f t="shared" ca="1" si="5"/>
        <v>0</v>
      </c>
      <c r="Q14" s="747">
        <f t="shared" ca="1" si="5"/>
        <v>0</v>
      </c>
      <c r="R14" s="459">
        <f t="shared" ca="1" si="5"/>
        <v>0</v>
      </c>
      <c r="S14" s="739">
        <f t="shared" ca="1" si="5"/>
        <v>0</v>
      </c>
      <c r="T14" s="739">
        <f t="shared" ca="1" si="5"/>
        <v>0</v>
      </c>
      <c r="U14" s="746">
        <f t="shared" ca="1" si="5"/>
        <v>0</v>
      </c>
      <c r="V14" s="748">
        <f t="shared" ca="1" si="5"/>
        <v>0</v>
      </c>
      <c r="W14" s="739">
        <f t="shared" ca="1" si="5"/>
        <v>0</v>
      </c>
      <c r="X14" s="459">
        <f t="shared" ca="1" si="5"/>
        <v>0</v>
      </c>
      <c r="Y14" s="459">
        <f t="shared" ca="1" si="5"/>
        <v>0</v>
      </c>
      <c r="Z14" s="746">
        <f t="shared" ca="1" si="5"/>
        <v>0</v>
      </c>
      <c r="AA14" s="582">
        <f ca="1">SUM(C14:Z14)-I14-P14</f>
        <v>0</v>
      </c>
      <c r="AB14" s="780"/>
      <c r="AC14" s="403"/>
      <c r="AD14" s="102"/>
      <c r="AE14" s="102"/>
      <c r="AF14" s="102"/>
      <c r="AG14" s="143"/>
    </row>
    <row r="15" spans="1:33" ht="39.75" customHeight="1" x14ac:dyDescent="0.25">
      <c r="A15" s="450" t="s">
        <v>127</v>
      </c>
      <c r="B15" s="830">
        <f t="shared" si="2"/>
        <v>45760</v>
      </c>
      <c r="C15" s="279">
        <f t="shared" ref="C15:Z15" ca="1" si="6">INDIRECT("'SEM " &amp; $O$5 &amp; "'!" &amp; ADDRESS(22, COLUMN(B22)))</f>
        <v>0</v>
      </c>
      <c r="D15" s="459">
        <f t="shared" ca="1" si="6"/>
        <v>0</v>
      </c>
      <c r="E15" s="459">
        <f t="shared" ca="1" si="6"/>
        <v>0</v>
      </c>
      <c r="F15" s="459">
        <f t="shared" ca="1" si="6"/>
        <v>0</v>
      </c>
      <c r="G15" s="459">
        <f t="shared" ca="1" si="6"/>
        <v>0</v>
      </c>
      <c r="H15" s="460">
        <f t="shared" ca="1" si="6"/>
        <v>0</v>
      </c>
      <c r="I15" s="866">
        <f t="shared" ca="1" si="6"/>
        <v>0</v>
      </c>
      <c r="J15" s="745">
        <f t="shared" ca="1" si="6"/>
        <v>0</v>
      </c>
      <c r="K15" s="739">
        <f t="shared" ca="1" si="6"/>
        <v>0</v>
      </c>
      <c r="L15" s="739">
        <f t="shared" ca="1" si="6"/>
        <v>0</v>
      </c>
      <c r="M15" s="739">
        <f t="shared" ca="1" si="6"/>
        <v>0</v>
      </c>
      <c r="N15" s="739">
        <f t="shared" ca="1" si="6"/>
        <v>0</v>
      </c>
      <c r="O15" s="746">
        <f t="shared" ca="1" si="6"/>
        <v>0</v>
      </c>
      <c r="P15" s="753">
        <f t="shared" ca="1" si="6"/>
        <v>0</v>
      </c>
      <c r="Q15" s="747">
        <f t="shared" ca="1" si="6"/>
        <v>0</v>
      </c>
      <c r="R15" s="459">
        <f t="shared" ca="1" si="6"/>
        <v>0</v>
      </c>
      <c r="S15" s="739">
        <f t="shared" ca="1" si="6"/>
        <v>0</v>
      </c>
      <c r="T15" s="739">
        <f t="shared" ca="1" si="6"/>
        <v>0</v>
      </c>
      <c r="U15" s="746">
        <f t="shared" ca="1" si="6"/>
        <v>0</v>
      </c>
      <c r="V15" s="748">
        <f t="shared" ca="1" si="6"/>
        <v>0</v>
      </c>
      <c r="W15" s="739">
        <f t="shared" ca="1" si="6"/>
        <v>0</v>
      </c>
      <c r="X15" s="459">
        <f t="shared" ca="1" si="6"/>
        <v>0</v>
      </c>
      <c r="Y15" s="459">
        <f t="shared" ca="1" si="6"/>
        <v>0</v>
      </c>
      <c r="Z15" s="746">
        <f t="shared" ca="1" si="6"/>
        <v>0</v>
      </c>
      <c r="AA15" s="582">
        <f t="shared" ca="1" si="4"/>
        <v>0</v>
      </c>
      <c r="AB15" s="780"/>
      <c r="AC15" s="403"/>
      <c r="AD15" s="263"/>
      <c r="AE15" s="102"/>
      <c r="AF15" s="263"/>
      <c r="AG15" s="143"/>
    </row>
    <row r="16" spans="1:33" ht="39.75" customHeight="1" x14ac:dyDescent="0.25">
      <c r="A16" s="450" t="s">
        <v>128</v>
      </c>
      <c r="B16" s="830">
        <f t="shared" si="2"/>
        <v>45761</v>
      </c>
      <c r="C16" s="279">
        <f t="shared" ref="C16:Z16" ca="1" si="7">INDIRECT("'SEM " &amp; $O$5 &amp; "'!" &amp; ADDRESS(23, COLUMN(B23)))</f>
        <v>0</v>
      </c>
      <c r="D16" s="459">
        <f t="shared" ca="1" si="7"/>
        <v>0</v>
      </c>
      <c r="E16" s="459">
        <f t="shared" ca="1" si="7"/>
        <v>0</v>
      </c>
      <c r="F16" s="459">
        <f t="shared" ca="1" si="7"/>
        <v>0</v>
      </c>
      <c r="G16" s="459">
        <f t="shared" ca="1" si="7"/>
        <v>0</v>
      </c>
      <c r="H16" s="460">
        <f t="shared" ca="1" si="7"/>
        <v>0</v>
      </c>
      <c r="I16" s="866">
        <f t="shared" ca="1" si="7"/>
        <v>0</v>
      </c>
      <c r="J16" s="745">
        <f t="shared" ca="1" si="7"/>
        <v>0</v>
      </c>
      <c r="K16" s="739">
        <f t="shared" ca="1" si="7"/>
        <v>0</v>
      </c>
      <c r="L16" s="739">
        <f t="shared" ca="1" si="7"/>
        <v>0</v>
      </c>
      <c r="M16" s="739">
        <f t="shared" ca="1" si="7"/>
        <v>0</v>
      </c>
      <c r="N16" s="739">
        <f t="shared" ca="1" si="7"/>
        <v>0</v>
      </c>
      <c r="O16" s="746">
        <f t="shared" ca="1" si="7"/>
        <v>0</v>
      </c>
      <c r="P16" s="753">
        <f t="shared" ca="1" si="7"/>
        <v>0</v>
      </c>
      <c r="Q16" s="747">
        <f t="shared" ca="1" si="7"/>
        <v>0</v>
      </c>
      <c r="R16" s="459">
        <f t="shared" ca="1" si="7"/>
        <v>0</v>
      </c>
      <c r="S16" s="739">
        <f t="shared" ca="1" si="7"/>
        <v>0</v>
      </c>
      <c r="T16" s="739">
        <f t="shared" ca="1" si="7"/>
        <v>0</v>
      </c>
      <c r="U16" s="746">
        <f t="shared" ca="1" si="7"/>
        <v>0</v>
      </c>
      <c r="V16" s="748">
        <f t="shared" ca="1" si="7"/>
        <v>0</v>
      </c>
      <c r="W16" s="739">
        <f t="shared" ca="1" si="7"/>
        <v>0</v>
      </c>
      <c r="X16" s="459">
        <f t="shared" ca="1" si="7"/>
        <v>0</v>
      </c>
      <c r="Y16" s="459">
        <f t="shared" ca="1" si="7"/>
        <v>0</v>
      </c>
      <c r="Z16" s="746">
        <f t="shared" ca="1" si="7"/>
        <v>0</v>
      </c>
      <c r="AA16" s="582">
        <f t="shared" ca="1" si="4"/>
        <v>0</v>
      </c>
      <c r="AB16" s="780"/>
      <c r="AC16" s="403"/>
      <c r="AD16" s="263"/>
      <c r="AE16" s="102"/>
      <c r="AF16" s="263"/>
      <c r="AG16" s="143"/>
    </row>
    <row r="17" spans="1:33" ht="39.75" customHeight="1" thickBot="1" x14ac:dyDescent="0.3">
      <c r="A17" s="450" t="s">
        <v>129</v>
      </c>
      <c r="B17" s="830">
        <f t="shared" si="2"/>
        <v>45762</v>
      </c>
      <c r="C17" s="37">
        <f t="shared" ref="C17:Z17" ca="1" si="8">INDIRECT("'SEM " &amp; $O$5 &amp; "'!" &amp; ADDRESS(24, COLUMN(B24)))</f>
        <v>0</v>
      </c>
      <c r="D17" s="704">
        <f t="shared" ca="1" si="8"/>
        <v>0</v>
      </c>
      <c r="E17" s="704">
        <f t="shared" ca="1" si="8"/>
        <v>0</v>
      </c>
      <c r="F17" s="704">
        <f t="shared" ca="1" si="8"/>
        <v>0</v>
      </c>
      <c r="G17" s="704">
        <f t="shared" ca="1" si="8"/>
        <v>0</v>
      </c>
      <c r="H17" s="728">
        <f t="shared" ca="1" si="8"/>
        <v>0</v>
      </c>
      <c r="I17" s="866">
        <f t="shared" ca="1" si="8"/>
        <v>0</v>
      </c>
      <c r="J17" s="745">
        <f t="shared" ca="1" si="8"/>
        <v>0</v>
      </c>
      <c r="K17" s="739">
        <f t="shared" ca="1" si="8"/>
        <v>0</v>
      </c>
      <c r="L17" s="739">
        <f t="shared" ca="1" si="8"/>
        <v>0</v>
      </c>
      <c r="M17" s="739">
        <f t="shared" ca="1" si="8"/>
        <v>0</v>
      </c>
      <c r="N17" s="739">
        <f t="shared" ca="1" si="8"/>
        <v>0</v>
      </c>
      <c r="O17" s="746">
        <f t="shared" ca="1" si="8"/>
        <v>0</v>
      </c>
      <c r="P17" s="753">
        <f t="shared" ca="1" si="8"/>
        <v>0</v>
      </c>
      <c r="Q17" s="747">
        <f t="shared" ca="1" si="8"/>
        <v>0</v>
      </c>
      <c r="R17" s="459">
        <f t="shared" ca="1" si="8"/>
        <v>0</v>
      </c>
      <c r="S17" s="739">
        <f t="shared" ca="1" si="8"/>
        <v>0</v>
      </c>
      <c r="T17" s="739">
        <f t="shared" ca="1" si="8"/>
        <v>0</v>
      </c>
      <c r="U17" s="746">
        <f t="shared" ca="1" si="8"/>
        <v>0</v>
      </c>
      <c r="V17" s="748">
        <f t="shared" ca="1" si="8"/>
        <v>0</v>
      </c>
      <c r="W17" s="739">
        <f t="shared" ca="1" si="8"/>
        <v>0</v>
      </c>
      <c r="X17" s="459">
        <f t="shared" ca="1" si="8"/>
        <v>0</v>
      </c>
      <c r="Y17" s="459">
        <f t="shared" ca="1" si="8"/>
        <v>0</v>
      </c>
      <c r="Z17" s="746">
        <f t="shared" ca="1" si="8"/>
        <v>0</v>
      </c>
      <c r="AA17" s="583">
        <f t="shared" ca="1" si="4"/>
        <v>0</v>
      </c>
      <c r="AB17" s="780"/>
      <c r="AC17" s="263"/>
      <c r="AD17" s="263"/>
      <c r="AE17" s="102"/>
      <c r="AF17" s="263"/>
      <c r="AG17" s="143"/>
    </row>
    <row r="18" spans="1:33" ht="39.75" customHeight="1" thickBot="1" x14ac:dyDescent="0.3">
      <c r="A18" s="1053" t="s">
        <v>9</v>
      </c>
      <c r="B18" s="1054"/>
      <c r="C18" s="868">
        <f ca="1">SUM(C11:C17)</f>
        <v>865.5</v>
      </c>
      <c r="D18" s="869">
        <f ca="1">SUM(D11:D17)</f>
        <v>36</v>
      </c>
      <c r="E18" s="869">
        <f t="shared" ref="E18:Z18" ca="1" si="9">SUM(E11:E17)</f>
        <v>41.400000000000006</v>
      </c>
      <c r="F18" s="869">
        <f ca="1">SUM(F11:F17)</f>
        <v>2.4000000000000004</v>
      </c>
      <c r="G18" s="869">
        <f t="shared" ca="1" si="9"/>
        <v>40.5</v>
      </c>
      <c r="H18" s="870">
        <f t="shared" ca="1" si="9"/>
        <v>41.400000000000006</v>
      </c>
      <c r="I18" s="496">
        <f t="shared" ca="1" si="9"/>
        <v>1027.2</v>
      </c>
      <c r="J18" s="492">
        <f t="shared" ca="1" si="9"/>
        <v>874.5</v>
      </c>
      <c r="K18" s="757">
        <f t="shared" ca="1" si="9"/>
        <v>39.599999999999994</v>
      </c>
      <c r="L18" s="757">
        <f t="shared" ca="1" si="9"/>
        <v>40.799999999999997</v>
      </c>
      <c r="M18" s="757">
        <f t="shared" ca="1" si="9"/>
        <v>3</v>
      </c>
      <c r="N18" s="757">
        <f t="shared" ca="1" si="9"/>
        <v>41.400000000000006</v>
      </c>
      <c r="O18" s="758">
        <f t="shared" ca="1" si="9"/>
        <v>41.400000000000006</v>
      </c>
      <c r="P18" s="496">
        <f t="shared" ca="1" si="9"/>
        <v>1040.7</v>
      </c>
      <c r="Q18" s="759">
        <f t="shared" ca="1" si="9"/>
        <v>202.20000000000002</v>
      </c>
      <c r="R18" s="760">
        <f t="shared" ca="1" si="9"/>
        <v>210.29999999999998</v>
      </c>
      <c r="S18" s="760">
        <f t="shared" ca="1" si="9"/>
        <v>40.5</v>
      </c>
      <c r="T18" s="760">
        <f t="shared" ca="1" si="9"/>
        <v>210.29999999999998</v>
      </c>
      <c r="U18" s="760">
        <f t="shared" ca="1" si="9"/>
        <v>208.74</v>
      </c>
      <c r="V18" s="760">
        <f t="shared" ca="1" si="9"/>
        <v>212.39999999999998</v>
      </c>
      <c r="W18" s="760">
        <f t="shared" ca="1" si="9"/>
        <v>218.10000000000002</v>
      </c>
      <c r="X18" s="760">
        <f t="shared" ca="1" si="9"/>
        <v>35.700000000000003</v>
      </c>
      <c r="Y18" s="760">
        <f t="shared" ca="1" si="9"/>
        <v>217.79999999999998</v>
      </c>
      <c r="Z18" s="761">
        <f t="shared" ca="1" si="9"/>
        <v>228.29999999999998</v>
      </c>
      <c r="AA18" s="762">
        <f ca="1">SUM(AA11:AA17)</f>
        <v>3852.2399999999989</v>
      </c>
      <c r="AC18" s="263"/>
      <c r="AD18" s="263"/>
      <c r="AE18" s="102"/>
      <c r="AF18" s="263"/>
      <c r="AG18" s="143"/>
    </row>
    <row r="19" spans="1:33" ht="39.75" customHeight="1" thickBot="1" x14ac:dyDescent="0.3">
      <c r="A19" s="1049" t="s">
        <v>52</v>
      </c>
      <c r="B19" s="1055"/>
      <c r="C19" s="102"/>
      <c r="D19" s="803">
        <f ca="1">INDIRECT("'SEM " &amp; $O$5 &amp; "'!" &amp; ADDRESS(27, COLUMN(C27)))</f>
        <v>498</v>
      </c>
      <c r="E19" s="770">
        <f t="shared" ref="E19:Z19" ca="1" si="10">INDIRECT("'SEM " &amp; $O$5 &amp; "'!" &amp; ADDRESS(27, COLUMN(D27)))</f>
        <v>545</v>
      </c>
      <c r="F19" s="770">
        <f t="shared" ca="1" si="10"/>
        <v>52</v>
      </c>
      <c r="G19" s="770">
        <f t="shared" ca="1" si="10"/>
        <v>536</v>
      </c>
      <c r="H19" s="771">
        <f t="shared" ca="1" si="10"/>
        <v>542</v>
      </c>
      <c r="I19" s="106"/>
      <c r="J19" s="106"/>
      <c r="K19" s="769">
        <f t="shared" ca="1" si="10"/>
        <v>521</v>
      </c>
      <c r="L19" s="770">
        <f t="shared" ca="1" si="10"/>
        <v>543</v>
      </c>
      <c r="M19" s="770">
        <f t="shared" ca="1" si="10"/>
        <v>52</v>
      </c>
      <c r="N19" s="770">
        <f t="shared" ca="1" si="10"/>
        <v>550</v>
      </c>
      <c r="O19" s="771">
        <f t="shared" ca="1" si="10"/>
        <v>551</v>
      </c>
      <c r="P19" s="106"/>
      <c r="Q19" s="769">
        <f t="shared" ca="1" si="10"/>
        <v>460</v>
      </c>
      <c r="R19" s="770">
        <f t="shared" ca="1" si="10"/>
        <v>462</v>
      </c>
      <c r="S19" s="770">
        <f t="shared" ca="1" si="10"/>
        <v>96</v>
      </c>
      <c r="T19" s="770">
        <f t="shared" ca="1" si="10"/>
        <v>464</v>
      </c>
      <c r="U19" s="770">
        <f t="shared" ca="1" si="10"/>
        <v>465</v>
      </c>
      <c r="V19" s="770">
        <f t="shared" ca="1" si="10"/>
        <v>473</v>
      </c>
      <c r="W19" s="770">
        <f t="shared" ca="1" si="10"/>
        <v>487</v>
      </c>
      <c r="X19" s="770">
        <f t="shared" ca="1" si="10"/>
        <v>95</v>
      </c>
      <c r="Y19" s="770">
        <f t="shared" ca="1" si="10"/>
        <v>485</v>
      </c>
      <c r="Z19" s="771">
        <f t="shared" ca="1" si="10"/>
        <v>493</v>
      </c>
      <c r="AA19" s="802">
        <f ca="1">SUM(C19:Z19)</f>
        <v>8370</v>
      </c>
      <c r="AC19" s="263"/>
      <c r="AD19" s="263"/>
      <c r="AE19" s="102"/>
      <c r="AF19" s="263"/>
      <c r="AG19" s="143"/>
    </row>
    <row r="20" spans="1:33" ht="39.75" customHeight="1" x14ac:dyDescent="0.25">
      <c r="A20" s="1061"/>
      <c r="B20" s="1061"/>
      <c r="C20" s="1030" t="s">
        <v>101</v>
      </c>
      <c r="D20" s="1030"/>
      <c r="E20" s="1030"/>
      <c r="F20" s="1030"/>
      <c r="G20" s="1030"/>
      <c r="H20" s="1030"/>
      <c r="I20" s="1030"/>
      <c r="J20" s="1030"/>
      <c r="K20" s="1030"/>
      <c r="L20" s="1030"/>
      <c r="M20" s="1030"/>
      <c r="N20" s="1030"/>
      <c r="O20" s="1030"/>
      <c r="P20" s="1030"/>
      <c r="Q20" s="1030"/>
      <c r="R20" s="1030"/>
      <c r="S20" s="1030"/>
      <c r="T20" s="1030"/>
      <c r="U20" s="1030"/>
      <c r="V20" s="1030"/>
      <c r="W20" s="1030"/>
      <c r="X20" s="1030"/>
      <c r="Y20" s="463"/>
      <c r="Z20" s="462"/>
      <c r="AA20" s="462"/>
      <c r="AB20" s="102"/>
      <c r="AC20" s="102"/>
      <c r="AD20" s="102"/>
      <c r="AE20" s="102"/>
    </row>
    <row r="21" spans="1:33" ht="39.75" customHeight="1" x14ac:dyDescent="0.25">
      <c r="A21" s="1062"/>
      <c r="B21" s="1062"/>
      <c r="C21" s="1030"/>
      <c r="D21" s="1030"/>
      <c r="E21" s="1030"/>
      <c r="F21" s="1030"/>
      <c r="G21" s="1030"/>
      <c r="H21" s="1030"/>
      <c r="I21" s="1030"/>
      <c r="J21" s="1030"/>
      <c r="K21" s="1030"/>
      <c r="L21" s="1030"/>
      <c r="M21" s="1030"/>
      <c r="N21" s="1030"/>
      <c r="O21" s="1030"/>
      <c r="P21" s="1030"/>
      <c r="Q21" s="1030"/>
      <c r="R21" s="1030"/>
      <c r="S21" s="1030"/>
      <c r="T21" s="1030"/>
      <c r="U21" s="1030"/>
      <c r="V21" s="1030"/>
      <c r="W21" s="1030"/>
      <c r="X21" s="1030"/>
      <c r="Y21" s="106"/>
      <c r="Z21" s="106"/>
      <c r="AB21" s="106"/>
      <c r="AC21" s="106"/>
      <c r="AD21" s="106"/>
      <c r="AE21" s="106"/>
    </row>
    <row r="22" spans="1:33" ht="39.75" customHeight="1" x14ac:dyDescent="0.25">
      <c r="A22" s="1062"/>
      <c r="B22" s="1062"/>
      <c r="C22" s="1030"/>
      <c r="D22" s="1030"/>
      <c r="E22" s="1030"/>
      <c r="F22" s="1030"/>
      <c r="G22" s="1030"/>
      <c r="H22" s="1030"/>
      <c r="I22" s="1030"/>
      <c r="J22" s="1030"/>
      <c r="K22" s="1030"/>
      <c r="L22" s="1030"/>
      <c r="M22" s="1030"/>
      <c r="N22" s="1030"/>
      <c r="O22" s="1030"/>
      <c r="P22" s="1030"/>
      <c r="Q22" s="1030"/>
      <c r="R22" s="1030"/>
      <c r="S22" s="1030"/>
      <c r="T22" s="1030"/>
      <c r="U22" s="1030"/>
      <c r="V22" s="1030"/>
      <c r="W22" s="1030"/>
      <c r="X22" s="1030"/>
      <c r="Y22" s="106"/>
      <c r="Z22" s="106"/>
      <c r="AB22" s="41"/>
      <c r="AC22" s="41"/>
      <c r="AD22" s="41"/>
      <c r="AE22" s="102"/>
    </row>
    <row r="23" spans="1:33" ht="39.75" customHeight="1" x14ac:dyDescent="0.25">
      <c r="A23" s="1062"/>
      <c r="B23" s="1062"/>
      <c r="C23" s="1030"/>
      <c r="D23" s="1030"/>
      <c r="E23" s="1030"/>
      <c r="F23" s="1030"/>
      <c r="G23" s="1030"/>
      <c r="H23" s="1030"/>
      <c r="I23" s="1030"/>
      <c r="J23" s="1030"/>
      <c r="K23" s="1030"/>
      <c r="L23" s="1030"/>
      <c r="M23" s="1030"/>
      <c r="N23" s="1030"/>
      <c r="O23" s="1030"/>
      <c r="P23" s="1030"/>
      <c r="Q23" s="1030"/>
      <c r="R23" s="1030"/>
      <c r="S23" s="1030"/>
      <c r="T23" s="1030"/>
      <c r="U23" s="1030"/>
      <c r="V23" s="1030"/>
      <c r="W23" s="1030"/>
      <c r="X23" s="1030"/>
      <c r="Y23" s="106"/>
      <c r="Z23" s="106"/>
      <c r="AB23" s="143"/>
      <c r="AC23" s="143"/>
      <c r="AD23" s="143"/>
      <c r="AE23" s="106"/>
    </row>
    <row r="24" spans="1:33" ht="39.75" customHeight="1" thickBot="1" x14ac:dyDescent="0.3">
      <c r="A24" s="1062"/>
      <c r="B24" s="1062"/>
      <c r="C24" s="307"/>
      <c r="D24" s="307"/>
      <c r="E24" s="307"/>
      <c r="F24" s="307"/>
      <c r="G24" s="307"/>
      <c r="H24" s="307"/>
      <c r="I24" s="307"/>
      <c r="J24" s="307"/>
      <c r="K24" s="307"/>
      <c r="L24" s="307"/>
      <c r="M24" s="307"/>
      <c r="N24" s="307"/>
      <c r="O24" s="307"/>
      <c r="P24" s="307"/>
      <c r="Q24" s="307"/>
      <c r="R24" s="307"/>
      <c r="S24" s="307"/>
      <c r="T24" s="307"/>
      <c r="U24" s="307"/>
      <c r="V24" s="307"/>
      <c r="W24" s="307"/>
      <c r="X24" s="197"/>
      <c r="Y24" s="307"/>
      <c r="Z24" s="103"/>
      <c r="AA24" s="103"/>
    </row>
    <row r="25" spans="1:33" ht="39.75" customHeight="1" thickBot="1" x14ac:dyDescent="0.3">
      <c r="A25" s="1056" t="s">
        <v>27</v>
      </c>
      <c r="B25" s="1057"/>
      <c r="C25" s="1031" t="s">
        <v>17</v>
      </c>
      <c r="D25" s="1026"/>
      <c r="E25" s="1026"/>
      <c r="F25" s="1026"/>
      <c r="G25" s="1026"/>
      <c r="H25" s="1027"/>
      <c r="I25" s="244"/>
      <c r="J25" s="1028" t="s">
        <v>49</v>
      </c>
      <c r="K25" s="1029"/>
      <c r="L25" s="1036" t="s">
        <v>17</v>
      </c>
      <c r="M25" s="1037"/>
      <c r="N25" s="1037"/>
      <c r="O25" s="1037"/>
      <c r="P25" s="1037"/>
      <c r="Q25" s="1038"/>
      <c r="S25" s="659"/>
      <c r="U25" s="307"/>
      <c r="V25" s="452"/>
      <c r="W25" s="452"/>
      <c r="X25" s="452"/>
      <c r="Y25" s="452"/>
      <c r="Z25" s="452"/>
    </row>
    <row r="26" spans="1:33" ht="39.75" customHeight="1" thickBot="1" x14ac:dyDescent="0.3">
      <c r="A26" s="1051" t="s">
        <v>48</v>
      </c>
      <c r="B26" s="1058"/>
      <c r="C26" s="157">
        <v>1</v>
      </c>
      <c r="D26" s="242">
        <v>2</v>
      </c>
      <c r="E26" s="242">
        <v>3</v>
      </c>
      <c r="F26" s="242">
        <v>4</v>
      </c>
      <c r="G26" s="714">
        <v>5</v>
      </c>
      <c r="H26" s="491" t="s">
        <v>9</v>
      </c>
      <c r="I26" s="451"/>
      <c r="J26" s="1051" t="s">
        <v>48</v>
      </c>
      <c r="K26" s="1052"/>
      <c r="L26" s="591">
        <v>1</v>
      </c>
      <c r="M26" s="592">
        <v>2</v>
      </c>
      <c r="N26" s="592">
        <v>3</v>
      </c>
      <c r="O26" s="592">
        <v>4</v>
      </c>
      <c r="P26" s="593">
        <v>5</v>
      </c>
      <c r="Q26" s="812" t="s">
        <v>9</v>
      </c>
      <c r="S26" s="1039" t="s">
        <v>122</v>
      </c>
      <c r="T26" s="1039"/>
      <c r="U26" s="1039"/>
      <c r="V26" s="1039"/>
      <c r="W26" s="1039"/>
      <c r="X26" s="1039"/>
      <c r="Y26" s="1039"/>
      <c r="Z26" s="1039"/>
      <c r="AA26" s="1039"/>
    </row>
    <row r="27" spans="1:33" ht="39.75" customHeight="1" x14ac:dyDescent="0.25">
      <c r="A27" s="450" t="s">
        <v>130</v>
      </c>
      <c r="B27" s="781">
        <f>B11</f>
        <v>45756</v>
      </c>
      <c r="C27" s="873">
        <f ca="1">INDIRECT("'SEM " &amp; $O$5 &amp; "'!" &amp; ADDRESS(41, COLUMN(B41)))</f>
        <v>76.599999999999994</v>
      </c>
      <c r="D27" s="280">
        <f t="shared" ref="D27:G27" ca="1" si="11">INDIRECT("'SEM " &amp; $O$5 &amp; "'!" &amp; ADDRESS(41, COLUMN(C41)))</f>
        <v>73.7</v>
      </c>
      <c r="E27" s="280">
        <f t="shared" ca="1" si="11"/>
        <v>6</v>
      </c>
      <c r="F27" s="280">
        <f t="shared" ca="1" si="11"/>
        <v>77.3</v>
      </c>
      <c r="G27" s="281">
        <f t="shared" ca="1" si="11"/>
        <v>77.400000000000006</v>
      </c>
      <c r="H27" s="715">
        <f ca="1">SUM(C27:G27)</f>
        <v>311</v>
      </c>
      <c r="I27" s="780"/>
      <c r="J27" s="450" t="s">
        <v>130</v>
      </c>
      <c r="K27" s="830">
        <f>B11</f>
        <v>45756</v>
      </c>
      <c r="L27" s="873">
        <f ca="1">INDIRECT("'SEM " &amp; $O$5 &amp; "'!" &amp; ADDRESS(41, COLUMN(M41)))</f>
        <v>6.7</v>
      </c>
      <c r="M27" s="280">
        <f t="shared" ref="M27:P27" ca="1" si="12">INDIRECT("'SEM " &amp; $O$5 &amp; "'!" &amp; ADDRESS(41, COLUMN(N41)))</f>
        <v>6.5</v>
      </c>
      <c r="N27" s="280">
        <f t="shared" ca="1" si="12"/>
        <v>0.7</v>
      </c>
      <c r="O27" s="280">
        <f t="shared" ca="1" si="12"/>
        <v>6.8</v>
      </c>
      <c r="P27" s="281">
        <f t="shared" ca="1" si="12"/>
        <v>6.6</v>
      </c>
      <c r="Q27" s="837">
        <f t="shared" ref="Q27:Q30" ca="1" si="13">SUM(L27:P27)</f>
        <v>27.299999999999997</v>
      </c>
      <c r="S27" s="1039"/>
      <c r="T27" s="1039"/>
      <c r="U27" s="1039"/>
      <c r="V27" s="1039"/>
      <c r="W27" s="1039"/>
      <c r="X27" s="1039"/>
      <c r="Y27" s="1039"/>
      <c r="Z27" s="1039"/>
      <c r="AA27" s="1039"/>
    </row>
    <row r="28" spans="1:33" ht="39.75" customHeight="1" x14ac:dyDescent="0.25">
      <c r="A28" s="450" t="s">
        <v>124</v>
      </c>
      <c r="B28" s="781">
        <f>B27+1</f>
        <v>45757</v>
      </c>
      <c r="C28" s="279">
        <f ca="1">INDIRECT("'SEM " &amp; $O$5 &amp; "'!" &amp; ADDRESS(42, COLUMN(B42)))</f>
        <v>76.599999999999994</v>
      </c>
      <c r="D28" s="280">
        <f ca="1">INDIRECT("'SEM " &amp; $O$5 &amp; "'!" &amp; ADDRESS(42, COLUMN(C42)))</f>
        <v>73.7</v>
      </c>
      <c r="E28" s="280">
        <f ca="1">INDIRECT("'SEM " &amp; $O$5 &amp; "'!" &amp; ADDRESS(42, COLUMN(D42)))</f>
        <v>6</v>
      </c>
      <c r="F28" s="280">
        <f ca="1">INDIRECT("'SEM " &amp; $O$5 &amp; "'!" &amp; ADDRESS(42, COLUMN(E42)))</f>
        <v>77.3</v>
      </c>
      <c r="G28" s="281">
        <f ca="1">INDIRECT("'SEM " &amp; $O$5 &amp; "'!" &amp; ADDRESS(42, COLUMN(F42)))</f>
        <v>77.400000000000006</v>
      </c>
      <c r="H28" s="715">
        <f t="shared" ref="H28:H33" ca="1" si="14">SUM(C28:G28)</f>
        <v>311</v>
      </c>
      <c r="I28" s="780"/>
      <c r="J28" s="450" t="s">
        <v>124</v>
      </c>
      <c r="K28" s="830">
        <f>K27+1</f>
        <v>45757</v>
      </c>
      <c r="L28" s="279">
        <f ca="1">INDIRECT("'SEM " &amp; $O$5 &amp; "'!" &amp; ADDRESS(42, COLUMN(M42)))</f>
        <v>6.7</v>
      </c>
      <c r="M28" s="280">
        <f ca="1">INDIRECT("'SEM " &amp; $O$5 &amp; "'!" &amp; ADDRESS(42, COLUMN(N42)))</f>
        <v>6.5</v>
      </c>
      <c r="N28" s="280">
        <f ca="1">INDIRECT("'SEM " &amp; $O$5 &amp; "'!" &amp; ADDRESS(42, COLUMN(O42)))</f>
        <v>0.7</v>
      </c>
      <c r="O28" s="280">
        <f ca="1">INDIRECT("'SEM " &amp; $O$5 &amp; "'!" &amp; ADDRESS(42, COLUMN(P42)))</f>
        <v>6.8</v>
      </c>
      <c r="P28" s="281">
        <f ca="1">INDIRECT("'SEM " &amp; $O$5 &amp; "'!" &amp; ADDRESS(42, COLUMN(Q42)))</f>
        <v>6.6</v>
      </c>
      <c r="Q28" s="837">
        <f t="shared" ca="1" si="13"/>
        <v>27.299999999999997</v>
      </c>
      <c r="S28" s="1039"/>
      <c r="T28" s="1039"/>
      <c r="U28" s="1039"/>
      <c r="V28" s="1039"/>
      <c r="W28" s="1039"/>
      <c r="X28" s="1039"/>
      <c r="Y28" s="1039"/>
      <c r="Z28" s="1039"/>
      <c r="AA28" s="1039"/>
    </row>
    <row r="29" spans="1:33" ht="39.75" customHeight="1" x14ac:dyDescent="0.25">
      <c r="A29" s="450" t="s">
        <v>125</v>
      </c>
      <c r="B29" s="781">
        <f t="shared" ref="B29:B33" si="15">B28+1</f>
        <v>45758</v>
      </c>
      <c r="C29" s="279">
        <f ca="1">INDIRECT("'SEM " &amp; $O$5 &amp; "'!" &amp; ADDRESS(43, COLUMN(B43)))</f>
        <v>76.599999999999994</v>
      </c>
      <c r="D29" s="280">
        <f ca="1">INDIRECT("'SEM " &amp; $O$5 &amp; "'!" &amp; ADDRESS(43, COLUMN(C43)))</f>
        <v>73.7</v>
      </c>
      <c r="E29" s="280">
        <f ca="1">INDIRECT("'SEM " &amp; $O$5 &amp; "'!" &amp; ADDRESS(43, COLUMN(D43)))</f>
        <v>6</v>
      </c>
      <c r="F29" s="280">
        <f ca="1">INDIRECT("'SEM " &amp; $O$5 &amp; "'!" &amp; ADDRESS(43, COLUMN(E43)))</f>
        <v>77.3</v>
      </c>
      <c r="G29" s="281">
        <f ca="1">INDIRECT("'SEM " &amp; $O$5 &amp; "'!" &amp; ADDRESS(43, COLUMN(F43)))</f>
        <v>77.400000000000006</v>
      </c>
      <c r="H29" s="715">
        <f t="shared" ca="1" si="14"/>
        <v>311</v>
      </c>
      <c r="I29" s="780"/>
      <c r="J29" s="450" t="s">
        <v>125</v>
      </c>
      <c r="K29" s="830">
        <f t="shared" ref="K29:K33" si="16">K28+1</f>
        <v>45758</v>
      </c>
      <c r="L29" s="279">
        <f ca="1">INDIRECT("'SEM " &amp; $O$5 &amp; "'!" &amp; ADDRESS(43, COLUMN(M43)))</f>
        <v>6.7</v>
      </c>
      <c r="M29" s="280">
        <f ca="1">INDIRECT("'SEM " &amp; $O$5 &amp; "'!" &amp; ADDRESS(43, COLUMN(N43)))</f>
        <v>6.5</v>
      </c>
      <c r="N29" s="280">
        <f ca="1">INDIRECT("'SEM " &amp; $O$5 &amp; "'!" &amp; ADDRESS(43, COLUMN(O43)))</f>
        <v>0.7</v>
      </c>
      <c r="O29" s="280">
        <f ca="1">INDIRECT("'SEM " &amp; $O$5 &amp; "'!" &amp; ADDRESS(43, COLUMN(P43)))</f>
        <v>6.8</v>
      </c>
      <c r="P29" s="281">
        <f ca="1">INDIRECT("'SEM " &amp; $O$5 &amp; "'!" &amp; ADDRESS(43, COLUMN(Q43)))</f>
        <v>6.6</v>
      </c>
      <c r="Q29" s="837">
        <f t="shared" ca="1" si="13"/>
        <v>27.299999999999997</v>
      </c>
      <c r="S29" s="1039"/>
      <c r="T29" s="1039"/>
      <c r="U29" s="1039"/>
      <c r="V29" s="1039"/>
      <c r="W29" s="1039"/>
      <c r="X29" s="1039"/>
      <c r="Y29" s="1039"/>
      <c r="Z29" s="1039"/>
      <c r="AA29" s="1039"/>
    </row>
    <row r="30" spans="1:33" ht="39.75" customHeight="1" x14ac:dyDescent="0.25">
      <c r="A30" s="450" t="s">
        <v>126</v>
      </c>
      <c r="B30" s="781">
        <f t="shared" si="15"/>
        <v>45759</v>
      </c>
      <c r="C30" s="279">
        <f ca="1">INDIRECT("'SEM " &amp; $O$5 &amp; "'!" &amp; ADDRESS(44, COLUMN(B44)))</f>
        <v>0</v>
      </c>
      <c r="D30" s="280">
        <f ca="1">INDIRECT("'SEM " &amp; $O$5 &amp; "'!" &amp; ADDRESS(44, COLUMN(C44)))</f>
        <v>0</v>
      </c>
      <c r="E30" s="280">
        <f ca="1">INDIRECT("'SEM " &amp; $O$5 &amp; "'!" &amp; ADDRESS(44, COLUMN(D44)))</f>
        <v>0</v>
      </c>
      <c r="F30" s="280">
        <f ca="1">INDIRECT("'SEM " &amp; $O$5 &amp; "'!" &amp; ADDRESS(44, COLUMN(E44)))</f>
        <v>0</v>
      </c>
      <c r="G30" s="281">
        <f ca="1">INDIRECT("'SEM " &amp; $O$5 &amp; "'!" &amp; ADDRESS(44, COLUMN(F44)))</f>
        <v>0</v>
      </c>
      <c r="H30" s="715">
        <f t="shared" ca="1" si="14"/>
        <v>0</v>
      </c>
      <c r="I30" s="780"/>
      <c r="J30" s="450" t="s">
        <v>126</v>
      </c>
      <c r="K30" s="830">
        <f t="shared" si="16"/>
        <v>45759</v>
      </c>
      <c r="L30" s="279">
        <f ca="1">INDIRECT("'SEM " &amp; $O$5 &amp; "'!" &amp; ADDRESS(44, COLUMN(M44)))</f>
        <v>0</v>
      </c>
      <c r="M30" s="280">
        <f ca="1">INDIRECT("'SEM " &amp; $O$5 &amp; "'!" &amp; ADDRESS(44, COLUMN(N44)))</f>
        <v>0</v>
      </c>
      <c r="N30" s="280">
        <f ca="1">INDIRECT("'SEM " &amp; $O$5 &amp; "'!" &amp; ADDRESS(44, COLUMN(O44)))</f>
        <v>0</v>
      </c>
      <c r="O30" s="280">
        <f ca="1">INDIRECT("'SEM " &amp; $O$5 &amp; "'!" &amp; ADDRESS(44, COLUMN(P44)))</f>
        <v>0</v>
      </c>
      <c r="P30" s="281">
        <f ca="1">INDIRECT("'SEM " &amp; $O$5 &amp; "'!" &amp; ADDRESS(44, COLUMN(Q44)))</f>
        <v>0</v>
      </c>
      <c r="Q30" s="837">
        <f t="shared" ca="1" si="13"/>
        <v>0</v>
      </c>
      <c r="S30" s="1039"/>
      <c r="T30" s="1039"/>
      <c r="U30" s="1039"/>
      <c r="V30" s="1039"/>
      <c r="W30" s="1039"/>
      <c r="X30" s="1039"/>
      <c r="Y30" s="1039"/>
      <c r="Z30" s="1039"/>
      <c r="AA30" s="1039"/>
    </row>
    <row r="31" spans="1:33" ht="39.75" customHeight="1" x14ac:dyDescent="0.25">
      <c r="A31" s="450" t="s">
        <v>127</v>
      </c>
      <c r="B31" s="781">
        <f t="shared" si="15"/>
        <v>45760</v>
      </c>
      <c r="C31" s="279">
        <f ca="1">INDIRECT("'SEM " &amp; $O$5 &amp; "'!" &amp; ADDRESS(45, COLUMN(B45)))</f>
        <v>0</v>
      </c>
      <c r="D31" s="280">
        <f ca="1">INDIRECT("'SEM " &amp; $O$5 &amp; "'!" &amp; ADDRESS(45, COLUMN(C45)))</f>
        <v>0</v>
      </c>
      <c r="E31" s="280">
        <f ca="1">INDIRECT("'SEM " &amp; $O$5 &amp; "'!" &amp; ADDRESS(45, COLUMN(D45)))</f>
        <v>0</v>
      </c>
      <c r="F31" s="280">
        <f ca="1">INDIRECT("'SEM " &amp; $O$5 &amp; "'!" &amp; ADDRESS(45, COLUMN(E45)))</f>
        <v>0</v>
      </c>
      <c r="G31" s="281">
        <f ca="1">INDIRECT("'SEM " &amp; $O$5 &amp; "'!" &amp; ADDRESS(45, COLUMN(F45)))</f>
        <v>0</v>
      </c>
      <c r="H31" s="715">
        <f t="shared" ca="1" si="14"/>
        <v>0</v>
      </c>
      <c r="I31" s="780"/>
      <c r="J31" s="450" t="s">
        <v>127</v>
      </c>
      <c r="K31" s="830">
        <f t="shared" si="16"/>
        <v>45760</v>
      </c>
      <c r="L31" s="279">
        <f ca="1">INDIRECT("'SEM " &amp; $O$5 &amp; "'!" &amp; ADDRESS(45, COLUMN(M45)))</f>
        <v>0</v>
      </c>
      <c r="M31" s="280">
        <f ca="1">INDIRECT("'SEM " &amp; $O$5 &amp; "'!" &amp; ADDRESS(45, COLUMN(N45)))</f>
        <v>0</v>
      </c>
      <c r="N31" s="280">
        <f ca="1">INDIRECT("'SEM " &amp; $O$5 &amp; "'!" &amp; ADDRESS(45, COLUMN(O45)))</f>
        <v>0</v>
      </c>
      <c r="O31" s="280">
        <f ca="1">INDIRECT("'SEM " &amp; $O$5 &amp; "'!" &amp; ADDRESS(45, COLUMN(P45)))</f>
        <v>0</v>
      </c>
      <c r="P31" s="281">
        <f ca="1">INDIRECT("'SEM " &amp; $O$5 &amp; "'!" &amp; ADDRESS(45, COLUMN(Q45)))</f>
        <v>0</v>
      </c>
      <c r="Q31" s="837">
        <f ca="1">SUM(L31:P31)</f>
        <v>0</v>
      </c>
      <c r="S31" s="1039"/>
      <c r="T31" s="1039"/>
      <c r="U31" s="1039"/>
      <c r="V31" s="1039"/>
      <c r="W31" s="1039"/>
      <c r="X31" s="1039"/>
      <c r="Y31" s="1039"/>
      <c r="Z31" s="1039"/>
      <c r="AA31" s="1039"/>
    </row>
    <row r="32" spans="1:33" ht="39.75" customHeight="1" x14ac:dyDescent="0.25">
      <c r="A32" s="450" t="s">
        <v>128</v>
      </c>
      <c r="B32" s="781">
        <f t="shared" si="15"/>
        <v>45761</v>
      </c>
      <c r="C32" s="279">
        <f ca="1">INDIRECT("'SEM " &amp; $O$5 &amp; "'!" &amp; ADDRESS(46, COLUMN(B46)))</f>
        <v>0</v>
      </c>
      <c r="D32" s="280">
        <f ca="1">INDIRECT("'SEM " &amp; $O$5 &amp; "'!" &amp; ADDRESS(46, COLUMN(C46)))</f>
        <v>0</v>
      </c>
      <c r="E32" s="280">
        <f ca="1">INDIRECT("'SEM " &amp; $O$5 &amp; "'!" &amp; ADDRESS(46, COLUMN(D46)))</f>
        <v>0</v>
      </c>
      <c r="F32" s="280">
        <f ca="1">INDIRECT("'SEM " &amp; $O$5 &amp; "'!" &amp; ADDRESS(46, COLUMN(E46)))</f>
        <v>0</v>
      </c>
      <c r="G32" s="281">
        <f ca="1">INDIRECT("'SEM " &amp; $O$5 &amp; "'!" &amp; ADDRESS(46, COLUMN(F46)))</f>
        <v>0</v>
      </c>
      <c r="H32" s="715">
        <f t="shared" ca="1" si="14"/>
        <v>0</v>
      </c>
      <c r="I32" s="780"/>
      <c r="J32" s="450" t="s">
        <v>128</v>
      </c>
      <c r="K32" s="830">
        <f t="shared" si="16"/>
        <v>45761</v>
      </c>
      <c r="L32" s="279">
        <f ca="1">INDIRECT("'SEM " &amp; $O$5 &amp; "'!" &amp; ADDRESS(46, COLUMN(M46)))</f>
        <v>0</v>
      </c>
      <c r="M32" s="280">
        <f ca="1">INDIRECT("'SEM " &amp; $O$5 &amp; "'!" &amp; ADDRESS(46, COLUMN(N46)))</f>
        <v>0</v>
      </c>
      <c r="N32" s="280">
        <f ca="1">INDIRECT("'SEM " &amp; $O$5 &amp; "'!" &amp; ADDRESS(46, COLUMN(O46)))</f>
        <v>0</v>
      </c>
      <c r="O32" s="280">
        <f ca="1">INDIRECT("'SEM " &amp; $O$5 &amp; "'!" &amp; ADDRESS(46, COLUMN(P46)))</f>
        <v>0</v>
      </c>
      <c r="P32" s="281">
        <f ca="1">INDIRECT("'SEM " &amp; $O$5 &amp; "'!" &amp; ADDRESS(46, COLUMN(Q46)))</f>
        <v>0</v>
      </c>
      <c r="Q32" s="837">
        <f t="shared" ref="Q32:Q33" ca="1" si="17">SUM(L32:P32)</f>
        <v>0</v>
      </c>
      <c r="S32" s="1039"/>
      <c r="T32" s="1039"/>
      <c r="U32" s="1039"/>
      <c r="V32" s="1039"/>
      <c r="W32" s="1039"/>
      <c r="X32" s="1039"/>
      <c r="Y32" s="1039"/>
      <c r="Z32" s="1039"/>
      <c r="AA32" s="1039"/>
    </row>
    <row r="33" spans="1:41" ht="39.75" customHeight="1" thickBot="1" x14ac:dyDescent="0.3">
      <c r="A33" s="450" t="s">
        <v>129</v>
      </c>
      <c r="B33" s="781">
        <f t="shared" si="15"/>
        <v>45762</v>
      </c>
      <c r="C33" s="279">
        <f ca="1">INDIRECT("'SEM " &amp; $O$5 &amp; "'!" &amp; ADDRESS(47, COLUMN(B47)))</f>
        <v>0</v>
      </c>
      <c r="D33" s="280">
        <f ca="1">INDIRECT("'SEM " &amp; $O$5 &amp; "'!" &amp; ADDRESS(47, COLUMN(C47)))</f>
        <v>0</v>
      </c>
      <c r="E33" s="280">
        <f ca="1">INDIRECT("'SEM " &amp; $O$5 &amp; "'!" &amp; ADDRESS(47, COLUMN(D47)))</f>
        <v>0</v>
      </c>
      <c r="F33" s="280">
        <f ca="1">INDIRECT("'SEM " &amp; $O$5 &amp; "'!" &amp; ADDRESS(47, COLUMN(E47)))</f>
        <v>0</v>
      </c>
      <c r="G33" s="281">
        <f ca="1">INDIRECT("'SEM " &amp; $O$5 &amp; "'!" &amp; ADDRESS(47, COLUMN(F47)))</f>
        <v>0</v>
      </c>
      <c r="H33" s="715">
        <f t="shared" ca="1" si="14"/>
        <v>0</v>
      </c>
      <c r="I33" s="780"/>
      <c r="J33" s="450" t="s">
        <v>129</v>
      </c>
      <c r="K33" s="830">
        <f t="shared" si="16"/>
        <v>45762</v>
      </c>
      <c r="L33" s="279">
        <f ca="1">INDIRECT("'SEM " &amp; $O$5 &amp; "'!" &amp; ADDRESS(47, COLUMN(M47)))</f>
        <v>0</v>
      </c>
      <c r="M33" s="280">
        <f ca="1">INDIRECT("'SEM " &amp; $O$5 &amp; "'!" &amp; ADDRESS(47, COLUMN(N47)))</f>
        <v>0</v>
      </c>
      <c r="N33" s="280">
        <f ca="1">INDIRECT("'SEM " &amp; $O$5 &amp; "'!" &amp; ADDRESS(47, COLUMN(O47)))</f>
        <v>0</v>
      </c>
      <c r="O33" s="280">
        <f ca="1">INDIRECT("'SEM " &amp; $O$5 &amp; "'!" &amp; ADDRESS(47, COLUMN(P47)))</f>
        <v>0</v>
      </c>
      <c r="P33" s="281">
        <f ca="1">INDIRECT("'SEM " &amp; $O$5 &amp; "'!" &amp; ADDRESS(47, COLUMN(Q47)))</f>
        <v>0</v>
      </c>
      <c r="Q33" s="838">
        <f t="shared" ca="1" si="17"/>
        <v>0</v>
      </c>
      <c r="S33" s="1039"/>
      <c r="T33" s="1039"/>
      <c r="U33" s="1039"/>
      <c r="V33" s="1039"/>
      <c r="W33" s="1039"/>
      <c r="X33" s="1039"/>
      <c r="Y33" s="1039"/>
      <c r="Z33" s="1039"/>
      <c r="AA33" s="1039"/>
    </row>
    <row r="34" spans="1:41" ht="39.75" customHeight="1" thickBot="1" x14ac:dyDescent="0.3">
      <c r="A34" s="1053" t="s">
        <v>9</v>
      </c>
      <c r="B34" s="1054"/>
      <c r="C34" s="831">
        <f t="shared" ref="C34:H34" ca="1" si="18">SUM(C27:C33)</f>
        <v>229.79999999999998</v>
      </c>
      <c r="D34" s="832">
        <f t="shared" ca="1" si="18"/>
        <v>221.10000000000002</v>
      </c>
      <c r="E34" s="832">
        <f t="shared" ca="1" si="18"/>
        <v>18</v>
      </c>
      <c r="F34" s="832">
        <f t="shared" ca="1" si="18"/>
        <v>231.89999999999998</v>
      </c>
      <c r="G34" s="833">
        <f t="shared" ca="1" si="18"/>
        <v>232.20000000000002</v>
      </c>
      <c r="H34" s="716">
        <f t="shared" ca="1" si="18"/>
        <v>933</v>
      </c>
      <c r="I34" s="309"/>
      <c r="J34" s="1053" t="s">
        <v>9</v>
      </c>
      <c r="K34" s="1054"/>
      <c r="L34" s="687">
        <f ca="1">SUM(L27:L33)</f>
        <v>20.100000000000001</v>
      </c>
      <c r="M34" s="688">
        <f t="shared" ref="M34:P34" ca="1" si="19">SUM(M27:M33)</f>
        <v>19.5</v>
      </c>
      <c r="N34" s="688">
        <f ca="1">SUM(N27:N33)</f>
        <v>2.0999999999999996</v>
      </c>
      <c r="O34" s="688">
        <f t="shared" ca="1" si="19"/>
        <v>20.399999999999999</v>
      </c>
      <c r="P34" s="691">
        <f t="shared" ca="1" si="19"/>
        <v>19.799999999999997</v>
      </c>
      <c r="Q34" s="811">
        <f ca="1">SUM(L34:P34)</f>
        <v>81.900000000000006</v>
      </c>
      <c r="S34" s="1039"/>
      <c r="T34" s="1039"/>
      <c r="U34" s="1039"/>
      <c r="V34" s="1039"/>
      <c r="W34" s="1039"/>
      <c r="X34" s="1039"/>
      <c r="Y34" s="1039"/>
      <c r="Z34" s="1039"/>
      <c r="AA34" s="1039"/>
    </row>
    <row r="35" spans="1:41" ht="39.75" customHeight="1" thickBot="1" x14ac:dyDescent="0.3">
      <c r="A35" s="1049" t="s">
        <v>52</v>
      </c>
      <c r="B35" s="1050"/>
      <c r="C35" s="803">
        <f ca="1">INDIRECT("'SEM " &amp; $O$5 &amp; "'!" &amp; ADDRESS(50, COLUMN(B50)))</f>
        <v>507</v>
      </c>
      <c r="D35" s="804">
        <f t="shared" ref="D35:G35" ca="1" si="20">INDIRECT("'SEM " &amp; $O$5 &amp; "'!" &amp; ADDRESS(50, COLUMN(C50)))</f>
        <v>500</v>
      </c>
      <c r="E35" s="804">
        <f t="shared" ca="1" si="20"/>
        <v>30</v>
      </c>
      <c r="F35" s="804">
        <f t="shared" ca="1" si="20"/>
        <v>535</v>
      </c>
      <c r="G35" s="805">
        <f t="shared" ca="1" si="20"/>
        <v>516</v>
      </c>
      <c r="H35" s="802">
        <f t="shared" ref="H35" ca="1" si="21">SUM(C35:G35)</f>
        <v>2088</v>
      </c>
      <c r="I35" s="310"/>
      <c r="J35" s="1049" t="s">
        <v>52</v>
      </c>
      <c r="K35" s="1050"/>
      <c r="L35" s="803">
        <f ca="1">INDIRECT("'SEM " &amp; $O$5 &amp; "'!" &amp; ADDRESS(50, COLUMN(M50)))</f>
        <v>41</v>
      </c>
      <c r="M35" s="814">
        <f t="shared" ref="M35:P35" ca="1" si="22">INDIRECT("'SEM " &amp; $O$5 &amp; "'!" &amp; ADDRESS(50, COLUMN(N50)))</f>
        <v>40</v>
      </c>
      <c r="N35" s="814">
        <f t="shared" ca="1" si="22"/>
        <v>4</v>
      </c>
      <c r="O35" s="814">
        <f t="shared" ca="1" si="22"/>
        <v>42</v>
      </c>
      <c r="P35" s="834">
        <f t="shared" ca="1" si="22"/>
        <v>41</v>
      </c>
      <c r="Q35" s="775">
        <f ca="1">SUM(L35:P35)</f>
        <v>168</v>
      </c>
      <c r="S35" s="1039"/>
      <c r="T35" s="1039"/>
      <c r="U35" s="1039"/>
      <c r="V35" s="1039"/>
      <c r="W35" s="1039"/>
      <c r="X35" s="1039"/>
      <c r="Y35" s="1039"/>
      <c r="Z35" s="1039"/>
      <c r="AA35" s="1039"/>
    </row>
    <row r="36" spans="1:41" ht="39.75" customHeight="1" x14ac:dyDescent="0.25">
      <c r="A36" s="1061"/>
      <c r="B36" s="1061"/>
      <c r="H36" s="308"/>
      <c r="I36" s="102"/>
      <c r="J36" s="102"/>
      <c r="K36" s="102"/>
      <c r="L36" s="102"/>
      <c r="M36" s="103"/>
      <c r="N36" s="103"/>
      <c r="O36" s="143"/>
      <c r="P36" s="143"/>
      <c r="Q36" s="311"/>
      <c r="R36" s="143"/>
      <c r="W36" s="103"/>
      <c r="X36" s="103"/>
      <c r="Y36" s="103"/>
      <c r="Z36" s="103"/>
    </row>
    <row r="37" spans="1:41" ht="39.75" customHeight="1" thickBot="1" x14ac:dyDescent="0.3">
      <c r="A37" s="1062"/>
      <c r="B37" s="1062"/>
      <c r="I37" s="308"/>
      <c r="J37" s="308"/>
      <c r="K37" s="308"/>
      <c r="L37" s="308"/>
      <c r="M37" s="308"/>
      <c r="N37" s="390"/>
      <c r="O37" s="390"/>
      <c r="P37" s="390"/>
      <c r="Q37" s="390"/>
      <c r="R37" s="390"/>
      <c r="S37" s="390"/>
      <c r="T37" s="390"/>
      <c r="U37" s="390"/>
      <c r="V37" s="390"/>
      <c r="W37" s="390"/>
      <c r="X37" s="390"/>
      <c r="Y37" s="308"/>
      <c r="Z37" s="308"/>
    </row>
    <row r="38" spans="1:41" ht="39.75" customHeight="1" thickBot="1" x14ac:dyDescent="0.3">
      <c r="A38" s="1056" t="s">
        <v>50</v>
      </c>
      <c r="B38" s="1057"/>
      <c r="C38" s="1031" t="s">
        <v>8</v>
      </c>
      <c r="D38" s="1026"/>
      <c r="E38" s="1026"/>
      <c r="F38" s="1026"/>
      <c r="G38" s="1027"/>
      <c r="H38" s="1031" t="s">
        <v>30</v>
      </c>
      <c r="I38" s="1026"/>
      <c r="J38" s="1026"/>
      <c r="K38" s="1026"/>
      <c r="L38" s="1027"/>
      <c r="M38" s="1031" t="s">
        <v>29</v>
      </c>
      <c r="N38" s="1026"/>
      <c r="O38" s="1026"/>
      <c r="P38" s="1026"/>
      <c r="Q38" s="1027"/>
      <c r="R38" s="1031" t="s">
        <v>31</v>
      </c>
      <c r="S38" s="1026"/>
      <c r="T38" s="1026"/>
      <c r="U38" s="1026"/>
      <c r="V38" s="1027"/>
      <c r="W38" s="588" t="s">
        <v>9</v>
      </c>
      <c r="X38" s="244"/>
      <c r="Y38" s="659"/>
      <c r="Z38" s="100"/>
      <c r="AA38" s="100"/>
      <c r="AB38" s="100"/>
      <c r="AC38" s="305"/>
      <c r="AD38" s="390"/>
      <c r="AE38" s="390"/>
      <c r="AF38" s="390"/>
      <c r="AG38" s="390"/>
      <c r="AH38" s="390"/>
      <c r="AI38" s="390"/>
      <c r="AJ38" s="390"/>
      <c r="AK38" s="390"/>
      <c r="AL38" s="390"/>
      <c r="AM38" s="390"/>
      <c r="AN38" s="100"/>
    </row>
    <row r="39" spans="1:41" ht="39.75" customHeight="1" thickBot="1" x14ac:dyDescent="0.3">
      <c r="A39" s="1051" t="s">
        <v>48</v>
      </c>
      <c r="B39" s="1058"/>
      <c r="C39" s="166">
        <v>1</v>
      </c>
      <c r="D39" s="167">
        <v>2</v>
      </c>
      <c r="E39" s="167">
        <v>3</v>
      </c>
      <c r="F39" s="167">
        <v>4</v>
      </c>
      <c r="G39" s="246">
        <v>5</v>
      </c>
      <c r="H39" s="166">
        <v>1</v>
      </c>
      <c r="I39" s="167">
        <v>2</v>
      </c>
      <c r="J39" s="167">
        <v>3</v>
      </c>
      <c r="K39" s="167">
        <v>4</v>
      </c>
      <c r="L39" s="246">
        <v>5</v>
      </c>
      <c r="M39" s="591">
        <v>1</v>
      </c>
      <c r="N39" s="592">
        <v>2</v>
      </c>
      <c r="O39" s="592">
        <v>3</v>
      </c>
      <c r="P39" s="592">
        <v>4</v>
      </c>
      <c r="Q39" s="839">
        <v>5</v>
      </c>
      <c r="R39" s="166">
        <v>1</v>
      </c>
      <c r="S39" s="167">
        <v>2</v>
      </c>
      <c r="T39" s="167">
        <v>3</v>
      </c>
      <c r="U39" s="167">
        <v>4</v>
      </c>
      <c r="V39" s="842">
        <v>5</v>
      </c>
      <c r="W39" s="589"/>
      <c r="X39" s="308"/>
      <c r="Y39" s="659"/>
      <c r="Z39" s="100"/>
      <c r="AA39" s="100"/>
      <c r="AB39" s="100"/>
      <c r="AC39" s="305"/>
      <c r="AD39" s="390"/>
      <c r="AE39" s="390"/>
      <c r="AF39" s="390"/>
      <c r="AG39" s="390"/>
      <c r="AH39" s="390"/>
      <c r="AI39" s="390"/>
      <c r="AJ39" s="390"/>
      <c r="AK39" s="390"/>
      <c r="AL39" s="390"/>
      <c r="AM39" s="390"/>
      <c r="AN39" s="100"/>
    </row>
    <row r="40" spans="1:41" ht="39.75" customHeight="1" x14ac:dyDescent="0.45">
      <c r="A40" s="450" t="s">
        <v>130</v>
      </c>
      <c r="B40" s="781">
        <f>B11</f>
        <v>45756</v>
      </c>
      <c r="C40" s="873">
        <f ca="1">INDIRECT("'SEM " &amp; $O$5 &amp; "'!" &amp; ADDRESS(ROW(B60), COLUMN(B60)))</f>
        <v>7.1</v>
      </c>
      <c r="D40" s="736">
        <f t="shared" ref="D40:V40" ca="1" si="23">INDIRECT("'SEM " &amp; $O$5 &amp; "'!" &amp; ADDRESS(ROW(C60), COLUMN(C60)))</f>
        <v>7.4</v>
      </c>
      <c r="E40" s="736">
        <f t="shared" ca="1" si="23"/>
        <v>1</v>
      </c>
      <c r="F40" s="736">
        <f t="shared" ca="1" si="23"/>
        <v>6.9</v>
      </c>
      <c r="G40" s="737">
        <f t="shared" ca="1" si="23"/>
        <v>7.5</v>
      </c>
      <c r="H40" s="738">
        <f t="shared" ca="1" si="23"/>
        <v>7.6</v>
      </c>
      <c r="I40" s="739">
        <f t="shared" ca="1" si="23"/>
        <v>7.6</v>
      </c>
      <c r="J40" s="799">
        <f t="shared" ca="1" si="23"/>
        <v>1</v>
      </c>
      <c r="K40" s="739">
        <f t="shared" ca="1" si="23"/>
        <v>7.6</v>
      </c>
      <c r="L40" s="739">
        <f t="shared" ca="1" si="23"/>
        <v>7.3</v>
      </c>
      <c r="M40" s="279">
        <f t="shared" ca="1" si="23"/>
        <v>6.1</v>
      </c>
      <c r="N40" s="280">
        <f t="shared" ca="1" si="23"/>
        <v>5.9</v>
      </c>
      <c r="O40" s="280">
        <f t="shared" ca="1" si="23"/>
        <v>1.7</v>
      </c>
      <c r="P40" s="280">
        <f t="shared" ca="1" si="23"/>
        <v>5.9</v>
      </c>
      <c r="Q40" s="282">
        <f t="shared" ca="1" si="23"/>
        <v>4.5999999999999996</v>
      </c>
      <c r="R40" s="737">
        <f t="shared" ca="1" si="23"/>
        <v>6.3</v>
      </c>
      <c r="S40" s="736">
        <f t="shared" ca="1" si="23"/>
        <v>6.1</v>
      </c>
      <c r="T40" s="736">
        <f t="shared" ca="1" si="23"/>
        <v>1.3</v>
      </c>
      <c r="U40" s="736">
        <f t="shared" ca="1" si="23"/>
        <v>6.3</v>
      </c>
      <c r="V40" s="742">
        <f t="shared" ca="1" si="23"/>
        <v>6.2</v>
      </c>
      <c r="W40" s="581">
        <f t="shared" ref="W40:W46" ca="1" si="24">SUM(C40:V40)</f>
        <v>111.39999999999999</v>
      </c>
      <c r="X40" s="780"/>
      <c r="Y40" s="667"/>
      <c r="Z40" s="404"/>
      <c r="AA40" s="100"/>
      <c r="AB40" s="100"/>
      <c r="AC40" s="305"/>
      <c r="AD40" s="390"/>
      <c r="AE40" s="390"/>
      <c r="AF40" s="390"/>
      <c r="AG40" s="390"/>
      <c r="AH40" s="390"/>
      <c r="AI40" s="390"/>
      <c r="AJ40" s="390"/>
      <c r="AK40" s="390"/>
      <c r="AL40" s="390"/>
      <c r="AM40" s="390"/>
      <c r="AN40" s="100"/>
    </row>
    <row r="41" spans="1:41" ht="39.75" customHeight="1" x14ac:dyDescent="0.45">
      <c r="A41" s="450" t="s">
        <v>124</v>
      </c>
      <c r="B41" s="781">
        <f>B40+1</f>
        <v>45757</v>
      </c>
      <c r="C41" s="735">
        <f t="shared" ref="C41:V41" ca="1" si="25">INDIRECT("'SEM " &amp; $O$5 &amp; "'!" &amp; ADDRESS(ROW(B61), COLUMN(B61)))</f>
        <v>7.1</v>
      </c>
      <c r="D41" s="736">
        <f t="shared" ca="1" si="25"/>
        <v>7.4</v>
      </c>
      <c r="E41" s="736">
        <f t="shared" ca="1" si="25"/>
        <v>1</v>
      </c>
      <c r="F41" s="736">
        <f t="shared" ca="1" si="25"/>
        <v>6.9</v>
      </c>
      <c r="G41" s="737">
        <f t="shared" ca="1" si="25"/>
        <v>7.5</v>
      </c>
      <c r="H41" s="738">
        <f t="shared" ca="1" si="25"/>
        <v>7.6</v>
      </c>
      <c r="I41" s="739">
        <f t="shared" ca="1" si="25"/>
        <v>7.6</v>
      </c>
      <c r="J41" s="799">
        <f t="shared" ca="1" si="25"/>
        <v>1</v>
      </c>
      <c r="K41" s="739">
        <f t="shared" ca="1" si="25"/>
        <v>7.6</v>
      </c>
      <c r="L41" s="739">
        <f t="shared" ca="1" si="25"/>
        <v>7.3</v>
      </c>
      <c r="M41" s="279">
        <f t="shared" ca="1" si="25"/>
        <v>6.1</v>
      </c>
      <c r="N41" s="280">
        <f t="shared" ca="1" si="25"/>
        <v>5.9</v>
      </c>
      <c r="O41" s="280">
        <f t="shared" ca="1" si="25"/>
        <v>1.7</v>
      </c>
      <c r="P41" s="280">
        <f t="shared" ca="1" si="25"/>
        <v>5.9</v>
      </c>
      <c r="Q41" s="282">
        <f t="shared" ca="1" si="25"/>
        <v>4.5999999999999996</v>
      </c>
      <c r="R41" s="737">
        <f t="shared" ca="1" si="25"/>
        <v>6.3</v>
      </c>
      <c r="S41" s="736">
        <f t="shared" ca="1" si="25"/>
        <v>6.1</v>
      </c>
      <c r="T41" s="736">
        <f t="shared" ca="1" si="25"/>
        <v>1.3</v>
      </c>
      <c r="U41" s="736">
        <f t="shared" ca="1" si="25"/>
        <v>6.3</v>
      </c>
      <c r="V41" s="742">
        <f t="shared" ca="1" si="25"/>
        <v>6.2</v>
      </c>
      <c r="W41" s="581">
        <f t="shared" ca="1" si="24"/>
        <v>111.39999999999999</v>
      </c>
      <c r="X41" s="780"/>
      <c r="Y41" s="667"/>
      <c r="Z41" s="404"/>
      <c r="AA41" s="100"/>
      <c r="AB41" s="100"/>
      <c r="AC41" s="305"/>
      <c r="AD41" s="390"/>
      <c r="AE41" s="390"/>
      <c r="AF41" s="390"/>
      <c r="AG41" s="390"/>
      <c r="AH41" s="390"/>
      <c r="AI41" s="390"/>
      <c r="AJ41" s="390"/>
      <c r="AK41" s="390"/>
      <c r="AL41" s="390"/>
      <c r="AM41" s="390"/>
      <c r="AN41" s="100"/>
    </row>
    <row r="42" spans="1:41" ht="39.75" customHeight="1" x14ac:dyDescent="0.45">
      <c r="A42" s="450" t="s">
        <v>125</v>
      </c>
      <c r="B42" s="781">
        <f t="shared" ref="B42:B46" si="26">B41+1</f>
        <v>45758</v>
      </c>
      <c r="C42" s="735">
        <f t="shared" ref="C42:V42" ca="1" si="27">INDIRECT("'SEM " &amp; $O$5 &amp; "'!" &amp; ADDRESS(ROW(B62), COLUMN(B62)))</f>
        <v>7.1</v>
      </c>
      <c r="D42" s="736">
        <f t="shared" ca="1" si="27"/>
        <v>7.4</v>
      </c>
      <c r="E42" s="736">
        <f t="shared" ca="1" si="27"/>
        <v>1</v>
      </c>
      <c r="F42" s="736">
        <f t="shared" ca="1" si="27"/>
        <v>6.9</v>
      </c>
      <c r="G42" s="737">
        <f t="shared" ca="1" si="27"/>
        <v>7.5</v>
      </c>
      <c r="H42" s="738">
        <f t="shared" ca="1" si="27"/>
        <v>7.6</v>
      </c>
      <c r="I42" s="739">
        <f t="shared" ca="1" si="27"/>
        <v>7.6</v>
      </c>
      <c r="J42" s="799">
        <f t="shared" ca="1" si="27"/>
        <v>1</v>
      </c>
      <c r="K42" s="739">
        <f t="shared" ca="1" si="27"/>
        <v>7.6</v>
      </c>
      <c r="L42" s="739">
        <f t="shared" ca="1" si="27"/>
        <v>7.3</v>
      </c>
      <c r="M42" s="279">
        <f t="shared" ca="1" si="27"/>
        <v>6.1</v>
      </c>
      <c r="N42" s="280">
        <f t="shared" ca="1" si="27"/>
        <v>5.9</v>
      </c>
      <c r="O42" s="280">
        <f t="shared" ca="1" si="27"/>
        <v>1.7</v>
      </c>
      <c r="P42" s="280">
        <f t="shared" ca="1" si="27"/>
        <v>5.9</v>
      </c>
      <c r="Q42" s="282">
        <f t="shared" ca="1" si="27"/>
        <v>4.5999999999999996</v>
      </c>
      <c r="R42" s="737">
        <f t="shared" ca="1" si="27"/>
        <v>6.3</v>
      </c>
      <c r="S42" s="736">
        <f t="shared" ca="1" si="27"/>
        <v>6.1</v>
      </c>
      <c r="T42" s="736">
        <f t="shared" ca="1" si="27"/>
        <v>1.3</v>
      </c>
      <c r="U42" s="736">
        <f t="shared" ca="1" si="27"/>
        <v>6.3</v>
      </c>
      <c r="V42" s="742">
        <f t="shared" ca="1" si="27"/>
        <v>6.2</v>
      </c>
      <c r="W42" s="581">
        <f t="shared" ca="1" si="24"/>
        <v>111.39999999999999</v>
      </c>
      <c r="X42" s="780"/>
      <c r="Y42" s="667"/>
      <c r="Z42" s="404"/>
      <c r="AA42" s="100"/>
      <c r="AB42" s="100"/>
      <c r="AC42" s="305"/>
      <c r="AD42" s="390"/>
      <c r="AE42" s="390"/>
      <c r="AF42" s="390"/>
      <c r="AG42" s="390"/>
      <c r="AH42" s="390"/>
      <c r="AI42" s="390"/>
      <c r="AJ42" s="390"/>
      <c r="AK42" s="390"/>
      <c r="AL42" s="390"/>
      <c r="AM42" s="390"/>
      <c r="AN42" s="100"/>
    </row>
    <row r="43" spans="1:41" ht="39.75" customHeight="1" x14ac:dyDescent="0.45">
      <c r="A43" s="450" t="s">
        <v>126</v>
      </c>
      <c r="B43" s="781">
        <f t="shared" si="26"/>
        <v>45759</v>
      </c>
      <c r="C43" s="735">
        <f t="shared" ref="C43:V43" ca="1" si="28">INDIRECT("'SEM " &amp; $O$5 &amp; "'!" &amp; ADDRESS(ROW(B63), COLUMN(B63)))</f>
        <v>0</v>
      </c>
      <c r="D43" s="736">
        <f t="shared" ca="1" si="28"/>
        <v>0</v>
      </c>
      <c r="E43" s="736">
        <f t="shared" ca="1" si="28"/>
        <v>0</v>
      </c>
      <c r="F43" s="736">
        <f t="shared" ca="1" si="28"/>
        <v>0</v>
      </c>
      <c r="G43" s="737">
        <f t="shared" ca="1" si="28"/>
        <v>0</v>
      </c>
      <c r="H43" s="738">
        <f t="shared" ca="1" si="28"/>
        <v>0</v>
      </c>
      <c r="I43" s="739">
        <f t="shared" ca="1" si="28"/>
        <v>0</v>
      </c>
      <c r="J43" s="799">
        <f t="shared" ca="1" si="28"/>
        <v>0</v>
      </c>
      <c r="K43" s="739">
        <f t="shared" ca="1" si="28"/>
        <v>0</v>
      </c>
      <c r="L43" s="739">
        <f t="shared" ca="1" si="28"/>
        <v>0</v>
      </c>
      <c r="M43" s="279">
        <f t="shared" ca="1" si="28"/>
        <v>0</v>
      </c>
      <c r="N43" s="280">
        <f t="shared" ca="1" si="28"/>
        <v>0</v>
      </c>
      <c r="O43" s="280">
        <f t="shared" ca="1" si="28"/>
        <v>0</v>
      </c>
      <c r="P43" s="280">
        <f t="shared" ca="1" si="28"/>
        <v>0</v>
      </c>
      <c r="Q43" s="282">
        <f t="shared" ca="1" si="28"/>
        <v>0</v>
      </c>
      <c r="R43" s="737">
        <f t="shared" ca="1" si="28"/>
        <v>0</v>
      </c>
      <c r="S43" s="736">
        <f t="shared" ca="1" si="28"/>
        <v>0</v>
      </c>
      <c r="T43" s="736">
        <f t="shared" ca="1" si="28"/>
        <v>0</v>
      </c>
      <c r="U43" s="736">
        <f t="shared" ca="1" si="28"/>
        <v>0</v>
      </c>
      <c r="V43" s="742">
        <f t="shared" ca="1" si="28"/>
        <v>0</v>
      </c>
      <c r="W43" s="581">
        <f t="shared" ca="1" si="24"/>
        <v>0</v>
      </c>
      <c r="X43" s="780"/>
      <c r="Y43" s="667"/>
      <c r="Z43" s="404"/>
      <c r="AA43" s="100"/>
      <c r="AB43" s="100"/>
      <c r="AC43" s="305"/>
      <c r="AD43" s="390"/>
      <c r="AE43" s="390"/>
      <c r="AF43" s="390"/>
      <c r="AG43" s="390"/>
      <c r="AH43" s="390"/>
      <c r="AI43" s="390"/>
      <c r="AJ43" s="390"/>
      <c r="AK43" s="390"/>
      <c r="AL43" s="390"/>
      <c r="AM43" s="390"/>
      <c r="AN43" s="100"/>
    </row>
    <row r="44" spans="1:41" ht="39.75" customHeight="1" x14ac:dyDescent="0.45">
      <c r="A44" s="450" t="s">
        <v>127</v>
      </c>
      <c r="B44" s="781">
        <f t="shared" si="26"/>
        <v>45760</v>
      </c>
      <c r="C44" s="735">
        <f t="shared" ref="C44:V44" ca="1" si="29">INDIRECT("'SEM " &amp; $O$5 &amp; "'!" &amp; ADDRESS(ROW(B64), COLUMN(B64)))</f>
        <v>0</v>
      </c>
      <c r="D44" s="736">
        <f t="shared" ca="1" si="29"/>
        <v>0</v>
      </c>
      <c r="E44" s="736">
        <f t="shared" ca="1" si="29"/>
        <v>0</v>
      </c>
      <c r="F44" s="736">
        <f t="shared" ca="1" si="29"/>
        <v>0</v>
      </c>
      <c r="G44" s="737">
        <f t="shared" ca="1" si="29"/>
        <v>0</v>
      </c>
      <c r="H44" s="738">
        <f t="shared" ca="1" si="29"/>
        <v>0</v>
      </c>
      <c r="I44" s="739">
        <f t="shared" ca="1" si="29"/>
        <v>0</v>
      </c>
      <c r="J44" s="799">
        <f t="shared" ca="1" si="29"/>
        <v>0</v>
      </c>
      <c r="K44" s="739">
        <f t="shared" ca="1" si="29"/>
        <v>0</v>
      </c>
      <c r="L44" s="739">
        <f t="shared" ca="1" si="29"/>
        <v>0</v>
      </c>
      <c r="M44" s="279">
        <f t="shared" ca="1" si="29"/>
        <v>0</v>
      </c>
      <c r="N44" s="280">
        <f t="shared" ca="1" si="29"/>
        <v>0</v>
      </c>
      <c r="O44" s="280">
        <f t="shared" ca="1" si="29"/>
        <v>0</v>
      </c>
      <c r="P44" s="280">
        <f t="shared" ca="1" si="29"/>
        <v>0</v>
      </c>
      <c r="Q44" s="282">
        <f t="shared" ca="1" si="29"/>
        <v>0</v>
      </c>
      <c r="R44" s="737">
        <f t="shared" ca="1" si="29"/>
        <v>0</v>
      </c>
      <c r="S44" s="736">
        <f t="shared" ca="1" si="29"/>
        <v>0</v>
      </c>
      <c r="T44" s="736">
        <f t="shared" ca="1" si="29"/>
        <v>0</v>
      </c>
      <c r="U44" s="736">
        <f t="shared" ca="1" si="29"/>
        <v>0</v>
      </c>
      <c r="V44" s="742">
        <f t="shared" ca="1" si="29"/>
        <v>0</v>
      </c>
      <c r="W44" s="581">
        <f t="shared" ca="1" si="24"/>
        <v>0</v>
      </c>
      <c r="X44" s="780"/>
      <c r="Y44" s="667"/>
      <c r="Z44" s="404"/>
      <c r="AA44" s="100"/>
      <c r="AB44" s="100"/>
      <c r="AC44" s="305"/>
      <c r="AD44" s="390"/>
      <c r="AE44" s="390"/>
      <c r="AF44" s="390"/>
      <c r="AG44" s="390"/>
      <c r="AH44" s="390"/>
      <c r="AI44" s="390"/>
      <c r="AJ44" s="390"/>
      <c r="AK44" s="390"/>
      <c r="AL44" s="390"/>
      <c r="AM44" s="390"/>
      <c r="AN44" s="100"/>
    </row>
    <row r="45" spans="1:41" ht="39.75" customHeight="1" x14ac:dyDescent="0.45">
      <c r="A45" s="450" t="s">
        <v>128</v>
      </c>
      <c r="B45" s="781">
        <f t="shared" si="26"/>
        <v>45761</v>
      </c>
      <c r="C45" s="735">
        <f t="shared" ref="C45:V45" ca="1" si="30">INDIRECT("'SEM " &amp; $O$5 &amp; "'!" &amp; ADDRESS(ROW(B65), COLUMN(B65)))</f>
        <v>0</v>
      </c>
      <c r="D45" s="736">
        <f t="shared" ca="1" si="30"/>
        <v>0</v>
      </c>
      <c r="E45" s="736">
        <f t="shared" ca="1" si="30"/>
        <v>0</v>
      </c>
      <c r="F45" s="736">
        <f t="shared" ca="1" si="30"/>
        <v>0</v>
      </c>
      <c r="G45" s="737">
        <f t="shared" ca="1" si="30"/>
        <v>0</v>
      </c>
      <c r="H45" s="738">
        <f t="shared" ca="1" si="30"/>
        <v>0</v>
      </c>
      <c r="I45" s="739">
        <f t="shared" ca="1" si="30"/>
        <v>0</v>
      </c>
      <c r="J45" s="799">
        <f t="shared" ca="1" si="30"/>
        <v>0</v>
      </c>
      <c r="K45" s="739">
        <f t="shared" ca="1" si="30"/>
        <v>0</v>
      </c>
      <c r="L45" s="739">
        <f t="shared" ca="1" si="30"/>
        <v>0</v>
      </c>
      <c r="M45" s="279">
        <f t="shared" ca="1" si="30"/>
        <v>0</v>
      </c>
      <c r="N45" s="280">
        <f t="shared" ca="1" si="30"/>
        <v>0</v>
      </c>
      <c r="O45" s="280">
        <f t="shared" ca="1" si="30"/>
        <v>0</v>
      </c>
      <c r="P45" s="280">
        <f t="shared" ca="1" si="30"/>
        <v>0</v>
      </c>
      <c r="Q45" s="282">
        <f t="shared" ca="1" si="30"/>
        <v>0</v>
      </c>
      <c r="R45" s="737">
        <f t="shared" ca="1" si="30"/>
        <v>0</v>
      </c>
      <c r="S45" s="736">
        <f t="shared" ca="1" si="30"/>
        <v>0</v>
      </c>
      <c r="T45" s="736">
        <f t="shared" ca="1" si="30"/>
        <v>0</v>
      </c>
      <c r="U45" s="736">
        <f t="shared" ca="1" si="30"/>
        <v>0</v>
      </c>
      <c r="V45" s="742">
        <f t="shared" ca="1" si="30"/>
        <v>0</v>
      </c>
      <c r="W45" s="581">
        <f t="shared" ca="1" si="24"/>
        <v>0</v>
      </c>
      <c r="X45" s="780"/>
      <c r="Y45" s="667"/>
      <c r="Z45" s="404"/>
      <c r="AA45" s="100"/>
      <c r="AB45" s="100"/>
      <c r="AC45" s="305"/>
      <c r="AD45" s="390"/>
      <c r="AE45" s="390"/>
      <c r="AF45" s="390"/>
      <c r="AG45" s="390"/>
      <c r="AH45" s="390"/>
      <c r="AI45" s="390"/>
      <c r="AJ45" s="390"/>
      <c r="AK45" s="390"/>
      <c r="AL45" s="390"/>
      <c r="AM45" s="390"/>
      <c r="AN45" s="100"/>
    </row>
    <row r="46" spans="1:41" ht="39.75" customHeight="1" thickBot="1" x14ac:dyDescent="0.5">
      <c r="A46" s="450" t="s">
        <v>129</v>
      </c>
      <c r="B46" s="781">
        <f t="shared" si="26"/>
        <v>45762</v>
      </c>
      <c r="C46" s="735">
        <f t="shared" ref="C46:V46" ca="1" si="31">INDIRECT("'SEM " &amp; $O$5 &amp; "'!" &amp; ADDRESS(ROW(B66), COLUMN(B66)))</f>
        <v>0</v>
      </c>
      <c r="D46" s="736">
        <f t="shared" ca="1" si="31"/>
        <v>0</v>
      </c>
      <c r="E46" s="736">
        <f t="shared" ca="1" si="31"/>
        <v>0</v>
      </c>
      <c r="F46" s="736">
        <f t="shared" ca="1" si="31"/>
        <v>0</v>
      </c>
      <c r="G46" s="737">
        <f t="shared" ca="1" si="31"/>
        <v>0</v>
      </c>
      <c r="H46" s="738">
        <f t="shared" ca="1" si="31"/>
        <v>0</v>
      </c>
      <c r="I46" s="739">
        <f t="shared" ca="1" si="31"/>
        <v>0</v>
      </c>
      <c r="J46" s="799">
        <f t="shared" ca="1" si="31"/>
        <v>0</v>
      </c>
      <c r="K46" s="739">
        <f t="shared" ca="1" si="31"/>
        <v>0</v>
      </c>
      <c r="L46" s="739">
        <f t="shared" ca="1" si="31"/>
        <v>0</v>
      </c>
      <c r="M46" s="279">
        <f t="shared" ca="1" si="31"/>
        <v>0</v>
      </c>
      <c r="N46" s="280">
        <f t="shared" ca="1" si="31"/>
        <v>0</v>
      </c>
      <c r="O46" s="280">
        <f t="shared" ca="1" si="31"/>
        <v>0</v>
      </c>
      <c r="P46" s="280">
        <f t="shared" ca="1" si="31"/>
        <v>0</v>
      </c>
      <c r="Q46" s="282">
        <f t="shared" ca="1" si="31"/>
        <v>0</v>
      </c>
      <c r="R46" s="737">
        <f t="shared" ca="1" si="31"/>
        <v>0</v>
      </c>
      <c r="S46" s="736">
        <f t="shared" ca="1" si="31"/>
        <v>0</v>
      </c>
      <c r="T46" s="736">
        <f t="shared" ca="1" si="31"/>
        <v>0</v>
      </c>
      <c r="U46" s="736">
        <f t="shared" ca="1" si="31"/>
        <v>0</v>
      </c>
      <c r="V46" s="742">
        <f t="shared" ca="1" si="31"/>
        <v>0</v>
      </c>
      <c r="W46" s="581">
        <f t="shared" ca="1" si="24"/>
        <v>0</v>
      </c>
      <c r="X46" s="780"/>
      <c r="Y46" s="667"/>
      <c r="Z46" s="404"/>
      <c r="AA46" s="100"/>
      <c r="AB46" s="100"/>
      <c r="AC46" s="305"/>
      <c r="AD46" s="390"/>
      <c r="AE46" s="390"/>
      <c r="AF46" s="390"/>
      <c r="AG46" s="390"/>
      <c r="AH46" s="390"/>
      <c r="AI46" s="390"/>
      <c r="AJ46" s="390"/>
      <c r="AK46" s="390"/>
      <c r="AL46" s="390"/>
      <c r="AM46" s="390"/>
      <c r="AN46" s="100"/>
    </row>
    <row r="47" spans="1:41" ht="39.75" customHeight="1" thickBot="1" x14ac:dyDescent="0.3">
      <c r="A47" s="1053" t="s">
        <v>9</v>
      </c>
      <c r="B47" s="1054"/>
      <c r="C47" s="493">
        <f t="shared" ref="C47:F47" ca="1" si="32">SUM(C40:C46)</f>
        <v>21.299999999999997</v>
      </c>
      <c r="D47" s="494">
        <f t="shared" ca="1" si="32"/>
        <v>22.200000000000003</v>
      </c>
      <c r="E47" s="494">
        <f t="shared" ca="1" si="32"/>
        <v>3</v>
      </c>
      <c r="F47" s="494">
        <f t="shared" ca="1" si="32"/>
        <v>20.700000000000003</v>
      </c>
      <c r="G47" s="768">
        <f ca="1">SUM(G40:G46)</f>
        <v>22.5</v>
      </c>
      <c r="H47" s="493">
        <f t="shared" ref="H47:K47" ca="1" si="33">SUM(H40:H46)</f>
        <v>22.799999999999997</v>
      </c>
      <c r="I47" s="494">
        <f t="shared" ca="1" si="33"/>
        <v>22.799999999999997</v>
      </c>
      <c r="J47" s="494">
        <f t="shared" ca="1" si="33"/>
        <v>3</v>
      </c>
      <c r="K47" s="494">
        <f t="shared" ca="1" si="33"/>
        <v>22.799999999999997</v>
      </c>
      <c r="L47" s="768">
        <f ca="1">SUM(L40:L46)</f>
        <v>21.9</v>
      </c>
      <c r="M47" s="493">
        <f t="shared" ref="M47:P47" ca="1" si="34">SUM(M40:M46)</f>
        <v>18.299999999999997</v>
      </c>
      <c r="N47" s="494">
        <f t="shared" ca="1" si="34"/>
        <v>17.700000000000003</v>
      </c>
      <c r="O47" s="494">
        <f t="shared" ca="1" si="34"/>
        <v>5.0999999999999996</v>
      </c>
      <c r="P47" s="494">
        <f t="shared" ca="1" si="34"/>
        <v>17.700000000000003</v>
      </c>
      <c r="Q47" s="840">
        <f ca="1">SUM(Q40:Q46)</f>
        <v>13.799999999999999</v>
      </c>
      <c r="R47" s="843">
        <f t="shared" ref="R47:U47" ca="1" si="35">SUM(R40:R46)</f>
        <v>18.899999999999999</v>
      </c>
      <c r="S47" s="766">
        <f t="shared" ca="1" si="35"/>
        <v>18.299999999999997</v>
      </c>
      <c r="T47" s="766">
        <f t="shared" ca="1" si="35"/>
        <v>3.9000000000000004</v>
      </c>
      <c r="U47" s="766">
        <f t="shared" ca="1" si="35"/>
        <v>18.899999999999999</v>
      </c>
      <c r="V47" s="844">
        <f ca="1">SUM(V40:V46)</f>
        <v>18.600000000000001</v>
      </c>
      <c r="W47" s="495">
        <f ca="1">SUM(W40:W46)</f>
        <v>334.2</v>
      </c>
      <c r="X47" s="667"/>
      <c r="Y47" s="667"/>
      <c r="Z47" s="789"/>
      <c r="AA47" s="789"/>
      <c r="AB47" s="789"/>
      <c r="AC47" s="305"/>
      <c r="AD47" s="390"/>
      <c r="AE47" s="390"/>
      <c r="AF47" s="390"/>
      <c r="AG47" s="390"/>
      <c r="AH47" s="390"/>
      <c r="AI47" s="390"/>
      <c r="AJ47" s="390"/>
      <c r="AK47" s="390"/>
      <c r="AL47" s="390"/>
      <c r="AM47" s="390"/>
      <c r="AN47" s="100"/>
    </row>
    <row r="48" spans="1:41" ht="39.75" customHeight="1" thickBot="1" x14ac:dyDescent="0.3">
      <c r="A48" s="1049" t="s">
        <v>52</v>
      </c>
      <c r="B48" s="1055"/>
      <c r="C48" s="803">
        <f ca="1">INDIRECT("'SEM " &amp; $O$5 &amp; "'!" &amp; ADDRESS(69, COLUMN(B69)))</f>
        <v>43</v>
      </c>
      <c r="D48" s="773">
        <f t="shared" ref="D48:V48" ca="1" si="36">INDIRECT("'SEM " &amp; $O$5 &amp; "'!" &amp; ADDRESS(69, COLUMN(C69)))</f>
        <v>45</v>
      </c>
      <c r="E48" s="773">
        <f t="shared" ca="1" si="36"/>
        <v>6</v>
      </c>
      <c r="F48" s="773">
        <f t="shared" ca="1" si="36"/>
        <v>45</v>
      </c>
      <c r="G48" s="774">
        <f t="shared" ca="1" si="36"/>
        <v>46</v>
      </c>
      <c r="H48" s="772">
        <f t="shared" ca="1" si="36"/>
        <v>46</v>
      </c>
      <c r="I48" s="773">
        <f t="shared" ca="1" si="36"/>
        <v>46</v>
      </c>
      <c r="J48" s="773">
        <f t="shared" ca="1" si="36"/>
        <v>6</v>
      </c>
      <c r="K48" s="773">
        <f t="shared" ca="1" si="36"/>
        <v>46</v>
      </c>
      <c r="L48" s="774">
        <f t="shared" ca="1" si="36"/>
        <v>45</v>
      </c>
      <c r="M48" s="772">
        <f t="shared" ca="1" si="36"/>
        <v>37</v>
      </c>
      <c r="N48" s="773">
        <f t="shared" ca="1" si="36"/>
        <v>36</v>
      </c>
      <c r="O48" s="773">
        <f t="shared" ca="1" si="36"/>
        <v>10</v>
      </c>
      <c r="P48" s="773">
        <f t="shared" ca="1" si="36"/>
        <v>36</v>
      </c>
      <c r="Q48" s="841">
        <f t="shared" ca="1" si="36"/>
        <v>34</v>
      </c>
      <c r="R48" s="772">
        <f t="shared" ca="1" si="36"/>
        <v>38</v>
      </c>
      <c r="S48" s="773">
        <f t="shared" ca="1" si="36"/>
        <v>37</v>
      </c>
      <c r="T48" s="773">
        <f t="shared" ca="1" si="36"/>
        <v>8</v>
      </c>
      <c r="U48" s="773">
        <f t="shared" ca="1" si="36"/>
        <v>38</v>
      </c>
      <c r="V48" s="774">
        <f t="shared" ca="1" si="36"/>
        <v>38</v>
      </c>
      <c r="W48" s="775">
        <f ca="1">SUM(C48:V48)</f>
        <v>686</v>
      </c>
      <c r="X48" s="308"/>
      <c r="Y48" s="660"/>
      <c r="Z48" s="789"/>
      <c r="AA48" s="789"/>
      <c r="AB48" s="789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</row>
    <row r="49" spans="3:28" x14ac:dyDescent="0.25">
      <c r="Z49" s="789"/>
      <c r="AA49" s="789"/>
      <c r="AB49" s="789"/>
    </row>
    <row r="50" spans="3:28" x14ac:dyDescent="0.25">
      <c r="C50" s="104"/>
      <c r="D50" s="104"/>
      <c r="E50" s="104"/>
      <c r="F50" s="104"/>
      <c r="G50" s="104"/>
    </row>
    <row r="51" spans="3:28" x14ac:dyDescent="0.25">
      <c r="C51" s="104"/>
      <c r="D51" s="104"/>
      <c r="E51" s="104"/>
      <c r="F51" s="104"/>
      <c r="G51" s="104"/>
    </row>
  </sheetData>
  <mergeCells count="46">
    <mergeCell ref="A9:B9"/>
    <mergeCell ref="A20:B24"/>
    <mergeCell ref="A36:B37"/>
    <mergeCell ref="A35:B35"/>
    <mergeCell ref="A39:B39"/>
    <mergeCell ref="A47:B47"/>
    <mergeCell ref="A48:B48"/>
    <mergeCell ref="A38:B38"/>
    <mergeCell ref="A10:B10"/>
    <mergeCell ref="A18:B18"/>
    <mergeCell ref="A19:B19"/>
    <mergeCell ref="A26:B26"/>
    <mergeCell ref="A34:B34"/>
    <mergeCell ref="A25:B25"/>
    <mergeCell ref="C38:G38"/>
    <mergeCell ref="H38:L38"/>
    <mergeCell ref="J35:K35"/>
    <mergeCell ref="J26:K26"/>
    <mergeCell ref="J34:K34"/>
    <mergeCell ref="R38:V38"/>
    <mergeCell ref="L25:Q25"/>
    <mergeCell ref="S26:AA35"/>
    <mergeCell ref="X1:AA6"/>
    <mergeCell ref="V9:Z9"/>
    <mergeCell ref="S1:W6"/>
    <mergeCell ref="M38:Q38"/>
    <mergeCell ref="J25:K25"/>
    <mergeCell ref="C20:X23"/>
    <mergeCell ref="C9:H9"/>
    <mergeCell ref="I9:I10"/>
    <mergeCell ref="P9:P10"/>
    <mergeCell ref="J9:O9"/>
    <mergeCell ref="C25:H25"/>
    <mergeCell ref="C7:D7"/>
    <mergeCell ref="H7:K7"/>
    <mergeCell ref="P7:S7"/>
    <mergeCell ref="M7:O7"/>
    <mergeCell ref="Q9:U9"/>
    <mergeCell ref="B1:B3"/>
    <mergeCell ref="N1:R1"/>
    <mergeCell ref="N2:R2"/>
    <mergeCell ref="N3:R3"/>
    <mergeCell ref="C5:D5"/>
    <mergeCell ref="H5:I5"/>
    <mergeCell ref="C1:M1"/>
    <mergeCell ref="C2:M3"/>
  </mergeCells>
  <conditionalFormatting sqref="C11:AA17 C27:H33 L27:Q33 C40:W46">
    <cfRule type="cellIs" dxfId="0" priority="1" operator="equal">
      <formula>0</formula>
    </cfRule>
  </conditionalFormatting>
  <pageMargins left="0.25" right="0.25" top="0.75" bottom="0.75" header="0.3" footer="0.3"/>
  <pageSetup scale="26" orientation="landscape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241"/>
  <sheetViews>
    <sheetView topLeftCell="A7" zoomScale="26" zoomScaleNormal="26" workbookViewId="0">
      <selection activeCell="A24" sqref="A24:XFD24"/>
    </sheetView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7" width="20.7109375" style="14" customWidth="1"/>
    <col min="28" max="28" width="27" style="14" bestFit="1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1"/>
      <c r="P3" s="891"/>
      <c r="Q3" s="891"/>
      <c r="R3" s="891"/>
      <c r="S3" s="891"/>
      <c r="T3" s="891"/>
      <c r="U3" s="891"/>
      <c r="V3" s="891"/>
      <c r="W3" s="891"/>
      <c r="X3" s="891"/>
      <c r="Y3" s="891"/>
      <c r="Z3" s="891"/>
      <c r="AA3" s="891"/>
      <c r="AB3" s="891"/>
      <c r="AC3" s="891"/>
      <c r="AD3" s="891"/>
      <c r="AE3" s="2"/>
      <c r="AF3" s="2"/>
      <c r="AG3" s="2"/>
      <c r="AH3" s="2"/>
      <c r="AI3" s="2"/>
      <c r="AJ3" s="891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891" t="s">
        <v>1</v>
      </c>
      <c r="B9" s="891"/>
      <c r="C9" s="891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891"/>
      <c r="B10" s="891"/>
      <c r="C10" s="8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891" t="s">
        <v>4</v>
      </c>
      <c r="B11" s="891"/>
      <c r="C11" s="891"/>
      <c r="D11" s="1"/>
      <c r="E11" s="892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59</v>
      </c>
      <c r="P11" s="965"/>
      <c r="Q11" s="893"/>
      <c r="R11" s="893"/>
      <c r="S11" s="893"/>
      <c r="T11" s="1"/>
      <c r="U11" s="1"/>
      <c r="V11" s="1" t="s">
        <v>6</v>
      </c>
      <c r="W11" s="95">
        <v>45742</v>
      </c>
      <c r="X11" s="95">
        <f>W11+6</f>
        <v>45748</v>
      </c>
      <c r="Y11" s="893"/>
      <c r="Z11" s="893"/>
      <c r="AA11" s="893"/>
      <c r="AB11" s="893"/>
      <c r="AC11" s="893"/>
      <c r="AD11" s="1"/>
      <c r="AE11" s="1"/>
      <c r="AF11" s="1"/>
      <c r="AG11" s="1"/>
      <c r="AH11" s="1"/>
      <c r="AI11" s="1"/>
    </row>
    <row r="12" spans="1:36" s="3" customFormat="1" ht="26.25" x14ac:dyDescent="0.25">
      <c r="A12" s="891"/>
      <c r="B12" s="891"/>
      <c r="C12" s="89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893"/>
      <c r="Q12" s="893"/>
      <c r="R12" s="893"/>
      <c r="S12" s="893"/>
      <c r="T12" s="893"/>
      <c r="U12" s="1"/>
      <c r="V12" s="1"/>
      <c r="W12" s="1"/>
      <c r="X12" s="1"/>
      <c r="Y12" s="893"/>
      <c r="Z12" s="893"/>
      <c r="AA12" s="893"/>
      <c r="AB12" s="893"/>
      <c r="AC12" s="893"/>
      <c r="AD12" s="893"/>
      <c r="AE12" s="893"/>
      <c r="AF12" s="893"/>
      <c r="AG12" s="893"/>
      <c r="AH12" s="893"/>
      <c r="AI12" s="893"/>
      <c r="AJ12" s="1"/>
    </row>
    <row r="13" spans="1:36" s="3" customFormat="1" ht="26.25" x14ac:dyDescent="0.25">
      <c r="A13" s="891"/>
      <c r="B13" s="891"/>
      <c r="C13" s="89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893"/>
      <c r="Q13" s="893"/>
      <c r="R13" s="893"/>
      <c r="S13" s="893"/>
      <c r="T13" s="893"/>
      <c r="U13" s="1"/>
      <c r="V13" s="1"/>
      <c r="W13" s="1"/>
      <c r="X13" s="1"/>
      <c r="Y13" s="893"/>
      <c r="Z13" s="893"/>
      <c r="AA13" s="893"/>
      <c r="AB13" s="893"/>
      <c r="AC13" s="893"/>
      <c r="AD13" s="893"/>
      <c r="AE13" s="893"/>
      <c r="AF13" s="893"/>
      <c r="AG13" s="893"/>
      <c r="AH13" s="893"/>
      <c r="AI13" s="893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  <c r="Z16" s="977" t="s">
        <v>9</v>
      </c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828"/>
      <c r="I17" s="188" t="s">
        <v>100</v>
      </c>
      <c r="J17" s="168">
        <v>1</v>
      </c>
      <c r="K17" s="168">
        <v>2</v>
      </c>
      <c r="L17" s="168">
        <v>3</v>
      </c>
      <c r="M17" s="168">
        <v>4</v>
      </c>
      <c r="N17" s="169">
        <v>5</v>
      </c>
      <c r="O17" s="828"/>
      <c r="P17" s="189">
        <v>1</v>
      </c>
      <c r="Q17" s="168">
        <v>2</v>
      </c>
      <c r="R17" s="168">
        <v>3</v>
      </c>
      <c r="S17" s="168">
        <v>4</v>
      </c>
      <c r="T17" s="204">
        <v>5</v>
      </c>
      <c r="U17" s="188">
        <v>1</v>
      </c>
      <c r="V17" s="168">
        <v>2</v>
      </c>
      <c r="W17" s="168">
        <v>3</v>
      </c>
      <c r="X17" s="168">
        <v>4</v>
      </c>
      <c r="Y17" s="169">
        <v>5</v>
      </c>
      <c r="Z17" s="984"/>
      <c r="AB17" s="921" t="s">
        <v>134</v>
      </c>
      <c r="AD17" s="2"/>
      <c r="AE17" s="15"/>
    </row>
    <row r="18" spans="1:40" ht="39.950000000000003" customHeight="1" x14ac:dyDescent="0.25">
      <c r="A18" s="171" t="s">
        <v>53</v>
      </c>
      <c r="B18" s="896">
        <v>286.7</v>
      </c>
      <c r="C18" s="897">
        <v>12.9</v>
      </c>
      <c r="D18" s="898">
        <v>13.9</v>
      </c>
      <c r="E18" s="898">
        <v>1.1000000000000001</v>
      </c>
      <c r="F18" s="897">
        <v>13.9</v>
      </c>
      <c r="G18" s="899">
        <v>13.9</v>
      </c>
      <c r="H18" s="900">
        <f t="shared" ref="H18" si="0">SUM(B18:G18)</f>
        <v>342.39999999999992</v>
      </c>
      <c r="I18" s="901">
        <v>291.3</v>
      </c>
      <c r="J18" s="898">
        <v>12.7</v>
      </c>
      <c r="K18" s="897">
        <v>13.6</v>
      </c>
      <c r="L18" s="898">
        <v>1.1000000000000001</v>
      </c>
      <c r="M18" s="898">
        <v>13.6</v>
      </c>
      <c r="N18" s="902">
        <v>14.2</v>
      </c>
      <c r="O18" s="900">
        <f t="shared" ref="O18" si="1">SUM(I18:N18)</f>
        <v>346.50000000000006</v>
      </c>
      <c r="P18" s="903">
        <v>71.2</v>
      </c>
      <c r="Q18" s="904">
        <v>71.5</v>
      </c>
      <c r="R18" s="897">
        <v>15</v>
      </c>
      <c r="S18" s="897">
        <v>71.7</v>
      </c>
      <c r="T18" s="905">
        <v>72.3</v>
      </c>
      <c r="U18" s="906">
        <v>73.599999999999994</v>
      </c>
      <c r="V18" s="898">
        <v>75.5</v>
      </c>
      <c r="W18" s="904">
        <v>15.3</v>
      </c>
      <c r="X18" s="904">
        <v>75.099999999999994</v>
      </c>
      <c r="Y18" s="905">
        <v>75.900000000000006</v>
      </c>
      <c r="Z18" s="835">
        <f t="shared" ref="Z18:Z24" si="2">SUM(H18,O18,P18:Y18)</f>
        <v>1306</v>
      </c>
      <c r="AA18" s="301"/>
      <c r="AB18" s="913" t="s">
        <v>133</v>
      </c>
      <c r="AD18" s="2"/>
      <c r="AE18" s="15"/>
    </row>
    <row r="19" spans="1:40" ht="39.950000000000003" customHeight="1" x14ac:dyDescent="0.25">
      <c r="A19" s="171" t="s">
        <v>24</v>
      </c>
      <c r="B19" s="896">
        <v>288.5</v>
      </c>
      <c r="C19" s="907">
        <v>12.9</v>
      </c>
      <c r="D19" s="897">
        <v>13.8</v>
      </c>
      <c r="E19" s="898">
        <v>1.6</v>
      </c>
      <c r="F19" s="898">
        <v>13.9</v>
      </c>
      <c r="G19" s="899">
        <v>13.9</v>
      </c>
      <c r="H19" s="900">
        <f t="shared" ref="H19:H20" si="3">SUM(B19:G19)</f>
        <v>344.59999999999997</v>
      </c>
      <c r="I19" s="901">
        <v>291.5</v>
      </c>
      <c r="J19" s="897">
        <v>13.2</v>
      </c>
      <c r="K19" s="897">
        <v>13.6</v>
      </c>
      <c r="L19" s="897">
        <v>1.4</v>
      </c>
      <c r="M19" s="897">
        <v>13.8</v>
      </c>
      <c r="N19" s="905">
        <v>13.9</v>
      </c>
      <c r="O19" s="900">
        <f t="shared" ref="O19:O20" si="4">SUM(I19:N19)</f>
        <v>347.4</v>
      </c>
      <c r="P19" s="894">
        <v>71.5</v>
      </c>
      <c r="Q19" s="895">
        <v>71.400000000000006</v>
      </c>
      <c r="R19" s="897">
        <v>15</v>
      </c>
      <c r="S19" s="897">
        <v>71.7</v>
      </c>
      <c r="T19" s="908">
        <v>72.3</v>
      </c>
      <c r="U19" s="909">
        <v>73.400000000000006</v>
      </c>
      <c r="V19" s="897">
        <v>75.400000000000006</v>
      </c>
      <c r="W19" s="904">
        <v>15.2</v>
      </c>
      <c r="X19" s="904">
        <v>75.099999999999994</v>
      </c>
      <c r="Y19" s="905">
        <v>75.900000000000006</v>
      </c>
      <c r="Z19" s="638">
        <f t="shared" si="2"/>
        <v>1308.9000000000001</v>
      </c>
      <c r="AA19" s="520"/>
      <c r="AB19" s="914">
        <v>1</v>
      </c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595">
        <v>288.5</v>
      </c>
      <c r="C20" s="629">
        <v>12.5</v>
      </c>
      <c r="D20" s="596">
        <v>13.8</v>
      </c>
      <c r="E20" s="923">
        <v>1.5</v>
      </c>
      <c r="F20" s="596">
        <v>13.8</v>
      </c>
      <c r="G20" s="630">
        <v>13.9</v>
      </c>
      <c r="H20" s="506">
        <f t="shared" si="3"/>
        <v>344</v>
      </c>
      <c r="I20" s="599">
        <v>291.5</v>
      </c>
      <c r="J20" s="596">
        <v>13.2</v>
      </c>
      <c r="K20" s="596">
        <v>13.6</v>
      </c>
      <c r="L20" s="629">
        <v>1.4</v>
      </c>
      <c r="M20" s="596">
        <v>13.8</v>
      </c>
      <c r="N20" s="632">
        <v>13.9</v>
      </c>
      <c r="O20" s="506">
        <f t="shared" si="4"/>
        <v>347.4</v>
      </c>
      <c r="P20" s="601">
        <v>71.5</v>
      </c>
      <c r="Q20" s="455">
        <v>71.400000000000006</v>
      </c>
      <c r="R20" s="596">
        <v>15</v>
      </c>
      <c r="S20" s="596">
        <v>71.7</v>
      </c>
      <c r="T20" s="632">
        <v>72.2</v>
      </c>
      <c r="U20" s="602">
        <v>73.3</v>
      </c>
      <c r="V20" s="596">
        <v>75.400000000000006</v>
      </c>
      <c r="W20" s="455">
        <v>15.1</v>
      </c>
      <c r="X20" s="504">
        <v>75</v>
      </c>
      <c r="Y20" s="600">
        <v>75.900000000000006</v>
      </c>
      <c r="Z20" s="638">
        <f t="shared" si="2"/>
        <v>1307.9000000000001</v>
      </c>
      <c r="AA20" s="520"/>
      <c r="AB20" s="915">
        <v>2</v>
      </c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924">
        <v>288.5</v>
      </c>
      <c r="C21" s="925">
        <v>12.4</v>
      </c>
      <c r="D21" s="925">
        <v>13.8</v>
      </c>
      <c r="E21" s="925">
        <v>1.2</v>
      </c>
      <c r="F21" s="923">
        <v>13.8</v>
      </c>
      <c r="G21" s="926">
        <v>13.8</v>
      </c>
      <c r="H21" s="927">
        <f t="shared" ref="H21:H22" si="5">SUM(B21:G21)</f>
        <v>343.5</v>
      </c>
      <c r="I21" s="928">
        <v>291.5</v>
      </c>
      <c r="J21" s="925">
        <v>13.2</v>
      </c>
      <c r="K21" s="925">
        <v>13.6</v>
      </c>
      <c r="L21" s="925">
        <v>1.3</v>
      </c>
      <c r="M21" s="925">
        <v>13.8</v>
      </c>
      <c r="N21" s="929">
        <v>13.8</v>
      </c>
      <c r="O21" s="927">
        <f t="shared" ref="O21:O22" si="6">SUM(I21:N21)</f>
        <v>347.20000000000005</v>
      </c>
      <c r="P21" s="633">
        <v>71.5</v>
      </c>
      <c r="Q21" s="931">
        <v>71.2</v>
      </c>
      <c r="R21" s="925">
        <v>15</v>
      </c>
      <c r="S21" s="925">
        <v>71.7</v>
      </c>
      <c r="T21" s="632">
        <v>72.099999999999994</v>
      </c>
      <c r="U21" s="932">
        <v>73.3</v>
      </c>
      <c r="V21" s="629">
        <v>75.400000000000006</v>
      </c>
      <c r="W21" s="931">
        <v>15</v>
      </c>
      <c r="X21" s="931">
        <v>75</v>
      </c>
      <c r="Y21" s="929">
        <v>75.900000000000006</v>
      </c>
      <c r="Z21" s="638">
        <f t="shared" si="2"/>
        <v>1306.8000000000004</v>
      </c>
      <c r="AA21" s="301"/>
      <c r="AB21" s="916">
        <v>3</v>
      </c>
      <c r="AD21" s="2"/>
      <c r="AE21" s="15"/>
    </row>
    <row r="22" spans="1:40" ht="39.950000000000003" customHeight="1" x14ac:dyDescent="0.25">
      <c r="A22" s="171" t="s">
        <v>21</v>
      </c>
      <c r="B22" s="924">
        <v>288.5</v>
      </c>
      <c r="C22" s="923">
        <v>12.4</v>
      </c>
      <c r="D22" s="925">
        <v>13.8</v>
      </c>
      <c r="E22" s="629">
        <v>1.2</v>
      </c>
      <c r="F22" s="925">
        <v>13.5</v>
      </c>
      <c r="G22" s="926">
        <v>13.8</v>
      </c>
      <c r="H22" s="927">
        <f t="shared" si="5"/>
        <v>343.2</v>
      </c>
      <c r="I22" s="928">
        <v>291.5</v>
      </c>
      <c r="J22" s="925">
        <v>13.2</v>
      </c>
      <c r="K22" s="925">
        <v>13.6</v>
      </c>
      <c r="L22" s="925">
        <v>1.3</v>
      </c>
      <c r="M22" s="925">
        <v>13.8</v>
      </c>
      <c r="N22" s="929">
        <v>13.8</v>
      </c>
      <c r="O22" s="927">
        <f t="shared" si="6"/>
        <v>347.20000000000005</v>
      </c>
      <c r="P22" s="930">
        <v>71.400000000000006</v>
      </c>
      <c r="Q22" s="931">
        <v>71.2</v>
      </c>
      <c r="R22" s="925">
        <v>15</v>
      </c>
      <c r="S22" s="629">
        <v>71.7</v>
      </c>
      <c r="T22" s="632">
        <v>72</v>
      </c>
      <c r="U22" s="932">
        <v>73.3</v>
      </c>
      <c r="V22" s="925">
        <v>75.3</v>
      </c>
      <c r="W22" s="455">
        <v>15</v>
      </c>
      <c r="X22" s="931">
        <v>75</v>
      </c>
      <c r="Y22" s="929">
        <v>75.900000000000006</v>
      </c>
      <c r="Z22" s="638">
        <f t="shared" si="2"/>
        <v>1306.2000000000003</v>
      </c>
      <c r="AA22" s="301"/>
      <c r="AB22" s="917">
        <v>4</v>
      </c>
      <c r="AD22" s="2"/>
      <c r="AE22" s="15"/>
    </row>
    <row r="23" spans="1:40" ht="39.950000000000003" customHeight="1" x14ac:dyDescent="0.25">
      <c r="A23" s="171" t="s">
        <v>22</v>
      </c>
      <c r="B23" s="924">
        <v>288.5</v>
      </c>
      <c r="C23" s="923">
        <v>12.3</v>
      </c>
      <c r="D23" s="925">
        <v>13.8</v>
      </c>
      <c r="E23" s="923">
        <v>1.1000000000000001</v>
      </c>
      <c r="F23" s="925">
        <v>13.5</v>
      </c>
      <c r="G23" s="926">
        <v>13.8</v>
      </c>
      <c r="H23" s="927">
        <f t="shared" ref="H23:H24" si="7">SUM(B23:G23)</f>
        <v>343.00000000000006</v>
      </c>
      <c r="I23" s="928">
        <v>291.5</v>
      </c>
      <c r="J23" s="925">
        <v>13.2</v>
      </c>
      <c r="K23" s="925">
        <v>13.6</v>
      </c>
      <c r="L23" s="629">
        <v>1.3</v>
      </c>
      <c r="M23" s="925">
        <v>13.8</v>
      </c>
      <c r="N23" s="929">
        <v>13.8</v>
      </c>
      <c r="O23" s="927">
        <f t="shared" ref="O23:O24" si="8">SUM(I23:N23)</f>
        <v>347.20000000000005</v>
      </c>
      <c r="P23" s="930">
        <v>71.400000000000006</v>
      </c>
      <c r="Q23" s="931">
        <v>71.2</v>
      </c>
      <c r="R23" s="925">
        <v>15</v>
      </c>
      <c r="S23" s="925">
        <v>71.599999999999994</v>
      </c>
      <c r="T23" s="929">
        <v>71.900000000000006</v>
      </c>
      <c r="U23" s="932">
        <v>73.3</v>
      </c>
      <c r="V23" s="925">
        <v>75.3</v>
      </c>
      <c r="W23" s="931">
        <v>14.9</v>
      </c>
      <c r="X23" s="931">
        <v>75</v>
      </c>
      <c r="Y23" s="929">
        <v>75.900000000000006</v>
      </c>
      <c r="Z23" s="638">
        <f t="shared" si="2"/>
        <v>1305.7000000000003</v>
      </c>
      <c r="AA23" s="301"/>
      <c r="AB23" s="918">
        <v>5</v>
      </c>
      <c r="AD23" s="2"/>
      <c r="AE23" s="15"/>
    </row>
    <row r="24" spans="1:40" ht="39.950000000000003" customHeight="1" thickBot="1" x14ac:dyDescent="0.3">
      <c r="A24" s="285" t="s">
        <v>23</v>
      </c>
      <c r="B24" s="924">
        <v>288.5</v>
      </c>
      <c r="C24" s="925">
        <v>12</v>
      </c>
      <c r="D24" s="925">
        <v>13.8</v>
      </c>
      <c r="E24" s="925">
        <v>0.8</v>
      </c>
      <c r="F24" s="925">
        <v>13.5</v>
      </c>
      <c r="G24" s="926">
        <v>13.8</v>
      </c>
      <c r="H24" s="927">
        <f t="shared" si="7"/>
        <v>342.40000000000003</v>
      </c>
      <c r="I24" s="928">
        <v>291.5</v>
      </c>
      <c r="J24" s="925">
        <v>13.2</v>
      </c>
      <c r="K24" s="925">
        <v>13.6</v>
      </c>
      <c r="L24" s="925">
        <v>1</v>
      </c>
      <c r="M24" s="925">
        <v>13.8</v>
      </c>
      <c r="N24" s="929">
        <v>13.8</v>
      </c>
      <c r="O24" s="927">
        <f t="shared" si="8"/>
        <v>346.90000000000003</v>
      </c>
      <c r="P24" s="930">
        <v>67.400000000000006</v>
      </c>
      <c r="Q24" s="931">
        <v>70.099999999999994</v>
      </c>
      <c r="R24" s="925">
        <v>13.5</v>
      </c>
      <c r="S24" s="925">
        <v>70.099999999999994</v>
      </c>
      <c r="T24" s="929">
        <v>69.599999999999994</v>
      </c>
      <c r="U24" s="932">
        <v>70.8</v>
      </c>
      <c r="V24" s="925">
        <v>72.7</v>
      </c>
      <c r="W24" s="931">
        <v>11.9</v>
      </c>
      <c r="X24" s="931">
        <v>72.599999999999994</v>
      </c>
      <c r="Y24" s="929">
        <v>76.099999999999994</v>
      </c>
      <c r="Z24" s="509">
        <f t="shared" si="2"/>
        <v>1284.1000000000001</v>
      </c>
      <c r="AA24" s="301"/>
      <c r="AB24" s="919">
        <v>6</v>
      </c>
      <c r="AD24" s="2"/>
    </row>
    <row r="25" spans="1:40" ht="41.45" customHeight="1" thickBot="1" x14ac:dyDescent="0.3">
      <c r="A25" s="268" t="s">
        <v>9</v>
      </c>
      <c r="B25" s="606"/>
      <c r="C25" s="616">
        <f t="shared" ref="C25:G25" si="9">SUM(C18:C24)</f>
        <v>87.399999999999991</v>
      </c>
      <c r="D25" s="616">
        <f t="shared" si="9"/>
        <v>96.699999999999989</v>
      </c>
      <c r="E25" s="616">
        <f t="shared" si="9"/>
        <v>8.5000000000000018</v>
      </c>
      <c r="F25" s="616">
        <f t="shared" si="9"/>
        <v>95.9</v>
      </c>
      <c r="G25" s="617">
        <f t="shared" si="9"/>
        <v>96.899999999999991</v>
      </c>
      <c r="H25" s="436"/>
      <c r="I25" s="618"/>
      <c r="J25" s="616">
        <f t="shared" ref="J25:N25" si="10">SUM(J18:J24)</f>
        <v>91.9</v>
      </c>
      <c r="K25" s="616">
        <f>SUM(K18:K24)</f>
        <v>95.199999999999989</v>
      </c>
      <c r="L25" s="616">
        <f t="shared" si="10"/>
        <v>8.8000000000000007</v>
      </c>
      <c r="M25" s="616">
        <f t="shared" si="10"/>
        <v>96.399999999999991</v>
      </c>
      <c r="N25" s="619">
        <f t="shared" si="10"/>
        <v>97.199999999999989</v>
      </c>
      <c r="O25" s="436"/>
      <c r="P25" s="618">
        <f t="shared" ref="P25:W25" si="11">SUM(P18:P24)</f>
        <v>495.9</v>
      </c>
      <c r="Q25" s="618">
        <f t="shared" si="11"/>
        <v>498</v>
      </c>
      <c r="R25" s="618">
        <f t="shared" si="11"/>
        <v>103.5</v>
      </c>
      <c r="S25" s="618">
        <f t="shared" si="11"/>
        <v>500.20000000000005</v>
      </c>
      <c r="T25" s="618">
        <f t="shared" si="11"/>
        <v>502.4</v>
      </c>
      <c r="U25" s="618">
        <f t="shared" si="11"/>
        <v>511.00000000000006</v>
      </c>
      <c r="V25" s="618">
        <f t="shared" si="11"/>
        <v>525.00000000000011</v>
      </c>
      <c r="W25" s="618">
        <f t="shared" si="11"/>
        <v>102.4</v>
      </c>
      <c r="X25" s="618">
        <f>SUM(X18:X24)</f>
        <v>522.79999999999995</v>
      </c>
      <c r="Y25" s="810">
        <f>SUM(Y18:Y24)</f>
        <v>531.5</v>
      </c>
      <c r="Z25" s="449">
        <f>SUM(Z18,Z19,Z20,Z21,Z22,Z23,Z24)</f>
        <v>9125.6000000000022</v>
      </c>
      <c r="AA25" s="301"/>
      <c r="AB25" s="920">
        <v>7</v>
      </c>
    </row>
    <row r="26" spans="1:40" s="2" customFormat="1" ht="36.75" customHeight="1" x14ac:dyDescent="0.25">
      <c r="A26" s="192" t="s">
        <v>11</v>
      </c>
      <c r="B26" s="808"/>
      <c r="C26" s="620">
        <v>155.6</v>
      </c>
      <c r="D26" s="620">
        <v>155.6</v>
      </c>
      <c r="E26" s="620">
        <v>155.6</v>
      </c>
      <c r="F26" s="620">
        <v>155.6</v>
      </c>
      <c r="G26" s="620">
        <v>155.6</v>
      </c>
      <c r="H26" s="809"/>
      <c r="I26" s="620"/>
      <c r="J26" s="620">
        <v>155.6</v>
      </c>
      <c r="K26" s="620">
        <v>155.6</v>
      </c>
      <c r="L26" s="620">
        <v>155.6</v>
      </c>
      <c r="M26" s="620">
        <v>155.6</v>
      </c>
      <c r="N26" s="620">
        <v>155.6</v>
      </c>
      <c r="O26" s="809"/>
      <c r="P26" s="620">
        <v>154</v>
      </c>
      <c r="Q26" s="620">
        <v>154</v>
      </c>
      <c r="R26" s="620">
        <v>154</v>
      </c>
      <c r="S26" s="620">
        <v>154</v>
      </c>
      <c r="T26" s="620">
        <v>154</v>
      </c>
      <c r="U26" s="620">
        <v>154</v>
      </c>
      <c r="V26" s="620">
        <v>154</v>
      </c>
      <c r="W26" s="620">
        <v>154</v>
      </c>
      <c r="X26" s="620">
        <v>154</v>
      </c>
      <c r="Y26" s="620">
        <v>154</v>
      </c>
      <c r="Z26" s="793">
        <f>(((Z25*1000)/7)/Z27)</f>
        <v>155.67914292538131</v>
      </c>
    </row>
    <row r="27" spans="1:40" s="2" customFormat="1" ht="33" customHeight="1" x14ac:dyDescent="0.25">
      <c r="A27" s="193" t="s">
        <v>12</v>
      </c>
      <c r="B27" s="193"/>
      <c r="C27" s="26">
        <v>498</v>
      </c>
      <c r="D27" s="27">
        <v>545</v>
      </c>
      <c r="E27" s="27">
        <v>52</v>
      </c>
      <c r="F27" s="27">
        <v>536</v>
      </c>
      <c r="G27" s="28">
        <v>542</v>
      </c>
      <c r="H27" s="611"/>
      <c r="I27" s="26"/>
      <c r="J27" s="27">
        <v>522</v>
      </c>
      <c r="K27" s="27">
        <v>544</v>
      </c>
      <c r="L27" s="483">
        <v>52</v>
      </c>
      <c r="M27" s="27">
        <v>550</v>
      </c>
      <c r="N27" s="28">
        <v>551</v>
      </c>
      <c r="O27" s="611"/>
      <c r="P27" s="26">
        <v>460</v>
      </c>
      <c r="Q27" s="27">
        <v>462</v>
      </c>
      <c r="R27" s="27">
        <v>96</v>
      </c>
      <c r="S27" s="27">
        <v>464</v>
      </c>
      <c r="T27" s="483">
        <v>466</v>
      </c>
      <c r="U27" s="26">
        <v>474</v>
      </c>
      <c r="V27" s="27">
        <v>487</v>
      </c>
      <c r="W27" s="27">
        <v>95</v>
      </c>
      <c r="X27" s="27">
        <v>485</v>
      </c>
      <c r="Y27" s="28">
        <v>493</v>
      </c>
      <c r="Z27" s="211">
        <f>SUM(C27:Y27)</f>
        <v>8374</v>
      </c>
      <c r="AA27" s="402"/>
    </row>
    <row r="28" spans="1:40" s="2" customFormat="1" ht="33" customHeight="1" x14ac:dyDescent="0.25">
      <c r="A28" s="444" t="s">
        <v>13</v>
      </c>
      <c r="B28" s="444"/>
      <c r="C28" s="30">
        <f>(C33*C27-C18-C19)/1000</f>
        <v>12.722999999999999</v>
      </c>
      <c r="D28" s="31">
        <f t="shared" ref="D28:G28" si="12">(D33*D27-D18-D19)/1000</f>
        <v>13.924299999999997</v>
      </c>
      <c r="E28" s="31">
        <f t="shared" si="12"/>
        <v>1.3285</v>
      </c>
      <c r="F28" s="31">
        <f t="shared" si="12"/>
        <v>13.693799999999998</v>
      </c>
      <c r="G28" s="32">
        <f t="shared" si="12"/>
        <v>13.847399999999999</v>
      </c>
      <c r="H28" s="612"/>
      <c r="I28" s="30"/>
      <c r="J28" s="30">
        <f>(J33*J27-J18-J19)/1000</f>
        <v>13.337299999999995</v>
      </c>
      <c r="K28" s="31">
        <f t="shared" ref="K28:N28" si="13">(K33*K27-K18-K19)/1000</f>
        <v>13.899199999999997</v>
      </c>
      <c r="L28" s="31">
        <f t="shared" si="13"/>
        <v>1.3286999999999998</v>
      </c>
      <c r="M28" s="31">
        <f t="shared" si="13"/>
        <v>14.052599999999996</v>
      </c>
      <c r="N28" s="32">
        <f t="shared" si="13"/>
        <v>14.077499999999997</v>
      </c>
      <c r="O28" s="612"/>
      <c r="P28" s="30">
        <f>((((P26*7)*P27)/1000-P18-P19)/5)</f>
        <v>70.635999999999996</v>
      </c>
      <c r="Q28" s="31">
        <f t="shared" ref="Q28:Y28" si="14">((((Q26*7)*Q27)/1000-Q18-Q19)/5)</f>
        <v>71.027199999999993</v>
      </c>
      <c r="R28" s="31">
        <f t="shared" si="14"/>
        <v>14.6976</v>
      </c>
      <c r="S28" s="31">
        <f t="shared" si="14"/>
        <v>71.358400000000003</v>
      </c>
      <c r="T28" s="31">
        <f t="shared" si="14"/>
        <v>71.549599999999998</v>
      </c>
      <c r="U28" s="30">
        <f t="shared" si="14"/>
        <v>72.794399999999996</v>
      </c>
      <c r="V28" s="31">
        <f t="shared" si="14"/>
        <v>74.8172</v>
      </c>
      <c r="W28" s="31">
        <f t="shared" si="14"/>
        <v>14.382</v>
      </c>
      <c r="X28" s="31">
        <f t="shared" si="14"/>
        <v>74.525999999999996</v>
      </c>
      <c r="Y28" s="32">
        <f t="shared" si="14"/>
        <v>75.930800000000005</v>
      </c>
      <c r="Z28" s="286">
        <f t="shared" ref="Z28" si="15">((((Z26*7)*Z27)/1000)/7)</f>
        <v>1303.6571428571431</v>
      </c>
    </row>
    <row r="29" spans="1:40" ht="33.75" customHeight="1" x14ac:dyDescent="0.25">
      <c r="A29" s="185" t="s">
        <v>14</v>
      </c>
      <c r="B29" s="185"/>
      <c r="C29" s="279">
        <f>((C27*C30)*7)/1000</f>
        <v>87.4</v>
      </c>
      <c r="D29" s="280">
        <f t="shared" ref="D29:G29" si="16">((D27*D30)*7)/1000</f>
        <v>96.7</v>
      </c>
      <c r="E29" s="280">
        <f>((E27*E30)*7)/1000</f>
        <v>8.5000000000000018</v>
      </c>
      <c r="F29" s="280">
        <f t="shared" si="16"/>
        <v>95.9</v>
      </c>
      <c r="G29" s="282">
        <f t="shared" si="16"/>
        <v>96.9</v>
      </c>
      <c r="H29" s="613"/>
      <c r="I29" s="279"/>
      <c r="J29" s="280">
        <f>((J27*J30)*7)/1000</f>
        <v>91.9</v>
      </c>
      <c r="K29" s="280">
        <f t="shared" ref="K29:N29" si="17">((K27*K30)*7)/1000</f>
        <v>95.199999999999989</v>
      </c>
      <c r="L29" s="280">
        <f t="shared" si="17"/>
        <v>8.8000000000000007</v>
      </c>
      <c r="M29" s="280">
        <f t="shared" si="17"/>
        <v>96.399999999999991</v>
      </c>
      <c r="N29" s="282">
        <f t="shared" si="17"/>
        <v>97.199999999999989</v>
      </c>
      <c r="O29" s="613"/>
      <c r="P29" s="279">
        <f t="shared" ref="P29:Z29" si="18">((P27*P26)*7)/1000</f>
        <v>495.88</v>
      </c>
      <c r="Q29" s="280">
        <f t="shared" si="18"/>
        <v>498.036</v>
      </c>
      <c r="R29" s="280">
        <f t="shared" si="18"/>
        <v>103.488</v>
      </c>
      <c r="S29" s="280">
        <f t="shared" si="18"/>
        <v>500.19200000000001</v>
      </c>
      <c r="T29" s="280">
        <f t="shared" si="18"/>
        <v>502.34800000000001</v>
      </c>
      <c r="U29" s="279">
        <f t="shared" si="18"/>
        <v>510.97199999999998</v>
      </c>
      <c r="V29" s="280">
        <f t="shared" si="18"/>
        <v>524.98599999999999</v>
      </c>
      <c r="W29" s="280">
        <f t="shared" si="18"/>
        <v>102.41</v>
      </c>
      <c r="X29" s="280">
        <f t="shared" si="18"/>
        <v>522.83000000000004</v>
      </c>
      <c r="Y29" s="282">
        <f t="shared" si="18"/>
        <v>531.45399999999995</v>
      </c>
      <c r="Z29" s="680">
        <f t="shared" si="18"/>
        <v>9125.6000000000022</v>
      </c>
    </row>
    <row r="30" spans="1:40" ht="33.75" customHeight="1" thickBot="1" x14ac:dyDescent="0.3">
      <c r="A30" s="195" t="s">
        <v>15</v>
      </c>
      <c r="B30" s="195"/>
      <c r="C30" s="37">
        <f>+(C25/C27)/7*1000</f>
        <v>25.071715433161216</v>
      </c>
      <c r="D30" s="38">
        <f t="shared" ref="D30:X30" si="19">+(D25/D27)/7*1000</f>
        <v>25.347313237221492</v>
      </c>
      <c r="E30" s="38">
        <f>+(E25/E27)/7*1000</f>
        <v>23.351648351648354</v>
      </c>
      <c r="F30" s="38">
        <f t="shared" si="19"/>
        <v>25.559701492537314</v>
      </c>
      <c r="G30" s="39">
        <f t="shared" si="19"/>
        <v>25.540326831839746</v>
      </c>
      <c r="H30" s="614"/>
      <c r="I30" s="37"/>
      <c r="J30" s="38">
        <f t="shared" si="19"/>
        <v>25.150519978106185</v>
      </c>
      <c r="K30" s="38">
        <f t="shared" si="19"/>
        <v>24.999999999999996</v>
      </c>
      <c r="L30" s="38">
        <f t="shared" si="19"/>
        <v>24.175824175824175</v>
      </c>
      <c r="M30" s="38">
        <f t="shared" si="19"/>
        <v>25.038961038961034</v>
      </c>
      <c r="N30" s="39">
        <f>+(N25/N27)/7*1000</f>
        <v>25.200933367902511</v>
      </c>
      <c r="O30" s="614"/>
      <c r="P30" s="37">
        <f t="shared" si="19"/>
        <v>154.00621118012421</v>
      </c>
      <c r="Q30" s="38">
        <f t="shared" si="19"/>
        <v>153.98886827458256</v>
      </c>
      <c r="R30" s="38">
        <f t="shared" si="19"/>
        <v>154.01785714285714</v>
      </c>
      <c r="S30" s="38">
        <f t="shared" si="19"/>
        <v>154.00246305418722</v>
      </c>
      <c r="T30" s="38">
        <f t="shared" si="19"/>
        <v>154.01594114040466</v>
      </c>
      <c r="U30" s="37">
        <f t="shared" si="19"/>
        <v>154.00843881856539</v>
      </c>
      <c r="V30" s="38">
        <f t="shared" si="19"/>
        <v>154.00410677618072</v>
      </c>
      <c r="W30" s="38">
        <f t="shared" si="19"/>
        <v>153.98496240601503</v>
      </c>
      <c r="X30" s="38">
        <f t="shared" si="19"/>
        <v>153.99116347569955</v>
      </c>
      <c r="Y30" s="39">
        <f>+(Y25/Y27)/7*1000</f>
        <v>154.01332946971894</v>
      </c>
      <c r="Z30" s="262">
        <f>+(Z25/Z27)/7*1000</f>
        <v>155.67914292538129</v>
      </c>
    </row>
    <row r="31" spans="1:40" ht="33.75" customHeight="1" x14ac:dyDescent="0.25">
      <c r="A31" s="41"/>
      <c r="B31" s="41"/>
      <c r="C31" s="42">
        <f>C29-C25</f>
        <v>0</v>
      </c>
      <c r="D31" s="42">
        <f t="shared" ref="D31:X32" si="20">D29-D25</f>
        <v>0</v>
      </c>
      <c r="E31" s="42">
        <f t="shared" si="20"/>
        <v>0</v>
      </c>
      <c r="F31" s="42">
        <f t="shared" si="20"/>
        <v>0</v>
      </c>
      <c r="G31" s="42">
        <f t="shared" si="20"/>
        <v>0</v>
      </c>
      <c r="H31" s="42"/>
      <c r="I31" s="42"/>
      <c r="J31" s="42">
        <f>J29-J25</f>
        <v>0</v>
      </c>
      <c r="K31" s="42">
        <f t="shared" ref="K31:N31" si="21">K29-K25</f>
        <v>0</v>
      </c>
      <c r="L31" s="42">
        <f t="shared" si="21"/>
        <v>0</v>
      </c>
      <c r="M31" s="42">
        <f t="shared" si="21"/>
        <v>0</v>
      </c>
      <c r="N31" s="42">
        <f t="shared" si="21"/>
        <v>0</v>
      </c>
      <c r="O31" s="42"/>
      <c r="P31" s="878">
        <f>P29-P25</f>
        <v>-1.999999999998181E-2</v>
      </c>
      <c r="Q31" s="878">
        <f>Q29-Q25</f>
        <v>3.6000000000001364E-2</v>
      </c>
      <c r="R31" s="878">
        <f t="shared" si="20"/>
        <v>-1.2000000000000455E-2</v>
      </c>
      <c r="S31" s="878">
        <f t="shared" si="20"/>
        <v>-8.0000000000381988E-3</v>
      </c>
      <c r="T31" s="878">
        <f t="shared" si="20"/>
        <v>-5.1999999999964075E-2</v>
      </c>
      <c r="U31" s="878">
        <f>U29-U25</f>
        <v>-2.8000000000076852E-2</v>
      </c>
      <c r="V31" s="878">
        <f t="shared" si="20"/>
        <v>-1.4000000000123691E-2</v>
      </c>
      <c r="W31" s="878">
        <f t="shared" si="20"/>
        <v>9.9999999999909051E-3</v>
      </c>
      <c r="X31" s="878">
        <f t="shared" si="20"/>
        <v>3.0000000000086402E-2</v>
      </c>
      <c r="Y31" s="878">
        <f>Y29-Y25</f>
        <v>-4.6000000000049113E-2</v>
      </c>
      <c r="Z31" s="42">
        <f>Z29-Z25</f>
        <v>0</v>
      </c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878">
        <f>C33-C30</f>
        <v>0.52828456683877789</v>
      </c>
      <c r="D32" s="878">
        <f t="shared" ref="D32:G32" si="22">D33-D30</f>
        <v>0.25268676277850233</v>
      </c>
      <c r="E32" s="878">
        <f t="shared" si="22"/>
        <v>2.2483516483516404</v>
      </c>
      <c r="F32" s="878">
        <f t="shared" si="22"/>
        <v>4.0298507462679822E-2</v>
      </c>
      <c r="G32" s="878">
        <f t="shared" si="22"/>
        <v>5.967316816024848E-2</v>
      </c>
      <c r="H32" s="878"/>
      <c r="I32" s="878"/>
      <c r="J32" s="878">
        <f>J33-J30</f>
        <v>0.44948002189380887</v>
      </c>
      <c r="K32" s="878">
        <f t="shared" ref="K32:N32" si="23">K33-K30</f>
        <v>0.59999999999999787</v>
      </c>
      <c r="L32" s="878">
        <f t="shared" si="23"/>
        <v>1.4241758241758191</v>
      </c>
      <c r="M32" s="878">
        <f t="shared" si="23"/>
        <v>0.56103896103896034</v>
      </c>
      <c r="N32" s="878">
        <f t="shared" si="23"/>
        <v>0.39906663209748316</v>
      </c>
      <c r="O32" s="878"/>
      <c r="P32" s="42">
        <f>P30-P26</f>
        <v>6.2111801242110687E-3</v>
      </c>
      <c r="Q32" s="42">
        <f>Q30-Q26</f>
        <v>-1.113172541744234E-2</v>
      </c>
      <c r="R32" s="42">
        <f t="shared" si="20"/>
        <v>1.7857142857138797E-2</v>
      </c>
      <c r="S32" s="42">
        <f t="shared" si="20"/>
        <v>2.4630541872170397E-3</v>
      </c>
      <c r="T32" s="42">
        <f t="shared" si="20"/>
        <v>1.5941140404663656E-2</v>
      </c>
      <c r="U32" s="42">
        <f>U30-U26</f>
        <v>8.4388185653949677E-3</v>
      </c>
      <c r="V32" s="42">
        <f t="shared" si="20"/>
        <v>4.1067761807198622E-3</v>
      </c>
      <c r="W32" s="42">
        <f t="shared" si="20"/>
        <v>-1.5037593984970954E-2</v>
      </c>
      <c r="X32" s="42">
        <f t="shared" si="20"/>
        <v>-8.8365243004489002E-3</v>
      </c>
      <c r="Y32" s="42">
        <f>Y30-Y26</f>
        <v>1.332946971893989E-2</v>
      </c>
      <c r="Z32" s="42">
        <f t="shared" ref="Z32" si="24">Z30-Z26</f>
        <v>0</v>
      </c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25.599999999999994</v>
      </c>
      <c r="D33" s="42">
        <f t="shared" ref="D33:G33" si="25">D26-$B$34</f>
        <v>25.599999999999994</v>
      </c>
      <c r="E33" s="42">
        <f>E26-$B$34</f>
        <v>25.599999999999994</v>
      </c>
      <c r="F33" s="42">
        <f t="shared" si="25"/>
        <v>25.599999999999994</v>
      </c>
      <c r="G33" s="42">
        <f t="shared" si="25"/>
        <v>25.599999999999994</v>
      </c>
      <c r="H33" s="42"/>
      <c r="I33" s="42"/>
      <c r="J33" s="42">
        <f>J26-$I$34</f>
        <v>25.599999999999994</v>
      </c>
      <c r="K33" s="42">
        <f t="shared" ref="K33:L33" si="26">K26-$I$34</f>
        <v>25.599999999999994</v>
      </c>
      <c r="L33" s="42">
        <f t="shared" si="26"/>
        <v>25.599999999999994</v>
      </c>
      <c r="M33" s="42">
        <f>M26-$I$34</f>
        <v>25.599999999999994</v>
      </c>
      <c r="N33" s="42">
        <f>N26-$I$34</f>
        <v>25.599999999999994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282.49</v>
      </c>
      <c r="D34" s="432">
        <f>SUM(C27:G27)</f>
        <v>2173</v>
      </c>
      <c r="E34" s="42"/>
      <c r="F34" s="42"/>
      <c r="G34" s="42"/>
      <c r="H34" s="42"/>
      <c r="I34" s="514">
        <v>130</v>
      </c>
      <c r="J34" s="431">
        <f>(I34*K34)/1000</f>
        <v>288.47000000000003</v>
      </c>
      <c r="K34" s="432">
        <f>SUM(J27:N27)</f>
        <v>2219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977" t="s">
        <v>9</v>
      </c>
      <c r="T39" s="645"/>
      <c r="V39" s="45"/>
      <c r="W39" s="45"/>
      <c r="X39" s="46"/>
      <c r="Y39" s="3"/>
      <c r="Z39" s="45"/>
      <c r="AA39" s="45"/>
      <c r="AB39" s="45"/>
      <c r="AC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204">
        <v>5</v>
      </c>
      <c r="R40" s="984"/>
      <c r="T40" s="645"/>
      <c r="V40" s="47"/>
      <c r="Y40" s="48"/>
      <c r="Z40" s="2"/>
      <c r="AA40" s="2"/>
      <c r="AB40" s="2"/>
      <c r="AC40" s="2"/>
    </row>
    <row r="41" spans="1:38" ht="33.75" customHeight="1" x14ac:dyDescent="0.25">
      <c r="A41" s="171" t="s">
        <v>32</v>
      </c>
      <c r="B41" s="910">
        <v>77.400000000000006</v>
      </c>
      <c r="C41" s="904">
        <v>76.8</v>
      </c>
      <c r="D41" s="904">
        <v>4.9000000000000004</v>
      </c>
      <c r="E41" s="904">
        <v>81.900000000000006</v>
      </c>
      <c r="F41" s="911">
        <v>78.7</v>
      </c>
      <c r="G41" s="638">
        <f t="shared" ref="G41:G48" si="27">SUM(B41:F41)</f>
        <v>319.7</v>
      </c>
      <c r="H41" s="364"/>
      <c r="I41" s="364"/>
      <c r="J41" s="364"/>
      <c r="K41" s="364"/>
      <c r="L41" s="171" t="s">
        <v>53</v>
      </c>
      <c r="M41" s="142">
        <v>6.8</v>
      </c>
      <c r="N41" s="486">
        <v>6.5</v>
      </c>
      <c r="O41" s="486">
        <v>0.7</v>
      </c>
      <c r="P41" s="486">
        <v>6.9</v>
      </c>
      <c r="Q41" s="537">
        <v>6.7</v>
      </c>
      <c r="R41" s="800">
        <f>SUM(M41:Q41)</f>
        <v>27.599999999999998</v>
      </c>
      <c r="T41" s="646"/>
      <c r="U41" s="675"/>
      <c r="V41" s="657"/>
      <c r="Y41" s="48"/>
      <c r="Z41" s="2"/>
      <c r="AA41" s="2"/>
      <c r="AB41" s="2"/>
      <c r="AC41" s="2"/>
    </row>
    <row r="42" spans="1:38" ht="33.75" customHeight="1" x14ac:dyDescent="0.25">
      <c r="A42" s="171" t="s">
        <v>24</v>
      </c>
      <c r="B42" s="912">
        <v>77.3</v>
      </c>
      <c r="C42" s="895">
        <v>76.7</v>
      </c>
      <c r="D42" s="904">
        <v>6.1</v>
      </c>
      <c r="E42" s="895">
        <v>82.3</v>
      </c>
      <c r="F42" s="911">
        <v>78.8</v>
      </c>
      <c r="G42" s="638">
        <f t="shared" si="27"/>
        <v>321.2</v>
      </c>
      <c r="H42" s="364"/>
      <c r="I42" s="364"/>
      <c r="J42" s="364"/>
      <c r="K42" s="364"/>
      <c r="L42" s="171" t="s">
        <v>24</v>
      </c>
      <c r="M42" s="142">
        <v>6.6</v>
      </c>
      <c r="N42" s="486">
        <v>6.4</v>
      </c>
      <c r="O42" s="486">
        <v>0.6</v>
      </c>
      <c r="P42" s="486">
        <v>6.7</v>
      </c>
      <c r="Q42" s="537">
        <v>6.5</v>
      </c>
      <c r="R42" s="638">
        <f t="shared" ref="R42:R47" si="28">SUM(M42:Q42)</f>
        <v>26.8</v>
      </c>
      <c r="T42" s="646"/>
      <c r="U42" s="647"/>
      <c r="V42" s="658"/>
      <c r="Y42" s="48"/>
      <c r="Z42" s="2"/>
      <c r="AA42" s="2"/>
      <c r="AB42" s="2"/>
      <c r="AC42" s="2"/>
    </row>
    <row r="43" spans="1:38" ht="33.75" customHeight="1" x14ac:dyDescent="0.25">
      <c r="A43" s="171" t="s">
        <v>20</v>
      </c>
      <c r="B43" s="142">
        <v>77.3</v>
      </c>
      <c r="C43" s="922">
        <v>76.7</v>
      </c>
      <c r="D43" s="486">
        <v>6</v>
      </c>
      <c r="E43" s="431">
        <v>82.3</v>
      </c>
      <c r="F43" s="537">
        <v>78.8</v>
      </c>
      <c r="G43" s="638">
        <f>SUM(B43:F43)</f>
        <v>321.10000000000002</v>
      </c>
      <c r="H43" s="364"/>
      <c r="I43" s="364"/>
      <c r="J43" s="364"/>
      <c r="K43" s="364"/>
      <c r="L43" s="171" t="s">
        <v>20</v>
      </c>
      <c r="M43" s="142">
        <v>6.6</v>
      </c>
      <c r="N43" s="486">
        <v>6.4</v>
      </c>
      <c r="O43" s="486">
        <v>0.6</v>
      </c>
      <c r="P43" s="486">
        <v>6.7</v>
      </c>
      <c r="Q43" s="537">
        <v>6.6</v>
      </c>
      <c r="R43" s="638">
        <f t="shared" si="28"/>
        <v>26.9</v>
      </c>
      <c r="T43" s="646"/>
      <c r="U43" s="647"/>
      <c r="V43" s="658"/>
      <c r="Y43" s="48"/>
      <c r="Z43" s="2"/>
      <c r="AA43" s="2"/>
      <c r="AB43" s="2"/>
      <c r="AC43" s="2"/>
    </row>
    <row r="44" spans="1:38" ht="33.75" customHeight="1" x14ac:dyDescent="0.25">
      <c r="A44" s="171" t="s">
        <v>28</v>
      </c>
      <c r="B44" s="142">
        <v>77.3</v>
      </c>
      <c r="C44" s="486">
        <v>76.400000000000006</v>
      </c>
      <c r="D44" s="486">
        <v>6</v>
      </c>
      <c r="E44" s="486">
        <v>82.2</v>
      </c>
      <c r="F44" s="537">
        <v>78.8</v>
      </c>
      <c r="G44" s="638">
        <f t="shared" si="27"/>
        <v>320.7</v>
      </c>
      <c r="H44" s="651"/>
      <c r="I44" s="364"/>
      <c r="J44" s="364"/>
      <c r="K44" s="364"/>
      <c r="L44" s="171" t="s">
        <v>28</v>
      </c>
      <c r="M44" s="142">
        <v>6.7</v>
      </c>
      <c r="N44" s="486">
        <v>6.4</v>
      </c>
      <c r="O44" s="486">
        <v>0.6</v>
      </c>
      <c r="P44" s="486">
        <v>6.8</v>
      </c>
      <c r="Q44" s="537">
        <v>6.6</v>
      </c>
      <c r="R44" s="638">
        <f t="shared" si="28"/>
        <v>27.1</v>
      </c>
      <c r="T44" s="646"/>
      <c r="U44" s="647"/>
      <c r="V44" s="658"/>
      <c r="Y44" s="48"/>
      <c r="Z44" s="2"/>
      <c r="AA44" s="2"/>
      <c r="AB44" s="2"/>
      <c r="AC44" s="2"/>
    </row>
    <row r="45" spans="1:38" ht="33.75" customHeight="1" x14ac:dyDescent="0.25">
      <c r="A45" s="171" t="s">
        <v>21</v>
      </c>
      <c r="B45" s="142">
        <v>77.3</v>
      </c>
      <c r="C45" s="431">
        <v>76.400000000000006</v>
      </c>
      <c r="D45" s="486">
        <v>6</v>
      </c>
      <c r="E45" s="486">
        <v>82.2</v>
      </c>
      <c r="F45" s="537">
        <v>78.8</v>
      </c>
      <c r="G45" s="638">
        <f t="shared" si="27"/>
        <v>320.7</v>
      </c>
      <c r="H45" s="651"/>
      <c r="I45" s="364"/>
      <c r="J45" s="364"/>
      <c r="K45" s="364"/>
      <c r="L45" s="171" t="s">
        <v>21</v>
      </c>
      <c r="M45" s="142">
        <v>6.7</v>
      </c>
      <c r="N45" s="486">
        <v>6.5</v>
      </c>
      <c r="O45" s="486">
        <v>0.6</v>
      </c>
      <c r="P45" s="486">
        <v>6.8</v>
      </c>
      <c r="Q45" s="537">
        <v>6.6</v>
      </c>
      <c r="R45" s="638">
        <f t="shared" si="28"/>
        <v>27.199999999999996</v>
      </c>
      <c r="T45" s="646"/>
      <c r="U45" s="647"/>
      <c r="V45" s="658"/>
      <c r="Y45" s="48"/>
      <c r="Z45" s="2"/>
      <c r="AA45" s="2"/>
      <c r="AB45" s="2"/>
      <c r="AC45" s="2"/>
    </row>
    <row r="46" spans="1:38" ht="33.75" customHeight="1" x14ac:dyDescent="0.25">
      <c r="A46" s="171" t="s">
        <v>22</v>
      </c>
      <c r="B46" s="142">
        <v>77.3</v>
      </c>
      <c r="C46" s="486">
        <v>76.3</v>
      </c>
      <c r="D46" s="486">
        <v>6</v>
      </c>
      <c r="E46" s="431">
        <v>82.2</v>
      </c>
      <c r="F46" s="533">
        <v>78.8</v>
      </c>
      <c r="G46" s="509">
        <f t="shared" si="27"/>
        <v>320.60000000000002</v>
      </c>
      <c r="H46" s="651"/>
      <c r="I46" s="364"/>
      <c r="J46" s="364"/>
      <c r="K46" s="364"/>
      <c r="L46" s="171" t="s">
        <v>22</v>
      </c>
      <c r="M46" s="142">
        <v>6.7</v>
      </c>
      <c r="N46" s="486">
        <v>6.5</v>
      </c>
      <c r="O46" s="486">
        <v>0.7</v>
      </c>
      <c r="P46" s="486">
        <v>6.8</v>
      </c>
      <c r="Q46" s="537">
        <v>6.6</v>
      </c>
      <c r="R46" s="638">
        <f t="shared" si="28"/>
        <v>27.299999999999997</v>
      </c>
      <c r="T46" s="646"/>
      <c r="U46" s="647"/>
      <c r="V46" s="658"/>
      <c r="Y46" s="48"/>
      <c r="Z46" s="2"/>
      <c r="AA46" s="2"/>
      <c r="AB46" s="2"/>
      <c r="AC46" s="2"/>
    </row>
    <row r="47" spans="1:38" ht="33.75" customHeight="1" thickBot="1" x14ac:dyDescent="0.3">
      <c r="A47" s="285" t="s">
        <v>23</v>
      </c>
      <c r="B47" s="142">
        <v>76.599999999999994</v>
      </c>
      <c r="C47" s="486">
        <v>73.7</v>
      </c>
      <c r="D47" s="486">
        <v>6</v>
      </c>
      <c r="E47" s="486">
        <v>77.3</v>
      </c>
      <c r="F47" s="537">
        <v>77.400000000000006</v>
      </c>
      <c r="G47" s="376">
        <f t="shared" si="27"/>
        <v>311</v>
      </c>
      <c r="H47" s="651"/>
      <c r="I47" s="364"/>
      <c r="J47" s="364"/>
      <c r="K47" s="364"/>
      <c r="L47" s="285" t="s">
        <v>23</v>
      </c>
      <c r="M47" s="142">
        <v>6.7</v>
      </c>
      <c r="N47" s="486">
        <v>6.5</v>
      </c>
      <c r="O47" s="486">
        <v>0.7</v>
      </c>
      <c r="P47" s="486">
        <v>6.8</v>
      </c>
      <c r="Q47" s="537">
        <v>6.6</v>
      </c>
      <c r="R47" s="376">
        <f t="shared" si="28"/>
        <v>27.299999999999997</v>
      </c>
      <c r="T47" s="646"/>
      <c r="U47" s="647"/>
      <c r="V47" s="658"/>
      <c r="Y47" s="48"/>
      <c r="Z47" s="48"/>
      <c r="AA47" s="48"/>
      <c r="AB47" s="2"/>
      <c r="AC47" s="2"/>
      <c r="AD47" s="2"/>
      <c r="AE47" s="2"/>
    </row>
    <row r="48" spans="1:38" ht="33.75" customHeight="1" thickBot="1" x14ac:dyDescent="0.3">
      <c r="A48" s="290" t="s">
        <v>9</v>
      </c>
      <c r="B48" s="297">
        <f>SUM(B41:B47)</f>
        <v>540.5</v>
      </c>
      <c r="C48" s="298">
        <f t="shared" ref="C48:F48" si="29">SUM(C41:C47)</f>
        <v>533</v>
      </c>
      <c r="D48" s="298">
        <f t="shared" si="29"/>
        <v>41</v>
      </c>
      <c r="E48" s="298">
        <f t="shared" si="29"/>
        <v>570.4</v>
      </c>
      <c r="F48" s="448">
        <f t="shared" si="29"/>
        <v>550.1</v>
      </c>
      <c r="G48" s="729">
        <f t="shared" si="27"/>
        <v>2235</v>
      </c>
      <c r="H48" s="364"/>
      <c r="I48" s="364"/>
      <c r="J48" s="364"/>
      <c r="K48" s="364"/>
      <c r="L48" s="290" t="s">
        <v>9</v>
      </c>
      <c r="M48" s="763">
        <f>SUM(M41:M47)</f>
        <v>46.800000000000004</v>
      </c>
      <c r="N48" s="764">
        <f>SUM(N41:N47)</f>
        <v>45.2</v>
      </c>
      <c r="O48" s="764">
        <f>SUM(O41:O47)</f>
        <v>4.5</v>
      </c>
      <c r="P48" s="764">
        <f t="shared" ref="P48:Q48" si="30">SUM(P41:P47)</f>
        <v>47.499999999999993</v>
      </c>
      <c r="Q48" s="765">
        <f t="shared" si="30"/>
        <v>46.2</v>
      </c>
      <c r="R48" s="815">
        <f>SUM(M48:Q48)</f>
        <v>190.2</v>
      </c>
      <c r="T48" s="647"/>
      <c r="U48" s="647"/>
      <c r="V48" s="658"/>
      <c r="Y48" s="2"/>
      <c r="Z48" s="2"/>
      <c r="AA48" s="2"/>
      <c r="AB48" s="2"/>
      <c r="AC48" s="2"/>
      <c r="AD48" s="2"/>
      <c r="AE48" s="2"/>
    </row>
    <row r="49" spans="1:50" ht="33.75" customHeight="1" x14ac:dyDescent="0.25">
      <c r="A49" s="192" t="s">
        <v>11</v>
      </c>
      <c r="B49" s="751">
        <v>152.30000000000001</v>
      </c>
      <c r="C49" s="751">
        <v>152.30000000000001</v>
      </c>
      <c r="D49" s="751">
        <v>152.30000000000001</v>
      </c>
      <c r="E49" s="751">
        <v>152.30000000000001</v>
      </c>
      <c r="F49" s="751">
        <v>152.30000000000001</v>
      </c>
      <c r="G49" s="730">
        <f>+((G48/G50)/7)*1000</f>
        <v>152.76828434723171</v>
      </c>
      <c r="H49" s="609"/>
      <c r="I49" s="364"/>
      <c r="J49" s="364"/>
      <c r="K49" s="364"/>
      <c r="L49" s="273" t="s">
        <v>11</v>
      </c>
      <c r="M49" s="357">
        <v>163</v>
      </c>
      <c r="N49" s="358">
        <v>161.5</v>
      </c>
      <c r="O49" s="358">
        <v>162</v>
      </c>
      <c r="P49" s="358">
        <v>161.5</v>
      </c>
      <c r="Q49" s="624">
        <v>161</v>
      </c>
      <c r="R49" s="730">
        <f>+((R48/R50)/7)*1000</f>
        <v>161.73469387755102</v>
      </c>
      <c r="T49" s="648"/>
      <c r="U49" s="647"/>
      <c r="V49" s="658"/>
      <c r="W49" s="50"/>
    </row>
    <row r="50" spans="1:50" ht="33.75" customHeight="1" x14ac:dyDescent="0.25">
      <c r="A50" s="193" t="s">
        <v>12</v>
      </c>
      <c r="B50" s="26">
        <v>507</v>
      </c>
      <c r="C50" s="27">
        <v>500</v>
      </c>
      <c r="D50" s="27">
        <v>32</v>
      </c>
      <c r="E50" s="27">
        <v>535</v>
      </c>
      <c r="F50" s="183">
        <v>516</v>
      </c>
      <c r="G50" s="731">
        <f>SUM(B50:F50)</f>
        <v>2090</v>
      </c>
      <c r="H50" s="609"/>
      <c r="I50" s="364"/>
      <c r="J50" s="364"/>
      <c r="K50" s="364"/>
      <c r="L50" s="193" t="s">
        <v>12</v>
      </c>
      <c r="M50" s="257">
        <v>41</v>
      </c>
      <c r="N50" s="275">
        <v>40</v>
      </c>
      <c r="O50" s="275">
        <v>4</v>
      </c>
      <c r="P50" s="275">
        <v>42</v>
      </c>
      <c r="Q50" s="276">
        <v>41</v>
      </c>
      <c r="R50" s="233">
        <f>SUM(M50:Q50)</f>
        <v>168</v>
      </c>
      <c r="T50" s="649"/>
      <c r="U50" s="301"/>
      <c r="V50" s="52"/>
      <c r="W50" s="52"/>
    </row>
    <row r="51" spans="1:50" ht="33.75" customHeight="1" x14ac:dyDescent="0.25">
      <c r="A51" s="194" t="s">
        <v>13</v>
      </c>
      <c r="B51" s="30">
        <f>((((B49*7)*B50)/1000-B41-B42)/5)</f>
        <v>77.162540000000021</v>
      </c>
      <c r="C51" s="30">
        <f t="shared" ref="C51:F51" si="31">((((C49*7)*C50)/1000-C41-C42)/5)</f>
        <v>75.910000000000011</v>
      </c>
      <c r="D51" s="30">
        <f t="shared" si="31"/>
        <v>4.6230400000000005</v>
      </c>
      <c r="E51" s="30">
        <f t="shared" si="31"/>
        <v>81.232700000000037</v>
      </c>
      <c r="F51" s="30">
        <f t="shared" si="31"/>
        <v>78.52152000000001</v>
      </c>
      <c r="G51" s="732">
        <f>((G48*1000)/G50)/7</f>
        <v>152.76828434723171</v>
      </c>
      <c r="H51" s="609"/>
      <c r="I51" s="364"/>
      <c r="J51" s="364"/>
      <c r="K51" s="364"/>
      <c r="L51" s="194" t="s">
        <v>13</v>
      </c>
      <c r="M51" s="30">
        <f>((((M49*7)*M50)/1000-M41-M42)/5)</f>
        <v>6.6761999999999997</v>
      </c>
      <c r="N51" s="30">
        <f t="shared" ref="N51:Q51" si="32">((((N49*7)*N50)/1000-N41-N42)/5)</f>
        <v>6.4640000000000004</v>
      </c>
      <c r="O51" s="30">
        <f t="shared" si="32"/>
        <v>0.64719999999999989</v>
      </c>
      <c r="P51" s="30">
        <f t="shared" si="32"/>
        <v>6.7762000000000002</v>
      </c>
      <c r="Q51" s="30">
        <f t="shared" si="32"/>
        <v>6.6013999999999999</v>
      </c>
      <c r="R51" s="234">
        <f>((R48*1000)/R50)/7</f>
        <v>161.73469387755102</v>
      </c>
      <c r="T51" s="650"/>
      <c r="U51" s="301"/>
      <c r="V51" s="52"/>
      <c r="W51" s="52"/>
    </row>
    <row r="52" spans="1:50" ht="33.75" customHeight="1" x14ac:dyDescent="0.25">
      <c r="A52" s="185" t="s">
        <v>14</v>
      </c>
      <c r="B52" s="279">
        <f>((B50*B49)*7)/1000</f>
        <v>540.51270000000011</v>
      </c>
      <c r="C52" s="280">
        <f>((C50*C49)*7)/1000</f>
        <v>533.04999999999995</v>
      </c>
      <c r="D52" s="280">
        <f>((D50*D49)*7)/1000</f>
        <v>34.115200000000002</v>
      </c>
      <c r="E52" s="280">
        <f>((E50*E49)*7)/1000</f>
        <v>570.36350000000004</v>
      </c>
      <c r="F52" s="281">
        <f>((F50*F49)*7)/1000</f>
        <v>550.10759999999993</v>
      </c>
      <c r="G52" s="73"/>
      <c r="H52" s="609"/>
      <c r="I52" s="364"/>
      <c r="J52" s="364"/>
      <c r="K52" s="364"/>
      <c r="L52" s="185" t="s">
        <v>14</v>
      </c>
      <c r="M52" s="279">
        <f>((M50*M49)*7)/1000</f>
        <v>46.780999999999999</v>
      </c>
      <c r="N52" s="280">
        <f>((N50*N49)*7)/1000</f>
        <v>45.22</v>
      </c>
      <c r="O52" s="280">
        <f>((O50*O49)*7)/1000</f>
        <v>4.5359999999999996</v>
      </c>
      <c r="P52" s="280">
        <f t="shared" ref="P52" si="33">((P50*P49)*7)/1000</f>
        <v>47.481000000000002</v>
      </c>
      <c r="Q52" s="282">
        <f>((Q50*Q49)*7)/1000</f>
        <v>46.207000000000001</v>
      </c>
      <c r="R52" s="282">
        <f>((R50*R49)*7)/1000</f>
        <v>190.2</v>
      </c>
      <c r="T52" s="522"/>
    </row>
    <row r="53" spans="1:50" ht="33.75" customHeight="1" thickBot="1" x14ac:dyDescent="0.3">
      <c r="A53" s="195" t="s">
        <v>15</v>
      </c>
      <c r="B53" s="37">
        <f>+(B48/B50)/7*1000</f>
        <v>152.29642152719074</v>
      </c>
      <c r="C53" s="38">
        <f t="shared" ref="C53:E53" si="34">+(C48/C50)/7*1000</f>
        <v>152.28571428571431</v>
      </c>
      <c r="D53" s="38">
        <f t="shared" si="34"/>
        <v>183.03571428571428</v>
      </c>
      <c r="E53" s="38">
        <f t="shared" si="34"/>
        <v>152.30974632843791</v>
      </c>
      <c r="F53" s="207">
        <f>+(F48/F50)/7*1000</f>
        <v>152.29789590254708</v>
      </c>
      <c r="G53" s="74"/>
      <c r="H53" s="609"/>
      <c r="I53" s="364"/>
      <c r="J53" s="364"/>
      <c r="K53" s="364"/>
      <c r="L53" s="195" t="s">
        <v>15</v>
      </c>
      <c r="M53" s="37">
        <f>+(M48/M50)/7*1000</f>
        <v>163.06620209059236</v>
      </c>
      <c r="N53" s="38">
        <f>+(N48/N50)/7*1000</f>
        <v>161.42857142857144</v>
      </c>
      <c r="O53" s="38">
        <f>+(O48/O50)/7*1000</f>
        <v>160.71428571428572</v>
      </c>
      <c r="P53" s="38">
        <f t="shared" ref="P53:R53" si="35">+(P48/P50)/7*1000</f>
        <v>161.56462585034009</v>
      </c>
      <c r="Q53" s="39">
        <f t="shared" si="35"/>
        <v>160.97560975609755</v>
      </c>
      <c r="R53" s="39">
        <f t="shared" si="35"/>
        <v>161.73469387755102</v>
      </c>
      <c r="T53" s="651"/>
      <c r="V53" s="42"/>
      <c r="W53" s="42"/>
    </row>
    <row r="54" spans="1:50" ht="33.75" customHeight="1" x14ac:dyDescent="0.25">
      <c r="A54" s="41"/>
      <c r="B54" s="316">
        <f>B52-B48</f>
        <v>1.2700000000108957E-2</v>
      </c>
      <c r="C54" s="316">
        <f t="shared" ref="C54:D55" si="36">C52-C48</f>
        <v>4.9999999999954525E-2</v>
      </c>
      <c r="D54" s="316">
        <f t="shared" si="36"/>
        <v>-6.8847999999999985</v>
      </c>
      <c r="E54" s="316">
        <f>E52-E48</f>
        <v>-3.6499999999932697E-2</v>
      </c>
      <c r="F54" s="316">
        <f>F52-F48</f>
        <v>7.5999999999112333E-3</v>
      </c>
      <c r="G54" s="41"/>
      <c r="H54" s="41"/>
      <c r="I54" s="41"/>
      <c r="J54" s="41"/>
      <c r="K54" s="41"/>
      <c r="L54" s="42"/>
      <c r="M54" s="878">
        <f>M52-M48</f>
        <v>-1.9000000000005457E-2</v>
      </c>
      <c r="N54" s="878">
        <f>N52-N48</f>
        <v>1.9999999999996021E-2</v>
      </c>
      <c r="O54" s="878">
        <f t="shared" ref="N54:R55" si="37">O52-O48</f>
        <v>3.5999999999999588E-2</v>
      </c>
      <c r="P54" s="878">
        <f t="shared" si="37"/>
        <v>-1.8999999999991246E-2</v>
      </c>
      <c r="Q54" s="878">
        <f t="shared" si="37"/>
        <v>6.9999999999978968E-3</v>
      </c>
      <c r="R54" s="42">
        <f>R52-R48</f>
        <v>0</v>
      </c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-3.5784728092664864E-3</v>
      </c>
      <c r="C55" s="42">
        <f>C53-C49</f>
        <v>-1.4285714285705353E-2</v>
      </c>
      <c r="D55" s="42">
        <f t="shared" si="36"/>
        <v>30.735714285714266</v>
      </c>
      <c r="E55" s="316">
        <f>E53-E49</f>
        <v>9.7463284378989101E-3</v>
      </c>
      <c r="F55" s="42">
        <f>F53-F49</f>
        <v>-2.1040974529284995E-3</v>
      </c>
      <c r="G55" s="41"/>
      <c r="H55" s="41"/>
      <c r="I55" s="41"/>
      <c r="J55" s="41"/>
      <c r="K55" s="42"/>
      <c r="L55" s="42"/>
      <c r="M55" s="42">
        <f>M53-M49</f>
        <v>6.6202090592355489E-2</v>
      </c>
      <c r="N55" s="42">
        <f t="shared" si="37"/>
        <v>-7.1428571428555188E-2</v>
      </c>
      <c r="O55" s="42">
        <f>O53-O49</f>
        <v>-1.2857142857142776</v>
      </c>
      <c r="P55" s="42">
        <f>P53-P49</f>
        <v>6.4625850340092938E-2</v>
      </c>
      <c r="Q55" s="42">
        <f t="shared" si="37"/>
        <v>-2.4390243902445263E-2</v>
      </c>
      <c r="R55" s="42">
        <f t="shared" si="37"/>
        <v>0</v>
      </c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890"/>
      <c r="I57" s="890"/>
      <c r="J57" s="890"/>
      <c r="K57" s="890"/>
      <c r="L57" s="890"/>
      <c r="M57" s="283"/>
      <c r="N57" s="283"/>
      <c r="O57" s="283"/>
      <c r="P57" s="283"/>
      <c r="Q57" s="283"/>
      <c r="R57" s="283"/>
      <c r="S57" s="283"/>
      <c r="T57" s="890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99" t="s">
        <v>30</v>
      </c>
      <c r="H58" s="1000"/>
      <c r="I58" s="1000"/>
      <c r="J58" s="1000"/>
      <c r="K58" s="1001"/>
      <c r="L58" s="973" t="s">
        <v>29</v>
      </c>
      <c r="M58" s="974"/>
      <c r="N58" s="974"/>
      <c r="O58" s="974"/>
      <c r="P58" s="991"/>
      <c r="Q58" s="974" t="s">
        <v>31</v>
      </c>
      <c r="R58" s="974"/>
      <c r="S58" s="974"/>
      <c r="T58" s="974"/>
      <c r="U58" s="991"/>
      <c r="V58" s="992" t="s">
        <v>9</v>
      </c>
      <c r="W58" s="661"/>
      <c r="X58" s="662"/>
      <c r="Y58" s="874"/>
      <c r="Z58" s="874"/>
      <c r="AA58" s="148"/>
      <c r="AB58" s="148"/>
      <c r="AC58" s="148"/>
      <c r="AD58" s="148"/>
      <c r="AE58" s="148"/>
      <c r="AF58" s="58"/>
      <c r="AG58" s="58"/>
      <c r="AH58" s="58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692">
        <v>1</v>
      </c>
      <c r="H59" s="693">
        <v>2</v>
      </c>
      <c r="I59" s="693">
        <v>3</v>
      </c>
      <c r="J59" s="693">
        <v>4</v>
      </c>
      <c r="K59" s="693">
        <v>5</v>
      </c>
      <c r="L59" s="188">
        <v>1</v>
      </c>
      <c r="M59" s="168">
        <v>2</v>
      </c>
      <c r="N59" s="168">
        <v>3</v>
      </c>
      <c r="O59" s="168">
        <v>4</v>
      </c>
      <c r="P59" s="414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993"/>
      <c r="W59" s="663"/>
      <c r="X59" s="645"/>
      <c r="Y59" s="657"/>
      <c r="Z59" s="657"/>
      <c r="AA59" s="148"/>
      <c r="AB59" s="148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45">
      <c r="A60" s="171" t="s">
        <v>53</v>
      </c>
      <c r="B60" s="884">
        <v>7.1</v>
      </c>
      <c r="C60" s="596">
        <v>7.4</v>
      </c>
      <c r="D60" s="596">
        <v>1</v>
      </c>
      <c r="E60" s="596">
        <v>7.6</v>
      </c>
      <c r="F60" s="601">
        <v>7.5</v>
      </c>
      <c r="G60" s="884">
        <v>7.6</v>
      </c>
      <c r="H60" s="596">
        <v>7.6</v>
      </c>
      <c r="I60" s="885">
        <v>1</v>
      </c>
      <c r="J60" s="596">
        <v>7.6</v>
      </c>
      <c r="K60" s="596">
        <v>7.4</v>
      </c>
      <c r="L60" s="508">
        <v>6.2</v>
      </c>
      <c r="M60" s="504">
        <v>6</v>
      </c>
      <c r="N60" s="504">
        <v>1.7</v>
      </c>
      <c r="O60" s="504">
        <v>6</v>
      </c>
      <c r="P60" s="507">
        <v>5.8</v>
      </c>
      <c r="Q60" s="601">
        <v>6.3</v>
      </c>
      <c r="R60" s="596">
        <v>6.1</v>
      </c>
      <c r="S60" s="596">
        <v>1.4</v>
      </c>
      <c r="T60" s="596">
        <v>6.3</v>
      </c>
      <c r="U60" s="600">
        <v>6.3</v>
      </c>
      <c r="V60" s="846">
        <f t="shared" ref="V60:V67" si="38">SUM(B60:U60)</f>
        <v>113.89999999999999</v>
      </c>
      <c r="W60" s="42"/>
      <c r="X60" s="646"/>
      <c r="Y60" s="657"/>
      <c r="Z60" s="657"/>
      <c r="AA60" s="148"/>
      <c r="AB60" s="148"/>
      <c r="AC60" s="58"/>
      <c r="AD60" s="45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45">
      <c r="A61" s="171" t="s">
        <v>24</v>
      </c>
      <c r="B61" s="884">
        <v>7</v>
      </c>
      <c r="C61" s="596">
        <v>7.3</v>
      </c>
      <c r="D61" s="596">
        <v>0.9</v>
      </c>
      <c r="E61" s="596">
        <v>7.5</v>
      </c>
      <c r="F61" s="601">
        <v>7.4</v>
      </c>
      <c r="G61" s="884">
        <v>7.5</v>
      </c>
      <c r="H61" s="596">
        <v>7.5</v>
      </c>
      <c r="I61" s="885">
        <v>0.9</v>
      </c>
      <c r="J61" s="596">
        <v>7.5</v>
      </c>
      <c r="K61" s="596">
        <v>7.3</v>
      </c>
      <c r="L61" s="508">
        <v>6</v>
      </c>
      <c r="M61" s="504">
        <v>5.8</v>
      </c>
      <c r="N61" s="504">
        <v>1.6</v>
      </c>
      <c r="O61" s="504">
        <v>5.8</v>
      </c>
      <c r="P61" s="507">
        <v>5.6</v>
      </c>
      <c r="Q61" s="601">
        <v>6.2</v>
      </c>
      <c r="R61" s="596">
        <v>6</v>
      </c>
      <c r="S61" s="596">
        <v>1.3</v>
      </c>
      <c r="T61" s="596">
        <v>6.2</v>
      </c>
      <c r="U61" s="600">
        <v>6.1</v>
      </c>
      <c r="V61" s="749">
        <f t="shared" si="38"/>
        <v>111.39999999999998</v>
      </c>
      <c r="W61" s="42"/>
      <c r="X61" s="646"/>
      <c r="Y61" s="875"/>
      <c r="Z61" s="875"/>
      <c r="AA61" s="148"/>
      <c r="AB61" s="148"/>
      <c r="AC61" s="58"/>
      <c r="AD61" s="45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45">
      <c r="A62" s="171" t="s">
        <v>20</v>
      </c>
      <c r="B62" s="884">
        <v>7</v>
      </c>
      <c r="C62" s="596">
        <v>7.4</v>
      </c>
      <c r="D62" s="596">
        <v>1</v>
      </c>
      <c r="E62" s="629">
        <v>7.5</v>
      </c>
      <c r="F62" s="601">
        <v>7.4</v>
      </c>
      <c r="G62" s="884">
        <v>7.5</v>
      </c>
      <c r="H62" s="596">
        <v>7.5</v>
      </c>
      <c r="I62" s="885">
        <v>1</v>
      </c>
      <c r="J62" s="596">
        <v>7.5</v>
      </c>
      <c r="K62" s="596">
        <v>7.3</v>
      </c>
      <c r="L62" s="508">
        <v>6</v>
      </c>
      <c r="M62" s="504">
        <v>5.9</v>
      </c>
      <c r="N62" s="504">
        <v>1.6</v>
      </c>
      <c r="O62" s="504">
        <v>5.9</v>
      </c>
      <c r="P62" s="507">
        <v>5.6</v>
      </c>
      <c r="Q62" s="601">
        <v>6.2</v>
      </c>
      <c r="R62" s="596">
        <v>6</v>
      </c>
      <c r="S62" s="596">
        <v>1.3</v>
      </c>
      <c r="T62" s="596">
        <v>6.2</v>
      </c>
      <c r="U62" s="600">
        <v>6.1</v>
      </c>
      <c r="V62" s="749">
        <f t="shared" si="38"/>
        <v>111.89999999999999</v>
      </c>
      <c r="W62" s="42"/>
      <c r="X62" s="646"/>
      <c r="Y62" s="875"/>
      <c r="Z62" s="875"/>
      <c r="AA62" s="148"/>
      <c r="AB62" s="148"/>
      <c r="AC62" s="58"/>
      <c r="AD62" s="45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45">
      <c r="A63" s="171" t="s">
        <v>28</v>
      </c>
      <c r="B63" s="884">
        <v>7.1</v>
      </c>
      <c r="C63" s="596">
        <v>7.4</v>
      </c>
      <c r="D63" s="596">
        <v>1</v>
      </c>
      <c r="E63" s="596">
        <v>7.4</v>
      </c>
      <c r="F63" s="601">
        <v>7.5</v>
      </c>
      <c r="G63" s="884">
        <v>7.6</v>
      </c>
      <c r="H63" s="596">
        <v>7.5</v>
      </c>
      <c r="I63" s="885">
        <v>1</v>
      </c>
      <c r="J63" s="596">
        <v>7.5</v>
      </c>
      <c r="K63" s="596">
        <v>7.3</v>
      </c>
      <c r="L63" s="508">
        <v>6.1</v>
      </c>
      <c r="M63" s="504">
        <v>5.9</v>
      </c>
      <c r="N63" s="504">
        <v>1.6</v>
      </c>
      <c r="O63" s="504">
        <v>5.9</v>
      </c>
      <c r="P63" s="507">
        <v>5.7</v>
      </c>
      <c r="Q63" s="601">
        <v>6.2</v>
      </c>
      <c r="R63" s="596">
        <v>6.1</v>
      </c>
      <c r="S63" s="596">
        <v>1.3</v>
      </c>
      <c r="T63" s="596">
        <v>6.2</v>
      </c>
      <c r="U63" s="600">
        <v>6.1</v>
      </c>
      <c r="V63" s="749">
        <f t="shared" si="38"/>
        <v>112.39999999999999</v>
      </c>
      <c r="W63" s="42"/>
      <c r="X63" s="646"/>
      <c r="Y63" s="875"/>
      <c r="Z63" s="875"/>
      <c r="AA63" s="148"/>
      <c r="AB63" s="148"/>
      <c r="AC63" s="58"/>
      <c r="AD63" s="45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45">
      <c r="A64" s="171" t="s">
        <v>21</v>
      </c>
      <c r="B64" s="884">
        <v>7.1</v>
      </c>
      <c r="C64" s="596">
        <v>7.4</v>
      </c>
      <c r="D64" s="596">
        <v>1</v>
      </c>
      <c r="E64" s="596">
        <v>7.4</v>
      </c>
      <c r="F64" s="601">
        <v>7.5</v>
      </c>
      <c r="G64" s="884">
        <v>7.6</v>
      </c>
      <c r="H64" s="596">
        <v>7.5</v>
      </c>
      <c r="I64" s="885">
        <v>1</v>
      </c>
      <c r="J64" s="596">
        <v>7.5</v>
      </c>
      <c r="K64" s="596">
        <v>7.3</v>
      </c>
      <c r="L64" s="508">
        <v>6.1</v>
      </c>
      <c r="M64" s="504">
        <v>5.9</v>
      </c>
      <c r="N64" s="504">
        <v>1.6</v>
      </c>
      <c r="O64" s="504">
        <v>5.9</v>
      </c>
      <c r="P64" s="507">
        <v>5.7</v>
      </c>
      <c r="Q64" s="601">
        <v>6.3</v>
      </c>
      <c r="R64" s="596">
        <v>6.1</v>
      </c>
      <c r="S64" s="596">
        <v>1.3</v>
      </c>
      <c r="T64" s="596">
        <v>6.2</v>
      </c>
      <c r="U64" s="600">
        <v>6.2</v>
      </c>
      <c r="V64" s="749">
        <f t="shared" si="38"/>
        <v>112.6</v>
      </c>
      <c r="W64" s="42"/>
      <c r="X64" s="646"/>
      <c r="Y64" s="875"/>
      <c r="Z64" s="875"/>
      <c r="AA64" s="148"/>
      <c r="AB64" s="148"/>
      <c r="AC64" s="58"/>
      <c r="AD64" s="45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45">
      <c r="A65" s="171" t="s">
        <v>22</v>
      </c>
      <c r="B65" s="884">
        <v>7.1</v>
      </c>
      <c r="C65" s="596">
        <v>7.4</v>
      </c>
      <c r="D65" s="596">
        <v>1</v>
      </c>
      <c r="E65" s="596">
        <v>7.4</v>
      </c>
      <c r="F65" s="601">
        <v>7.5</v>
      </c>
      <c r="G65" s="884">
        <v>7.6</v>
      </c>
      <c r="H65" s="596">
        <v>7.6</v>
      </c>
      <c r="I65" s="885">
        <v>1</v>
      </c>
      <c r="J65" s="596">
        <v>7.6</v>
      </c>
      <c r="K65" s="596">
        <v>7.3</v>
      </c>
      <c r="L65" s="508">
        <v>6.1</v>
      </c>
      <c r="M65" s="504">
        <v>5.9</v>
      </c>
      <c r="N65" s="504">
        <v>1.7</v>
      </c>
      <c r="O65" s="504">
        <v>5.9</v>
      </c>
      <c r="P65" s="507">
        <v>5.7</v>
      </c>
      <c r="Q65" s="601">
        <v>6.3</v>
      </c>
      <c r="R65" s="596">
        <v>6.1</v>
      </c>
      <c r="S65" s="596">
        <v>1.3</v>
      </c>
      <c r="T65" s="596">
        <v>6.2</v>
      </c>
      <c r="U65" s="600">
        <v>6.2</v>
      </c>
      <c r="V65" s="749">
        <f t="shared" si="38"/>
        <v>112.9</v>
      </c>
      <c r="W65" s="42"/>
      <c r="X65" s="646"/>
      <c r="Y65" s="875"/>
      <c r="Z65" s="875"/>
      <c r="AA65" s="148"/>
      <c r="AB65" s="148"/>
      <c r="AC65" s="58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5">
      <c r="A66" s="171" t="s">
        <v>23</v>
      </c>
      <c r="B66" s="884">
        <v>7.1</v>
      </c>
      <c r="C66" s="596">
        <v>7.4</v>
      </c>
      <c r="D66" s="596">
        <v>1</v>
      </c>
      <c r="E66" s="596">
        <v>6.9</v>
      </c>
      <c r="F66" s="601">
        <v>7.5</v>
      </c>
      <c r="G66" s="884">
        <v>7.6</v>
      </c>
      <c r="H66" s="596">
        <v>7.6</v>
      </c>
      <c r="I66" s="885">
        <v>1</v>
      </c>
      <c r="J66" s="596">
        <v>7.6</v>
      </c>
      <c r="K66" s="596">
        <v>7.3</v>
      </c>
      <c r="L66" s="508">
        <v>6.1</v>
      </c>
      <c r="M66" s="504">
        <v>5.9</v>
      </c>
      <c r="N66" s="504">
        <v>1.7</v>
      </c>
      <c r="O66" s="504">
        <v>5.9</v>
      </c>
      <c r="P66" s="507">
        <v>4.5999999999999996</v>
      </c>
      <c r="Q66" s="601">
        <v>6.3</v>
      </c>
      <c r="R66" s="596">
        <v>6.1</v>
      </c>
      <c r="S66" s="596">
        <v>1.3</v>
      </c>
      <c r="T66" s="596">
        <v>6.3</v>
      </c>
      <c r="U66" s="600">
        <v>6.2</v>
      </c>
      <c r="V66" s="643">
        <f t="shared" si="38"/>
        <v>111.39999999999999</v>
      </c>
      <c r="W66" s="42"/>
      <c r="X66" s="646"/>
      <c r="Y66" s="875"/>
      <c r="Z66" s="875"/>
      <c r="AA66" s="148"/>
      <c r="AB66" s="148"/>
      <c r="AC66" s="58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618">
        <f t="shared" ref="B67:U67" si="39">SUM(B60:B66)</f>
        <v>49.500000000000007</v>
      </c>
      <c r="C67" s="616">
        <f t="shared" si="39"/>
        <v>51.699999999999996</v>
      </c>
      <c r="D67" s="616">
        <f t="shared" si="39"/>
        <v>6.9</v>
      </c>
      <c r="E67" s="616">
        <f t="shared" si="39"/>
        <v>51.699999999999996</v>
      </c>
      <c r="F67" s="617">
        <f t="shared" si="39"/>
        <v>52.3</v>
      </c>
      <c r="G67" s="719">
        <f t="shared" si="39"/>
        <v>53.000000000000007</v>
      </c>
      <c r="H67" s="696">
        <f t="shared" si="39"/>
        <v>52.800000000000004</v>
      </c>
      <c r="I67" s="696">
        <f t="shared" si="39"/>
        <v>6.9</v>
      </c>
      <c r="J67" s="696">
        <f t="shared" si="39"/>
        <v>52.800000000000004</v>
      </c>
      <c r="K67" s="720">
        <f t="shared" si="39"/>
        <v>51.199999999999996</v>
      </c>
      <c r="L67" s="618">
        <f t="shared" si="39"/>
        <v>42.6</v>
      </c>
      <c r="M67" s="616">
        <f t="shared" si="39"/>
        <v>41.3</v>
      </c>
      <c r="N67" s="616">
        <f t="shared" si="39"/>
        <v>11.499999999999998</v>
      </c>
      <c r="O67" s="616">
        <f t="shared" si="39"/>
        <v>41.3</v>
      </c>
      <c r="P67" s="619">
        <f t="shared" si="39"/>
        <v>38.700000000000003</v>
      </c>
      <c r="Q67" s="615">
        <f t="shared" si="39"/>
        <v>43.8</v>
      </c>
      <c r="R67" s="616">
        <f t="shared" si="39"/>
        <v>42.500000000000007</v>
      </c>
      <c r="S67" s="616">
        <f t="shared" si="39"/>
        <v>9.1999999999999993</v>
      </c>
      <c r="T67" s="616">
        <f t="shared" si="39"/>
        <v>43.599999999999994</v>
      </c>
      <c r="U67" s="617">
        <f t="shared" si="39"/>
        <v>43.2</v>
      </c>
      <c r="V67" s="449">
        <f t="shared" si="38"/>
        <v>786.50000000000011</v>
      </c>
      <c r="W67" s="664"/>
      <c r="X67" s="646"/>
      <c r="Y67" s="875"/>
      <c r="Z67" s="875"/>
      <c r="AA67" s="148"/>
      <c r="AB67" s="148"/>
      <c r="AC67" s="148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164.5</v>
      </c>
      <c r="C68" s="358">
        <v>164</v>
      </c>
      <c r="D68" s="358">
        <v>164.5</v>
      </c>
      <c r="E68" s="358">
        <v>164</v>
      </c>
      <c r="F68" s="624">
        <v>162.5</v>
      </c>
      <c r="G68" s="357">
        <v>164.5</v>
      </c>
      <c r="H68" s="358">
        <v>164</v>
      </c>
      <c r="I68" s="358">
        <v>164.5</v>
      </c>
      <c r="J68" s="358">
        <v>164</v>
      </c>
      <c r="K68" s="624">
        <v>162.5</v>
      </c>
      <c r="L68" s="357">
        <v>164.5</v>
      </c>
      <c r="M68" s="358">
        <v>164</v>
      </c>
      <c r="N68" s="358">
        <v>164.5</v>
      </c>
      <c r="O68" s="358">
        <v>164</v>
      </c>
      <c r="P68" s="624">
        <v>162.5</v>
      </c>
      <c r="Q68" s="671">
        <v>164.5</v>
      </c>
      <c r="R68" s="358">
        <v>164</v>
      </c>
      <c r="S68" s="358">
        <v>164.5</v>
      </c>
      <c r="T68" s="358">
        <v>164</v>
      </c>
      <c r="U68" s="624">
        <v>162.5</v>
      </c>
      <c r="V68" s="296">
        <f>+((V67/V69)/7)*1000</f>
        <v>163.78592253227822</v>
      </c>
      <c r="W68" s="145"/>
      <c r="X68" s="648"/>
      <c r="Y68" s="874"/>
      <c r="Z68" s="874"/>
      <c r="AA68" s="148"/>
      <c r="AB68" s="148"/>
      <c r="AC68" s="148"/>
      <c r="AD68" s="148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43</v>
      </c>
      <c r="C69" s="275">
        <v>45</v>
      </c>
      <c r="D69" s="275">
        <v>6</v>
      </c>
      <c r="E69" s="275">
        <v>45</v>
      </c>
      <c r="F69" s="276">
        <v>46</v>
      </c>
      <c r="G69" s="723">
        <v>46</v>
      </c>
      <c r="H69" s="700">
        <v>46</v>
      </c>
      <c r="I69" s="700">
        <v>6</v>
      </c>
      <c r="J69" s="700">
        <v>46</v>
      </c>
      <c r="K69" s="724">
        <v>45</v>
      </c>
      <c r="L69" s="257">
        <v>37</v>
      </c>
      <c r="M69" s="275">
        <v>36</v>
      </c>
      <c r="N69" s="275">
        <v>10</v>
      </c>
      <c r="O69" s="275">
        <v>36</v>
      </c>
      <c r="P69" s="276">
        <v>34</v>
      </c>
      <c r="Q69" s="79">
        <v>38</v>
      </c>
      <c r="R69" s="275">
        <v>37</v>
      </c>
      <c r="S69" s="275">
        <v>8</v>
      </c>
      <c r="T69" s="275">
        <v>38</v>
      </c>
      <c r="U69" s="276">
        <v>38</v>
      </c>
      <c r="V69" s="254">
        <f>SUM(B69:U69)</f>
        <v>686</v>
      </c>
      <c r="W69" s="145"/>
      <c r="X69" s="649"/>
      <c r="Y69" s="874"/>
      <c r="Z69" s="874"/>
      <c r="AA69" s="148"/>
      <c r="AB69" s="148"/>
      <c r="AC69" s="148"/>
      <c r="AD69" s="45"/>
      <c r="AE69" s="148"/>
      <c r="AF69" s="148"/>
      <c r="AG69" s="148"/>
      <c r="AH69" s="45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>((((B68*7)*B69)/1000-B60-B61)/5)</f>
        <v>7.0828999999999995</v>
      </c>
      <c r="C70" s="31">
        <f t="shared" ref="C70:U70" si="40">((((C68*7)*C69)/1000-C60-C61)/5)</f>
        <v>7.3920000000000003</v>
      </c>
      <c r="D70" s="31">
        <f t="shared" si="40"/>
        <v>1.0017999999999998</v>
      </c>
      <c r="E70" s="31">
        <f t="shared" si="40"/>
        <v>7.3119999999999994</v>
      </c>
      <c r="F70" s="32">
        <f t="shared" si="40"/>
        <v>7.4850000000000012</v>
      </c>
      <c r="G70" s="30">
        <f t="shared" si="40"/>
        <v>7.5738000000000003</v>
      </c>
      <c r="H70" s="31">
        <f t="shared" si="40"/>
        <v>7.5415999999999999</v>
      </c>
      <c r="I70" s="31">
        <f t="shared" si="40"/>
        <v>1.0017999999999998</v>
      </c>
      <c r="J70" s="31">
        <f t="shared" si="40"/>
        <v>7.5415999999999999</v>
      </c>
      <c r="K70" s="32">
        <f t="shared" si="40"/>
        <v>7.2975000000000012</v>
      </c>
      <c r="L70" s="30">
        <f t="shared" si="40"/>
        <v>6.0810999999999993</v>
      </c>
      <c r="M70" s="31">
        <f t="shared" si="40"/>
        <v>5.9056000000000006</v>
      </c>
      <c r="N70" s="31">
        <f t="shared" si="40"/>
        <v>1.6430000000000002</v>
      </c>
      <c r="O70" s="31">
        <f t="shared" si="40"/>
        <v>5.9056000000000006</v>
      </c>
      <c r="P70" s="32">
        <f t="shared" si="40"/>
        <v>5.4550000000000001</v>
      </c>
      <c r="Q70" s="65">
        <f t="shared" si="40"/>
        <v>6.2514000000000003</v>
      </c>
      <c r="R70" s="31">
        <f t="shared" si="40"/>
        <v>6.0751999999999997</v>
      </c>
      <c r="S70" s="31">
        <f t="shared" si="40"/>
        <v>1.3024</v>
      </c>
      <c r="T70" s="31">
        <f t="shared" si="40"/>
        <v>6.224800000000001</v>
      </c>
      <c r="U70" s="32">
        <f t="shared" si="40"/>
        <v>6.1650000000000009</v>
      </c>
      <c r="V70" s="139">
        <f>((V67*1000)/V69)/7</f>
        <v>163.78592253227822</v>
      </c>
      <c r="W70" s="144"/>
      <c r="X70" s="650"/>
      <c r="Y70" s="874"/>
      <c r="Z70" s="874"/>
      <c r="AA70" s="148"/>
      <c r="AB70" s="148"/>
      <c r="AC70" s="148"/>
      <c r="AD70" s="148"/>
      <c r="AE70" s="148"/>
      <c r="AF70" s="148"/>
      <c r="AG70" s="148"/>
      <c r="AH70" s="45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41">((B69*B68)*7)/1000</f>
        <v>49.514499999999998</v>
      </c>
      <c r="C71" s="280">
        <f t="shared" si="41"/>
        <v>51.66</v>
      </c>
      <c r="D71" s="280">
        <f t="shared" si="41"/>
        <v>6.9089999999999998</v>
      </c>
      <c r="E71" s="280">
        <f t="shared" si="41"/>
        <v>51.66</v>
      </c>
      <c r="F71" s="282">
        <f t="shared" si="41"/>
        <v>52.325000000000003</v>
      </c>
      <c r="G71" s="464">
        <f t="shared" si="41"/>
        <v>52.969000000000001</v>
      </c>
      <c r="H71" s="459">
        <f>((H69*H68)*7)/1000</f>
        <v>52.808</v>
      </c>
      <c r="I71" s="459">
        <f t="shared" si="41"/>
        <v>6.9089999999999998</v>
      </c>
      <c r="J71" s="459">
        <f t="shared" si="41"/>
        <v>52.808</v>
      </c>
      <c r="K71" s="460">
        <f t="shared" si="41"/>
        <v>51.1875</v>
      </c>
      <c r="L71" s="279">
        <f t="shared" si="41"/>
        <v>42.605499999999999</v>
      </c>
      <c r="M71" s="280">
        <f t="shared" si="41"/>
        <v>41.328000000000003</v>
      </c>
      <c r="N71" s="280">
        <f t="shared" si="41"/>
        <v>11.515000000000001</v>
      </c>
      <c r="O71" s="280">
        <f t="shared" si="41"/>
        <v>41.328000000000003</v>
      </c>
      <c r="P71" s="282">
        <f t="shared" si="41"/>
        <v>38.674999999999997</v>
      </c>
      <c r="Q71" s="325">
        <f t="shared" si="41"/>
        <v>43.756999999999998</v>
      </c>
      <c r="R71" s="280">
        <f t="shared" si="41"/>
        <v>42.475999999999999</v>
      </c>
      <c r="S71" s="280">
        <f t="shared" si="41"/>
        <v>9.2119999999999997</v>
      </c>
      <c r="T71" s="280">
        <f t="shared" si="41"/>
        <v>43.624000000000002</v>
      </c>
      <c r="U71" s="282">
        <f t="shared" si="41"/>
        <v>43.225000000000001</v>
      </c>
      <c r="V71" s="112"/>
      <c r="W71" s="651"/>
      <c r="X71" s="666"/>
      <c r="Y71" s="657"/>
      <c r="Z71" s="657"/>
      <c r="AA71" s="45"/>
      <c r="AB71" s="45"/>
      <c r="AC71" s="45"/>
      <c r="AD71" s="148"/>
      <c r="AE71" s="148"/>
      <c r="AF71" s="148"/>
      <c r="AG71" s="148"/>
      <c r="AH71" s="148"/>
      <c r="AM71" s="3"/>
    </row>
    <row r="72" spans="1:50" ht="33.75" customHeight="1" thickBot="1" x14ac:dyDescent="0.3">
      <c r="A72" s="195" t="s">
        <v>15</v>
      </c>
      <c r="B72" s="37">
        <f t="shared" ref="B72:U72" si="42">+(B67/B69)/7*1000</f>
        <v>164.45182724252496</v>
      </c>
      <c r="C72" s="38">
        <f t="shared" si="42"/>
        <v>164.12698412698413</v>
      </c>
      <c r="D72" s="38">
        <f t="shared" si="42"/>
        <v>164.28571428571431</v>
      </c>
      <c r="E72" s="38">
        <f t="shared" si="42"/>
        <v>164.12698412698413</v>
      </c>
      <c r="F72" s="39">
        <f t="shared" si="42"/>
        <v>162.42236024844721</v>
      </c>
      <c r="G72" s="727">
        <f t="shared" si="42"/>
        <v>164.59627329192551</v>
      </c>
      <c r="H72" s="704">
        <f t="shared" si="42"/>
        <v>163.9751552795031</v>
      </c>
      <c r="I72" s="704">
        <f t="shared" si="42"/>
        <v>164.28571428571431</v>
      </c>
      <c r="J72" s="704">
        <f t="shared" si="42"/>
        <v>163.9751552795031</v>
      </c>
      <c r="K72" s="728">
        <f t="shared" si="42"/>
        <v>162.53968253968253</v>
      </c>
      <c r="L72" s="37">
        <f t="shared" si="42"/>
        <v>164.47876447876448</v>
      </c>
      <c r="M72" s="38">
        <f t="shared" si="42"/>
        <v>163.88888888888889</v>
      </c>
      <c r="N72" s="38">
        <f t="shared" si="42"/>
        <v>164.28571428571428</v>
      </c>
      <c r="O72" s="38">
        <f t="shared" si="42"/>
        <v>163.88888888888889</v>
      </c>
      <c r="P72" s="39">
        <f t="shared" si="42"/>
        <v>162.60504201680675</v>
      </c>
      <c r="Q72" s="67">
        <f t="shared" si="42"/>
        <v>164.66165413533835</v>
      </c>
      <c r="R72" s="38">
        <f t="shared" si="42"/>
        <v>164.09266409266414</v>
      </c>
      <c r="S72" s="38">
        <f t="shared" si="42"/>
        <v>164.28571428571428</v>
      </c>
      <c r="T72" s="38">
        <f t="shared" si="42"/>
        <v>163.9097744360902</v>
      </c>
      <c r="U72" s="39">
        <f t="shared" si="42"/>
        <v>162.40601503759396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316">
        <f>B71-B67</f>
        <v>1.4499999999991076E-2</v>
      </c>
      <c r="C73" s="316">
        <f t="shared" ref="C73:F73" si="43">C71-C67</f>
        <v>-3.9999999999999147E-2</v>
      </c>
      <c r="D73" s="316">
        <f t="shared" si="43"/>
        <v>8.9999999999994529E-3</v>
      </c>
      <c r="E73" s="316">
        <f t="shared" si="43"/>
        <v>-3.9999999999999147E-2</v>
      </c>
      <c r="F73" s="316">
        <f t="shared" si="43"/>
        <v>2.5000000000005684E-2</v>
      </c>
      <c r="G73" s="879">
        <f>G71-G67</f>
        <v>-3.1000000000005912E-2</v>
      </c>
      <c r="H73" s="879">
        <f t="shared" ref="H73:P74" si="44">H71-H67</f>
        <v>7.9999999999955662E-3</v>
      </c>
      <c r="I73" s="879">
        <f t="shared" si="44"/>
        <v>8.9999999999994529E-3</v>
      </c>
      <c r="J73" s="879">
        <f t="shared" si="44"/>
        <v>7.9999999999955662E-3</v>
      </c>
      <c r="K73" s="879">
        <f t="shared" si="44"/>
        <v>-1.2499999999995737E-2</v>
      </c>
      <c r="L73" s="316">
        <f>L71-L67</f>
        <v>5.49999999999784E-3</v>
      </c>
      <c r="M73" s="316">
        <f t="shared" ref="M73:U74" si="45">M71-M67</f>
        <v>2.8000000000005798E-2</v>
      </c>
      <c r="N73" s="316">
        <f t="shared" si="45"/>
        <v>1.5000000000002345E-2</v>
      </c>
      <c r="O73" s="316">
        <f t="shared" si="45"/>
        <v>2.8000000000005798E-2</v>
      </c>
      <c r="P73" s="316">
        <f t="shared" si="45"/>
        <v>-2.5000000000005684E-2</v>
      </c>
      <c r="Q73" s="316">
        <f t="shared" si="45"/>
        <v>-4.2999999999999261E-2</v>
      </c>
      <c r="R73" s="316">
        <f t="shared" si="45"/>
        <v>-2.4000000000008015E-2</v>
      </c>
      <c r="S73" s="316">
        <f t="shared" si="45"/>
        <v>1.2000000000000455E-2</v>
      </c>
      <c r="T73" s="316">
        <f t="shared" si="45"/>
        <v>2.4000000000008015E-2</v>
      </c>
      <c r="U73" s="316">
        <f t="shared" si="45"/>
        <v>2.4999999999998579E-2</v>
      </c>
      <c r="V73" s="43">
        <f t="shared" ref="V73" si="46">U71-U67</f>
        <v>2.4999999999998579E-2</v>
      </c>
      <c r="X73" s="144"/>
      <c r="Y73" s="522"/>
      <c r="Z73" s="522"/>
      <c r="AA73" s="522"/>
    </row>
    <row r="74" spans="1:50" ht="33.75" customHeight="1" x14ac:dyDescent="0.25">
      <c r="B74" s="42">
        <f t="shared" ref="B74:J74" si="47">B72-B68</f>
        <v>-4.8172757475043682E-2</v>
      </c>
      <c r="C74" s="42">
        <f t="shared" si="47"/>
        <v>0.12698412698412653</v>
      </c>
      <c r="D74" s="42">
        <f t="shared" si="47"/>
        <v>-0.21428571428569398</v>
      </c>
      <c r="E74" s="42">
        <f t="shared" si="47"/>
        <v>0.12698412698412653</v>
      </c>
      <c r="F74" s="42">
        <f t="shared" si="47"/>
        <v>-7.7639751552794678E-2</v>
      </c>
      <c r="G74" s="705">
        <f t="shared" si="47"/>
        <v>9.6273291925513149E-2</v>
      </c>
      <c r="H74" s="705">
        <f t="shared" si="47"/>
        <v>-2.4844720496901118E-2</v>
      </c>
      <c r="I74" s="705">
        <f>I72-I68</f>
        <v>-0.21428571428569398</v>
      </c>
      <c r="J74" s="705">
        <f t="shared" si="47"/>
        <v>-2.4844720496901118E-2</v>
      </c>
      <c r="K74" s="705">
        <f t="shared" si="44"/>
        <v>3.968253968253066E-2</v>
      </c>
      <c r="L74" s="42">
        <f t="shared" si="44"/>
        <v>-2.1235521235524857E-2</v>
      </c>
      <c r="M74" s="42">
        <f t="shared" si="44"/>
        <v>-0.11111111111111427</v>
      </c>
      <c r="N74" s="42">
        <f t="shared" si="44"/>
        <v>-0.21428571428572241</v>
      </c>
      <c r="O74" s="42">
        <f t="shared" si="44"/>
        <v>-0.11111111111111427</v>
      </c>
      <c r="P74" s="42">
        <f t="shared" si="44"/>
        <v>0.10504201680674896</v>
      </c>
      <c r="Q74" s="42">
        <f t="shared" si="45"/>
        <v>0.16165413533835249</v>
      </c>
      <c r="R74" s="42">
        <f t="shared" si="45"/>
        <v>9.2664092664136888E-2</v>
      </c>
      <c r="S74" s="42">
        <f t="shared" si="45"/>
        <v>-0.21428571428572241</v>
      </c>
      <c r="T74" s="42">
        <f t="shared" si="45"/>
        <v>-9.0225563909797302E-2</v>
      </c>
      <c r="U74" s="42">
        <f t="shared" si="45"/>
        <v>-9.398496240604004E-2</v>
      </c>
      <c r="V74" s="42">
        <f>U72-U68</f>
        <v>-9.398496240604004E-2</v>
      </c>
      <c r="W74" s="45"/>
      <c r="X74" s="651"/>
      <c r="Y74" s="657"/>
      <c r="Z74" s="657"/>
      <c r="AA74" s="657"/>
      <c r="AB74" s="45"/>
      <c r="AC74" s="45"/>
      <c r="AD74" s="45"/>
      <c r="AE74" s="52"/>
    </row>
    <row r="75" spans="1:50" ht="33.75" customHeight="1" x14ac:dyDescent="0.25">
      <c r="B75" s="576"/>
      <c r="C75" s="576"/>
      <c r="D75" s="576"/>
      <c r="E75" s="576"/>
      <c r="F75" s="576"/>
      <c r="G75" s="576"/>
      <c r="H75" s="576"/>
      <c r="I75" s="576"/>
      <c r="J75" s="576"/>
      <c r="K75" s="576"/>
      <c r="L75" s="576"/>
      <c r="M75" s="576"/>
      <c r="N75" s="576"/>
      <c r="O75" s="576"/>
      <c r="P75" s="576"/>
      <c r="Q75" s="576"/>
      <c r="R75" s="576"/>
      <c r="S75" s="576"/>
      <c r="T75" s="576"/>
      <c r="U75" s="576"/>
      <c r="V75" s="636"/>
    </row>
    <row r="76" spans="1:50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0" ht="33.75" customHeight="1" x14ac:dyDescent="0.25">
      <c r="A77" s="45"/>
      <c r="B77" s="58"/>
      <c r="C77" s="58"/>
      <c r="D77" s="648" t="s">
        <v>132</v>
      </c>
      <c r="E77" s="58"/>
      <c r="F77" s="58"/>
      <c r="G77" s="58"/>
      <c r="H77" s="648" t="s">
        <v>132</v>
      </c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8">
    <mergeCell ref="Z16:Z17"/>
    <mergeCell ref="B39:F39"/>
    <mergeCell ref="G39:G40"/>
    <mergeCell ref="M39:Q39"/>
    <mergeCell ref="R39:R40"/>
    <mergeCell ref="B58:F58"/>
    <mergeCell ref="G58:K58"/>
    <mergeCell ref="L58:P58"/>
    <mergeCell ref="Q58:U58"/>
    <mergeCell ref="V58:V59"/>
    <mergeCell ref="A3:C3"/>
    <mergeCell ref="E9:G9"/>
    <mergeCell ref="W9:X9"/>
    <mergeCell ref="O11:P11"/>
    <mergeCell ref="B16:H16"/>
    <mergeCell ref="I16:O16"/>
    <mergeCell ref="P16:T16"/>
    <mergeCell ref="U16:Y16"/>
  </mergeCells>
  <pageMargins left="0.23622047244094488" right="0.23622047244094488" top="0.74803149606299213" bottom="0.74803149606299213" header="0.31496062992125984" footer="0.31496062992125984"/>
  <pageSetup paperSize="9" scale="19" fitToWidth="0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241"/>
  <sheetViews>
    <sheetView topLeftCell="A13" zoomScale="26" zoomScaleNormal="26" workbookViewId="0">
      <selection activeCell="AG36" sqref="AG36"/>
    </sheetView>
  </sheetViews>
  <sheetFormatPr baseColWidth="10" defaultRowHeight="15" x14ac:dyDescent="0.25"/>
  <cols>
    <col min="1" max="1" width="52.42578125" style="14" bestFit="1" customWidth="1"/>
    <col min="2" max="11" width="26.42578125" style="14" customWidth="1"/>
    <col min="12" max="12" width="32.140625" style="14" customWidth="1"/>
    <col min="13" max="22" width="23.5703125" style="14" customWidth="1"/>
    <col min="23" max="23" width="25.42578125" style="14" bestFit="1" customWidth="1"/>
    <col min="24" max="25" width="23.5703125" style="14" customWidth="1"/>
    <col min="26" max="26" width="28.28515625" style="14" bestFit="1" customWidth="1"/>
    <col min="27" max="27" width="20.7109375" style="14" customWidth="1"/>
    <col min="28" max="28" width="27" style="14" bestFit="1" customWidth="1"/>
    <col min="29" max="29" width="32.28515625" style="14" bestFit="1" customWidth="1"/>
    <col min="30" max="30" width="20.7109375" style="14" customWidth="1"/>
    <col min="31" max="31" width="22" style="14" customWidth="1"/>
    <col min="32" max="35" width="21.28515625" style="14" customWidth="1"/>
    <col min="36" max="36" width="22.28515625" style="14" customWidth="1"/>
    <col min="37" max="38" width="11.42578125" style="14"/>
    <col min="39" max="39" width="14.85546875" style="14" bestFit="1" customWidth="1"/>
    <col min="40" max="264" width="11.42578125" style="14"/>
    <col min="265" max="265" width="34.42578125" style="14" customWidth="1"/>
    <col min="266" max="267" width="19.42578125" style="14" bestFit="1" customWidth="1"/>
    <col min="268" max="268" width="19.7109375" style="14" customWidth="1"/>
    <col min="269" max="270" width="20.42578125" style="14" customWidth="1"/>
    <col min="271" max="272" width="19.7109375" style="14" customWidth="1"/>
    <col min="273" max="273" width="25.28515625" style="14" customWidth="1"/>
    <col min="274" max="274" width="26" style="14" customWidth="1"/>
    <col min="275" max="275" width="22.28515625" style="14" customWidth="1"/>
    <col min="276" max="276" width="24.85546875" style="14" customWidth="1"/>
    <col min="277" max="277" width="21.140625" style="14" customWidth="1"/>
    <col min="278" max="278" width="21.42578125" style="14" customWidth="1"/>
    <col min="279" max="279" width="27.85546875" style="14" customWidth="1"/>
    <col min="280" max="280" width="23.42578125" style="14" customWidth="1"/>
    <col min="281" max="281" width="21.42578125" style="14" customWidth="1"/>
    <col min="282" max="284" width="20.7109375" style="14" customWidth="1"/>
    <col min="285" max="285" width="32.28515625" style="14" bestFit="1" customWidth="1"/>
    <col min="286" max="286" width="20.7109375" style="14" customWidth="1"/>
    <col min="287" max="287" width="22" style="14" customWidth="1"/>
    <col min="288" max="291" width="21.28515625" style="14" customWidth="1"/>
    <col min="292" max="292" width="22.28515625" style="14" customWidth="1"/>
    <col min="293" max="294" width="11.42578125" style="14"/>
    <col min="295" max="295" width="14.85546875" style="14" bestFit="1" customWidth="1"/>
    <col min="296" max="520" width="11.42578125" style="14"/>
    <col min="521" max="521" width="34.42578125" style="14" customWidth="1"/>
    <col min="522" max="523" width="19.42578125" style="14" bestFit="1" customWidth="1"/>
    <col min="524" max="524" width="19.7109375" style="14" customWidth="1"/>
    <col min="525" max="526" width="20.42578125" style="14" customWidth="1"/>
    <col min="527" max="528" width="19.7109375" style="14" customWidth="1"/>
    <col min="529" max="529" width="25.28515625" style="14" customWidth="1"/>
    <col min="530" max="530" width="26" style="14" customWidth="1"/>
    <col min="531" max="531" width="22.28515625" style="14" customWidth="1"/>
    <col min="532" max="532" width="24.85546875" style="14" customWidth="1"/>
    <col min="533" max="533" width="21.140625" style="14" customWidth="1"/>
    <col min="534" max="534" width="21.42578125" style="14" customWidth="1"/>
    <col min="535" max="535" width="27.85546875" style="14" customWidth="1"/>
    <col min="536" max="536" width="23.42578125" style="14" customWidth="1"/>
    <col min="537" max="537" width="21.42578125" style="14" customWidth="1"/>
    <col min="538" max="540" width="20.7109375" style="14" customWidth="1"/>
    <col min="541" max="541" width="32.28515625" style="14" bestFit="1" customWidth="1"/>
    <col min="542" max="542" width="20.7109375" style="14" customWidth="1"/>
    <col min="543" max="543" width="22" style="14" customWidth="1"/>
    <col min="544" max="547" width="21.28515625" style="14" customWidth="1"/>
    <col min="548" max="548" width="22.28515625" style="14" customWidth="1"/>
    <col min="549" max="550" width="11.42578125" style="14"/>
    <col min="551" max="551" width="14.85546875" style="14" bestFit="1" customWidth="1"/>
    <col min="552" max="776" width="11.42578125" style="14"/>
    <col min="777" max="777" width="34.42578125" style="14" customWidth="1"/>
    <col min="778" max="779" width="19.42578125" style="14" bestFit="1" customWidth="1"/>
    <col min="780" max="780" width="19.7109375" style="14" customWidth="1"/>
    <col min="781" max="782" width="20.42578125" style="14" customWidth="1"/>
    <col min="783" max="784" width="19.7109375" style="14" customWidth="1"/>
    <col min="785" max="785" width="25.28515625" style="14" customWidth="1"/>
    <col min="786" max="786" width="26" style="14" customWidth="1"/>
    <col min="787" max="787" width="22.28515625" style="14" customWidth="1"/>
    <col min="788" max="788" width="24.85546875" style="14" customWidth="1"/>
    <col min="789" max="789" width="21.140625" style="14" customWidth="1"/>
    <col min="790" max="790" width="21.42578125" style="14" customWidth="1"/>
    <col min="791" max="791" width="27.85546875" style="14" customWidth="1"/>
    <col min="792" max="792" width="23.42578125" style="14" customWidth="1"/>
    <col min="793" max="793" width="21.42578125" style="14" customWidth="1"/>
    <col min="794" max="796" width="20.7109375" style="14" customWidth="1"/>
    <col min="797" max="797" width="32.28515625" style="14" bestFit="1" customWidth="1"/>
    <col min="798" max="798" width="20.7109375" style="14" customWidth="1"/>
    <col min="799" max="799" width="22" style="14" customWidth="1"/>
    <col min="800" max="803" width="21.28515625" style="14" customWidth="1"/>
    <col min="804" max="804" width="22.28515625" style="14" customWidth="1"/>
    <col min="805" max="806" width="11.42578125" style="14"/>
    <col min="807" max="807" width="14.85546875" style="14" bestFit="1" customWidth="1"/>
    <col min="808" max="1032" width="11.42578125" style="14"/>
    <col min="1033" max="1033" width="34.42578125" style="14" customWidth="1"/>
    <col min="1034" max="1035" width="19.42578125" style="14" bestFit="1" customWidth="1"/>
    <col min="1036" max="1036" width="19.7109375" style="14" customWidth="1"/>
    <col min="1037" max="1038" width="20.42578125" style="14" customWidth="1"/>
    <col min="1039" max="1040" width="19.7109375" style="14" customWidth="1"/>
    <col min="1041" max="1041" width="25.28515625" style="14" customWidth="1"/>
    <col min="1042" max="1042" width="26" style="14" customWidth="1"/>
    <col min="1043" max="1043" width="22.28515625" style="14" customWidth="1"/>
    <col min="1044" max="1044" width="24.85546875" style="14" customWidth="1"/>
    <col min="1045" max="1045" width="21.140625" style="14" customWidth="1"/>
    <col min="1046" max="1046" width="21.42578125" style="14" customWidth="1"/>
    <col min="1047" max="1047" width="27.85546875" style="14" customWidth="1"/>
    <col min="1048" max="1048" width="23.42578125" style="14" customWidth="1"/>
    <col min="1049" max="1049" width="21.42578125" style="14" customWidth="1"/>
    <col min="1050" max="1052" width="20.7109375" style="14" customWidth="1"/>
    <col min="1053" max="1053" width="32.28515625" style="14" bestFit="1" customWidth="1"/>
    <col min="1054" max="1054" width="20.7109375" style="14" customWidth="1"/>
    <col min="1055" max="1055" width="22" style="14" customWidth="1"/>
    <col min="1056" max="1059" width="21.28515625" style="14" customWidth="1"/>
    <col min="1060" max="1060" width="22.28515625" style="14" customWidth="1"/>
    <col min="1061" max="1062" width="11.42578125" style="14"/>
    <col min="1063" max="1063" width="14.85546875" style="14" bestFit="1" customWidth="1"/>
    <col min="1064" max="1288" width="11.42578125" style="14"/>
    <col min="1289" max="1289" width="34.42578125" style="14" customWidth="1"/>
    <col min="1290" max="1291" width="19.42578125" style="14" bestFit="1" customWidth="1"/>
    <col min="1292" max="1292" width="19.7109375" style="14" customWidth="1"/>
    <col min="1293" max="1294" width="20.42578125" style="14" customWidth="1"/>
    <col min="1295" max="1296" width="19.7109375" style="14" customWidth="1"/>
    <col min="1297" max="1297" width="25.28515625" style="14" customWidth="1"/>
    <col min="1298" max="1298" width="26" style="14" customWidth="1"/>
    <col min="1299" max="1299" width="22.28515625" style="14" customWidth="1"/>
    <col min="1300" max="1300" width="24.85546875" style="14" customWidth="1"/>
    <col min="1301" max="1301" width="21.140625" style="14" customWidth="1"/>
    <col min="1302" max="1302" width="21.42578125" style="14" customWidth="1"/>
    <col min="1303" max="1303" width="27.85546875" style="14" customWidth="1"/>
    <col min="1304" max="1304" width="23.42578125" style="14" customWidth="1"/>
    <col min="1305" max="1305" width="21.42578125" style="14" customWidth="1"/>
    <col min="1306" max="1308" width="20.7109375" style="14" customWidth="1"/>
    <col min="1309" max="1309" width="32.28515625" style="14" bestFit="1" customWidth="1"/>
    <col min="1310" max="1310" width="20.7109375" style="14" customWidth="1"/>
    <col min="1311" max="1311" width="22" style="14" customWidth="1"/>
    <col min="1312" max="1315" width="21.28515625" style="14" customWidth="1"/>
    <col min="1316" max="1316" width="22.28515625" style="14" customWidth="1"/>
    <col min="1317" max="1318" width="11.42578125" style="14"/>
    <col min="1319" max="1319" width="14.85546875" style="14" bestFit="1" customWidth="1"/>
    <col min="1320" max="1544" width="11.42578125" style="14"/>
    <col min="1545" max="1545" width="34.42578125" style="14" customWidth="1"/>
    <col min="1546" max="1547" width="19.42578125" style="14" bestFit="1" customWidth="1"/>
    <col min="1548" max="1548" width="19.7109375" style="14" customWidth="1"/>
    <col min="1549" max="1550" width="20.42578125" style="14" customWidth="1"/>
    <col min="1551" max="1552" width="19.7109375" style="14" customWidth="1"/>
    <col min="1553" max="1553" width="25.28515625" style="14" customWidth="1"/>
    <col min="1554" max="1554" width="26" style="14" customWidth="1"/>
    <col min="1555" max="1555" width="22.28515625" style="14" customWidth="1"/>
    <col min="1556" max="1556" width="24.85546875" style="14" customWidth="1"/>
    <col min="1557" max="1557" width="21.140625" style="14" customWidth="1"/>
    <col min="1558" max="1558" width="21.42578125" style="14" customWidth="1"/>
    <col min="1559" max="1559" width="27.85546875" style="14" customWidth="1"/>
    <col min="1560" max="1560" width="23.42578125" style="14" customWidth="1"/>
    <col min="1561" max="1561" width="21.42578125" style="14" customWidth="1"/>
    <col min="1562" max="1564" width="20.7109375" style="14" customWidth="1"/>
    <col min="1565" max="1565" width="32.28515625" style="14" bestFit="1" customWidth="1"/>
    <col min="1566" max="1566" width="20.7109375" style="14" customWidth="1"/>
    <col min="1567" max="1567" width="22" style="14" customWidth="1"/>
    <col min="1568" max="1571" width="21.28515625" style="14" customWidth="1"/>
    <col min="1572" max="1572" width="22.28515625" style="14" customWidth="1"/>
    <col min="1573" max="1574" width="11.42578125" style="14"/>
    <col min="1575" max="1575" width="14.85546875" style="14" bestFit="1" customWidth="1"/>
    <col min="1576" max="1800" width="11.42578125" style="14"/>
    <col min="1801" max="1801" width="34.42578125" style="14" customWidth="1"/>
    <col min="1802" max="1803" width="19.42578125" style="14" bestFit="1" customWidth="1"/>
    <col min="1804" max="1804" width="19.7109375" style="14" customWidth="1"/>
    <col min="1805" max="1806" width="20.42578125" style="14" customWidth="1"/>
    <col min="1807" max="1808" width="19.7109375" style="14" customWidth="1"/>
    <col min="1809" max="1809" width="25.28515625" style="14" customWidth="1"/>
    <col min="1810" max="1810" width="26" style="14" customWidth="1"/>
    <col min="1811" max="1811" width="22.28515625" style="14" customWidth="1"/>
    <col min="1812" max="1812" width="24.85546875" style="14" customWidth="1"/>
    <col min="1813" max="1813" width="21.140625" style="14" customWidth="1"/>
    <col min="1814" max="1814" width="21.42578125" style="14" customWidth="1"/>
    <col min="1815" max="1815" width="27.85546875" style="14" customWidth="1"/>
    <col min="1816" max="1816" width="23.42578125" style="14" customWidth="1"/>
    <col min="1817" max="1817" width="21.42578125" style="14" customWidth="1"/>
    <col min="1818" max="1820" width="20.7109375" style="14" customWidth="1"/>
    <col min="1821" max="1821" width="32.28515625" style="14" bestFit="1" customWidth="1"/>
    <col min="1822" max="1822" width="20.7109375" style="14" customWidth="1"/>
    <col min="1823" max="1823" width="22" style="14" customWidth="1"/>
    <col min="1824" max="1827" width="21.28515625" style="14" customWidth="1"/>
    <col min="1828" max="1828" width="22.28515625" style="14" customWidth="1"/>
    <col min="1829" max="1830" width="11.42578125" style="14"/>
    <col min="1831" max="1831" width="14.85546875" style="14" bestFit="1" customWidth="1"/>
    <col min="1832" max="2056" width="11.42578125" style="14"/>
    <col min="2057" max="2057" width="34.42578125" style="14" customWidth="1"/>
    <col min="2058" max="2059" width="19.42578125" style="14" bestFit="1" customWidth="1"/>
    <col min="2060" max="2060" width="19.7109375" style="14" customWidth="1"/>
    <col min="2061" max="2062" width="20.42578125" style="14" customWidth="1"/>
    <col min="2063" max="2064" width="19.7109375" style="14" customWidth="1"/>
    <col min="2065" max="2065" width="25.28515625" style="14" customWidth="1"/>
    <col min="2066" max="2066" width="26" style="14" customWidth="1"/>
    <col min="2067" max="2067" width="22.28515625" style="14" customWidth="1"/>
    <col min="2068" max="2068" width="24.85546875" style="14" customWidth="1"/>
    <col min="2069" max="2069" width="21.140625" style="14" customWidth="1"/>
    <col min="2070" max="2070" width="21.42578125" style="14" customWidth="1"/>
    <col min="2071" max="2071" width="27.85546875" style="14" customWidth="1"/>
    <col min="2072" max="2072" width="23.42578125" style="14" customWidth="1"/>
    <col min="2073" max="2073" width="21.42578125" style="14" customWidth="1"/>
    <col min="2074" max="2076" width="20.7109375" style="14" customWidth="1"/>
    <col min="2077" max="2077" width="32.28515625" style="14" bestFit="1" customWidth="1"/>
    <col min="2078" max="2078" width="20.7109375" style="14" customWidth="1"/>
    <col min="2079" max="2079" width="22" style="14" customWidth="1"/>
    <col min="2080" max="2083" width="21.28515625" style="14" customWidth="1"/>
    <col min="2084" max="2084" width="22.28515625" style="14" customWidth="1"/>
    <col min="2085" max="2086" width="11.42578125" style="14"/>
    <col min="2087" max="2087" width="14.85546875" style="14" bestFit="1" customWidth="1"/>
    <col min="2088" max="2312" width="11.42578125" style="14"/>
    <col min="2313" max="2313" width="34.42578125" style="14" customWidth="1"/>
    <col min="2314" max="2315" width="19.42578125" style="14" bestFit="1" customWidth="1"/>
    <col min="2316" max="2316" width="19.7109375" style="14" customWidth="1"/>
    <col min="2317" max="2318" width="20.42578125" style="14" customWidth="1"/>
    <col min="2319" max="2320" width="19.7109375" style="14" customWidth="1"/>
    <col min="2321" max="2321" width="25.28515625" style="14" customWidth="1"/>
    <col min="2322" max="2322" width="26" style="14" customWidth="1"/>
    <col min="2323" max="2323" width="22.28515625" style="14" customWidth="1"/>
    <col min="2324" max="2324" width="24.85546875" style="14" customWidth="1"/>
    <col min="2325" max="2325" width="21.140625" style="14" customWidth="1"/>
    <col min="2326" max="2326" width="21.42578125" style="14" customWidth="1"/>
    <col min="2327" max="2327" width="27.85546875" style="14" customWidth="1"/>
    <col min="2328" max="2328" width="23.42578125" style="14" customWidth="1"/>
    <col min="2329" max="2329" width="21.42578125" style="14" customWidth="1"/>
    <col min="2330" max="2332" width="20.7109375" style="14" customWidth="1"/>
    <col min="2333" max="2333" width="32.28515625" style="14" bestFit="1" customWidth="1"/>
    <col min="2334" max="2334" width="20.7109375" style="14" customWidth="1"/>
    <col min="2335" max="2335" width="22" style="14" customWidth="1"/>
    <col min="2336" max="2339" width="21.28515625" style="14" customWidth="1"/>
    <col min="2340" max="2340" width="22.28515625" style="14" customWidth="1"/>
    <col min="2341" max="2342" width="11.42578125" style="14"/>
    <col min="2343" max="2343" width="14.85546875" style="14" bestFit="1" customWidth="1"/>
    <col min="2344" max="2568" width="11.42578125" style="14"/>
    <col min="2569" max="2569" width="34.42578125" style="14" customWidth="1"/>
    <col min="2570" max="2571" width="19.42578125" style="14" bestFit="1" customWidth="1"/>
    <col min="2572" max="2572" width="19.7109375" style="14" customWidth="1"/>
    <col min="2573" max="2574" width="20.42578125" style="14" customWidth="1"/>
    <col min="2575" max="2576" width="19.7109375" style="14" customWidth="1"/>
    <col min="2577" max="2577" width="25.28515625" style="14" customWidth="1"/>
    <col min="2578" max="2578" width="26" style="14" customWidth="1"/>
    <col min="2579" max="2579" width="22.28515625" style="14" customWidth="1"/>
    <col min="2580" max="2580" width="24.85546875" style="14" customWidth="1"/>
    <col min="2581" max="2581" width="21.140625" style="14" customWidth="1"/>
    <col min="2582" max="2582" width="21.42578125" style="14" customWidth="1"/>
    <col min="2583" max="2583" width="27.85546875" style="14" customWidth="1"/>
    <col min="2584" max="2584" width="23.42578125" style="14" customWidth="1"/>
    <col min="2585" max="2585" width="21.42578125" style="14" customWidth="1"/>
    <col min="2586" max="2588" width="20.7109375" style="14" customWidth="1"/>
    <col min="2589" max="2589" width="32.28515625" style="14" bestFit="1" customWidth="1"/>
    <col min="2590" max="2590" width="20.7109375" style="14" customWidth="1"/>
    <col min="2591" max="2591" width="22" style="14" customWidth="1"/>
    <col min="2592" max="2595" width="21.28515625" style="14" customWidth="1"/>
    <col min="2596" max="2596" width="22.28515625" style="14" customWidth="1"/>
    <col min="2597" max="2598" width="11.42578125" style="14"/>
    <col min="2599" max="2599" width="14.85546875" style="14" bestFit="1" customWidth="1"/>
    <col min="2600" max="2824" width="11.42578125" style="14"/>
    <col min="2825" max="2825" width="34.42578125" style="14" customWidth="1"/>
    <col min="2826" max="2827" width="19.42578125" style="14" bestFit="1" customWidth="1"/>
    <col min="2828" max="2828" width="19.7109375" style="14" customWidth="1"/>
    <col min="2829" max="2830" width="20.42578125" style="14" customWidth="1"/>
    <col min="2831" max="2832" width="19.7109375" style="14" customWidth="1"/>
    <col min="2833" max="2833" width="25.28515625" style="14" customWidth="1"/>
    <col min="2834" max="2834" width="26" style="14" customWidth="1"/>
    <col min="2835" max="2835" width="22.28515625" style="14" customWidth="1"/>
    <col min="2836" max="2836" width="24.85546875" style="14" customWidth="1"/>
    <col min="2837" max="2837" width="21.140625" style="14" customWidth="1"/>
    <col min="2838" max="2838" width="21.42578125" style="14" customWidth="1"/>
    <col min="2839" max="2839" width="27.85546875" style="14" customWidth="1"/>
    <col min="2840" max="2840" width="23.42578125" style="14" customWidth="1"/>
    <col min="2841" max="2841" width="21.42578125" style="14" customWidth="1"/>
    <col min="2842" max="2844" width="20.7109375" style="14" customWidth="1"/>
    <col min="2845" max="2845" width="32.28515625" style="14" bestFit="1" customWidth="1"/>
    <col min="2846" max="2846" width="20.7109375" style="14" customWidth="1"/>
    <col min="2847" max="2847" width="22" style="14" customWidth="1"/>
    <col min="2848" max="2851" width="21.28515625" style="14" customWidth="1"/>
    <col min="2852" max="2852" width="22.28515625" style="14" customWidth="1"/>
    <col min="2853" max="2854" width="11.42578125" style="14"/>
    <col min="2855" max="2855" width="14.85546875" style="14" bestFit="1" customWidth="1"/>
    <col min="2856" max="3080" width="11.42578125" style="14"/>
    <col min="3081" max="3081" width="34.42578125" style="14" customWidth="1"/>
    <col min="3082" max="3083" width="19.42578125" style="14" bestFit="1" customWidth="1"/>
    <col min="3084" max="3084" width="19.7109375" style="14" customWidth="1"/>
    <col min="3085" max="3086" width="20.42578125" style="14" customWidth="1"/>
    <col min="3087" max="3088" width="19.7109375" style="14" customWidth="1"/>
    <col min="3089" max="3089" width="25.28515625" style="14" customWidth="1"/>
    <col min="3090" max="3090" width="26" style="14" customWidth="1"/>
    <col min="3091" max="3091" width="22.28515625" style="14" customWidth="1"/>
    <col min="3092" max="3092" width="24.85546875" style="14" customWidth="1"/>
    <col min="3093" max="3093" width="21.140625" style="14" customWidth="1"/>
    <col min="3094" max="3094" width="21.42578125" style="14" customWidth="1"/>
    <col min="3095" max="3095" width="27.85546875" style="14" customWidth="1"/>
    <col min="3096" max="3096" width="23.42578125" style="14" customWidth="1"/>
    <col min="3097" max="3097" width="21.42578125" style="14" customWidth="1"/>
    <col min="3098" max="3100" width="20.7109375" style="14" customWidth="1"/>
    <col min="3101" max="3101" width="32.28515625" style="14" bestFit="1" customWidth="1"/>
    <col min="3102" max="3102" width="20.7109375" style="14" customWidth="1"/>
    <col min="3103" max="3103" width="22" style="14" customWidth="1"/>
    <col min="3104" max="3107" width="21.28515625" style="14" customWidth="1"/>
    <col min="3108" max="3108" width="22.28515625" style="14" customWidth="1"/>
    <col min="3109" max="3110" width="11.42578125" style="14"/>
    <col min="3111" max="3111" width="14.85546875" style="14" bestFit="1" customWidth="1"/>
    <col min="3112" max="3336" width="11.42578125" style="14"/>
    <col min="3337" max="3337" width="34.42578125" style="14" customWidth="1"/>
    <col min="3338" max="3339" width="19.42578125" style="14" bestFit="1" customWidth="1"/>
    <col min="3340" max="3340" width="19.7109375" style="14" customWidth="1"/>
    <col min="3341" max="3342" width="20.42578125" style="14" customWidth="1"/>
    <col min="3343" max="3344" width="19.7109375" style="14" customWidth="1"/>
    <col min="3345" max="3345" width="25.28515625" style="14" customWidth="1"/>
    <col min="3346" max="3346" width="26" style="14" customWidth="1"/>
    <col min="3347" max="3347" width="22.28515625" style="14" customWidth="1"/>
    <col min="3348" max="3348" width="24.85546875" style="14" customWidth="1"/>
    <col min="3349" max="3349" width="21.140625" style="14" customWidth="1"/>
    <col min="3350" max="3350" width="21.42578125" style="14" customWidth="1"/>
    <col min="3351" max="3351" width="27.85546875" style="14" customWidth="1"/>
    <col min="3352" max="3352" width="23.42578125" style="14" customWidth="1"/>
    <col min="3353" max="3353" width="21.42578125" style="14" customWidth="1"/>
    <col min="3354" max="3356" width="20.7109375" style="14" customWidth="1"/>
    <col min="3357" max="3357" width="32.28515625" style="14" bestFit="1" customWidth="1"/>
    <col min="3358" max="3358" width="20.7109375" style="14" customWidth="1"/>
    <col min="3359" max="3359" width="22" style="14" customWidth="1"/>
    <col min="3360" max="3363" width="21.28515625" style="14" customWidth="1"/>
    <col min="3364" max="3364" width="22.28515625" style="14" customWidth="1"/>
    <col min="3365" max="3366" width="11.42578125" style="14"/>
    <col min="3367" max="3367" width="14.85546875" style="14" bestFit="1" customWidth="1"/>
    <col min="3368" max="3592" width="11.42578125" style="14"/>
    <col min="3593" max="3593" width="34.42578125" style="14" customWidth="1"/>
    <col min="3594" max="3595" width="19.42578125" style="14" bestFit="1" customWidth="1"/>
    <col min="3596" max="3596" width="19.7109375" style="14" customWidth="1"/>
    <col min="3597" max="3598" width="20.42578125" style="14" customWidth="1"/>
    <col min="3599" max="3600" width="19.7109375" style="14" customWidth="1"/>
    <col min="3601" max="3601" width="25.28515625" style="14" customWidth="1"/>
    <col min="3602" max="3602" width="26" style="14" customWidth="1"/>
    <col min="3603" max="3603" width="22.28515625" style="14" customWidth="1"/>
    <col min="3604" max="3604" width="24.85546875" style="14" customWidth="1"/>
    <col min="3605" max="3605" width="21.140625" style="14" customWidth="1"/>
    <col min="3606" max="3606" width="21.42578125" style="14" customWidth="1"/>
    <col min="3607" max="3607" width="27.85546875" style="14" customWidth="1"/>
    <col min="3608" max="3608" width="23.42578125" style="14" customWidth="1"/>
    <col min="3609" max="3609" width="21.42578125" style="14" customWidth="1"/>
    <col min="3610" max="3612" width="20.7109375" style="14" customWidth="1"/>
    <col min="3613" max="3613" width="32.28515625" style="14" bestFit="1" customWidth="1"/>
    <col min="3614" max="3614" width="20.7109375" style="14" customWidth="1"/>
    <col min="3615" max="3615" width="22" style="14" customWidth="1"/>
    <col min="3616" max="3619" width="21.28515625" style="14" customWidth="1"/>
    <col min="3620" max="3620" width="22.28515625" style="14" customWidth="1"/>
    <col min="3621" max="3622" width="11.42578125" style="14"/>
    <col min="3623" max="3623" width="14.85546875" style="14" bestFit="1" customWidth="1"/>
    <col min="3624" max="3848" width="11.42578125" style="14"/>
    <col min="3849" max="3849" width="34.42578125" style="14" customWidth="1"/>
    <col min="3850" max="3851" width="19.42578125" style="14" bestFit="1" customWidth="1"/>
    <col min="3852" max="3852" width="19.7109375" style="14" customWidth="1"/>
    <col min="3853" max="3854" width="20.42578125" style="14" customWidth="1"/>
    <col min="3855" max="3856" width="19.7109375" style="14" customWidth="1"/>
    <col min="3857" max="3857" width="25.28515625" style="14" customWidth="1"/>
    <col min="3858" max="3858" width="26" style="14" customWidth="1"/>
    <col min="3859" max="3859" width="22.28515625" style="14" customWidth="1"/>
    <col min="3860" max="3860" width="24.85546875" style="14" customWidth="1"/>
    <col min="3861" max="3861" width="21.140625" style="14" customWidth="1"/>
    <col min="3862" max="3862" width="21.42578125" style="14" customWidth="1"/>
    <col min="3863" max="3863" width="27.85546875" style="14" customWidth="1"/>
    <col min="3864" max="3864" width="23.42578125" style="14" customWidth="1"/>
    <col min="3865" max="3865" width="21.42578125" style="14" customWidth="1"/>
    <col min="3866" max="3868" width="20.7109375" style="14" customWidth="1"/>
    <col min="3869" max="3869" width="32.28515625" style="14" bestFit="1" customWidth="1"/>
    <col min="3870" max="3870" width="20.7109375" style="14" customWidth="1"/>
    <col min="3871" max="3871" width="22" style="14" customWidth="1"/>
    <col min="3872" max="3875" width="21.28515625" style="14" customWidth="1"/>
    <col min="3876" max="3876" width="22.28515625" style="14" customWidth="1"/>
    <col min="3877" max="3878" width="11.42578125" style="14"/>
    <col min="3879" max="3879" width="14.85546875" style="14" bestFit="1" customWidth="1"/>
    <col min="3880" max="4104" width="11.42578125" style="14"/>
    <col min="4105" max="4105" width="34.42578125" style="14" customWidth="1"/>
    <col min="4106" max="4107" width="19.42578125" style="14" bestFit="1" customWidth="1"/>
    <col min="4108" max="4108" width="19.7109375" style="14" customWidth="1"/>
    <col min="4109" max="4110" width="20.42578125" style="14" customWidth="1"/>
    <col min="4111" max="4112" width="19.7109375" style="14" customWidth="1"/>
    <col min="4113" max="4113" width="25.28515625" style="14" customWidth="1"/>
    <col min="4114" max="4114" width="26" style="14" customWidth="1"/>
    <col min="4115" max="4115" width="22.28515625" style="14" customWidth="1"/>
    <col min="4116" max="4116" width="24.85546875" style="14" customWidth="1"/>
    <col min="4117" max="4117" width="21.140625" style="14" customWidth="1"/>
    <col min="4118" max="4118" width="21.42578125" style="14" customWidth="1"/>
    <col min="4119" max="4119" width="27.85546875" style="14" customWidth="1"/>
    <col min="4120" max="4120" width="23.42578125" style="14" customWidth="1"/>
    <col min="4121" max="4121" width="21.42578125" style="14" customWidth="1"/>
    <col min="4122" max="4124" width="20.7109375" style="14" customWidth="1"/>
    <col min="4125" max="4125" width="32.28515625" style="14" bestFit="1" customWidth="1"/>
    <col min="4126" max="4126" width="20.7109375" style="14" customWidth="1"/>
    <col min="4127" max="4127" width="22" style="14" customWidth="1"/>
    <col min="4128" max="4131" width="21.28515625" style="14" customWidth="1"/>
    <col min="4132" max="4132" width="22.28515625" style="14" customWidth="1"/>
    <col min="4133" max="4134" width="11.42578125" style="14"/>
    <col min="4135" max="4135" width="14.85546875" style="14" bestFit="1" customWidth="1"/>
    <col min="4136" max="4360" width="11.42578125" style="14"/>
    <col min="4361" max="4361" width="34.42578125" style="14" customWidth="1"/>
    <col min="4362" max="4363" width="19.42578125" style="14" bestFit="1" customWidth="1"/>
    <col min="4364" max="4364" width="19.7109375" style="14" customWidth="1"/>
    <col min="4365" max="4366" width="20.42578125" style="14" customWidth="1"/>
    <col min="4367" max="4368" width="19.7109375" style="14" customWidth="1"/>
    <col min="4369" max="4369" width="25.28515625" style="14" customWidth="1"/>
    <col min="4370" max="4370" width="26" style="14" customWidth="1"/>
    <col min="4371" max="4371" width="22.28515625" style="14" customWidth="1"/>
    <col min="4372" max="4372" width="24.85546875" style="14" customWidth="1"/>
    <col min="4373" max="4373" width="21.140625" style="14" customWidth="1"/>
    <col min="4374" max="4374" width="21.42578125" style="14" customWidth="1"/>
    <col min="4375" max="4375" width="27.85546875" style="14" customWidth="1"/>
    <col min="4376" max="4376" width="23.42578125" style="14" customWidth="1"/>
    <col min="4377" max="4377" width="21.42578125" style="14" customWidth="1"/>
    <col min="4378" max="4380" width="20.7109375" style="14" customWidth="1"/>
    <col min="4381" max="4381" width="32.28515625" style="14" bestFit="1" customWidth="1"/>
    <col min="4382" max="4382" width="20.7109375" style="14" customWidth="1"/>
    <col min="4383" max="4383" width="22" style="14" customWidth="1"/>
    <col min="4384" max="4387" width="21.28515625" style="14" customWidth="1"/>
    <col min="4388" max="4388" width="22.28515625" style="14" customWidth="1"/>
    <col min="4389" max="4390" width="11.42578125" style="14"/>
    <col min="4391" max="4391" width="14.85546875" style="14" bestFit="1" customWidth="1"/>
    <col min="4392" max="4616" width="11.42578125" style="14"/>
    <col min="4617" max="4617" width="34.42578125" style="14" customWidth="1"/>
    <col min="4618" max="4619" width="19.42578125" style="14" bestFit="1" customWidth="1"/>
    <col min="4620" max="4620" width="19.7109375" style="14" customWidth="1"/>
    <col min="4621" max="4622" width="20.42578125" style="14" customWidth="1"/>
    <col min="4623" max="4624" width="19.7109375" style="14" customWidth="1"/>
    <col min="4625" max="4625" width="25.28515625" style="14" customWidth="1"/>
    <col min="4626" max="4626" width="26" style="14" customWidth="1"/>
    <col min="4627" max="4627" width="22.28515625" style="14" customWidth="1"/>
    <col min="4628" max="4628" width="24.85546875" style="14" customWidth="1"/>
    <col min="4629" max="4629" width="21.140625" style="14" customWidth="1"/>
    <col min="4630" max="4630" width="21.42578125" style="14" customWidth="1"/>
    <col min="4631" max="4631" width="27.85546875" style="14" customWidth="1"/>
    <col min="4632" max="4632" width="23.42578125" style="14" customWidth="1"/>
    <col min="4633" max="4633" width="21.42578125" style="14" customWidth="1"/>
    <col min="4634" max="4636" width="20.7109375" style="14" customWidth="1"/>
    <col min="4637" max="4637" width="32.28515625" style="14" bestFit="1" customWidth="1"/>
    <col min="4638" max="4638" width="20.7109375" style="14" customWidth="1"/>
    <col min="4639" max="4639" width="22" style="14" customWidth="1"/>
    <col min="4640" max="4643" width="21.28515625" style="14" customWidth="1"/>
    <col min="4644" max="4644" width="22.28515625" style="14" customWidth="1"/>
    <col min="4645" max="4646" width="11.42578125" style="14"/>
    <col min="4647" max="4647" width="14.85546875" style="14" bestFit="1" customWidth="1"/>
    <col min="4648" max="4872" width="11.42578125" style="14"/>
    <col min="4873" max="4873" width="34.42578125" style="14" customWidth="1"/>
    <col min="4874" max="4875" width="19.42578125" style="14" bestFit="1" customWidth="1"/>
    <col min="4876" max="4876" width="19.7109375" style="14" customWidth="1"/>
    <col min="4877" max="4878" width="20.42578125" style="14" customWidth="1"/>
    <col min="4879" max="4880" width="19.7109375" style="14" customWidth="1"/>
    <col min="4881" max="4881" width="25.28515625" style="14" customWidth="1"/>
    <col min="4882" max="4882" width="26" style="14" customWidth="1"/>
    <col min="4883" max="4883" width="22.28515625" style="14" customWidth="1"/>
    <col min="4884" max="4884" width="24.85546875" style="14" customWidth="1"/>
    <col min="4885" max="4885" width="21.140625" style="14" customWidth="1"/>
    <col min="4886" max="4886" width="21.42578125" style="14" customWidth="1"/>
    <col min="4887" max="4887" width="27.85546875" style="14" customWidth="1"/>
    <col min="4888" max="4888" width="23.42578125" style="14" customWidth="1"/>
    <col min="4889" max="4889" width="21.42578125" style="14" customWidth="1"/>
    <col min="4890" max="4892" width="20.7109375" style="14" customWidth="1"/>
    <col min="4893" max="4893" width="32.28515625" style="14" bestFit="1" customWidth="1"/>
    <col min="4894" max="4894" width="20.7109375" style="14" customWidth="1"/>
    <col min="4895" max="4895" width="22" style="14" customWidth="1"/>
    <col min="4896" max="4899" width="21.28515625" style="14" customWidth="1"/>
    <col min="4900" max="4900" width="22.28515625" style="14" customWidth="1"/>
    <col min="4901" max="4902" width="11.42578125" style="14"/>
    <col min="4903" max="4903" width="14.85546875" style="14" bestFit="1" customWidth="1"/>
    <col min="4904" max="5128" width="11.42578125" style="14"/>
    <col min="5129" max="5129" width="34.42578125" style="14" customWidth="1"/>
    <col min="5130" max="5131" width="19.42578125" style="14" bestFit="1" customWidth="1"/>
    <col min="5132" max="5132" width="19.7109375" style="14" customWidth="1"/>
    <col min="5133" max="5134" width="20.42578125" style="14" customWidth="1"/>
    <col min="5135" max="5136" width="19.7109375" style="14" customWidth="1"/>
    <col min="5137" max="5137" width="25.28515625" style="14" customWidth="1"/>
    <col min="5138" max="5138" width="26" style="14" customWidth="1"/>
    <col min="5139" max="5139" width="22.28515625" style="14" customWidth="1"/>
    <col min="5140" max="5140" width="24.85546875" style="14" customWidth="1"/>
    <col min="5141" max="5141" width="21.140625" style="14" customWidth="1"/>
    <col min="5142" max="5142" width="21.42578125" style="14" customWidth="1"/>
    <col min="5143" max="5143" width="27.85546875" style="14" customWidth="1"/>
    <col min="5144" max="5144" width="23.42578125" style="14" customWidth="1"/>
    <col min="5145" max="5145" width="21.42578125" style="14" customWidth="1"/>
    <col min="5146" max="5148" width="20.7109375" style="14" customWidth="1"/>
    <col min="5149" max="5149" width="32.28515625" style="14" bestFit="1" customWidth="1"/>
    <col min="5150" max="5150" width="20.7109375" style="14" customWidth="1"/>
    <col min="5151" max="5151" width="22" style="14" customWidth="1"/>
    <col min="5152" max="5155" width="21.28515625" style="14" customWidth="1"/>
    <col min="5156" max="5156" width="22.28515625" style="14" customWidth="1"/>
    <col min="5157" max="5158" width="11.42578125" style="14"/>
    <col min="5159" max="5159" width="14.85546875" style="14" bestFit="1" customWidth="1"/>
    <col min="5160" max="5384" width="11.42578125" style="14"/>
    <col min="5385" max="5385" width="34.42578125" style="14" customWidth="1"/>
    <col min="5386" max="5387" width="19.42578125" style="14" bestFit="1" customWidth="1"/>
    <col min="5388" max="5388" width="19.7109375" style="14" customWidth="1"/>
    <col min="5389" max="5390" width="20.42578125" style="14" customWidth="1"/>
    <col min="5391" max="5392" width="19.7109375" style="14" customWidth="1"/>
    <col min="5393" max="5393" width="25.28515625" style="14" customWidth="1"/>
    <col min="5394" max="5394" width="26" style="14" customWidth="1"/>
    <col min="5395" max="5395" width="22.28515625" style="14" customWidth="1"/>
    <col min="5396" max="5396" width="24.85546875" style="14" customWidth="1"/>
    <col min="5397" max="5397" width="21.140625" style="14" customWidth="1"/>
    <col min="5398" max="5398" width="21.42578125" style="14" customWidth="1"/>
    <col min="5399" max="5399" width="27.85546875" style="14" customWidth="1"/>
    <col min="5400" max="5400" width="23.42578125" style="14" customWidth="1"/>
    <col min="5401" max="5401" width="21.42578125" style="14" customWidth="1"/>
    <col min="5402" max="5404" width="20.7109375" style="14" customWidth="1"/>
    <col min="5405" max="5405" width="32.28515625" style="14" bestFit="1" customWidth="1"/>
    <col min="5406" max="5406" width="20.7109375" style="14" customWidth="1"/>
    <col min="5407" max="5407" width="22" style="14" customWidth="1"/>
    <col min="5408" max="5411" width="21.28515625" style="14" customWidth="1"/>
    <col min="5412" max="5412" width="22.28515625" style="14" customWidth="1"/>
    <col min="5413" max="5414" width="11.42578125" style="14"/>
    <col min="5415" max="5415" width="14.85546875" style="14" bestFit="1" customWidth="1"/>
    <col min="5416" max="5640" width="11.42578125" style="14"/>
    <col min="5641" max="5641" width="34.42578125" style="14" customWidth="1"/>
    <col min="5642" max="5643" width="19.42578125" style="14" bestFit="1" customWidth="1"/>
    <col min="5644" max="5644" width="19.7109375" style="14" customWidth="1"/>
    <col min="5645" max="5646" width="20.42578125" style="14" customWidth="1"/>
    <col min="5647" max="5648" width="19.7109375" style="14" customWidth="1"/>
    <col min="5649" max="5649" width="25.28515625" style="14" customWidth="1"/>
    <col min="5650" max="5650" width="26" style="14" customWidth="1"/>
    <col min="5651" max="5651" width="22.28515625" style="14" customWidth="1"/>
    <col min="5652" max="5652" width="24.85546875" style="14" customWidth="1"/>
    <col min="5653" max="5653" width="21.140625" style="14" customWidth="1"/>
    <col min="5654" max="5654" width="21.42578125" style="14" customWidth="1"/>
    <col min="5655" max="5655" width="27.85546875" style="14" customWidth="1"/>
    <col min="5656" max="5656" width="23.42578125" style="14" customWidth="1"/>
    <col min="5657" max="5657" width="21.42578125" style="14" customWidth="1"/>
    <col min="5658" max="5660" width="20.7109375" style="14" customWidth="1"/>
    <col min="5661" max="5661" width="32.28515625" style="14" bestFit="1" customWidth="1"/>
    <col min="5662" max="5662" width="20.7109375" style="14" customWidth="1"/>
    <col min="5663" max="5663" width="22" style="14" customWidth="1"/>
    <col min="5664" max="5667" width="21.28515625" style="14" customWidth="1"/>
    <col min="5668" max="5668" width="22.28515625" style="14" customWidth="1"/>
    <col min="5669" max="5670" width="11.42578125" style="14"/>
    <col min="5671" max="5671" width="14.85546875" style="14" bestFit="1" customWidth="1"/>
    <col min="5672" max="5896" width="11.42578125" style="14"/>
    <col min="5897" max="5897" width="34.42578125" style="14" customWidth="1"/>
    <col min="5898" max="5899" width="19.42578125" style="14" bestFit="1" customWidth="1"/>
    <col min="5900" max="5900" width="19.7109375" style="14" customWidth="1"/>
    <col min="5901" max="5902" width="20.42578125" style="14" customWidth="1"/>
    <col min="5903" max="5904" width="19.7109375" style="14" customWidth="1"/>
    <col min="5905" max="5905" width="25.28515625" style="14" customWidth="1"/>
    <col min="5906" max="5906" width="26" style="14" customWidth="1"/>
    <col min="5907" max="5907" width="22.28515625" style="14" customWidth="1"/>
    <col min="5908" max="5908" width="24.85546875" style="14" customWidth="1"/>
    <col min="5909" max="5909" width="21.140625" style="14" customWidth="1"/>
    <col min="5910" max="5910" width="21.42578125" style="14" customWidth="1"/>
    <col min="5911" max="5911" width="27.85546875" style="14" customWidth="1"/>
    <col min="5912" max="5912" width="23.42578125" style="14" customWidth="1"/>
    <col min="5913" max="5913" width="21.42578125" style="14" customWidth="1"/>
    <col min="5914" max="5916" width="20.7109375" style="14" customWidth="1"/>
    <col min="5917" max="5917" width="32.28515625" style="14" bestFit="1" customWidth="1"/>
    <col min="5918" max="5918" width="20.7109375" style="14" customWidth="1"/>
    <col min="5919" max="5919" width="22" style="14" customWidth="1"/>
    <col min="5920" max="5923" width="21.28515625" style="14" customWidth="1"/>
    <col min="5924" max="5924" width="22.28515625" style="14" customWidth="1"/>
    <col min="5925" max="5926" width="11.42578125" style="14"/>
    <col min="5927" max="5927" width="14.85546875" style="14" bestFit="1" customWidth="1"/>
    <col min="5928" max="6152" width="11.42578125" style="14"/>
    <col min="6153" max="6153" width="34.42578125" style="14" customWidth="1"/>
    <col min="6154" max="6155" width="19.42578125" style="14" bestFit="1" customWidth="1"/>
    <col min="6156" max="6156" width="19.7109375" style="14" customWidth="1"/>
    <col min="6157" max="6158" width="20.42578125" style="14" customWidth="1"/>
    <col min="6159" max="6160" width="19.7109375" style="14" customWidth="1"/>
    <col min="6161" max="6161" width="25.28515625" style="14" customWidth="1"/>
    <col min="6162" max="6162" width="26" style="14" customWidth="1"/>
    <col min="6163" max="6163" width="22.28515625" style="14" customWidth="1"/>
    <col min="6164" max="6164" width="24.85546875" style="14" customWidth="1"/>
    <col min="6165" max="6165" width="21.140625" style="14" customWidth="1"/>
    <col min="6166" max="6166" width="21.42578125" style="14" customWidth="1"/>
    <col min="6167" max="6167" width="27.85546875" style="14" customWidth="1"/>
    <col min="6168" max="6168" width="23.42578125" style="14" customWidth="1"/>
    <col min="6169" max="6169" width="21.42578125" style="14" customWidth="1"/>
    <col min="6170" max="6172" width="20.7109375" style="14" customWidth="1"/>
    <col min="6173" max="6173" width="32.28515625" style="14" bestFit="1" customWidth="1"/>
    <col min="6174" max="6174" width="20.7109375" style="14" customWidth="1"/>
    <col min="6175" max="6175" width="22" style="14" customWidth="1"/>
    <col min="6176" max="6179" width="21.28515625" style="14" customWidth="1"/>
    <col min="6180" max="6180" width="22.28515625" style="14" customWidth="1"/>
    <col min="6181" max="6182" width="11.42578125" style="14"/>
    <col min="6183" max="6183" width="14.85546875" style="14" bestFit="1" customWidth="1"/>
    <col min="6184" max="6408" width="11.42578125" style="14"/>
    <col min="6409" max="6409" width="34.42578125" style="14" customWidth="1"/>
    <col min="6410" max="6411" width="19.42578125" style="14" bestFit="1" customWidth="1"/>
    <col min="6412" max="6412" width="19.7109375" style="14" customWidth="1"/>
    <col min="6413" max="6414" width="20.42578125" style="14" customWidth="1"/>
    <col min="6415" max="6416" width="19.7109375" style="14" customWidth="1"/>
    <col min="6417" max="6417" width="25.28515625" style="14" customWidth="1"/>
    <col min="6418" max="6418" width="26" style="14" customWidth="1"/>
    <col min="6419" max="6419" width="22.28515625" style="14" customWidth="1"/>
    <col min="6420" max="6420" width="24.85546875" style="14" customWidth="1"/>
    <col min="6421" max="6421" width="21.140625" style="14" customWidth="1"/>
    <col min="6422" max="6422" width="21.42578125" style="14" customWidth="1"/>
    <col min="6423" max="6423" width="27.85546875" style="14" customWidth="1"/>
    <col min="6424" max="6424" width="23.42578125" style="14" customWidth="1"/>
    <col min="6425" max="6425" width="21.42578125" style="14" customWidth="1"/>
    <col min="6426" max="6428" width="20.7109375" style="14" customWidth="1"/>
    <col min="6429" max="6429" width="32.28515625" style="14" bestFit="1" customWidth="1"/>
    <col min="6430" max="6430" width="20.7109375" style="14" customWidth="1"/>
    <col min="6431" max="6431" width="22" style="14" customWidth="1"/>
    <col min="6432" max="6435" width="21.28515625" style="14" customWidth="1"/>
    <col min="6436" max="6436" width="22.28515625" style="14" customWidth="1"/>
    <col min="6437" max="6438" width="11.42578125" style="14"/>
    <col min="6439" max="6439" width="14.85546875" style="14" bestFit="1" customWidth="1"/>
    <col min="6440" max="6664" width="11.42578125" style="14"/>
    <col min="6665" max="6665" width="34.42578125" style="14" customWidth="1"/>
    <col min="6666" max="6667" width="19.42578125" style="14" bestFit="1" customWidth="1"/>
    <col min="6668" max="6668" width="19.7109375" style="14" customWidth="1"/>
    <col min="6669" max="6670" width="20.42578125" style="14" customWidth="1"/>
    <col min="6671" max="6672" width="19.7109375" style="14" customWidth="1"/>
    <col min="6673" max="6673" width="25.28515625" style="14" customWidth="1"/>
    <col min="6674" max="6674" width="26" style="14" customWidth="1"/>
    <col min="6675" max="6675" width="22.28515625" style="14" customWidth="1"/>
    <col min="6676" max="6676" width="24.85546875" style="14" customWidth="1"/>
    <col min="6677" max="6677" width="21.140625" style="14" customWidth="1"/>
    <col min="6678" max="6678" width="21.42578125" style="14" customWidth="1"/>
    <col min="6679" max="6679" width="27.85546875" style="14" customWidth="1"/>
    <col min="6680" max="6680" width="23.42578125" style="14" customWidth="1"/>
    <col min="6681" max="6681" width="21.42578125" style="14" customWidth="1"/>
    <col min="6682" max="6684" width="20.7109375" style="14" customWidth="1"/>
    <col min="6685" max="6685" width="32.28515625" style="14" bestFit="1" customWidth="1"/>
    <col min="6686" max="6686" width="20.7109375" style="14" customWidth="1"/>
    <col min="6687" max="6687" width="22" style="14" customWidth="1"/>
    <col min="6688" max="6691" width="21.28515625" style="14" customWidth="1"/>
    <col min="6692" max="6692" width="22.28515625" style="14" customWidth="1"/>
    <col min="6693" max="6694" width="11.42578125" style="14"/>
    <col min="6695" max="6695" width="14.85546875" style="14" bestFit="1" customWidth="1"/>
    <col min="6696" max="6920" width="11.42578125" style="14"/>
    <col min="6921" max="6921" width="34.42578125" style="14" customWidth="1"/>
    <col min="6922" max="6923" width="19.42578125" style="14" bestFit="1" customWidth="1"/>
    <col min="6924" max="6924" width="19.7109375" style="14" customWidth="1"/>
    <col min="6925" max="6926" width="20.42578125" style="14" customWidth="1"/>
    <col min="6927" max="6928" width="19.7109375" style="14" customWidth="1"/>
    <col min="6929" max="6929" width="25.28515625" style="14" customWidth="1"/>
    <col min="6930" max="6930" width="26" style="14" customWidth="1"/>
    <col min="6931" max="6931" width="22.28515625" style="14" customWidth="1"/>
    <col min="6932" max="6932" width="24.85546875" style="14" customWidth="1"/>
    <col min="6933" max="6933" width="21.140625" style="14" customWidth="1"/>
    <col min="6934" max="6934" width="21.42578125" style="14" customWidth="1"/>
    <col min="6935" max="6935" width="27.85546875" style="14" customWidth="1"/>
    <col min="6936" max="6936" width="23.42578125" style="14" customWidth="1"/>
    <col min="6937" max="6937" width="21.42578125" style="14" customWidth="1"/>
    <col min="6938" max="6940" width="20.7109375" style="14" customWidth="1"/>
    <col min="6941" max="6941" width="32.28515625" style="14" bestFit="1" customWidth="1"/>
    <col min="6942" max="6942" width="20.7109375" style="14" customWidth="1"/>
    <col min="6943" max="6943" width="22" style="14" customWidth="1"/>
    <col min="6944" max="6947" width="21.28515625" style="14" customWidth="1"/>
    <col min="6948" max="6948" width="22.28515625" style="14" customWidth="1"/>
    <col min="6949" max="6950" width="11.42578125" style="14"/>
    <col min="6951" max="6951" width="14.85546875" style="14" bestFit="1" customWidth="1"/>
    <col min="6952" max="7176" width="11.42578125" style="14"/>
    <col min="7177" max="7177" width="34.42578125" style="14" customWidth="1"/>
    <col min="7178" max="7179" width="19.42578125" style="14" bestFit="1" customWidth="1"/>
    <col min="7180" max="7180" width="19.7109375" style="14" customWidth="1"/>
    <col min="7181" max="7182" width="20.42578125" style="14" customWidth="1"/>
    <col min="7183" max="7184" width="19.7109375" style="14" customWidth="1"/>
    <col min="7185" max="7185" width="25.28515625" style="14" customWidth="1"/>
    <col min="7186" max="7186" width="26" style="14" customWidth="1"/>
    <col min="7187" max="7187" width="22.28515625" style="14" customWidth="1"/>
    <col min="7188" max="7188" width="24.85546875" style="14" customWidth="1"/>
    <col min="7189" max="7189" width="21.140625" style="14" customWidth="1"/>
    <col min="7190" max="7190" width="21.42578125" style="14" customWidth="1"/>
    <col min="7191" max="7191" width="27.85546875" style="14" customWidth="1"/>
    <col min="7192" max="7192" width="23.42578125" style="14" customWidth="1"/>
    <col min="7193" max="7193" width="21.42578125" style="14" customWidth="1"/>
    <col min="7194" max="7196" width="20.7109375" style="14" customWidth="1"/>
    <col min="7197" max="7197" width="32.28515625" style="14" bestFit="1" customWidth="1"/>
    <col min="7198" max="7198" width="20.7109375" style="14" customWidth="1"/>
    <col min="7199" max="7199" width="22" style="14" customWidth="1"/>
    <col min="7200" max="7203" width="21.28515625" style="14" customWidth="1"/>
    <col min="7204" max="7204" width="22.28515625" style="14" customWidth="1"/>
    <col min="7205" max="7206" width="11.42578125" style="14"/>
    <col min="7207" max="7207" width="14.85546875" style="14" bestFit="1" customWidth="1"/>
    <col min="7208" max="7432" width="11.42578125" style="14"/>
    <col min="7433" max="7433" width="34.42578125" style="14" customWidth="1"/>
    <col min="7434" max="7435" width="19.42578125" style="14" bestFit="1" customWidth="1"/>
    <col min="7436" max="7436" width="19.7109375" style="14" customWidth="1"/>
    <col min="7437" max="7438" width="20.42578125" style="14" customWidth="1"/>
    <col min="7439" max="7440" width="19.7109375" style="14" customWidth="1"/>
    <col min="7441" max="7441" width="25.28515625" style="14" customWidth="1"/>
    <col min="7442" max="7442" width="26" style="14" customWidth="1"/>
    <col min="7443" max="7443" width="22.28515625" style="14" customWidth="1"/>
    <col min="7444" max="7444" width="24.85546875" style="14" customWidth="1"/>
    <col min="7445" max="7445" width="21.140625" style="14" customWidth="1"/>
    <col min="7446" max="7446" width="21.42578125" style="14" customWidth="1"/>
    <col min="7447" max="7447" width="27.85546875" style="14" customWidth="1"/>
    <col min="7448" max="7448" width="23.42578125" style="14" customWidth="1"/>
    <col min="7449" max="7449" width="21.42578125" style="14" customWidth="1"/>
    <col min="7450" max="7452" width="20.7109375" style="14" customWidth="1"/>
    <col min="7453" max="7453" width="32.28515625" style="14" bestFit="1" customWidth="1"/>
    <col min="7454" max="7454" width="20.7109375" style="14" customWidth="1"/>
    <col min="7455" max="7455" width="22" style="14" customWidth="1"/>
    <col min="7456" max="7459" width="21.28515625" style="14" customWidth="1"/>
    <col min="7460" max="7460" width="22.28515625" style="14" customWidth="1"/>
    <col min="7461" max="7462" width="11.42578125" style="14"/>
    <col min="7463" max="7463" width="14.85546875" style="14" bestFit="1" customWidth="1"/>
    <col min="7464" max="7688" width="11.42578125" style="14"/>
    <col min="7689" max="7689" width="34.42578125" style="14" customWidth="1"/>
    <col min="7690" max="7691" width="19.42578125" style="14" bestFit="1" customWidth="1"/>
    <col min="7692" max="7692" width="19.7109375" style="14" customWidth="1"/>
    <col min="7693" max="7694" width="20.42578125" style="14" customWidth="1"/>
    <col min="7695" max="7696" width="19.7109375" style="14" customWidth="1"/>
    <col min="7697" max="7697" width="25.28515625" style="14" customWidth="1"/>
    <col min="7698" max="7698" width="26" style="14" customWidth="1"/>
    <col min="7699" max="7699" width="22.28515625" style="14" customWidth="1"/>
    <col min="7700" max="7700" width="24.85546875" style="14" customWidth="1"/>
    <col min="7701" max="7701" width="21.140625" style="14" customWidth="1"/>
    <col min="7702" max="7702" width="21.42578125" style="14" customWidth="1"/>
    <col min="7703" max="7703" width="27.85546875" style="14" customWidth="1"/>
    <col min="7704" max="7704" width="23.42578125" style="14" customWidth="1"/>
    <col min="7705" max="7705" width="21.42578125" style="14" customWidth="1"/>
    <col min="7706" max="7708" width="20.7109375" style="14" customWidth="1"/>
    <col min="7709" max="7709" width="32.28515625" style="14" bestFit="1" customWidth="1"/>
    <col min="7710" max="7710" width="20.7109375" style="14" customWidth="1"/>
    <col min="7711" max="7711" width="22" style="14" customWidth="1"/>
    <col min="7712" max="7715" width="21.28515625" style="14" customWidth="1"/>
    <col min="7716" max="7716" width="22.28515625" style="14" customWidth="1"/>
    <col min="7717" max="7718" width="11.42578125" style="14"/>
    <col min="7719" max="7719" width="14.85546875" style="14" bestFit="1" customWidth="1"/>
    <col min="7720" max="7944" width="11.42578125" style="14"/>
    <col min="7945" max="7945" width="34.42578125" style="14" customWidth="1"/>
    <col min="7946" max="7947" width="19.42578125" style="14" bestFit="1" customWidth="1"/>
    <col min="7948" max="7948" width="19.7109375" style="14" customWidth="1"/>
    <col min="7949" max="7950" width="20.42578125" style="14" customWidth="1"/>
    <col min="7951" max="7952" width="19.7109375" style="14" customWidth="1"/>
    <col min="7953" max="7953" width="25.28515625" style="14" customWidth="1"/>
    <col min="7954" max="7954" width="26" style="14" customWidth="1"/>
    <col min="7955" max="7955" width="22.28515625" style="14" customWidth="1"/>
    <col min="7956" max="7956" width="24.85546875" style="14" customWidth="1"/>
    <col min="7957" max="7957" width="21.140625" style="14" customWidth="1"/>
    <col min="7958" max="7958" width="21.42578125" style="14" customWidth="1"/>
    <col min="7959" max="7959" width="27.85546875" style="14" customWidth="1"/>
    <col min="7960" max="7960" width="23.42578125" style="14" customWidth="1"/>
    <col min="7961" max="7961" width="21.42578125" style="14" customWidth="1"/>
    <col min="7962" max="7964" width="20.7109375" style="14" customWidth="1"/>
    <col min="7965" max="7965" width="32.28515625" style="14" bestFit="1" customWidth="1"/>
    <col min="7966" max="7966" width="20.7109375" style="14" customWidth="1"/>
    <col min="7967" max="7967" width="22" style="14" customWidth="1"/>
    <col min="7968" max="7971" width="21.28515625" style="14" customWidth="1"/>
    <col min="7972" max="7972" width="22.28515625" style="14" customWidth="1"/>
    <col min="7973" max="7974" width="11.42578125" style="14"/>
    <col min="7975" max="7975" width="14.85546875" style="14" bestFit="1" customWidth="1"/>
    <col min="7976" max="8200" width="11.42578125" style="14"/>
    <col min="8201" max="8201" width="34.42578125" style="14" customWidth="1"/>
    <col min="8202" max="8203" width="19.42578125" style="14" bestFit="1" customWidth="1"/>
    <col min="8204" max="8204" width="19.7109375" style="14" customWidth="1"/>
    <col min="8205" max="8206" width="20.42578125" style="14" customWidth="1"/>
    <col min="8207" max="8208" width="19.7109375" style="14" customWidth="1"/>
    <col min="8209" max="8209" width="25.28515625" style="14" customWidth="1"/>
    <col min="8210" max="8210" width="26" style="14" customWidth="1"/>
    <col min="8211" max="8211" width="22.28515625" style="14" customWidth="1"/>
    <col min="8212" max="8212" width="24.85546875" style="14" customWidth="1"/>
    <col min="8213" max="8213" width="21.140625" style="14" customWidth="1"/>
    <col min="8214" max="8214" width="21.42578125" style="14" customWidth="1"/>
    <col min="8215" max="8215" width="27.85546875" style="14" customWidth="1"/>
    <col min="8216" max="8216" width="23.42578125" style="14" customWidth="1"/>
    <col min="8217" max="8217" width="21.42578125" style="14" customWidth="1"/>
    <col min="8218" max="8220" width="20.7109375" style="14" customWidth="1"/>
    <col min="8221" max="8221" width="32.28515625" style="14" bestFit="1" customWidth="1"/>
    <col min="8222" max="8222" width="20.7109375" style="14" customWidth="1"/>
    <col min="8223" max="8223" width="22" style="14" customWidth="1"/>
    <col min="8224" max="8227" width="21.28515625" style="14" customWidth="1"/>
    <col min="8228" max="8228" width="22.28515625" style="14" customWidth="1"/>
    <col min="8229" max="8230" width="11.42578125" style="14"/>
    <col min="8231" max="8231" width="14.85546875" style="14" bestFit="1" customWidth="1"/>
    <col min="8232" max="8456" width="11.42578125" style="14"/>
    <col min="8457" max="8457" width="34.42578125" style="14" customWidth="1"/>
    <col min="8458" max="8459" width="19.42578125" style="14" bestFit="1" customWidth="1"/>
    <col min="8460" max="8460" width="19.7109375" style="14" customWidth="1"/>
    <col min="8461" max="8462" width="20.42578125" style="14" customWidth="1"/>
    <col min="8463" max="8464" width="19.7109375" style="14" customWidth="1"/>
    <col min="8465" max="8465" width="25.28515625" style="14" customWidth="1"/>
    <col min="8466" max="8466" width="26" style="14" customWidth="1"/>
    <col min="8467" max="8467" width="22.28515625" style="14" customWidth="1"/>
    <col min="8468" max="8468" width="24.85546875" style="14" customWidth="1"/>
    <col min="8469" max="8469" width="21.140625" style="14" customWidth="1"/>
    <col min="8470" max="8470" width="21.42578125" style="14" customWidth="1"/>
    <col min="8471" max="8471" width="27.85546875" style="14" customWidth="1"/>
    <col min="8472" max="8472" width="23.42578125" style="14" customWidth="1"/>
    <col min="8473" max="8473" width="21.42578125" style="14" customWidth="1"/>
    <col min="8474" max="8476" width="20.7109375" style="14" customWidth="1"/>
    <col min="8477" max="8477" width="32.28515625" style="14" bestFit="1" customWidth="1"/>
    <col min="8478" max="8478" width="20.7109375" style="14" customWidth="1"/>
    <col min="8479" max="8479" width="22" style="14" customWidth="1"/>
    <col min="8480" max="8483" width="21.28515625" style="14" customWidth="1"/>
    <col min="8484" max="8484" width="22.28515625" style="14" customWidth="1"/>
    <col min="8485" max="8486" width="11.42578125" style="14"/>
    <col min="8487" max="8487" width="14.85546875" style="14" bestFit="1" customWidth="1"/>
    <col min="8488" max="8712" width="11.42578125" style="14"/>
    <col min="8713" max="8713" width="34.42578125" style="14" customWidth="1"/>
    <col min="8714" max="8715" width="19.42578125" style="14" bestFit="1" customWidth="1"/>
    <col min="8716" max="8716" width="19.7109375" style="14" customWidth="1"/>
    <col min="8717" max="8718" width="20.42578125" style="14" customWidth="1"/>
    <col min="8719" max="8720" width="19.7109375" style="14" customWidth="1"/>
    <col min="8721" max="8721" width="25.28515625" style="14" customWidth="1"/>
    <col min="8722" max="8722" width="26" style="14" customWidth="1"/>
    <col min="8723" max="8723" width="22.28515625" style="14" customWidth="1"/>
    <col min="8724" max="8724" width="24.85546875" style="14" customWidth="1"/>
    <col min="8725" max="8725" width="21.140625" style="14" customWidth="1"/>
    <col min="8726" max="8726" width="21.42578125" style="14" customWidth="1"/>
    <col min="8727" max="8727" width="27.85546875" style="14" customWidth="1"/>
    <col min="8728" max="8728" width="23.42578125" style="14" customWidth="1"/>
    <col min="8729" max="8729" width="21.42578125" style="14" customWidth="1"/>
    <col min="8730" max="8732" width="20.7109375" style="14" customWidth="1"/>
    <col min="8733" max="8733" width="32.28515625" style="14" bestFit="1" customWidth="1"/>
    <col min="8734" max="8734" width="20.7109375" style="14" customWidth="1"/>
    <col min="8735" max="8735" width="22" style="14" customWidth="1"/>
    <col min="8736" max="8739" width="21.28515625" style="14" customWidth="1"/>
    <col min="8740" max="8740" width="22.28515625" style="14" customWidth="1"/>
    <col min="8741" max="8742" width="11.42578125" style="14"/>
    <col min="8743" max="8743" width="14.85546875" style="14" bestFit="1" customWidth="1"/>
    <col min="8744" max="8968" width="11.42578125" style="14"/>
    <col min="8969" max="8969" width="34.42578125" style="14" customWidth="1"/>
    <col min="8970" max="8971" width="19.42578125" style="14" bestFit="1" customWidth="1"/>
    <col min="8972" max="8972" width="19.7109375" style="14" customWidth="1"/>
    <col min="8973" max="8974" width="20.42578125" style="14" customWidth="1"/>
    <col min="8975" max="8976" width="19.7109375" style="14" customWidth="1"/>
    <col min="8977" max="8977" width="25.28515625" style="14" customWidth="1"/>
    <col min="8978" max="8978" width="26" style="14" customWidth="1"/>
    <col min="8979" max="8979" width="22.28515625" style="14" customWidth="1"/>
    <col min="8980" max="8980" width="24.85546875" style="14" customWidth="1"/>
    <col min="8981" max="8981" width="21.140625" style="14" customWidth="1"/>
    <col min="8982" max="8982" width="21.42578125" style="14" customWidth="1"/>
    <col min="8983" max="8983" width="27.85546875" style="14" customWidth="1"/>
    <col min="8984" max="8984" width="23.42578125" style="14" customWidth="1"/>
    <col min="8985" max="8985" width="21.42578125" style="14" customWidth="1"/>
    <col min="8986" max="8988" width="20.7109375" style="14" customWidth="1"/>
    <col min="8989" max="8989" width="32.28515625" style="14" bestFit="1" customWidth="1"/>
    <col min="8990" max="8990" width="20.7109375" style="14" customWidth="1"/>
    <col min="8991" max="8991" width="22" style="14" customWidth="1"/>
    <col min="8992" max="8995" width="21.28515625" style="14" customWidth="1"/>
    <col min="8996" max="8996" width="22.28515625" style="14" customWidth="1"/>
    <col min="8997" max="8998" width="11.42578125" style="14"/>
    <col min="8999" max="8999" width="14.85546875" style="14" bestFit="1" customWidth="1"/>
    <col min="9000" max="9224" width="11.42578125" style="14"/>
    <col min="9225" max="9225" width="34.42578125" style="14" customWidth="1"/>
    <col min="9226" max="9227" width="19.42578125" style="14" bestFit="1" customWidth="1"/>
    <col min="9228" max="9228" width="19.7109375" style="14" customWidth="1"/>
    <col min="9229" max="9230" width="20.42578125" style="14" customWidth="1"/>
    <col min="9231" max="9232" width="19.7109375" style="14" customWidth="1"/>
    <col min="9233" max="9233" width="25.28515625" style="14" customWidth="1"/>
    <col min="9234" max="9234" width="26" style="14" customWidth="1"/>
    <col min="9235" max="9235" width="22.28515625" style="14" customWidth="1"/>
    <col min="9236" max="9236" width="24.85546875" style="14" customWidth="1"/>
    <col min="9237" max="9237" width="21.140625" style="14" customWidth="1"/>
    <col min="9238" max="9238" width="21.42578125" style="14" customWidth="1"/>
    <col min="9239" max="9239" width="27.85546875" style="14" customWidth="1"/>
    <col min="9240" max="9240" width="23.42578125" style="14" customWidth="1"/>
    <col min="9241" max="9241" width="21.42578125" style="14" customWidth="1"/>
    <col min="9242" max="9244" width="20.7109375" style="14" customWidth="1"/>
    <col min="9245" max="9245" width="32.28515625" style="14" bestFit="1" customWidth="1"/>
    <col min="9246" max="9246" width="20.7109375" style="14" customWidth="1"/>
    <col min="9247" max="9247" width="22" style="14" customWidth="1"/>
    <col min="9248" max="9251" width="21.28515625" style="14" customWidth="1"/>
    <col min="9252" max="9252" width="22.28515625" style="14" customWidth="1"/>
    <col min="9253" max="9254" width="11.42578125" style="14"/>
    <col min="9255" max="9255" width="14.85546875" style="14" bestFit="1" customWidth="1"/>
    <col min="9256" max="9480" width="11.42578125" style="14"/>
    <col min="9481" max="9481" width="34.42578125" style="14" customWidth="1"/>
    <col min="9482" max="9483" width="19.42578125" style="14" bestFit="1" customWidth="1"/>
    <col min="9484" max="9484" width="19.7109375" style="14" customWidth="1"/>
    <col min="9485" max="9486" width="20.42578125" style="14" customWidth="1"/>
    <col min="9487" max="9488" width="19.7109375" style="14" customWidth="1"/>
    <col min="9489" max="9489" width="25.28515625" style="14" customWidth="1"/>
    <col min="9490" max="9490" width="26" style="14" customWidth="1"/>
    <col min="9491" max="9491" width="22.28515625" style="14" customWidth="1"/>
    <col min="9492" max="9492" width="24.85546875" style="14" customWidth="1"/>
    <col min="9493" max="9493" width="21.140625" style="14" customWidth="1"/>
    <col min="9494" max="9494" width="21.42578125" style="14" customWidth="1"/>
    <col min="9495" max="9495" width="27.85546875" style="14" customWidth="1"/>
    <col min="9496" max="9496" width="23.42578125" style="14" customWidth="1"/>
    <col min="9497" max="9497" width="21.42578125" style="14" customWidth="1"/>
    <col min="9498" max="9500" width="20.7109375" style="14" customWidth="1"/>
    <col min="9501" max="9501" width="32.28515625" style="14" bestFit="1" customWidth="1"/>
    <col min="9502" max="9502" width="20.7109375" style="14" customWidth="1"/>
    <col min="9503" max="9503" width="22" style="14" customWidth="1"/>
    <col min="9504" max="9507" width="21.28515625" style="14" customWidth="1"/>
    <col min="9508" max="9508" width="22.28515625" style="14" customWidth="1"/>
    <col min="9509" max="9510" width="11.42578125" style="14"/>
    <col min="9511" max="9511" width="14.85546875" style="14" bestFit="1" customWidth="1"/>
    <col min="9512" max="9736" width="11.42578125" style="14"/>
    <col min="9737" max="9737" width="34.42578125" style="14" customWidth="1"/>
    <col min="9738" max="9739" width="19.42578125" style="14" bestFit="1" customWidth="1"/>
    <col min="9740" max="9740" width="19.7109375" style="14" customWidth="1"/>
    <col min="9741" max="9742" width="20.42578125" style="14" customWidth="1"/>
    <col min="9743" max="9744" width="19.7109375" style="14" customWidth="1"/>
    <col min="9745" max="9745" width="25.28515625" style="14" customWidth="1"/>
    <col min="9746" max="9746" width="26" style="14" customWidth="1"/>
    <col min="9747" max="9747" width="22.28515625" style="14" customWidth="1"/>
    <col min="9748" max="9748" width="24.85546875" style="14" customWidth="1"/>
    <col min="9749" max="9749" width="21.140625" style="14" customWidth="1"/>
    <col min="9750" max="9750" width="21.42578125" style="14" customWidth="1"/>
    <col min="9751" max="9751" width="27.85546875" style="14" customWidth="1"/>
    <col min="9752" max="9752" width="23.42578125" style="14" customWidth="1"/>
    <col min="9753" max="9753" width="21.42578125" style="14" customWidth="1"/>
    <col min="9754" max="9756" width="20.7109375" style="14" customWidth="1"/>
    <col min="9757" max="9757" width="32.28515625" style="14" bestFit="1" customWidth="1"/>
    <col min="9758" max="9758" width="20.7109375" style="14" customWidth="1"/>
    <col min="9759" max="9759" width="22" style="14" customWidth="1"/>
    <col min="9760" max="9763" width="21.28515625" style="14" customWidth="1"/>
    <col min="9764" max="9764" width="22.28515625" style="14" customWidth="1"/>
    <col min="9765" max="9766" width="11.42578125" style="14"/>
    <col min="9767" max="9767" width="14.85546875" style="14" bestFit="1" customWidth="1"/>
    <col min="9768" max="9992" width="11.42578125" style="14"/>
    <col min="9993" max="9993" width="34.42578125" style="14" customWidth="1"/>
    <col min="9994" max="9995" width="19.42578125" style="14" bestFit="1" customWidth="1"/>
    <col min="9996" max="9996" width="19.7109375" style="14" customWidth="1"/>
    <col min="9997" max="9998" width="20.42578125" style="14" customWidth="1"/>
    <col min="9999" max="10000" width="19.7109375" style="14" customWidth="1"/>
    <col min="10001" max="10001" width="25.28515625" style="14" customWidth="1"/>
    <col min="10002" max="10002" width="26" style="14" customWidth="1"/>
    <col min="10003" max="10003" width="22.28515625" style="14" customWidth="1"/>
    <col min="10004" max="10004" width="24.85546875" style="14" customWidth="1"/>
    <col min="10005" max="10005" width="21.140625" style="14" customWidth="1"/>
    <col min="10006" max="10006" width="21.42578125" style="14" customWidth="1"/>
    <col min="10007" max="10007" width="27.85546875" style="14" customWidth="1"/>
    <col min="10008" max="10008" width="23.42578125" style="14" customWidth="1"/>
    <col min="10009" max="10009" width="21.42578125" style="14" customWidth="1"/>
    <col min="10010" max="10012" width="20.7109375" style="14" customWidth="1"/>
    <col min="10013" max="10013" width="32.28515625" style="14" bestFit="1" customWidth="1"/>
    <col min="10014" max="10014" width="20.7109375" style="14" customWidth="1"/>
    <col min="10015" max="10015" width="22" style="14" customWidth="1"/>
    <col min="10016" max="10019" width="21.28515625" style="14" customWidth="1"/>
    <col min="10020" max="10020" width="22.28515625" style="14" customWidth="1"/>
    <col min="10021" max="10022" width="11.42578125" style="14"/>
    <col min="10023" max="10023" width="14.85546875" style="14" bestFit="1" customWidth="1"/>
    <col min="10024" max="10248" width="11.42578125" style="14"/>
    <col min="10249" max="10249" width="34.42578125" style="14" customWidth="1"/>
    <col min="10250" max="10251" width="19.42578125" style="14" bestFit="1" customWidth="1"/>
    <col min="10252" max="10252" width="19.7109375" style="14" customWidth="1"/>
    <col min="10253" max="10254" width="20.42578125" style="14" customWidth="1"/>
    <col min="10255" max="10256" width="19.7109375" style="14" customWidth="1"/>
    <col min="10257" max="10257" width="25.28515625" style="14" customWidth="1"/>
    <col min="10258" max="10258" width="26" style="14" customWidth="1"/>
    <col min="10259" max="10259" width="22.28515625" style="14" customWidth="1"/>
    <col min="10260" max="10260" width="24.85546875" style="14" customWidth="1"/>
    <col min="10261" max="10261" width="21.140625" style="14" customWidth="1"/>
    <col min="10262" max="10262" width="21.42578125" style="14" customWidth="1"/>
    <col min="10263" max="10263" width="27.85546875" style="14" customWidth="1"/>
    <col min="10264" max="10264" width="23.42578125" style="14" customWidth="1"/>
    <col min="10265" max="10265" width="21.42578125" style="14" customWidth="1"/>
    <col min="10266" max="10268" width="20.7109375" style="14" customWidth="1"/>
    <col min="10269" max="10269" width="32.28515625" style="14" bestFit="1" customWidth="1"/>
    <col min="10270" max="10270" width="20.7109375" style="14" customWidth="1"/>
    <col min="10271" max="10271" width="22" style="14" customWidth="1"/>
    <col min="10272" max="10275" width="21.28515625" style="14" customWidth="1"/>
    <col min="10276" max="10276" width="22.28515625" style="14" customWidth="1"/>
    <col min="10277" max="10278" width="11.42578125" style="14"/>
    <col min="10279" max="10279" width="14.85546875" style="14" bestFit="1" customWidth="1"/>
    <col min="10280" max="10504" width="11.42578125" style="14"/>
    <col min="10505" max="10505" width="34.42578125" style="14" customWidth="1"/>
    <col min="10506" max="10507" width="19.42578125" style="14" bestFit="1" customWidth="1"/>
    <col min="10508" max="10508" width="19.7109375" style="14" customWidth="1"/>
    <col min="10509" max="10510" width="20.42578125" style="14" customWidth="1"/>
    <col min="10511" max="10512" width="19.7109375" style="14" customWidth="1"/>
    <col min="10513" max="10513" width="25.28515625" style="14" customWidth="1"/>
    <col min="10514" max="10514" width="26" style="14" customWidth="1"/>
    <col min="10515" max="10515" width="22.28515625" style="14" customWidth="1"/>
    <col min="10516" max="10516" width="24.85546875" style="14" customWidth="1"/>
    <col min="10517" max="10517" width="21.140625" style="14" customWidth="1"/>
    <col min="10518" max="10518" width="21.42578125" style="14" customWidth="1"/>
    <col min="10519" max="10519" width="27.85546875" style="14" customWidth="1"/>
    <col min="10520" max="10520" width="23.42578125" style="14" customWidth="1"/>
    <col min="10521" max="10521" width="21.42578125" style="14" customWidth="1"/>
    <col min="10522" max="10524" width="20.7109375" style="14" customWidth="1"/>
    <col min="10525" max="10525" width="32.28515625" style="14" bestFit="1" customWidth="1"/>
    <col min="10526" max="10526" width="20.7109375" style="14" customWidth="1"/>
    <col min="10527" max="10527" width="22" style="14" customWidth="1"/>
    <col min="10528" max="10531" width="21.28515625" style="14" customWidth="1"/>
    <col min="10532" max="10532" width="22.28515625" style="14" customWidth="1"/>
    <col min="10533" max="10534" width="11.42578125" style="14"/>
    <col min="10535" max="10535" width="14.85546875" style="14" bestFit="1" customWidth="1"/>
    <col min="10536" max="10760" width="11.42578125" style="14"/>
    <col min="10761" max="10761" width="34.42578125" style="14" customWidth="1"/>
    <col min="10762" max="10763" width="19.42578125" style="14" bestFit="1" customWidth="1"/>
    <col min="10764" max="10764" width="19.7109375" style="14" customWidth="1"/>
    <col min="10765" max="10766" width="20.42578125" style="14" customWidth="1"/>
    <col min="10767" max="10768" width="19.7109375" style="14" customWidth="1"/>
    <col min="10769" max="10769" width="25.28515625" style="14" customWidth="1"/>
    <col min="10770" max="10770" width="26" style="14" customWidth="1"/>
    <col min="10771" max="10771" width="22.28515625" style="14" customWidth="1"/>
    <col min="10772" max="10772" width="24.85546875" style="14" customWidth="1"/>
    <col min="10773" max="10773" width="21.140625" style="14" customWidth="1"/>
    <col min="10774" max="10774" width="21.42578125" style="14" customWidth="1"/>
    <col min="10775" max="10775" width="27.85546875" style="14" customWidth="1"/>
    <col min="10776" max="10776" width="23.42578125" style="14" customWidth="1"/>
    <col min="10777" max="10777" width="21.42578125" style="14" customWidth="1"/>
    <col min="10778" max="10780" width="20.7109375" style="14" customWidth="1"/>
    <col min="10781" max="10781" width="32.28515625" style="14" bestFit="1" customWidth="1"/>
    <col min="10782" max="10782" width="20.7109375" style="14" customWidth="1"/>
    <col min="10783" max="10783" width="22" style="14" customWidth="1"/>
    <col min="10784" max="10787" width="21.28515625" style="14" customWidth="1"/>
    <col min="10788" max="10788" width="22.28515625" style="14" customWidth="1"/>
    <col min="10789" max="10790" width="11.42578125" style="14"/>
    <col min="10791" max="10791" width="14.85546875" style="14" bestFit="1" customWidth="1"/>
    <col min="10792" max="11016" width="11.42578125" style="14"/>
    <col min="11017" max="11017" width="34.42578125" style="14" customWidth="1"/>
    <col min="11018" max="11019" width="19.42578125" style="14" bestFit="1" customWidth="1"/>
    <col min="11020" max="11020" width="19.7109375" style="14" customWidth="1"/>
    <col min="11021" max="11022" width="20.42578125" style="14" customWidth="1"/>
    <col min="11023" max="11024" width="19.7109375" style="14" customWidth="1"/>
    <col min="11025" max="11025" width="25.28515625" style="14" customWidth="1"/>
    <col min="11026" max="11026" width="26" style="14" customWidth="1"/>
    <col min="11027" max="11027" width="22.28515625" style="14" customWidth="1"/>
    <col min="11028" max="11028" width="24.85546875" style="14" customWidth="1"/>
    <col min="11029" max="11029" width="21.140625" style="14" customWidth="1"/>
    <col min="11030" max="11030" width="21.42578125" style="14" customWidth="1"/>
    <col min="11031" max="11031" width="27.85546875" style="14" customWidth="1"/>
    <col min="11032" max="11032" width="23.42578125" style="14" customWidth="1"/>
    <col min="11033" max="11033" width="21.42578125" style="14" customWidth="1"/>
    <col min="11034" max="11036" width="20.7109375" style="14" customWidth="1"/>
    <col min="11037" max="11037" width="32.28515625" style="14" bestFit="1" customWidth="1"/>
    <col min="11038" max="11038" width="20.7109375" style="14" customWidth="1"/>
    <col min="11039" max="11039" width="22" style="14" customWidth="1"/>
    <col min="11040" max="11043" width="21.28515625" style="14" customWidth="1"/>
    <col min="11044" max="11044" width="22.28515625" style="14" customWidth="1"/>
    <col min="11045" max="11046" width="11.42578125" style="14"/>
    <col min="11047" max="11047" width="14.85546875" style="14" bestFit="1" customWidth="1"/>
    <col min="11048" max="11272" width="11.42578125" style="14"/>
    <col min="11273" max="11273" width="34.42578125" style="14" customWidth="1"/>
    <col min="11274" max="11275" width="19.42578125" style="14" bestFit="1" customWidth="1"/>
    <col min="11276" max="11276" width="19.7109375" style="14" customWidth="1"/>
    <col min="11277" max="11278" width="20.42578125" style="14" customWidth="1"/>
    <col min="11279" max="11280" width="19.7109375" style="14" customWidth="1"/>
    <col min="11281" max="11281" width="25.28515625" style="14" customWidth="1"/>
    <col min="11282" max="11282" width="26" style="14" customWidth="1"/>
    <col min="11283" max="11283" width="22.28515625" style="14" customWidth="1"/>
    <col min="11284" max="11284" width="24.85546875" style="14" customWidth="1"/>
    <col min="11285" max="11285" width="21.140625" style="14" customWidth="1"/>
    <col min="11286" max="11286" width="21.42578125" style="14" customWidth="1"/>
    <col min="11287" max="11287" width="27.85546875" style="14" customWidth="1"/>
    <col min="11288" max="11288" width="23.42578125" style="14" customWidth="1"/>
    <col min="11289" max="11289" width="21.42578125" style="14" customWidth="1"/>
    <col min="11290" max="11292" width="20.7109375" style="14" customWidth="1"/>
    <col min="11293" max="11293" width="32.28515625" style="14" bestFit="1" customWidth="1"/>
    <col min="11294" max="11294" width="20.7109375" style="14" customWidth="1"/>
    <col min="11295" max="11295" width="22" style="14" customWidth="1"/>
    <col min="11296" max="11299" width="21.28515625" style="14" customWidth="1"/>
    <col min="11300" max="11300" width="22.28515625" style="14" customWidth="1"/>
    <col min="11301" max="11302" width="11.42578125" style="14"/>
    <col min="11303" max="11303" width="14.85546875" style="14" bestFit="1" customWidth="1"/>
    <col min="11304" max="11528" width="11.42578125" style="14"/>
    <col min="11529" max="11529" width="34.42578125" style="14" customWidth="1"/>
    <col min="11530" max="11531" width="19.42578125" style="14" bestFit="1" customWidth="1"/>
    <col min="11532" max="11532" width="19.7109375" style="14" customWidth="1"/>
    <col min="11533" max="11534" width="20.42578125" style="14" customWidth="1"/>
    <col min="11535" max="11536" width="19.7109375" style="14" customWidth="1"/>
    <col min="11537" max="11537" width="25.28515625" style="14" customWidth="1"/>
    <col min="11538" max="11538" width="26" style="14" customWidth="1"/>
    <col min="11539" max="11539" width="22.28515625" style="14" customWidth="1"/>
    <col min="11540" max="11540" width="24.85546875" style="14" customWidth="1"/>
    <col min="11541" max="11541" width="21.140625" style="14" customWidth="1"/>
    <col min="11542" max="11542" width="21.42578125" style="14" customWidth="1"/>
    <col min="11543" max="11543" width="27.85546875" style="14" customWidth="1"/>
    <col min="11544" max="11544" width="23.42578125" style="14" customWidth="1"/>
    <col min="11545" max="11545" width="21.42578125" style="14" customWidth="1"/>
    <col min="11546" max="11548" width="20.7109375" style="14" customWidth="1"/>
    <col min="11549" max="11549" width="32.28515625" style="14" bestFit="1" customWidth="1"/>
    <col min="11550" max="11550" width="20.7109375" style="14" customWidth="1"/>
    <col min="11551" max="11551" width="22" style="14" customWidth="1"/>
    <col min="11552" max="11555" width="21.28515625" style="14" customWidth="1"/>
    <col min="11556" max="11556" width="22.28515625" style="14" customWidth="1"/>
    <col min="11557" max="11558" width="11.42578125" style="14"/>
    <col min="11559" max="11559" width="14.85546875" style="14" bestFit="1" customWidth="1"/>
    <col min="11560" max="11784" width="11.42578125" style="14"/>
    <col min="11785" max="11785" width="34.42578125" style="14" customWidth="1"/>
    <col min="11786" max="11787" width="19.42578125" style="14" bestFit="1" customWidth="1"/>
    <col min="11788" max="11788" width="19.7109375" style="14" customWidth="1"/>
    <col min="11789" max="11790" width="20.42578125" style="14" customWidth="1"/>
    <col min="11791" max="11792" width="19.7109375" style="14" customWidth="1"/>
    <col min="11793" max="11793" width="25.28515625" style="14" customWidth="1"/>
    <col min="11794" max="11794" width="26" style="14" customWidth="1"/>
    <col min="11795" max="11795" width="22.28515625" style="14" customWidth="1"/>
    <col min="11796" max="11796" width="24.85546875" style="14" customWidth="1"/>
    <col min="11797" max="11797" width="21.140625" style="14" customWidth="1"/>
    <col min="11798" max="11798" width="21.42578125" style="14" customWidth="1"/>
    <col min="11799" max="11799" width="27.85546875" style="14" customWidth="1"/>
    <col min="11800" max="11800" width="23.42578125" style="14" customWidth="1"/>
    <col min="11801" max="11801" width="21.42578125" style="14" customWidth="1"/>
    <col min="11802" max="11804" width="20.7109375" style="14" customWidth="1"/>
    <col min="11805" max="11805" width="32.28515625" style="14" bestFit="1" customWidth="1"/>
    <col min="11806" max="11806" width="20.7109375" style="14" customWidth="1"/>
    <col min="11807" max="11807" width="22" style="14" customWidth="1"/>
    <col min="11808" max="11811" width="21.28515625" style="14" customWidth="1"/>
    <col min="11812" max="11812" width="22.28515625" style="14" customWidth="1"/>
    <col min="11813" max="11814" width="11.42578125" style="14"/>
    <col min="11815" max="11815" width="14.85546875" style="14" bestFit="1" customWidth="1"/>
    <col min="11816" max="12040" width="11.42578125" style="14"/>
    <col min="12041" max="12041" width="34.42578125" style="14" customWidth="1"/>
    <col min="12042" max="12043" width="19.42578125" style="14" bestFit="1" customWidth="1"/>
    <col min="12044" max="12044" width="19.7109375" style="14" customWidth="1"/>
    <col min="12045" max="12046" width="20.42578125" style="14" customWidth="1"/>
    <col min="12047" max="12048" width="19.7109375" style="14" customWidth="1"/>
    <col min="12049" max="12049" width="25.28515625" style="14" customWidth="1"/>
    <col min="12050" max="12050" width="26" style="14" customWidth="1"/>
    <col min="12051" max="12051" width="22.28515625" style="14" customWidth="1"/>
    <col min="12052" max="12052" width="24.85546875" style="14" customWidth="1"/>
    <col min="12053" max="12053" width="21.140625" style="14" customWidth="1"/>
    <col min="12054" max="12054" width="21.42578125" style="14" customWidth="1"/>
    <col min="12055" max="12055" width="27.85546875" style="14" customWidth="1"/>
    <col min="12056" max="12056" width="23.42578125" style="14" customWidth="1"/>
    <col min="12057" max="12057" width="21.42578125" style="14" customWidth="1"/>
    <col min="12058" max="12060" width="20.7109375" style="14" customWidth="1"/>
    <col min="12061" max="12061" width="32.28515625" style="14" bestFit="1" customWidth="1"/>
    <col min="12062" max="12062" width="20.7109375" style="14" customWidth="1"/>
    <col min="12063" max="12063" width="22" style="14" customWidth="1"/>
    <col min="12064" max="12067" width="21.28515625" style="14" customWidth="1"/>
    <col min="12068" max="12068" width="22.28515625" style="14" customWidth="1"/>
    <col min="12069" max="12070" width="11.42578125" style="14"/>
    <col min="12071" max="12071" width="14.85546875" style="14" bestFit="1" customWidth="1"/>
    <col min="12072" max="12296" width="11.42578125" style="14"/>
    <col min="12297" max="12297" width="34.42578125" style="14" customWidth="1"/>
    <col min="12298" max="12299" width="19.42578125" style="14" bestFit="1" customWidth="1"/>
    <col min="12300" max="12300" width="19.7109375" style="14" customWidth="1"/>
    <col min="12301" max="12302" width="20.42578125" style="14" customWidth="1"/>
    <col min="12303" max="12304" width="19.7109375" style="14" customWidth="1"/>
    <col min="12305" max="12305" width="25.28515625" style="14" customWidth="1"/>
    <col min="12306" max="12306" width="26" style="14" customWidth="1"/>
    <col min="12307" max="12307" width="22.28515625" style="14" customWidth="1"/>
    <col min="12308" max="12308" width="24.85546875" style="14" customWidth="1"/>
    <col min="12309" max="12309" width="21.140625" style="14" customWidth="1"/>
    <col min="12310" max="12310" width="21.42578125" style="14" customWidth="1"/>
    <col min="12311" max="12311" width="27.85546875" style="14" customWidth="1"/>
    <col min="12312" max="12312" width="23.42578125" style="14" customWidth="1"/>
    <col min="12313" max="12313" width="21.42578125" style="14" customWidth="1"/>
    <col min="12314" max="12316" width="20.7109375" style="14" customWidth="1"/>
    <col min="12317" max="12317" width="32.28515625" style="14" bestFit="1" customWidth="1"/>
    <col min="12318" max="12318" width="20.7109375" style="14" customWidth="1"/>
    <col min="12319" max="12319" width="22" style="14" customWidth="1"/>
    <col min="12320" max="12323" width="21.28515625" style="14" customWidth="1"/>
    <col min="12324" max="12324" width="22.28515625" style="14" customWidth="1"/>
    <col min="12325" max="12326" width="11.42578125" style="14"/>
    <col min="12327" max="12327" width="14.85546875" style="14" bestFit="1" customWidth="1"/>
    <col min="12328" max="12552" width="11.42578125" style="14"/>
    <col min="12553" max="12553" width="34.42578125" style="14" customWidth="1"/>
    <col min="12554" max="12555" width="19.42578125" style="14" bestFit="1" customWidth="1"/>
    <col min="12556" max="12556" width="19.7109375" style="14" customWidth="1"/>
    <col min="12557" max="12558" width="20.42578125" style="14" customWidth="1"/>
    <col min="12559" max="12560" width="19.7109375" style="14" customWidth="1"/>
    <col min="12561" max="12561" width="25.28515625" style="14" customWidth="1"/>
    <col min="12562" max="12562" width="26" style="14" customWidth="1"/>
    <col min="12563" max="12563" width="22.28515625" style="14" customWidth="1"/>
    <col min="12564" max="12564" width="24.85546875" style="14" customWidth="1"/>
    <col min="12565" max="12565" width="21.140625" style="14" customWidth="1"/>
    <col min="12566" max="12566" width="21.42578125" style="14" customWidth="1"/>
    <col min="12567" max="12567" width="27.85546875" style="14" customWidth="1"/>
    <col min="12568" max="12568" width="23.42578125" style="14" customWidth="1"/>
    <col min="12569" max="12569" width="21.42578125" style="14" customWidth="1"/>
    <col min="12570" max="12572" width="20.7109375" style="14" customWidth="1"/>
    <col min="12573" max="12573" width="32.28515625" style="14" bestFit="1" customWidth="1"/>
    <col min="12574" max="12574" width="20.7109375" style="14" customWidth="1"/>
    <col min="12575" max="12575" width="22" style="14" customWidth="1"/>
    <col min="12576" max="12579" width="21.28515625" style="14" customWidth="1"/>
    <col min="12580" max="12580" width="22.28515625" style="14" customWidth="1"/>
    <col min="12581" max="12582" width="11.42578125" style="14"/>
    <col min="12583" max="12583" width="14.85546875" style="14" bestFit="1" customWidth="1"/>
    <col min="12584" max="12808" width="11.42578125" style="14"/>
    <col min="12809" max="12809" width="34.42578125" style="14" customWidth="1"/>
    <col min="12810" max="12811" width="19.42578125" style="14" bestFit="1" customWidth="1"/>
    <col min="12812" max="12812" width="19.7109375" style="14" customWidth="1"/>
    <col min="12813" max="12814" width="20.42578125" style="14" customWidth="1"/>
    <col min="12815" max="12816" width="19.7109375" style="14" customWidth="1"/>
    <col min="12817" max="12817" width="25.28515625" style="14" customWidth="1"/>
    <col min="12818" max="12818" width="26" style="14" customWidth="1"/>
    <col min="12819" max="12819" width="22.28515625" style="14" customWidth="1"/>
    <col min="12820" max="12820" width="24.85546875" style="14" customWidth="1"/>
    <col min="12821" max="12821" width="21.140625" style="14" customWidth="1"/>
    <col min="12822" max="12822" width="21.42578125" style="14" customWidth="1"/>
    <col min="12823" max="12823" width="27.85546875" style="14" customWidth="1"/>
    <col min="12824" max="12824" width="23.42578125" style="14" customWidth="1"/>
    <col min="12825" max="12825" width="21.42578125" style="14" customWidth="1"/>
    <col min="12826" max="12828" width="20.7109375" style="14" customWidth="1"/>
    <col min="12829" max="12829" width="32.28515625" style="14" bestFit="1" customWidth="1"/>
    <col min="12830" max="12830" width="20.7109375" style="14" customWidth="1"/>
    <col min="12831" max="12831" width="22" style="14" customWidth="1"/>
    <col min="12832" max="12835" width="21.28515625" style="14" customWidth="1"/>
    <col min="12836" max="12836" width="22.28515625" style="14" customWidth="1"/>
    <col min="12837" max="12838" width="11.42578125" style="14"/>
    <col min="12839" max="12839" width="14.85546875" style="14" bestFit="1" customWidth="1"/>
    <col min="12840" max="13064" width="11.42578125" style="14"/>
    <col min="13065" max="13065" width="34.42578125" style="14" customWidth="1"/>
    <col min="13066" max="13067" width="19.42578125" style="14" bestFit="1" customWidth="1"/>
    <col min="13068" max="13068" width="19.7109375" style="14" customWidth="1"/>
    <col min="13069" max="13070" width="20.42578125" style="14" customWidth="1"/>
    <col min="13071" max="13072" width="19.7109375" style="14" customWidth="1"/>
    <col min="13073" max="13073" width="25.28515625" style="14" customWidth="1"/>
    <col min="13074" max="13074" width="26" style="14" customWidth="1"/>
    <col min="13075" max="13075" width="22.28515625" style="14" customWidth="1"/>
    <col min="13076" max="13076" width="24.85546875" style="14" customWidth="1"/>
    <col min="13077" max="13077" width="21.140625" style="14" customWidth="1"/>
    <col min="13078" max="13078" width="21.42578125" style="14" customWidth="1"/>
    <col min="13079" max="13079" width="27.85546875" style="14" customWidth="1"/>
    <col min="13080" max="13080" width="23.42578125" style="14" customWidth="1"/>
    <col min="13081" max="13081" width="21.42578125" style="14" customWidth="1"/>
    <col min="13082" max="13084" width="20.7109375" style="14" customWidth="1"/>
    <col min="13085" max="13085" width="32.28515625" style="14" bestFit="1" customWidth="1"/>
    <col min="13086" max="13086" width="20.7109375" style="14" customWidth="1"/>
    <col min="13087" max="13087" width="22" style="14" customWidth="1"/>
    <col min="13088" max="13091" width="21.28515625" style="14" customWidth="1"/>
    <col min="13092" max="13092" width="22.28515625" style="14" customWidth="1"/>
    <col min="13093" max="13094" width="11.42578125" style="14"/>
    <col min="13095" max="13095" width="14.85546875" style="14" bestFit="1" customWidth="1"/>
    <col min="13096" max="13320" width="11.42578125" style="14"/>
    <col min="13321" max="13321" width="34.42578125" style="14" customWidth="1"/>
    <col min="13322" max="13323" width="19.42578125" style="14" bestFit="1" customWidth="1"/>
    <col min="13324" max="13324" width="19.7109375" style="14" customWidth="1"/>
    <col min="13325" max="13326" width="20.42578125" style="14" customWidth="1"/>
    <col min="13327" max="13328" width="19.7109375" style="14" customWidth="1"/>
    <col min="13329" max="13329" width="25.28515625" style="14" customWidth="1"/>
    <col min="13330" max="13330" width="26" style="14" customWidth="1"/>
    <col min="13331" max="13331" width="22.28515625" style="14" customWidth="1"/>
    <col min="13332" max="13332" width="24.85546875" style="14" customWidth="1"/>
    <col min="13333" max="13333" width="21.140625" style="14" customWidth="1"/>
    <col min="13334" max="13334" width="21.42578125" style="14" customWidth="1"/>
    <col min="13335" max="13335" width="27.85546875" style="14" customWidth="1"/>
    <col min="13336" max="13336" width="23.42578125" style="14" customWidth="1"/>
    <col min="13337" max="13337" width="21.42578125" style="14" customWidth="1"/>
    <col min="13338" max="13340" width="20.7109375" style="14" customWidth="1"/>
    <col min="13341" max="13341" width="32.28515625" style="14" bestFit="1" customWidth="1"/>
    <col min="13342" max="13342" width="20.7109375" style="14" customWidth="1"/>
    <col min="13343" max="13343" width="22" style="14" customWidth="1"/>
    <col min="13344" max="13347" width="21.28515625" style="14" customWidth="1"/>
    <col min="13348" max="13348" width="22.28515625" style="14" customWidth="1"/>
    <col min="13349" max="13350" width="11.42578125" style="14"/>
    <col min="13351" max="13351" width="14.85546875" style="14" bestFit="1" customWidth="1"/>
    <col min="13352" max="13576" width="11.42578125" style="14"/>
    <col min="13577" max="13577" width="34.42578125" style="14" customWidth="1"/>
    <col min="13578" max="13579" width="19.42578125" style="14" bestFit="1" customWidth="1"/>
    <col min="13580" max="13580" width="19.7109375" style="14" customWidth="1"/>
    <col min="13581" max="13582" width="20.42578125" style="14" customWidth="1"/>
    <col min="13583" max="13584" width="19.7109375" style="14" customWidth="1"/>
    <col min="13585" max="13585" width="25.28515625" style="14" customWidth="1"/>
    <col min="13586" max="13586" width="26" style="14" customWidth="1"/>
    <col min="13587" max="13587" width="22.28515625" style="14" customWidth="1"/>
    <col min="13588" max="13588" width="24.85546875" style="14" customWidth="1"/>
    <col min="13589" max="13589" width="21.140625" style="14" customWidth="1"/>
    <col min="13590" max="13590" width="21.42578125" style="14" customWidth="1"/>
    <col min="13591" max="13591" width="27.85546875" style="14" customWidth="1"/>
    <col min="13592" max="13592" width="23.42578125" style="14" customWidth="1"/>
    <col min="13593" max="13593" width="21.42578125" style="14" customWidth="1"/>
    <col min="13594" max="13596" width="20.7109375" style="14" customWidth="1"/>
    <col min="13597" max="13597" width="32.28515625" style="14" bestFit="1" customWidth="1"/>
    <col min="13598" max="13598" width="20.7109375" style="14" customWidth="1"/>
    <col min="13599" max="13599" width="22" style="14" customWidth="1"/>
    <col min="13600" max="13603" width="21.28515625" style="14" customWidth="1"/>
    <col min="13604" max="13604" width="22.28515625" style="14" customWidth="1"/>
    <col min="13605" max="13606" width="11.42578125" style="14"/>
    <col min="13607" max="13607" width="14.85546875" style="14" bestFit="1" customWidth="1"/>
    <col min="13608" max="13832" width="11.42578125" style="14"/>
    <col min="13833" max="13833" width="34.42578125" style="14" customWidth="1"/>
    <col min="13834" max="13835" width="19.42578125" style="14" bestFit="1" customWidth="1"/>
    <col min="13836" max="13836" width="19.7109375" style="14" customWidth="1"/>
    <col min="13837" max="13838" width="20.42578125" style="14" customWidth="1"/>
    <col min="13839" max="13840" width="19.7109375" style="14" customWidth="1"/>
    <col min="13841" max="13841" width="25.28515625" style="14" customWidth="1"/>
    <col min="13842" max="13842" width="26" style="14" customWidth="1"/>
    <col min="13843" max="13843" width="22.28515625" style="14" customWidth="1"/>
    <col min="13844" max="13844" width="24.85546875" style="14" customWidth="1"/>
    <col min="13845" max="13845" width="21.140625" style="14" customWidth="1"/>
    <col min="13846" max="13846" width="21.42578125" style="14" customWidth="1"/>
    <col min="13847" max="13847" width="27.85546875" style="14" customWidth="1"/>
    <col min="13848" max="13848" width="23.42578125" style="14" customWidth="1"/>
    <col min="13849" max="13849" width="21.42578125" style="14" customWidth="1"/>
    <col min="13850" max="13852" width="20.7109375" style="14" customWidth="1"/>
    <col min="13853" max="13853" width="32.28515625" style="14" bestFit="1" customWidth="1"/>
    <col min="13854" max="13854" width="20.7109375" style="14" customWidth="1"/>
    <col min="13855" max="13855" width="22" style="14" customWidth="1"/>
    <col min="13856" max="13859" width="21.28515625" style="14" customWidth="1"/>
    <col min="13860" max="13860" width="22.28515625" style="14" customWidth="1"/>
    <col min="13861" max="13862" width="11.42578125" style="14"/>
    <col min="13863" max="13863" width="14.85546875" style="14" bestFit="1" customWidth="1"/>
    <col min="13864" max="14088" width="11.42578125" style="14"/>
    <col min="14089" max="14089" width="34.42578125" style="14" customWidth="1"/>
    <col min="14090" max="14091" width="19.42578125" style="14" bestFit="1" customWidth="1"/>
    <col min="14092" max="14092" width="19.7109375" style="14" customWidth="1"/>
    <col min="14093" max="14094" width="20.42578125" style="14" customWidth="1"/>
    <col min="14095" max="14096" width="19.7109375" style="14" customWidth="1"/>
    <col min="14097" max="14097" width="25.28515625" style="14" customWidth="1"/>
    <col min="14098" max="14098" width="26" style="14" customWidth="1"/>
    <col min="14099" max="14099" width="22.28515625" style="14" customWidth="1"/>
    <col min="14100" max="14100" width="24.85546875" style="14" customWidth="1"/>
    <col min="14101" max="14101" width="21.140625" style="14" customWidth="1"/>
    <col min="14102" max="14102" width="21.42578125" style="14" customWidth="1"/>
    <col min="14103" max="14103" width="27.85546875" style="14" customWidth="1"/>
    <col min="14104" max="14104" width="23.42578125" style="14" customWidth="1"/>
    <col min="14105" max="14105" width="21.42578125" style="14" customWidth="1"/>
    <col min="14106" max="14108" width="20.7109375" style="14" customWidth="1"/>
    <col min="14109" max="14109" width="32.28515625" style="14" bestFit="1" customWidth="1"/>
    <col min="14110" max="14110" width="20.7109375" style="14" customWidth="1"/>
    <col min="14111" max="14111" width="22" style="14" customWidth="1"/>
    <col min="14112" max="14115" width="21.28515625" style="14" customWidth="1"/>
    <col min="14116" max="14116" width="22.28515625" style="14" customWidth="1"/>
    <col min="14117" max="14118" width="11.42578125" style="14"/>
    <col min="14119" max="14119" width="14.85546875" style="14" bestFit="1" customWidth="1"/>
    <col min="14120" max="14344" width="11.42578125" style="14"/>
    <col min="14345" max="14345" width="34.42578125" style="14" customWidth="1"/>
    <col min="14346" max="14347" width="19.42578125" style="14" bestFit="1" customWidth="1"/>
    <col min="14348" max="14348" width="19.7109375" style="14" customWidth="1"/>
    <col min="14349" max="14350" width="20.42578125" style="14" customWidth="1"/>
    <col min="14351" max="14352" width="19.7109375" style="14" customWidth="1"/>
    <col min="14353" max="14353" width="25.28515625" style="14" customWidth="1"/>
    <col min="14354" max="14354" width="26" style="14" customWidth="1"/>
    <col min="14355" max="14355" width="22.28515625" style="14" customWidth="1"/>
    <col min="14356" max="14356" width="24.85546875" style="14" customWidth="1"/>
    <col min="14357" max="14357" width="21.140625" style="14" customWidth="1"/>
    <col min="14358" max="14358" width="21.42578125" style="14" customWidth="1"/>
    <col min="14359" max="14359" width="27.85546875" style="14" customWidth="1"/>
    <col min="14360" max="14360" width="23.42578125" style="14" customWidth="1"/>
    <col min="14361" max="14361" width="21.42578125" style="14" customWidth="1"/>
    <col min="14362" max="14364" width="20.7109375" style="14" customWidth="1"/>
    <col min="14365" max="14365" width="32.28515625" style="14" bestFit="1" customWidth="1"/>
    <col min="14366" max="14366" width="20.7109375" style="14" customWidth="1"/>
    <col min="14367" max="14367" width="22" style="14" customWidth="1"/>
    <col min="14368" max="14371" width="21.28515625" style="14" customWidth="1"/>
    <col min="14372" max="14372" width="22.28515625" style="14" customWidth="1"/>
    <col min="14373" max="14374" width="11.42578125" style="14"/>
    <col min="14375" max="14375" width="14.85546875" style="14" bestFit="1" customWidth="1"/>
    <col min="14376" max="14600" width="11.42578125" style="14"/>
    <col min="14601" max="14601" width="34.42578125" style="14" customWidth="1"/>
    <col min="14602" max="14603" width="19.42578125" style="14" bestFit="1" customWidth="1"/>
    <col min="14604" max="14604" width="19.7109375" style="14" customWidth="1"/>
    <col min="14605" max="14606" width="20.42578125" style="14" customWidth="1"/>
    <col min="14607" max="14608" width="19.7109375" style="14" customWidth="1"/>
    <col min="14609" max="14609" width="25.28515625" style="14" customWidth="1"/>
    <col min="14610" max="14610" width="26" style="14" customWidth="1"/>
    <col min="14611" max="14611" width="22.28515625" style="14" customWidth="1"/>
    <col min="14612" max="14612" width="24.85546875" style="14" customWidth="1"/>
    <col min="14613" max="14613" width="21.140625" style="14" customWidth="1"/>
    <col min="14614" max="14614" width="21.42578125" style="14" customWidth="1"/>
    <col min="14615" max="14615" width="27.85546875" style="14" customWidth="1"/>
    <col min="14616" max="14616" width="23.42578125" style="14" customWidth="1"/>
    <col min="14617" max="14617" width="21.42578125" style="14" customWidth="1"/>
    <col min="14618" max="14620" width="20.7109375" style="14" customWidth="1"/>
    <col min="14621" max="14621" width="32.28515625" style="14" bestFit="1" customWidth="1"/>
    <col min="14622" max="14622" width="20.7109375" style="14" customWidth="1"/>
    <col min="14623" max="14623" width="22" style="14" customWidth="1"/>
    <col min="14624" max="14627" width="21.28515625" style="14" customWidth="1"/>
    <col min="14628" max="14628" width="22.28515625" style="14" customWidth="1"/>
    <col min="14629" max="14630" width="11.42578125" style="14"/>
    <col min="14631" max="14631" width="14.85546875" style="14" bestFit="1" customWidth="1"/>
    <col min="14632" max="14856" width="11.42578125" style="14"/>
    <col min="14857" max="14857" width="34.42578125" style="14" customWidth="1"/>
    <col min="14858" max="14859" width="19.42578125" style="14" bestFit="1" customWidth="1"/>
    <col min="14860" max="14860" width="19.7109375" style="14" customWidth="1"/>
    <col min="14861" max="14862" width="20.42578125" style="14" customWidth="1"/>
    <col min="14863" max="14864" width="19.7109375" style="14" customWidth="1"/>
    <col min="14865" max="14865" width="25.28515625" style="14" customWidth="1"/>
    <col min="14866" max="14866" width="26" style="14" customWidth="1"/>
    <col min="14867" max="14867" width="22.28515625" style="14" customWidth="1"/>
    <col min="14868" max="14868" width="24.85546875" style="14" customWidth="1"/>
    <col min="14869" max="14869" width="21.140625" style="14" customWidth="1"/>
    <col min="14870" max="14870" width="21.42578125" style="14" customWidth="1"/>
    <col min="14871" max="14871" width="27.85546875" style="14" customWidth="1"/>
    <col min="14872" max="14872" width="23.42578125" style="14" customWidth="1"/>
    <col min="14873" max="14873" width="21.42578125" style="14" customWidth="1"/>
    <col min="14874" max="14876" width="20.7109375" style="14" customWidth="1"/>
    <col min="14877" max="14877" width="32.28515625" style="14" bestFit="1" customWidth="1"/>
    <col min="14878" max="14878" width="20.7109375" style="14" customWidth="1"/>
    <col min="14879" max="14879" width="22" style="14" customWidth="1"/>
    <col min="14880" max="14883" width="21.28515625" style="14" customWidth="1"/>
    <col min="14884" max="14884" width="22.28515625" style="14" customWidth="1"/>
    <col min="14885" max="14886" width="11.42578125" style="14"/>
    <col min="14887" max="14887" width="14.85546875" style="14" bestFit="1" customWidth="1"/>
    <col min="14888" max="15112" width="11.42578125" style="14"/>
    <col min="15113" max="15113" width="34.42578125" style="14" customWidth="1"/>
    <col min="15114" max="15115" width="19.42578125" style="14" bestFit="1" customWidth="1"/>
    <col min="15116" max="15116" width="19.7109375" style="14" customWidth="1"/>
    <col min="15117" max="15118" width="20.42578125" style="14" customWidth="1"/>
    <col min="15119" max="15120" width="19.7109375" style="14" customWidth="1"/>
    <col min="15121" max="15121" width="25.28515625" style="14" customWidth="1"/>
    <col min="15122" max="15122" width="26" style="14" customWidth="1"/>
    <col min="15123" max="15123" width="22.28515625" style="14" customWidth="1"/>
    <col min="15124" max="15124" width="24.85546875" style="14" customWidth="1"/>
    <col min="15125" max="15125" width="21.140625" style="14" customWidth="1"/>
    <col min="15126" max="15126" width="21.42578125" style="14" customWidth="1"/>
    <col min="15127" max="15127" width="27.85546875" style="14" customWidth="1"/>
    <col min="15128" max="15128" width="23.42578125" style="14" customWidth="1"/>
    <col min="15129" max="15129" width="21.42578125" style="14" customWidth="1"/>
    <col min="15130" max="15132" width="20.7109375" style="14" customWidth="1"/>
    <col min="15133" max="15133" width="32.28515625" style="14" bestFit="1" customWidth="1"/>
    <col min="15134" max="15134" width="20.7109375" style="14" customWidth="1"/>
    <col min="15135" max="15135" width="22" style="14" customWidth="1"/>
    <col min="15136" max="15139" width="21.28515625" style="14" customWidth="1"/>
    <col min="15140" max="15140" width="22.28515625" style="14" customWidth="1"/>
    <col min="15141" max="15142" width="11.42578125" style="14"/>
    <col min="15143" max="15143" width="14.85546875" style="14" bestFit="1" customWidth="1"/>
    <col min="15144" max="15368" width="11.42578125" style="14"/>
    <col min="15369" max="15369" width="34.42578125" style="14" customWidth="1"/>
    <col min="15370" max="15371" width="19.42578125" style="14" bestFit="1" customWidth="1"/>
    <col min="15372" max="15372" width="19.7109375" style="14" customWidth="1"/>
    <col min="15373" max="15374" width="20.42578125" style="14" customWidth="1"/>
    <col min="15375" max="15376" width="19.7109375" style="14" customWidth="1"/>
    <col min="15377" max="15377" width="25.28515625" style="14" customWidth="1"/>
    <col min="15378" max="15378" width="26" style="14" customWidth="1"/>
    <col min="15379" max="15379" width="22.28515625" style="14" customWidth="1"/>
    <col min="15380" max="15380" width="24.85546875" style="14" customWidth="1"/>
    <col min="15381" max="15381" width="21.140625" style="14" customWidth="1"/>
    <col min="15382" max="15382" width="21.42578125" style="14" customWidth="1"/>
    <col min="15383" max="15383" width="27.85546875" style="14" customWidth="1"/>
    <col min="15384" max="15384" width="23.42578125" style="14" customWidth="1"/>
    <col min="15385" max="15385" width="21.42578125" style="14" customWidth="1"/>
    <col min="15386" max="15388" width="20.7109375" style="14" customWidth="1"/>
    <col min="15389" max="15389" width="32.28515625" style="14" bestFit="1" customWidth="1"/>
    <col min="15390" max="15390" width="20.7109375" style="14" customWidth="1"/>
    <col min="15391" max="15391" width="22" style="14" customWidth="1"/>
    <col min="15392" max="15395" width="21.28515625" style="14" customWidth="1"/>
    <col min="15396" max="15396" width="22.28515625" style="14" customWidth="1"/>
    <col min="15397" max="15398" width="11.42578125" style="14"/>
    <col min="15399" max="15399" width="14.85546875" style="14" bestFit="1" customWidth="1"/>
    <col min="15400" max="15624" width="11.42578125" style="14"/>
    <col min="15625" max="15625" width="34.42578125" style="14" customWidth="1"/>
    <col min="15626" max="15627" width="19.42578125" style="14" bestFit="1" customWidth="1"/>
    <col min="15628" max="15628" width="19.7109375" style="14" customWidth="1"/>
    <col min="15629" max="15630" width="20.42578125" style="14" customWidth="1"/>
    <col min="15631" max="15632" width="19.7109375" style="14" customWidth="1"/>
    <col min="15633" max="15633" width="25.28515625" style="14" customWidth="1"/>
    <col min="15634" max="15634" width="26" style="14" customWidth="1"/>
    <col min="15635" max="15635" width="22.28515625" style="14" customWidth="1"/>
    <col min="15636" max="15636" width="24.85546875" style="14" customWidth="1"/>
    <col min="15637" max="15637" width="21.140625" style="14" customWidth="1"/>
    <col min="15638" max="15638" width="21.42578125" style="14" customWidth="1"/>
    <col min="15639" max="15639" width="27.85546875" style="14" customWidth="1"/>
    <col min="15640" max="15640" width="23.42578125" style="14" customWidth="1"/>
    <col min="15641" max="15641" width="21.42578125" style="14" customWidth="1"/>
    <col min="15642" max="15644" width="20.7109375" style="14" customWidth="1"/>
    <col min="15645" max="15645" width="32.28515625" style="14" bestFit="1" customWidth="1"/>
    <col min="15646" max="15646" width="20.7109375" style="14" customWidth="1"/>
    <col min="15647" max="15647" width="22" style="14" customWidth="1"/>
    <col min="15648" max="15651" width="21.28515625" style="14" customWidth="1"/>
    <col min="15652" max="15652" width="22.28515625" style="14" customWidth="1"/>
    <col min="15653" max="15654" width="11.42578125" style="14"/>
    <col min="15655" max="15655" width="14.85546875" style="14" bestFit="1" customWidth="1"/>
    <col min="15656" max="15880" width="11.42578125" style="14"/>
    <col min="15881" max="15881" width="34.42578125" style="14" customWidth="1"/>
    <col min="15882" max="15883" width="19.42578125" style="14" bestFit="1" customWidth="1"/>
    <col min="15884" max="15884" width="19.7109375" style="14" customWidth="1"/>
    <col min="15885" max="15886" width="20.42578125" style="14" customWidth="1"/>
    <col min="15887" max="15888" width="19.7109375" style="14" customWidth="1"/>
    <col min="15889" max="15889" width="25.28515625" style="14" customWidth="1"/>
    <col min="15890" max="15890" width="26" style="14" customWidth="1"/>
    <col min="15891" max="15891" width="22.28515625" style="14" customWidth="1"/>
    <col min="15892" max="15892" width="24.85546875" style="14" customWidth="1"/>
    <col min="15893" max="15893" width="21.140625" style="14" customWidth="1"/>
    <col min="15894" max="15894" width="21.42578125" style="14" customWidth="1"/>
    <col min="15895" max="15895" width="27.85546875" style="14" customWidth="1"/>
    <col min="15896" max="15896" width="23.42578125" style="14" customWidth="1"/>
    <col min="15897" max="15897" width="21.42578125" style="14" customWidth="1"/>
    <col min="15898" max="15900" width="20.7109375" style="14" customWidth="1"/>
    <col min="15901" max="15901" width="32.28515625" style="14" bestFit="1" customWidth="1"/>
    <col min="15902" max="15902" width="20.7109375" style="14" customWidth="1"/>
    <col min="15903" max="15903" width="22" style="14" customWidth="1"/>
    <col min="15904" max="15907" width="21.28515625" style="14" customWidth="1"/>
    <col min="15908" max="15908" width="22.28515625" style="14" customWidth="1"/>
    <col min="15909" max="15910" width="11.42578125" style="14"/>
    <col min="15911" max="15911" width="14.85546875" style="14" bestFit="1" customWidth="1"/>
    <col min="15912" max="16136" width="11.42578125" style="14"/>
    <col min="16137" max="16137" width="34.42578125" style="14" customWidth="1"/>
    <col min="16138" max="16139" width="19.42578125" style="14" bestFit="1" customWidth="1"/>
    <col min="16140" max="16140" width="19.7109375" style="14" customWidth="1"/>
    <col min="16141" max="16142" width="20.42578125" style="14" customWidth="1"/>
    <col min="16143" max="16144" width="19.7109375" style="14" customWidth="1"/>
    <col min="16145" max="16145" width="25.28515625" style="14" customWidth="1"/>
    <col min="16146" max="16146" width="26" style="14" customWidth="1"/>
    <col min="16147" max="16147" width="22.28515625" style="14" customWidth="1"/>
    <col min="16148" max="16148" width="24.85546875" style="14" customWidth="1"/>
    <col min="16149" max="16149" width="21.140625" style="14" customWidth="1"/>
    <col min="16150" max="16150" width="21.42578125" style="14" customWidth="1"/>
    <col min="16151" max="16151" width="27.85546875" style="14" customWidth="1"/>
    <col min="16152" max="16152" width="23.42578125" style="14" customWidth="1"/>
    <col min="16153" max="16153" width="21.42578125" style="14" customWidth="1"/>
    <col min="16154" max="16156" width="20.7109375" style="14" customWidth="1"/>
    <col min="16157" max="16157" width="32.28515625" style="14" bestFit="1" customWidth="1"/>
    <col min="16158" max="16158" width="20.7109375" style="14" customWidth="1"/>
    <col min="16159" max="16159" width="22" style="14" customWidth="1"/>
    <col min="16160" max="16163" width="21.28515625" style="14" customWidth="1"/>
    <col min="16164" max="16164" width="22.28515625" style="14" customWidth="1"/>
    <col min="16165" max="16166" width="11.42578125" style="14"/>
    <col min="16167" max="16167" width="14.85546875" style="14" bestFit="1" customWidth="1"/>
    <col min="16168" max="16384" width="11.42578125" style="14"/>
  </cols>
  <sheetData>
    <row r="1" spans="1:36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2"/>
      <c r="AF1" s="2"/>
      <c r="AG1" s="2"/>
      <c r="AH1" s="2"/>
      <c r="AI1" s="2"/>
      <c r="AJ1" s="1"/>
    </row>
    <row r="2" spans="1:36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2"/>
      <c r="AF2" s="2"/>
      <c r="AG2" s="2"/>
      <c r="AH2" s="2"/>
      <c r="AI2" s="2"/>
      <c r="AJ2" s="1"/>
    </row>
    <row r="3" spans="1:36" s="3" customFormat="1" ht="30" x14ac:dyDescent="0.25">
      <c r="A3" s="959" t="s">
        <v>0</v>
      </c>
      <c r="B3" s="959"/>
      <c r="C3" s="959"/>
      <c r="D3" s="934"/>
      <c r="E3" s="934"/>
      <c r="F3" s="934"/>
      <c r="G3" s="934"/>
      <c r="H3" s="934"/>
      <c r="I3" s="934"/>
      <c r="J3" s="934"/>
      <c r="K3" s="934"/>
      <c r="L3" s="934"/>
      <c r="M3" s="934"/>
      <c r="N3" s="934"/>
      <c r="O3" s="934"/>
      <c r="P3" s="934"/>
      <c r="Q3" s="934"/>
      <c r="R3" s="934"/>
      <c r="S3" s="934"/>
      <c r="T3" s="934"/>
      <c r="U3" s="934"/>
      <c r="V3" s="934"/>
      <c r="W3" s="934"/>
      <c r="X3" s="934"/>
      <c r="Y3" s="934"/>
      <c r="Z3" s="934"/>
      <c r="AA3" s="934"/>
      <c r="AB3" s="934"/>
      <c r="AC3" s="934"/>
      <c r="AD3" s="934"/>
      <c r="AE3" s="2"/>
      <c r="AF3" s="2"/>
      <c r="AG3" s="2"/>
      <c r="AH3" s="2"/>
      <c r="AI3" s="2"/>
      <c r="AJ3" s="934"/>
    </row>
    <row r="4" spans="1:36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2"/>
      <c r="AF4" s="2"/>
      <c r="AG4" s="2"/>
      <c r="AH4" s="2"/>
      <c r="AI4" s="2"/>
      <c r="AJ4" s="1"/>
    </row>
    <row r="5" spans="1:36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1"/>
    </row>
    <row r="6" spans="1:36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1"/>
    </row>
    <row r="7" spans="1:36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1"/>
    </row>
    <row r="8" spans="1:36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1"/>
    </row>
    <row r="9" spans="1:36" s="3" customFormat="1" ht="26.25" x14ac:dyDescent="0.25">
      <c r="A9" s="934" t="s">
        <v>1</v>
      </c>
      <c r="B9" s="934"/>
      <c r="C9" s="934"/>
      <c r="D9" s="1"/>
      <c r="E9" s="960" t="s">
        <v>2</v>
      </c>
      <c r="F9" s="960"/>
      <c r="G9" s="96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60" t="s">
        <v>35</v>
      </c>
      <c r="X9" s="96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6" s="3" customFormat="1" ht="8.25" customHeight="1" x14ac:dyDescent="0.25">
      <c r="A10" s="934"/>
      <c r="B10" s="934"/>
      <c r="C10" s="9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6" s="3" customFormat="1" ht="26.25" x14ac:dyDescent="0.25">
      <c r="A11" s="934" t="s">
        <v>4</v>
      </c>
      <c r="B11" s="934"/>
      <c r="C11" s="934"/>
      <c r="D11" s="1"/>
      <c r="E11" s="935">
        <v>1</v>
      </c>
      <c r="F11" s="1"/>
      <c r="G11" s="1"/>
      <c r="H11" s="1"/>
      <c r="I11" s="1"/>
      <c r="J11" s="1"/>
      <c r="K11" s="1"/>
      <c r="L11" s="1"/>
      <c r="M11" s="1"/>
      <c r="N11" s="1"/>
      <c r="O11" s="965">
        <v>59</v>
      </c>
      <c r="P11" s="965"/>
      <c r="Q11" s="936"/>
      <c r="R11" s="936"/>
      <c r="S11" s="936"/>
      <c r="T11" s="1"/>
      <c r="U11" s="1"/>
      <c r="V11" s="1" t="s">
        <v>6</v>
      </c>
      <c r="W11" s="95">
        <v>45742</v>
      </c>
      <c r="X11" s="95">
        <f>W11+6</f>
        <v>45748</v>
      </c>
      <c r="Y11" s="936"/>
      <c r="Z11" s="936"/>
      <c r="AA11" s="936"/>
      <c r="AB11" s="936"/>
      <c r="AC11" s="936"/>
      <c r="AD11" s="1"/>
      <c r="AE11" s="1"/>
      <c r="AF11" s="1"/>
      <c r="AG11" s="1"/>
      <c r="AH11" s="1"/>
      <c r="AI11" s="1"/>
    </row>
    <row r="12" spans="1:36" s="3" customFormat="1" ht="26.25" x14ac:dyDescent="0.25">
      <c r="A12" s="934"/>
      <c r="B12" s="934"/>
      <c r="C12" s="93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936"/>
      <c r="Q12" s="936"/>
      <c r="R12" s="936"/>
      <c r="S12" s="936"/>
      <c r="T12" s="936"/>
      <c r="U12" s="1"/>
      <c r="V12" s="1"/>
      <c r="W12" s="1"/>
      <c r="X12" s="1"/>
      <c r="Y12" s="936"/>
      <c r="Z12" s="936"/>
      <c r="AA12" s="936"/>
      <c r="AB12" s="936"/>
      <c r="AC12" s="936"/>
      <c r="AD12" s="936"/>
      <c r="AE12" s="936"/>
      <c r="AF12" s="936"/>
      <c r="AG12" s="936"/>
      <c r="AH12" s="936"/>
      <c r="AI12" s="936"/>
      <c r="AJ12" s="1"/>
    </row>
    <row r="13" spans="1:36" s="3" customFormat="1" ht="26.25" x14ac:dyDescent="0.25">
      <c r="A13" s="934"/>
      <c r="B13" s="934"/>
      <c r="C13" s="934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936"/>
      <c r="Q13" s="936"/>
      <c r="R13" s="936"/>
      <c r="S13" s="936"/>
      <c r="T13" s="936"/>
      <c r="U13" s="1"/>
      <c r="V13" s="1"/>
      <c r="W13" s="1"/>
      <c r="X13" s="1"/>
      <c r="Y13" s="936"/>
      <c r="Z13" s="936"/>
      <c r="AA13" s="936"/>
      <c r="AB13" s="936"/>
      <c r="AC13" s="936"/>
      <c r="AD13" s="936"/>
      <c r="AE13" s="936"/>
      <c r="AF13" s="936"/>
      <c r="AG13" s="936"/>
      <c r="AH13" s="936"/>
      <c r="AI13" s="936"/>
      <c r="AJ13" s="1"/>
    </row>
    <row r="14" spans="1:36" s="2" customFormat="1" ht="30" x14ac:dyDescent="0.25">
      <c r="Q14" s="345"/>
      <c r="R14" s="345"/>
      <c r="S14" s="345"/>
      <c r="T14" s="345"/>
      <c r="U14" s="345"/>
      <c r="V14" s="345"/>
      <c r="W14" s="345"/>
      <c r="X14" s="345"/>
      <c r="Y14" s="346"/>
      <c r="Z14" s="345"/>
      <c r="AA14" s="345"/>
      <c r="AB14" s="345"/>
    </row>
    <row r="15" spans="1:36" s="264" customFormat="1" ht="34.5" thickBot="1" x14ac:dyDescent="0.3">
      <c r="A15" s="347"/>
      <c r="B15" s="347"/>
      <c r="C15" s="347"/>
      <c r="N15" s="400"/>
      <c r="P15" s="348"/>
      <c r="Q15" s="348"/>
      <c r="R15" s="348"/>
      <c r="S15" s="348"/>
      <c r="T15" s="348"/>
      <c r="U15" s="348"/>
      <c r="V15" s="348"/>
      <c r="W15" s="348"/>
      <c r="X15" s="348"/>
      <c r="Y15" s="349"/>
      <c r="AA15" s="348"/>
      <c r="AB15" s="348"/>
      <c r="AC15" s="348"/>
    </row>
    <row r="16" spans="1:36" s="10" customFormat="1" ht="36" thickBot="1" x14ac:dyDescent="0.3">
      <c r="A16" s="418" t="s">
        <v>7</v>
      </c>
      <c r="B16" s="971" t="s">
        <v>8</v>
      </c>
      <c r="C16" s="968"/>
      <c r="D16" s="968"/>
      <c r="E16" s="968"/>
      <c r="F16" s="968"/>
      <c r="G16" s="968"/>
      <c r="H16" s="969"/>
      <c r="I16" s="971" t="s">
        <v>30</v>
      </c>
      <c r="J16" s="968"/>
      <c r="K16" s="968"/>
      <c r="L16" s="968"/>
      <c r="M16" s="968"/>
      <c r="N16" s="968"/>
      <c r="O16" s="969"/>
      <c r="P16" s="968" t="s">
        <v>29</v>
      </c>
      <c r="Q16" s="968"/>
      <c r="R16" s="968"/>
      <c r="S16" s="968"/>
      <c r="T16" s="969"/>
      <c r="U16" s="971" t="s">
        <v>31</v>
      </c>
      <c r="V16" s="968"/>
      <c r="W16" s="968"/>
      <c r="X16" s="968"/>
      <c r="Y16" s="969"/>
      <c r="Z16" s="977" t="s">
        <v>9</v>
      </c>
    </row>
    <row r="17" spans="1:40" ht="39.950000000000003" customHeight="1" thickBot="1" x14ac:dyDescent="0.3">
      <c r="A17" s="170" t="s">
        <v>10</v>
      </c>
      <c r="B17" s="425" t="s">
        <v>100</v>
      </c>
      <c r="C17" s="168">
        <v>1</v>
      </c>
      <c r="D17" s="168">
        <v>2</v>
      </c>
      <c r="E17" s="168">
        <v>3</v>
      </c>
      <c r="F17" s="168">
        <v>4</v>
      </c>
      <c r="G17" s="204">
        <v>5</v>
      </c>
      <c r="H17" s="828"/>
      <c r="I17" s="188" t="s">
        <v>100</v>
      </c>
      <c r="J17" s="168">
        <v>1</v>
      </c>
      <c r="K17" s="168">
        <v>2</v>
      </c>
      <c r="L17" s="168">
        <v>3</v>
      </c>
      <c r="M17" s="168">
        <v>4</v>
      </c>
      <c r="N17" s="169">
        <v>5</v>
      </c>
      <c r="O17" s="828"/>
      <c r="P17" s="189">
        <v>1</v>
      </c>
      <c r="Q17" s="168">
        <v>2</v>
      </c>
      <c r="R17" s="168">
        <v>3</v>
      </c>
      <c r="S17" s="168">
        <v>4</v>
      </c>
      <c r="T17" s="204">
        <v>5</v>
      </c>
      <c r="U17" s="188">
        <v>1</v>
      </c>
      <c r="V17" s="168">
        <v>2</v>
      </c>
      <c r="W17" s="168">
        <v>3</v>
      </c>
      <c r="X17" s="168">
        <v>4</v>
      </c>
      <c r="Y17" s="169">
        <v>5</v>
      </c>
      <c r="Z17" s="984"/>
      <c r="AB17" s="921" t="s">
        <v>134</v>
      </c>
      <c r="AD17" s="2"/>
      <c r="AE17" s="15"/>
    </row>
    <row r="18" spans="1:40" ht="39.950000000000003" customHeight="1" x14ac:dyDescent="0.25">
      <c r="A18" s="171" t="s">
        <v>53</v>
      </c>
      <c r="B18" s="924">
        <v>288.5</v>
      </c>
      <c r="C18" s="925">
        <v>12</v>
      </c>
      <c r="D18" s="925">
        <v>13.8</v>
      </c>
      <c r="E18" s="925">
        <v>0.8</v>
      </c>
      <c r="F18" s="925">
        <v>13.5</v>
      </c>
      <c r="G18" s="926">
        <v>13.8</v>
      </c>
      <c r="H18" s="927">
        <v>342.40000000000003</v>
      </c>
      <c r="I18" s="928">
        <v>291.5</v>
      </c>
      <c r="J18" s="925">
        <v>13.2</v>
      </c>
      <c r="K18" s="925">
        <v>13.6</v>
      </c>
      <c r="L18" s="925">
        <v>1</v>
      </c>
      <c r="M18" s="925">
        <v>13.8</v>
      </c>
      <c r="N18" s="929">
        <v>13.8</v>
      </c>
      <c r="O18" s="927">
        <v>346.90000000000003</v>
      </c>
      <c r="P18" s="930">
        <v>67.400000000000006</v>
      </c>
      <c r="Q18" s="931">
        <v>70.099999999999994</v>
      </c>
      <c r="R18" s="925">
        <v>13.5</v>
      </c>
      <c r="S18" s="925">
        <v>70.099999999999994</v>
      </c>
      <c r="T18" s="929">
        <v>69.58</v>
      </c>
      <c r="U18" s="932">
        <v>70.8</v>
      </c>
      <c r="V18" s="925">
        <v>72.7</v>
      </c>
      <c r="W18" s="931">
        <v>11.9</v>
      </c>
      <c r="X18" s="931">
        <v>72.599999999999994</v>
      </c>
      <c r="Y18" s="929">
        <v>76.099999999999994</v>
      </c>
      <c r="Z18" s="955">
        <f t="shared" ref="Z18:Z24" si="0">SUM(H18,O18,P18:Y18)</f>
        <v>1284.0800000000002</v>
      </c>
      <c r="AA18" s="301"/>
      <c r="AB18" s="913" t="s">
        <v>133</v>
      </c>
      <c r="AD18" s="2"/>
      <c r="AE18" s="15"/>
    </row>
    <row r="19" spans="1:40" ht="39.950000000000003" customHeight="1" x14ac:dyDescent="0.25">
      <c r="A19" s="171" t="s">
        <v>24</v>
      </c>
      <c r="B19" s="937">
        <v>288.5</v>
      </c>
      <c r="C19" s="938">
        <v>12</v>
      </c>
      <c r="D19" s="938">
        <v>13.8</v>
      </c>
      <c r="E19" s="938">
        <v>0.8</v>
      </c>
      <c r="F19" s="938">
        <v>13.5</v>
      </c>
      <c r="G19" s="939">
        <v>13.8</v>
      </c>
      <c r="H19" s="940">
        <v>342.40000000000003</v>
      </c>
      <c r="I19" s="941">
        <v>291.5</v>
      </c>
      <c r="J19" s="938">
        <v>13.2</v>
      </c>
      <c r="K19" s="938">
        <v>13.6</v>
      </c>
      <c r="L19" s="938">
        <v>1</v>
      </c>
      <c r="M19" s="938">
        <v>13.8</v>
      </c>
      <c r="N19" s="942">
        <v>13.8</v>
      </c>
      <c r="O19" s="940">
        <v>346.90000000000003</v>
      </c>
      <c r="P19" s="943">
        <v>67.400000000000006</v>
      </c>
      <c r="Q19" s="944">
        <v>70.099999999999994</v>
      </c>
      <c r="R19" s="938">
        <v>13.5</v>
      </c>
      <c r="S19" s="938">
        <v>70.099999999999994</v>
      </c>
      <c r="T19" s="942">
        <v>69.58</v>
      </c>
      <c r="U19" s="941">
        <v>70.8</v>
      </c>
      <c r="V19" s="938">
        <v>72.7</v>
      </c>
      <c r="W19" s="944">
        <v>11.9</v>
      </c>
      <c r="X19" s="944">
        <v>72.599999999999994</v>
      </c>
      <c r="Y19" s="942">
        <v>76.099999999999994</v>
      </c>
      <c r="Z19" s="950">
        <f t="shared" si="0"/>
        <v>1284.0800000000002</v>
      </c>
      <c r="AA19" s="520"/>
      <c r="AB19" s="914">
        <v>1</v>
      </c>
      <c r="AC19" s="522"/>
      <c r="AD19" s="145"/>
      <c r="AE19" s="523"/>
      <c r="AF19" s="522"/>
      <c r="AG19" s="522"/>
      <c r="AH19" s="522"/>
      <c r="AI19" s="522"/>
      <c r="AJ19" s="522"/>
      <c r="AK19" s="522"/>
      <c r="AL19" s="522"/>
      <c r="AM19" s="522"/>
      <c r="AN19" s="522"/>
    </row>
    <row r="20" spans="1:40" ht="39.75" customHeight="1" x14ac:dyDescent="0.25">
      <c r="A20" s="171" t="s">
        <v>20</v>
      </c>
      <c r="B20" s="924">
        <v>288.5</v>
      </c>
      <c r="C20" s="925">
        <v>12</v>
      </c>
      <c r="D20" s="925">
        <v>13.8</v>
      </c>
      <c r="E20" s="925">
        <v>0.8</v>
      </c>
      <c r="F20" s="925">
        <v>13.5</v>
      </c>
      <c r="G20" s="926">
        <v>13.8</v>
      </c>
      <c r="H20" s="927">
        <v>342.40000000000003</v>
      </c>
      <c r="I20" s="928">
        <v>291.5</v>
      </c>
      <c r="J20" s="925">
        <v>13.2</v>
      </c>
      <c r="K20" s="925">
        <v>13.6</v>
      </c>
      <c r="L20" s="925">
        <v>1</v>
      </c>
      <c r="M20" s="925">
        <v>13.8</v>
      </c>
      <c r="N20" s="929">
        <v>13.8</v>
      </c>
      <c r="O20" s="927">
        <v>346.90000000000003</v>
      </c>
      <c r="P20" s="930">
        <v>67.400000000000006</v>
      </c>
      <c r="Q20" s="931">
        <v>70.099999999999994</v>
      </c>
      <c r="R20" s="925">
        <v>13.5</v>
      </c>
      <c r="S20" s="925">
        <v>70.099999999999994</v>
      </c>
      <c r="T20" s="929">
        <v>69.58</v>
      </c>
      <c r="U20" s="932">
        <v>70.8</v>
      </c>
      <c r="V20" s="925">
        <v>72.7</v>
      </c>
      <c r="W20" s="931">
        <v>11.9</v>
      </c>
      <c r="X20" s="931">
        <v>72.599999999999994</v>
      </c>
      <c r="Y20" s="929">
        <v>76.099999999999994</v>
      </c>
      <c r="Z20" s="950">
        <f t="shared" si="0"/>
        <v>1284.0800000000002</v>
      </c>
      <c r="AA20" s="520"/>
      <c r="AB20" s="915">
        <v>2</v>
      </c>
      <c r="AC20" s="522"/>
      <c r="AD20" s="145"/>
      <c r="AE20" s="523"/>
      <c r="AF20" s="522"/>
      <c r="AG20" s="522"/>
      <c r="AH20" s="522"/>
      <c r="AI20" s="522"/>
      <c r="AJ20" s="522"/>
      <c r="AK20" s="522"/>
      <c r="AL20" s="522"/>
      <c r="AM20" s="522"/>
      <c r="AN20" s="522"/>
    </row>
    <row r="21" spans="1:40" ht="39.950000000000003" customHeight="1" x14ac:dyDescent="0.25">
      <c r="A21" s="171" t="s">
        <v>28</v>
      </c>
      <c r="B21" s="924"/>
      <c r="C21" s="925"/>
      <c r="D21" s="925"/>
      <c r="E21" s="925"/>
      <c r="F21" s="925"/>
      <c r="G21" s="926"/>
      <c r="H21" s="927"/>
      <c r="I21" s="928"/>
      <c r="J21" s="925"/>
      <c r="K21" s="925"/>
      <c r="L21" s="925"/>
      <c r="M21" s="925"/>
      <c r="N21" s="929"/>
      <c r="O21" s="927"/>
      <c r="P21" s="930"/>
      <c r="Q21" s="931"/>
      <c r="R21" s="925"/>
      <c r="S21" s="925"/>
      <c r="T21" s="929"/>
      <c r="U21" s="932"/>
      <c r="V21" s="925"/>
      <c r="W21" s="931"/>
      <c r="X21" s="931"/>
      <c r="Y21" s="929"/>
      <c r="Z21" s="950">
        <f t="shared" si="0"/>
        <v>0</v>
      </c>
      <c r="AA21" s="301"/>
      <c r="AB21" s="916">
        <v>3</v>
      </c>
      <c r="AD21" s="2"/>
      <c r="AE21" s="15"/>
    </row>
    <row r="22" spans="1:40" ht="39.950000000000003" customHeight="1" x14ac:dyDescent="0.25">
      <c r="A22" s="171" t="s">
        <v>21</v>
      </c>
      <c r="B22" s="924"/>
      <c r="C22" s="925"/>
      <c r="D22" s="925"/>
      <c r="E22" s="925"/>
      <c r="F22" s="925"/>
      <c r="G22" s="926"/>
      <c r="H22" s="927"/>
      <c r="I22" s="928"/>
      <c r="J22" s="925"/>
      <c r="K22" s="925"/>
      <c r="L22" s="925"/>
      <c r="M22" s="925"/>
      <c r="N22" s="929"/>
      <c r="O22" s="927"/>
      <c r="P22" s="930"/>
      <c r="Q22" s="931"/>
      <c r="R22" s="925"/>
      <c r="S22" s="925"/>
      <c r="T22" s="929"/>
      <c r="U22" s="932"/>
      <c r="V22" s="925"/>
      <c r="W22" s="931"/>
      <c r="X22" s="931"/>
      <c r="Y22" s="929"/>
      <c r="Z22" s="950">
        <f t="shared" si="0"/>
        <v>0</v>
      </c>
      <c r="AA22" s="301"/>
      <c r="AB22" s="917">
        <v>4</v>
      </c>
      <c r="AD22" s="2"/>
      <c r="AE22" s="15"/>
    </row>
    <row r="23" spans="1:40" ht="39.950000000000003" customHeight="1" x14ac:dyDescent="0.25">
      <c r="A23" s="171" t="s">
        <v>22</v>
      </c>
      <c r="B23" s="924"/>
      <c r="C23" s="925"/>
      <c r="D23" s="925"/>
      <c r="E23" s="925"/>
      <c r="F23" s="925"/>
      <c r="G23" s="926"/>
      <c r="H23" s="927"/>
      <c r="I23" s="928"/>
      <c r="J23" s="925"/>
      <c r="K23" s="925"/>
      <c r="L23" s="925"/>
      <c r="M23" s="925"/>
      <c r="N23" s="929"/>
      <c r="O23" s="927"/>
      <c r="P23" s="930"/>
      <c r="Q23" s="931"/>
      <c r="R23" s="925"/>
      <c r="S23" s="925"/>
      <c r="T23" s="929"/>
      <c r="U23" s="932"/>
      <c r="V23" s="925"/>
      <c r="W23" s="931"/>
      <c r="X23" s="931"/>
      <c r="Y23" s="929"/>
      <c r="Z23" s="950">
        <f t="shared" si="0"/>
        <v>0</v>
      </c>
      <c r="AA23" s="301"/>
      <c r="AB23" s="918">
        <v>5</v>
      </c>
      <c r="AD23" s="2"/>
      <c r="AE23" s="15"/>
    </row>
    <row r="24" spans="1:40" ht="39.950000000000003" customHeight="1" thickBot="1" x14ac:dyDescent="0.3">
      <c r="A24" s="285" t="s">
        <v>23</v>
      </c>
      <c r="B24" s="924"/>
      <c r="C24" s="925"/>
      <c r="D24" s="925"/>
      <c r="E24" s="925"/>
      <c r="F24" s="925"/>
      <c r="G24" s="926"/>
      <c r="H24" s="927"/>
      <c r="I24" s="928"/>
      <c r="J24" s="925"/>
      <c r="K24" s="925"/>
      <c r="L24" s="925"/>
      <c r="M24" s="925"/>
      <c r="N24" s="929"/>
      <c r="O24" s="927"/>
      <c r="P24" s="930"/>
      <c r="Q24" s="931"/>
      <c r="R24" s="925"/>
      <c r="S24" s="925"/>
      <c r="T24" s="929"/>
      <c r="U24" s="932"/>
      <c r="V24" s="925"/>
      <c r="W24" s="931"/>
      <c r="X24" s="931"/>
      <c r="Y24" s="929"/>
      <c r="Z24" s="950">
        <f t="shared" si="0"/>
        <v>0</v>
      </c>
      <c r="AA24" s="301"/>
      <c r="AB24" s="919">
        <v>6</v>
      </c>
      <c r="AD24" s="2"/>
    </row>
    <row r="25" spans="1:40" ht="41.45" customHeight="1" thickBot="1" x14ac:dyDescent="0.3">
      <c r="A25" s="268" t="s">
        <v>9</v>
      </c>
      <c r="B25" s="606"/>
      <c r="C25" s="616">
        <f t="shared" ref="C25:G25" si="1">SUM(C18:C24)</f>
        <v>36</v>
      </c>
      <c r="D25" s="616">
        <f t="shared" si="1"/>
        <v>41.400000000000006</v>
      </c>
      <c r="E25" s="616">
        <f t="shared" si="1"/>
        <v>2.4000000000000004</v>
      </c>
      <c r="F25" s="616">
        <f t="shared" si="1"/>
        <v>40.5</v>
      </c>
      <c r="G25" s="617">
        <f t="shared" si="1"/>
        <v>41.400000000000006</v>
      </c>
      <c r="H25" s="436"/>
      <c r="I25" s="618"/>
      <c r="J25" s="616">
        <f t="shared" ref="J25:N25" si="2">SUM(J18:J24)</f>
        <v>39.599999999999994</v>
      </c>
      <c r="K25" s="616">
        <f>SUM(K18:K24)</f>
        <v>40.799999999999997</v>
      </c>
      <c r="L25" s="616">
        <f t="shared" si="2"/>
        <v>3</v>
      </c>
      <c r="M25" s="616">
        <f t="shared" si="2"/>
        <v>41.400000000000006</v>
      </c>
      <c r="N25" s="619">
        <f t="shared" si="2"/>
        <v>41.400000000000006</v>
      </c>
      <c r="O25" s="436"/>
      <c r="P25" s="618">
        <f t="shared" ref="P25:W25" si="3">SUM(P18:P24)</f>
        <v>202.20000000000002</v>
      </c>
      <c r="Q25" s="618">
        <f t="shared" si="3"/>
        <v>210.29999999999998</v>
      </c>
      <c r="R25" s="618">
        <f t="shared" si="3"/>
        <v>40.5</v>
      </c>
      <c r="S25" s="618">
        <f t="shared" si="3"/>
        <v>210.29999999999998</v>
      </c>
      <c r="T25" s="618">
        <f t="shared" si="3"/>
        <v>208.74</v>
      </c>
      <c r="U25" s="618">
        <f t="shared" si="3"/>
        <v>212.39999999999998</v>
      </c>
      <c r="V25" s="618">
        <f t="shared" si="3"/>
        <v>218.10000000000002</v>
      </c>
      <c r="W25" s="618">
        <f t="shared" si="3"/>
        <v>35.700000000000003</v>
      </c>
      <c r="X25" s="618">
        <f>SUM(X18:X24)</f>
        <v>217.79999999999998</v>
      </c>
      <c r="Y25" s="810">
        <f>SUM(Y18:Y24)</f>
        <v>228.29999999999998</v>
      </c>
      <c r="Z25" s="449">
        <f>SUM(Z18,Z19,Z20,Z21,Z22,Z23,Z24)</f>
        <v>3852.2400000000007</v>
      </c>
      <c r="AA25" s="301"/>
      <c r="AB25" s="920">
        <v>7</v>
      </c>
    </row>
    <row r="26" spans="1:40" s="2" customFormat="1" ht="36.75" customHeight="1" x14ac:dyDescent="0.25">
      <c r="A26" s="192" t="s">
        <v>11</v>
      </c>
      <c r="B26" s="808"/>
      <c r="C26" s="620">
        <v>155.6</v>
      </c>
      <c r="D26" s="620">
        <v>155.6</v>
      </c>
      <c r="E26" s="620">
        <v>155.6</v>
      </c>
      <c r="F26" s="620">
        <v>155.6</v>
      </c>
      <c r="G26" s="620">
        <v>155.6</v>
      </c>
      <c r="H26" s="809"/>
      <c r="I26" s="620"/>
      <c r="J26" s="620">
        <v>155.6</v>
      </c>
      <c r="K26" s="620">
        <v>155.6</v>
      </c>
      <c r="L26" s="620">
        <v>155.6</v>
      </c>
      <c r="M26" s="620">
        <v>155.6</v>
      </c>
      <c r="N26" s="620">
        <v>155.6</v>
      </c>
      <c r="O26" s="809"/>
      <c r="P26" s="620">
        <v>154</v>
      </c>
      <c r="Q26" s="620">
        <v>154</v>
      </c>
      <c r="R26" s="620">
        <v>154</v>
      </c>
      <c r="S26" s="620">
        <v>154</v>
      </c>
      <c r="T26" s="620">
        <v>154</v>
      </c>
      <c r="U26" s="620">
        <v>154</v>
      </c>
      <c r="V26" s="620">
        <v>154</v>
      </c>
      <c r="W26" s="620">
        <v>154</v>
      </c>
      <c r="X26" s="620">
        <v>154</v>
      </c>
      <c r="Y26" s="620">
        <v>154</v>
      </c>
      <c r="Z26" s="793">
        <f>(((Z25*1000)/7)/Z27)</f>
        <v>65.74910394265234</v>
      </c>
    </row>
    <row r="27" spans="1:40" s="2" customFormat="1" ht="33" customHeight="1" x14ac:dyDescent="0.25">
      <c r="A27" s="193" t="s">
        <v>12</v>
      </c>
      <c r="B27" s="193"/>
      <c r="C27" s="26">
        <v>498</v>
      </c>
      <c r="D27" s="27">
        <v>545</v>
      </c>
      <c r="E27" s="27">
        <v>52</v>
      </c>
      <c r="F27" s="27">
        <v>536</v>
      </c>
      <c r="G27" s="28">
        <v>542</v>
      </c>
      <c r="H27" s="611"/>
      <c r="I27" s="26"/>
      <c r="J27" s="27">
        <v>521</v>
      </c>
      <c r="K27" s="27">
        <v>543</v>
      </c>
      <c r="L27" s="483">
        <v>52</v>
      </c>
      <c r="M27" s="27">
        <v>550</v>
      </c>
      <c r="N27" s="28">
        <v>551</v>
      </c>
      <c r="O27" s="611"/>
      <c r="P27" s="26">
        <v>460</v>
      </c>
      <c r="Q27" s="27">
        <v>462</v>
      </c>
      <c r="R27" s="27">
        <v>96</v>
      </c>
      <c r="S27" s="27">
        <v>464</v>
      </c>
      <c r="T27" s="483">
        <v>465</v>
      </c>
      <c r="U27" s="26">
        <v>473</v>
      </c>
      <c r="V27" s="27">
        <v>487</v>
      </c>
      <c r="W27" s="27">
        <v>95</v>
      </c>
      <c r="X27" s="27">
        <v>485</v>
      </c>
      <c r="Y27" s="28">
        <v>493</v>
      </c>
      <c r="Z27" s="211">
        <f>SUM(C27:Y27)</f>
        <v>8370</v>
      </c>
      <c r="AA27" s="402"/>
    </row>
    <row r="28" spans="1:40" s="2" customFormat="1" ht="33" customHeight="1" x14ac:dyDescent="0.25">
      <c r="A28" s="444" t="s">
        <v>13</v>
      </c>
      <c r="B28" s="444"/>
      <c r="C28" s="30">
        <f>(C33*C27-C18-C19)/1000</f>
        <v>12.724799999999998</v>
      </c>
      <c r="D28" s="31">
        <f t="shared" ref="D28:G28" si="4">(D33*D27-D18-D19)/1000</f>
        <v>13.924399999999999</v>
      </c>
      <c r="E28" s="31">
        <f t="shared" si="4"/>
        <v>1.3295999999999999</v>
      </c>
      <c r="F28" s="31">
        <f t="shared" si="4"/>
        <v>13.694599999999996</v>
      </c>
      <c r="G28" s="32">
        <f t="shared" si="4"/>
        <v>13.847599999999998</v>
      </c>
      <c r="H28" s="612"/>
      <c r="I28" s="30"/>
      <c r="J28" s="30">
        <f>(J33*J27-J18-J19)/1000</f>
        <v>13.311199999999996</v>
      </c>
      <c r="K28" s="31">
        <f t="shared" ref="K28:N28" si="5">(K33*K27-K18-K19)/1000</f>
        <v>13.873599999999996</v>
      </c>
      <c r="L28" s="31">
        <f t="shared" si="5"/>
        <v>1.3291999999999997</v>
      </c>
      <c r="M28" s="31">
        <f t="shared" si="5"/>
        <v>14.052399999999999</v>
      </c>
      <c r="N28" s="32">
        <f t="shared" si="5"/>
        <v>14.077999999999998</v>
      </c>
      <c r="O28" s="612"/>
      <c r="P28" s="30">
        <f>((((P26*7)*P27)/1000-P18-P19)/5)</f>
        <v>72.216000000000008</v>
      </c>
      <c r="Q28" s="31">
        <f t="shared" ref="Q28:Y28" si="6">((((Q26*7)*Q27)/1000-Q18-Q19)/5)</f>
        <v>71.5672</v>
      </c>
      <c r="R28" s="31">
        <f t="shared" si="6"/>
        <v>15.297599999999999</v>
      </c>
      <c r="S28" s="31">
        <f t="shared" si="6"/>
        <v>71.99839999999999</v>
      </c>
      <c r="T28" s="31">
        <f t="shared" si="6"/>
        <v>72.421999999999997</v>
      </c>
      <c r="U28" s="30">
        <f t="shared" si="6"/>
        <v>73.658799999999999</v>
      </c>
      <c r="V28" s="31">
        <f t="shared" si="6"/>
        <v>75.917200000000008</v>
      </c>
      <c r="W28" s="31">
        <f t="shared" si="6"/>
        <v>15.721999999999998</v>
      </c>
      <c r="X28" s="31">
        <f t="shared" si="6"/>
        <v>75.525999999999996</v>
      </c>
      <c r="Y28" s="32">
        <f t="shared" si="6"/>
        <v>75.850799999999978</v>
      </c>
      <c r="Z28" s="286">
        <f t="shared" ref="Z28" si="7">((((Z26*7)*Z27)/1000)/7)</f>
        <v>550.32000000000005</v>
      </c>
    </row>
    <row r="29" spans="1:40" ht="33.75" customHeight="1" x14ac:dyDescent="0.25">
      <c r="A29" s="185" t="s">
        <v>14</v>
      </c>
      <c r="B29" s="185"/>
      <c r="C29" s="279">
        <f>((C27*C30)*7)/1000</f>
        <v>35.999999999999993</v>
      </c>
      <c r="D29" s="280">
        <f t="shared" ref="D29:G29" si="8">((D27*D30)*7)/1000</f>
        <v>41.400000000000006</v>
      </c>
      <c r="E29" s="280">
        <f>((E27*E30)*7)/1000</f>
        <v>2.4000000000000004</v>
      </c>
      <c r="F29" s="280">
        <f t="shared" si="8"/>
        <v>40.5</v>
      </c>
      <c r="G29" s="282">
        <f t="shared" si="8"/>
        <v>41.4</v>
      </c>
      <c r="H29" s="613"/>
      <c r="I29" s="279"/>
      <c r="J29" s="280">
        <f>((J27*J30)*7)/1000</f>
        <v>39.6</v>
      </c>
      <c r="K29" s="280">
        <f t="shared" ref="K29:N29" si="9">((K27*K30)*7)/1000</f>
        <v>40.799999999999997</v>
      </c>
      <c r="L29" s="280">
        <f t="shared" si="9"/>
        <v>3.0000000000000004</v>
      </c>
      <c r="M29" s="280">
        <f t="shared" si="9"/>
        <v>41.4</v>
      </c>
      <c r="N29" s="282">
        <f t="shared" si="9"/>
        <v>41.400000000000006</v>
      </c>
      <c r="O29" s="613"/>
      <c r="P29" s="279">
        <f t="shared" ref="P29:Z29" si="10">((P27*P26)*7)/1000</f>
        <v>495.88</v>
      </c>
      <c r="Q29" s="280">
        <f t="shared" si="10"/>
        <v>498.036</v>
      </c>
      <c r="R29" s="280">
        <f t="shared" si="10"/>
        <v>103.488</v>
      </c>
      <c r="S29" s="280">
        <f t="shared" si="10"/>
        <v>500.19200000000001</v>
      </c>
      <c r="T29" s="280">
        <f t="shared" si="10"/>
        <v>501.27</v>
      </c>
      <c r="U29" s="279">
        <f t="shared" si="10"/>
        <v>509.89400000000001</v>
      </c>
      <c r="V29" s="280">
        <f t="shared" si="10"/>
        <v>524.98599999999999</v>
      </c>
      <c r="W29" s="280">
        <f t="shared" si="10"/>
        <v>102.41</v>
      </c>
      <c r="X29" s="280">
        <f t="shared" si="10"/>
        <v>522.83000000000004</v>
      </c>
      <c r="Y29" s="282">
        <f t="shared" si="10"/>
        <v>531.45399999999995</v>
      </c>
      <c r="Z29" s="680">
        <f t="shared" si="10"/>
        <v>3852.2400000000011</v>
      </c>
    </row>
    <row r="30" spans="1:40" ht="33.75" customHeight="1" thickBot="1" x14ac:dyDescent="0.3">
      <c r="A30" s="195" t="s">
        <v>15</v>
      </c>
      <c r="B30" s="195"/>
      <c r="C30" s="37">
        <f>+(C25/C27)/7*1000</f>
        <v>10.327022375215146</v>
      </c>
      <c r="D30" s="38">
        <f t="shared" ref="D30:X30" si="11">+(D25/D27)/7*1000</f>
        <v>10.851900393184799</v>
      </c>
      <c r="E30" s="38">
        <f>+(E25/E27)/7*1000</f>
        <v>6.5934065934065949</v>
      </c>
      <c r="F30" s="38">
        <f t="shared" si="11"/>
        <v>10.794243070362473</v>
      </c>
      <c r="G30" s="39">
        <f t="shared" si="11"/>
        <v>10.911966262519769</v>
      </c>
      <c r="H30" s="614"/>
      <c r="I30" s="37"/>
      <c r="J30" s="38">
        <f t="shared" si="11"/>
        <v>10.858239649026597</v>
      </c>
      <c r="K30" s="38">
        <f t="shared" si="11"/>
        <v>10.734017363851617</v>
      </c>
      <c r="L30" s="38">
        <f t="shared" si="11"/>
        <v>8.2417582417582427</v>
      </c>
      <c r="M30" s="38">
        <f t="shared" si="11"/>
        <v>10.753246753246755</v>
      </c>
      <c r="N30" s="39">
        <f>+(N25/N27)/7*1000</f>
        <v>10.733730878921444</v>
      </c>
      <c r="O30" s="614"/>
      <c r="P30" s="37">
        <f t="shared" si="11"/>
        <v>62.79503105590063</v>
      </c>
      <c r="Q30" s="38">
        <f t="shared" si="11"/>
        <v>65.027829313543592</v>
      </c>
      <c r="R30" s="38">
        <f t="shared" si="11"/>
        <v>60.267857142857146</v>
      </c>
      <c r="S30" s="38">
        <f t="shared" si="11"/>
        <v>64.747536945812797</v>
      </c>
      <c r="T30" s="38">
        <f t="shared" si="11"/>
        <v>64.129032258064512</v>
      </c>
      <c r="U30" s="37">
        <f t="shared" si="11"/>
        <v>64.149803684687399</v>
      </c>
      <c r="V30" s="38">
        <f t="shared" si="11"/>
        <v>63.977706072161936</v>
      </c>
      <c r="W30" s="38">
        <f t="shared" si="11"/>
        <v>53.684210526315795</v>
      </c>
      <c r="X30" s="38">
        <f t="shared" si="11"/>
        <v>64.153166421207644</v>
      </c>
      <c r="Y30" s="39">
        <f>+(Y25/Y27)/7*1000</f>
        <v>66.15473775717183</v>
      </c>
      <c r="Z30" s="262">
        <f>+(Z25/Z27)/7*1000</f>
        <v>65.749103942652354</v>
      </c>
    </row>
    <row r="31" spans="1:40" ht="33.75" customHeight="1" x14ac:dyDescent="0.25">
      <c r="A31" s="41"/>
      <c r="B31" s="41"/>
      <c r="C31" s="42">
        <f>C29-C25</f>
        <v>0</v>
      </c>
      <c r="D31" s="42">
        <f t="shared" ref="D31:X32" si="12">D29-D25</f>
        <v>0</v>
      </c>
      <c r="E31" s="42">
        <f t="shared" si="12"/>
        <v>0</v>
      </c>
      <c r="F31" s="42">
        <f t="shared" si="12"/>
        <v>0</v>
      </c>
      <c r="G31" s="42">
        <f t="shared" si="12"/>
        <v>0</v>
      </c>
      <c r="H31" s="42"/>
      <c r="I31" s="42"/>
      <c r="J31" s="42">
        <f>J29-J25</f>
        <v>0</v>
      </c>
      <c r="K31" s="42">
        <f t="shared" ref="K31:N31" si="13">K29-K25</f>
        <v>0</v>
      </c>
      <c r="L31" s="42">
        <f t="shared" si="13"/>
        <v>0</v>
      </c>
      <c r="M31" s="42">
        <f t="shared" si="13"/>
        <v>0</v>
      </c>
      <c r="N31" s="42">
        <f t="shared" si="13"/>
        <v>0</v>
      </c>
      <c r="O31" s="42"/>
      <c r="P31" s="878">
        <f>P29-P25</f>
        <v>293.67999999999995</v>
      </c>
      <c r="Q31" s="878">
        <f>Q29-Q25</f>
        <v>287.73599999999999</v>
      </c>
      <c r="R31" s="878">
        <f t="shared" si="12"/>
        <v>62.988</v>
      </c>
      <c r="S31" s="878">
        <f t="shared" si="12"/>
        <v>289.89200000000005</v>
      </c>
      <c r="T31" s="878">
        <f t="shared" si="12"/>
        <v>292.52999999999997</v>
      </c>
      <c r="U31" s="878">
        <f>U29-U25</f>
        <v>297.49400000000003</v>
      </c>
      <c r="V31" s="878">
        <f t="shared" si="12"/>
        <v>306.88599999999997</v>
      </c>
      <c r="W31" s="878">
        <f t="shared" si="12"/>
        <v>66.709999999999994</v>
      </c>
      <c r="X31" s="878">
        <f t="shared" si="12"/>
        <v>305.03000000000009</v>
      </c>
      <c r="Y31" s="878">
        <f>Y29-Y25</f>
        <v>303.154</v>
      </c>
      <c r="Z31" s="42">
        <f>Z29-Z25</f>
        <v>0</v>
      </c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40" ht="31.5" customHeight="1" x14ac:dyDescent="0.25">
      <c r="A32" s="41"/>
      <c r="B32" s="41"/>
      <c r="C32" s="878">
        <f>C33-C30</f>
        <v>15.272977624784849</v>
      </c>
      <c r="D32" s="878">
        <f t="shared" ref="D32:G32" si="14">D33-D30</f>
        <v>14.748099606815195</v>
      </c>
      <c r="E32" s="878">
        <f t="shared" si="14"/>
        <v>19.006593406593399</v>
      </c>
      <c r="F32" s="878">
        <f t="shared" si="14"/>
        <v>14.805756929637521</v>
      </c>
      <c r="G32" s="878">
        <f t="shared" si="14"/>
        <v>14.688033737480225</v>
      </c>
      <c r="H32" s="878"/>
      <c r="I32" s="878"/>
      <c r="J32" s="878">
        <f>J33-J30</f>
        <v>14.741760350973397</v>
      </c>
      <c r="K32" s="878">
        <f t="shared" ref="K32:N32" si="15">K33-K30</f>
        <v>14.865982636148377</v>
      </c>
      <c r="L32" s="878">
        <f t="shared" si="15"/>
        <v>17.358241758241753</v>
      </c>
      <c r="M32" s="878">
        <f t="shared" si="15"/>
        <v>14.84675324675324</v>
      </c>
      <c r="N32" s="878">
        <f t="shared" si="15"/>
        <v>14.866269121078551</v>
      </c>
      <c r="O32" s="878"/>
      <c r="P32" s="42">
        <f>P30-P26</f>
        <v>-91.204968944099363</v>
      </c>
      <c r="Q32" s="42">
        <f>Q30-Q26</f>
        <v>-88.972170686456408</v>
      </c>
      <c r="R32" s="42">
        <f t="shared" si="12"/>
        <v>-93.732142857142861</v>
      </c>
      <c r="S32" s="42">
        <f t="shared" si="12"/>
        <v>-89.252463054187203</v>
      </c>
      <c r="T32" s="42">
        <f t="shared" si="12"/>
        <v>-89.870967741935488</v>
      </c>
      <c r="U32" s="42">
        <f>U30-U26</f>
        <v>-89.850196315312601</v>
      </c>
      <c r="V32" s="42">
        <f t="shared" si="12"/>
        <v>-90.022293927838064</v>
      </c>
      <c r="W32" s="42">
        <f t="shared" si="12"/>
        <v>-100.31578947368421</v>
      </c>
      <c r="X32" s="42">
        <f t="shared" si="12"/>
        <v>-89.846833578792356</v>
      </c>
      <c r="Y32" s="42">
        <f>Y30-Y26</f>
        <v>-87.84526224282817</v>
      </c>
      <c r="Z32" s="42">
        <f t="shared" ref="Z32" si="16">Z30-Z26</f>
        <v>0</v>
      </c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8" ht="33.75" customHeight="1" thickBot="1" x14ac:dyDescent="0.3">
      <c r="A33" s="41"/>
      <c r="B33" s="41"/>
      <c r="C33" s="42">
        <f>C26-$B$34</f>
        <v>25.599999999999994</v>
      </c>
      <c r="D33" s="42">
        <f t="shared" ref="D33:G33" si="17">D26-$B$34</f>
        <v>25.599999999999994</v>
      </c>
      <c r="E33" s="42">
        <f>E26-$B$34</f>
        <v>25.599999999999994</v>
      </c>
      <c r="F33" s="42">
        <f t="shared" si="17"/>
        <v>25.599999999999994</v>
      </c>
      <c r="G33" s="42">
        <f t="shared" si="17"/>
        <v>25.599999999999994</v>
      </c>
      <c r="H33" s="42"/>
      <c r="I33" s="42"/>
      <c r="J33" s="42">
        <f>J26-$I$34</f>
        <v>25.599999999999994</v>
      </c>
      <c r="K33" s="42">
        <f t="shared" ref="K33:L33" si="18">K26-$I$34</f>
        <v>25.599999999999994</v>
      </c>
      <c r="L33" s="42">
        <f t="shared" si="18"/>
        <v>25.599999999999994</v>
      </c>
      <c r="M33" s="42">
        <f>M26-$I$34</f>
        <v>25.599999999999994</v>
      </c>
      <c r="N33" s="42">
        <f>N26-$I$34</f>
        <v>25.599999999999994</v>
      </c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1"/>
    </row>
    <row r="34" spans="1:38" ht="33.75" customHeight="1" x14ac:dyDescent="0.25">
      <c r="A34" s="41"/>
      <c r="B34" s="501">
        <v>130</v>
      </c>
      <c r="C34" s="500">
        <f>(B34*D34)/1000</f>
        <v>282.49</v>
      </c>
      <c r="D34" s="432">
        <f>SUM(C27:G27)</f>
        <v>2173</v>
      </c>
      <c r="E34" s="42"/>
      <c r="F34" s="42"/>
      <c r="G34" s="42"/>
      <c r="H34" s="42"/>
      <c r="I34" s="514">
        <v>130</v>
      </c>
      <c r="J34" s="431">
        <f>(I34*K34)/1000</f>
        <v>288.20999999999998</v>
      </c>
      <c r="K34" s="432">
        <f>SUM(J27:N27)</f>
        <v>2217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1"/>
    </row>
    <row r="35" spans="1:38" ht="33.75" customHeight="1" x14ac:dyDescent="0.25">
      <c r="A35" s="41"/>
      <c r="B35" s="430" t="s">
        <v>106</v>
      </c>
      <c r="C35" s="500" t="s">
        <v>107</v>
      </c>
      <c r="D35" s="431" t="s">
        <v>108</v>
      </c>
      <c r="E35" s="42"/>
      <c r="F35" s="42"/>
      <c r="G35" s="42"/>
      <c r="H35" s="42"/>
      <c r="I35" s="430" t="s">
        <v>106</v>
      </c>
      <c r="J35" s="431" t="s">
        <v>107</v>
      </c>
      <c r="K35" s="431" t="s">
        <v>108</v>
      </c>
      <c r="L35" s="42"/>
      <c r="M35" s="42"/>
      <c r="N35" s="534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1"/>
    </row>
    <row r="36" spans="1:38" ht="33.75" customHeight="1" x14ac:dyDescent="0.25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264"/>
      <c r="L36" s="42"/>
      <c r="M36" s="42"/>
      <c r="N36" s="534"/>
      <c r="O36" s="42"/>
      <c r="P36" s="264"/>
      <c r="Q36" s="42"/>
      <c r="R36" s="42"/>
      <c r="S36" s="42"/>
      <c r="T36" s="42"/>
      <c r="U36" s="264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1"/>
    </row>
    <row r="37" spans="1:38" ht="33.75" customHeight="1" x14ac:dyDescent="0.25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1"/>
    </row>
    <row r="38" spans="1:38" s="2" customFormat="1" ht="33.75" customHeight="1" thickBot="1" x14ac:dyDescent="0.3"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3"/>
    </row>
    <row r="39" spans="1:38" ht="33.75" customHeight="1" thickBot="1" x14ac:dyDescent="0.3">
      <c r="A39" s="686" t="s">
        <v>16</v>
      </c>
      <c r="B39" s="973" t="s">
        <v>17</v>
      </c>
      <c r="C39" s="974"/>
      <c r="D39" s="974"/>
      <c r="E39" s="974"/>
      <c r="F39" s="974"/>
      <c r="G39" s="977" t="s">
        <v>9</v>
      </c>
      <c r="H39" s="47"/>
      <c r="L39" s="685" t="s">
        <v>18</v>
      </c>
      <c r="M39" s="973" t="s">
        <v>17</v>
      </c>
      <c r="N39" s="974"/>
      <c r="O39" s="974"/>
      <c r="P39" s="974"/>
      <c r="Q39" s="974"/>
      <c r="R39" s="977" t="s">
        <v>9</v>
      </c>
      <c r="T39" s="645"/>
      <c r="V39" s="45"/>
      <c r="W39" s="45"/>
      <c r="X39" s="46"/>
      <c r="Y39" s="3"/>
      <c r="Z39" s="45"/>
      <c r="AA39" s="45"/>
      <c r="AB39" s="45"/>
      <c r="AC39" s="3"/>
    </row>
    <row r="40" spans="1:38" ht="33.75" customHeight="1" thickBot="1" x14ac:dyDescent="0.3">
      <c r="A40" s="427" t="s">
        <v>10</v>
      </c>
      <c r="B40" s="188">
        <v>1</v>
      </c>
      <c r="C40" s="168">
        <v>2</v>
      </c>
      <c r="D40" s="168">
        <v>3</v>
      </c>
      <c r="E40" s="168">
        <v>4</v>
      </c>
      <c r="F40" s="169">
        <v>5</v>
      </c>
      <c r="G40" s="984"/>
      <c r="H40" s="47"/>
      <c r="I40" s="47"/>
      <c r="J40" s="47"/>
      <c r="K40" s="47"/>
      <c r="L40" s="427" t="s">
        <v>10</v>
      </c>
      <c r="M40" s="188">
        <v>1</v>
      </c>
      <c r="N40" s="168">
        <v>2</v>
      </c>
      <c r="O40" s="168">
        <v>3</v>
      </c>
      <c r="P40" s="168">
        <v>4</v>
      </c>
      <c r="Q40" s="204">
        <v>5</v>
      </c>
      <c r="R40" s="984"/>
      <c r="T40" s="645"/>
      <c r="V40" s="47"/>
      <c r="Y40" s="48"/>
      <c r="Z40" s="2"/>
      <c r="AA40" s="2"/>
      <c r="AB40" s="2"/>
      <c r="AC40" s="2"/>
    </row>
    <row r="41" spans="1:38" ht="33.75" customHeight="1" x14ac:dyDescent="0.25">
      <c r="A41" s="171" t="s">
        <v>32</v>
      </c>
      <c r="B41" s="142">
        <v>76.599999999999994</v>
      </c>
      <c r="C41" s="486">
        <v>73.7</v>
      </c>
      <c r="D41" s="486">
        <v>6</v>
      </c>
      <c r="E41" s="486">
        <v>77.3</v>
      </c>
      <c r="F41" s="537">
        <v>77.400000000000006</v>
      </c>
      <c r="G41" s="638">
        <f t="shared" ref="G41:G48" si="19">SUM(B41:F41)</f>
        <v>311</v>
      </c>
      <c r="H41" s="364"/>
      <c r="I41" s="364"/>
      <c r="J41" s="364"/>
      <c r="K41" s="364"/>
      <c r="L41" s="171" t="s">
        <v>53</v>
      </c>
      <c r="M41" s="142">
        <v>6.7</v>
      </c>
      <c r="N41" s="486">
        <v>6.5</v>
      </c>
      <c r="O41" s="486">
        <v>0.7</v>
      </c>
      <c r="P41" s="486">
        <v>6.8</v>
      </c>
      <c r="Q41" s="537">
        <v>6.6</v>
      </c>
      <c r="R41" s="800">
        <f>SUM(M41:Q41)</f>
        <v>27.299999999999997</v>
      </c>
      <c r="T41" s="646"/>
      <c r="U41" s="675"/>
      <c r="V41" s="657"/>
      <c r="Y41" s="48"/>
      <c r="Z41" s="2"/>
      <c r="AA41" s="2"/>
      <c r="AB41" s="2"/>
      <c r="AC41" s="2"/>
    </row>
    <row r="42" spans="1:38" ht="33.75" customHeight="1" x14ac:dyDescent="0.25">
      <c r="A42" s="171" t="s">
        <v>24</v>
      </c>
      <c r="B42" s="945">
        <v>76.599999999999994</v>
      </c>
      <c r="C42" s="944">
        <v>73.7</v>
      </c>
      <c r="D42" s="944">
        <v>6</v>
      </c>
      <c r="E42" s="944">
        <v>77.3</v>
      </c>
      <c r="F42" s="946">
        <v>77.400000000000006</v>
      </c>
      <c r="G42" s="950">
        <f t="shared" si="19"/>
        <v>311</v>
      </c>
      <c r="H42" s="364"/>
      <c r="I42" s="364"/>
      <c r="J42" s="364"/>
      <c r="K42" s="364"/>
      <c r="L42" s="171" t="s">
        <v>24</v>
      </c>
      <c r="M42" s="142">
        <v>6.7</v>
      </c>
      <c r="N42" s="486">
        <v>6.5</v>
      </c>
      <c r="O42" s="486">
        <v>0.7</v>
      </c>
      <c r="P42" s="486">
        <v>6.8</v>
      </c>
      <c r="Q42" s="537">
        <v>6.6</v>
      </c>
      <c r="R42" s="950">
        <f t="shared" ref="R42:R47" si="20">SUM(M42:Q42)</f>
        <v>27.299999999999997</v>
      </c>
      <c r="T42" s="646"/>
      <c r="U42" s="647"/>
      <c r="V42" s="658"/>
      <c r="Y42" s="48"/>
      <c r="Z42" s="2"/>
      <c r="AA42" s="2"/>
      <c r="AB42" s="2"/>
      <c r="AC42" s="2"/>
    </row>
    <row r="43" spans="1:38" ht="33.75" customHeight="1" x14ac:dyDescent="0.25">
      <c r="A43" s="171" t="s">
        <v>20</v>
      </c>
      <c r="B43" s="947">
        <v>76.599999999999994</v>
      </c>
      <c r="C43" s="948">
        <v>73.7</v>
      </c>
      <c r="D43" s="948">
        <v>6</v>
      </c>
      <c r="E43" s="948">
        <v>77.3</v>
      </c>
      <c r="F43" s="949">
        <v>77.400000000000006</v>
      </c>
      <c r="G43" s="950">
        <f>SUM(B43:F43)</f>
        <v>311</v>
      </c>
      <c r="H43" s="364"/>
      <c r="I43" s="364"/>
      <c r="J43" s="364"/>
      <c r="K43" s="364"/>
      <c r="L43" s="171" t="s">
        <v>20</v>
      </c>
      <c r="M43" s="142">
        <v>6.7</v>
      </c>
      <c r="N43" s="486">
        <v>6.5</v>
      </c>
      <c r="O43" s="486">
        <v>0.7</v>
      </c>
      <c r="P43" s="486">
        <v>6.8</v>
      </c>
      <c r="Q43" s="537">
        <v>6.6</v>
      </c>
      <c r="R43" s="950">
        <f t="shared" si="20"/>
        <v>27.299999999999997</v>
      </c>
      <c r="T43" s="646"/>
      <c r="U43" s="647"/>
      <c r="V43" s="658"/>
      <c r="Y43" s="48"/>
      <c r="Z43" s="2"/>
      <c r="AA43" s="2"/>
      <c r="AB43" s="2"/>
      <c r="AC43" s="2"/>
    </row>
    <row r="44" spans="1:38" ht="33.75" customHeight="1" x14ac:dyDescent="0.25">
      <c r="A44" s="171" t="s">
        <v>28</v>
      </c>
      <c r="B44" s="947"/>
      <c r="C44" s="948"/>
      <c r="D44" s="948"/>
      <c r="E44" s="948"/>
      <c r="F44" s="949"/>
      <c r="G44" s="950">
        <f t="shared" si="19"/>
        <v>0</v>
      </c>
      <c r="H44" s="651"/>
      <c r="I44" s="364"/>
      <c r="J44" s="364"/>
      <c r="K44" s="364"/>
      <c r="L44" s="171" t="s">
        <v>28</v>
      </c>
      <c r="M44" s="142"/>
      <c r="N44" s="486"/>
      <c r="O44" s="486"/>
      <c r="P44" s="486"/>
      <c r="Q44" s="537"/>
      <c r="R44" s="950">
        <f t="shared" si="20"/>
        <v>0</v>
      </c>
      <c r="T44" s="646"/>
      <c r="U44" s="647"/>
      <c r="V44" s="658"/>
      <c r="Y44" s="48"/>
      <c r="Z44" s="2"/>
      <c r="AA44" s="2"/>
      <c r="AB44" s="2"/>
      <c r="AC44" s="2"/>
    </row>
    <row r="45" spans="1:38" ht="33.75" customHeight="1" x14ac:dyDescent="0.25">
      <c r="A45" s="171" t="s">
        <v>21</v>
      </c>
      <c r="B45" s="947"/>
      <c r="C45" s="948"/>
      <c r="D45" s="948"/>
      <c r="E45" s="948"/>
      <c r="F45" s="949"/>
      <c r="G45" s="950">
        <f t="shared" si="19"/>
        <v>0</v>
      </c>
      <c r="H45" s="651"/>
      <c r="I45" s="364"/>
      <c r="J45" s="364"/>
      <c r="K45" s="364"/>
      <c r="L45" s="171" t="s">
        <v>21</v>
      </c>
      <c r="M45" s="142"/>
      <c r="N45" s="486"/>
      <c r="O45" s="486"/>
      <c r="P45" s="486"/>
      <c r="Q45" s="537"/>
      <c r="R45" s="950">
        <f t="shared" si="20"/>
        <v>0</v>
      </c>
      <c r="T45" s="646"/>
      <c r="U45" s="647"/>
      <c r="V45" s="658"/>
      <c r="Y45" s="48"/>
      <c r="Z45" s="2"/>
      <c r="AA45" s="2"/>
      <c r="AB45" s="2"/>
      <c r="AC45" s="2"/>
    </row>
    <row r="46" spans="1:38" ht="33.75" customHeight="1" x14ac:dyDescent="0.25">
      <c r="A46" s="171" t="s">
        <v>22</v>
      </c>
      <c r="B46" s="947"/>
      <c r="C46" s="948"/>
      <c r="D46" s="948"/>
      <c r="E46" s="948"/>
      <c r="F46" s="949"/>
      <c r="G46" s="950">
        <f t="shared" si="19"/>
        <v>0</v>
      </c>
      <c r="H46" s="651"/>
      <c r="I46" s="364"/>
      <c r="J46" s="364"/>
      <c r="K46" s="364"/>
      <c r="L46" s="171" t="s">
        <v>22</v>
      </c>
      <c r="M46" s="142"/>
      <c r="N46" s="486"/>
      <c r="O46" s="486"/>
      <c r="P46" s="486"/>
      <c r="Q46" s="537"/>
      <c r="R46" s="950">
        <f t="shared" si="20"/>
        <v>0</v>
      </c>
      <c r="T46" s="646"/>
      <c r="U46" s="647"/>
      <c r="V46" s="658"/>
      <c r="Y46" s="48"/>
      <c r="Z46" s="2"/>
      <c r="AA46" s="2"/>
      <c r="AB46" s="2"/>
      <c r="AC46" s="2"/>
    </row>
    <row r="47" spans="1:38" ht="33.75" customHeight="1" thickBot="1" x14ac:dyDescent="0.3">
      <c r="A47" s="285" t="s">
        <v>23</v>
      </c>
      <c r="B47" s="947"/>
      <c r="C47" s="948"/>
      <c r="D47" s="948"/>
      <c r="E47" s="948"/>
      <c r="F47" s="949"/>
      <c r="G47" s="376">
        <f t="shared" si="19"/>
        <v>0</v>
      </c>
      <c r="H47" s="651"/>
      <c r="I47" s="364"/>
      <c r="J47" s="364"/>
      <c r="K47" s="364"/>
      <c r="L47" s="285" t="s">
        <v>23</v>
      </c>
      <c r="M47" s="142"/>
      <c r="N47" s="486"/>
      <c r="O47" s="486"/>
      <c r="P47" s="486"/>
      <c r="Q47" s="537"/>
      <c r="R47" s="951">
        <f t="shared" si="20"/>
        <v>0</v>
      </c>
      <c r="T47" s="646"/>
      <c r="U47" s="647"/>
      <c r="V47" s="658"/>
      <c r="Y47" s="48"/>
      <c r="Z47" s="48"/>
      <c r="AA47" s="48"/>
      <c r="AB47" s="2"/>
      <c r="AC47" s="2"/>
      <c r="AD47" s="2"/>
      <c r="AE47" s="2"/>
    </row>
    <row r="48" spans="1:38" ht="33.75" customHeight="1" thickBot="1" x14ac:dyDescent="0.3">
      <c r="A48" s="290" t="s">
        <v>9</v>
      </c>
      <c r="B48" s="297">
        <f>SUM(B41:B47)</f>
        <v>229.79999999999998</v>
      </c>
      <c r="C48" s="298">
        <f t="shared" ref="C48:F48" si="21">SUM(C41:C47)</f>
        <v>221.10000000000002</v>
      </c>
      <c r="D48" s="298">
        <f t="shared" si="21"/>
        <v>18</v>
      </c>
      <c r="E48" s="298">
        <f t="shared" si="21"/>
        <v>231.89999999999998</v>
      </c>
      <c r="F48" s="448">
        <f t="shared" si="21"/>
        <v>232.20000000000002</v>
      </c>
      <c r="G48" s="729">
        <f t="shared" si="19"/>
        <v>933</v>
      </c>
      <c r="H48" s="364"/>
      <c r="I48" s="364"/>
      <c r="J48" s="364"/>
      <c r="K48" s="364"/>
      <c r="L48" s="290" t="s">
        <v>9</v>
      </c>
      <c r="M48" s="763">
        <f>SUM(M41:M47)</f>
        <v>20.100000000000001</v>
      </c>
      <c r="N48" s="764">
        <f>SUM(N41:N47)</f>
        <v>19.5</v>
      </c>
      <c r="O48" s="764">
        <f>SUM(O41:O47)</f>
        <v>2.0999999999999996</v>
      </c>
      <c r="P48" s="764">
        <f t="shared" ref="P48:Q48" si="22">SUM(P41:P47)</f>
        <v>20.399999999999999</v>
      </c>
      <c r="Q48" s="765">
        <f t="shared" si="22"/>
        <v>19.799999999999997</v>
      </c>
      <c r="R48" s="952">
        <f>SUM(M48:Q48)</f>
        <v>81.900000000000006</v>
      </c>
      <c r="T48" s="647"/>
      <c r="U48" s="647"/>
      <c r="V48" s="658"/>
      <c r="Y48" s="2"/>
      <c r="Z48" s="2"/>
      <c r="AA48" s="2"/>
      <c r="AB48" s="2"/>
      <c r="AC48" s="2"/>
      <c r="AD48" s="2"/>
      <c r="AE48" s="2"/>
    </row>
    <row r="49" spans="1:50" ht="33.75" customHeight="1" x14ac:dyDescent="0.25">
      <c r="A49" s="192" t="s">
        <v>11</v>
      </c>
      <c r="B49" s="751">
        <v>152.30000000000001</v>
      </c>
      <c r="C49" s="751">
        <v>152.30000000000001</v>
      </c>
      <c r="D49" s="751">
        <v>152.30000000000001</v>
      </c>
      <c r="E49" s="751">
        <v>152.30000000000001</v>
      </c>
      <c r="F49" s="751">
        <v>152.30000000000001</v>
      </c>
      <c r="G49" s="730">
        <f>+((G48/G50)/7)*1000</f>
        <v>63.834154351395739</v>
      </c>
      <c r="H49" s="609"/>
      <c r="I49" s="364"/>
      <c r="J49" s="364"/>
      <c r="K49" s="364"/>
      <c r="L49" s="273" t="s">
        <v>11</v>
      </c>
      <c r="M49" s="357">
        <v>163</v>
      </c>
      <c r="N49" s="358">
        <v>161.5</v>
      </c>
      <c r="O49" s="358">
        <v>162</v>
      </c>
      <c r="P49" s="358">
        <v>161.5</v>
      </c>
      <c r="Q49" s="624">
        <v>161</v>
      </c>
      <c r="R49" s="730">
        <f>+((R48/R50)/7)*1000</f>
        <v>69.642857142857139</v>
      </c>
      <c r="T49" s="648"/>
      <c r="U49" s="647"/>
      <c r="V49" s="658"/>
      <c r="W49" s="50"/>
    </row>
    <row r="50" spans="1:50" ht="33.75" customHeight="1" x14ac:dyDescent="0.25">
      <c r="A50" s="193" t="s">
        <v>12</v>
      </c>
      <c r="B50" s="26">
        <v>507</v>
      </c>
      <c r="C50" s="27">
        <v>500</v>
      </c>
      <c r="D50" s="27">
        <v>30</v>
      </c>
      <c r="E50" s="27">
        <v>535</v>
      </c>
      <c r="F50" s="183">
        <v>516</v>
      </c>
      <c r="G50" s="731">
        <f>SUM(B50:F50)</f>
        <v>2088</v>
      </c>
      <c r="H50" s="609"/>
      <c r="I50" s="364"/>
      <c r="J50" s="364"/>
      <c r="K50" s="364"/>
      <c r="L50" s="193" t="s">
        <v>12</v>
      </c>
      <c r="M50" s="257">
        <v>41</v>
      </c>
      <c r="N50" s="275">
        <v>40</v>
      </c>
      <c r="O50" s="275">
        <v>4</v>
      </c>
      <c r="P50" s="275">
        <v>42</v>
      </c>
      <c r="Q50" s="276">
        <v>41</v>
      </c>
      <c r="R50" s="233">
        <f>SUM(M50:Q50)</f>
        <v>168</v>
      </c>
      <c r="T50" s="649"/>
      <c r="U50" s="301"/>
      <c r="V50" s="52"/>
      <c r="W50" s="52"/>
    </row>
    <row r="51" spans="1:50" ht="33.75" customHeight="1" x14ac:dyDescent="0.25">
      <c r="A51" s="194" t="s">
        <v>13</v>
      </c>
      <c r="B51" s="30">
        <f>((((B49*7)*B50)/1000-B41-B42)/5)</f>
        <v>77.462540000000018</v>
      </c>
      <c r="C51" s="30">
        <f t="shared" ref="C51:F51" si="23">((((C49*7)*C50)/1000-C41-C42)/5)</f>
        <v>77.130000000000024</v>
      </c>
      <c r="D51" s="30">
        <f t="shared" si="23"/>
        <v>3.9966000000000008</v>
      </c>
      <c r="E51" s="30">
        <f t="shared" si="23"/>
        <v>83.152700000000024</v>
      </c>
      <c r="F51" s="30">
        <f t="shared" si="23"/>
        <v>79.061520000000016</v>
      </c>
      <c r="G51" s="732">
        <f>((G48*1000)/G50)/7</f>
        <v>63.834154351395732</v>
      </c>
      <c r="H51" s="609"/>
      <c r="I51" s="364"/>
      <c r="J51" s="364"/>
      <c r="K51" s="364"/>
      <c r="L51" s="194" t="s">
        <v>13</v>
      </c>
      <c r="M51" s="30">
        <f>((((M49*7)*M50)/1000-M41-M42)/5)</f>
        <v>6.6761999999999988</v>
      </c>
      <c r="N51" s="30">
        <f t="shared" ref="N51:Q51" si="24">((((N49*7)*N50)/1000-N41-N42)/5)</f>
        <v>6.444</v>
      </c>
      <c r="O51" s="30">
        <f t="shared" si="24"/>
        <v>0.62719999999999987</v>
      </c>
      <c r="P51" s="30">
        <f t="shared" si="24"/>
        <v>6.7762000000000011</v>
      </c>
      <c r="Q51" s="30">
        <f t="shared" si="24"/>
        <v>6.6013999999999999</v>
      </c>
      <c r="R51" s="234">
        <f>((R48*1000)/R50)/7</f>
        <v>69.642857142857139</v>
      </c>
      <c r="T51" s="650"/>
      <c r="U51" s="301"/>
      <c r="V51" s="52"/>
      <c r="W51" s="52"/>
    </row>
    <row r="52" spans="1:50" ht="33.75" customHeight="1" x14ac:dyDescent="0.25">
      <c r="A52" s="185" t="s">
        <v>14</v>
      </c>
      <c r="B52" s="279">
        <f>((B50*B49)*7)/1000</f>
        <v>540.51270000000011</v>
      </c>
      <c r="C52" s="280">
        <f>((C50*C49)*7)/1000</f>
        <v>533.04999999999995</v>
      </c>
      <c r="D52" s="280">
        <f>((D50*D49)*7)/1000</f>
        <v>31.983000000000001</v>
      </c>
      <c r="E52" s="280">
        <f>((E50*E49)*7)/1000</f>
        <v>570.36350000000004</v>
      </c>
      <c r="F52" s="281">
        <f>((F50*F49)*7)/1000</f>
        <v>550.10759999999993</v>
      </c>
      <c r="G52" s="73"/>
      <c r="H52" s="609"/>
      <c r="I52" s="364"/>
      <c r="J52" s="364"/>
      <c r="K52" s="364"/>
      <c r="L52" s="185" t="s">
        <v>14</v>
      </c>
      <c r="M52" s="279">
        <f>((M50*M49)*7)/1000</f>
        <v>46.780999999999999</v>
      </c>
      <c r="N52" s="280">
        <f>((N50*N49)*7)/1000</f>
        <v>45.22</v>
      </c>
      <c r="O52" s="280">
        <f>((O50*O49)*7)/1000</f>
        <v>4.5359999999999996</v>
      </c>
      <c r="P52" s="280">
        <f t="shared" ref="P52" si="25">((P50*P49)*7)/1000</f>
        <v>47.481000000000002</v>
      </c>
      <c r="Q52" s="282">
        <f>((Q50*Q49)*7)/1000</f>
        <v>46.207000000000001</v>
      </c>
      <c r="R52" s="282">
        <f>((R50*R49)*7)/1000</f>
        <v>81.900000000000006</v>
      </c>
      <c r="T52" s="522"/>
    </row>
    <row r="53" spans="1:50" ht="33.75" customHeight="1" thickBot="1" x14ac:dyDescent="0.3">
      <c r="A53" s="195" t="s">
        <v>15</v>
      </c>
      <c r="B53" s="37">
        <f>+(B48/B50)/7*1000</f>
        <v>64.750633981403212</v>
      </c>
      <c r="C53" s="38">
        <f t="shared" ref="C53:E53" si="26">+(C48/C50)/7*1000</f>
        <v>63.171428571428571</v>
      </c>
      <c r="D53" s="38">
        <f t="shared" si="26"/>
        <v>85.714285714285708</v>
      </c>
      <c r="E53" s="38">
        <f t="shared" si="26"/>
        <v>61.922563417890522</v>
      </c>
      <c r="F53" s="207">
        <f>+(F48/F50)/7*1000</f>
        <v>64.285714285714292</v>
      </c>
      <c r="G53" s="74"/>
      <c r="H53" s="609"/>
      <c r="I53" s="364"/>
      <c r="J53" s="364"/>
      <c r="K53" s="364"/>
      <c r="L53" s="195" t="s">
        <v>15</v>
      </c>
      <c r="M53" s="37">
        <f>+(M48/M50)/7*1000</f>
        <v>70.034843205574916</v>
      </c>
      <c r="N53" s="38">
        <f>+(N48/N50)/7*1000</f>
        <v>69.642857142857139</v>
      </c>
      <c r="O53" s="38">
        <f>+(O48/O50)/7*1000</f>
        <v>74.999999999999986</v>
      </c>
      <c r="P53" s="38">
        <f t="shared" ref="P53:R53" si="27">+(P48/P50)/7*1000</f>
        <v>69.387755102040799</v>
      </c>
      <c r="Q53" s="39">
        <f t="shared" si="27"/>
        <v>68.989547038327515</v>
      </c>
      <c r="R53" s="39">
        <f t="shared" si="27"/>
        <v>69.642857142857139</v>
      </c>
      <c r="T53" s="651"/>
      <c r="V53" s="42"/>
      <c r="W53" s="42"/>
    </row>
    <row r="54" spans="1:50" ht="33.75" customHeight="1" x14ac:dyDescent="0.25">
      <c r="A54" s="41"/>
      <c r="B54" s="316">
        <f>B52-B48</f>
        <v>310.71270000000015</v>
      </c>
      <c r="C54" s="316">
        <f t="shared" ref="C54:D55" si="28">C52-C48</f>
        <v>311.94999999999993</v>
      </c>
      <c r="D54" s="316">
        <f t="shared" si="28"/>
        <v>13.983000000000001</v>
      </c>
      <c r="E54" s="316">
        <f>E52-E48</f>
        <v>338.46350000000007</v>
      </c>
      <c r="F54" s="316">
        <f>F52-F48</f>
        <v>317.90759999999989</v>
      </c>
      <c r="G54" s="41"/>
      <c r="H54" s="41"/>
      <c r="I54" s="41"/>
      <c r="J54" s="41"/>
      <c r="K54" s="41"/>
      <c r="L54" s="42"/>
      <c r="M54" s="878">
        <f>M52-M48</f>
        <v>26.680999999999997</v>
      </c>
      <c r="N54" s="878">
        <f>N52-N48</f>
        <v>25.72</v>
      </c>
      <c r="O54" s="878">
        <f t="shared" ref="N54:R55" si="29">O52-O48</f>
        <v>2.4359999999999999</v>
      </c>
      <c r="P54" s="878">
        <f t="shared" si="29"/>
        <v>27.081000000000003</v>
      </c>
      <c r="Q54" s="878">
        <f t="shared" si="29"/>
        <v>26.407000000000004</v>
      </c>
      <c r="R54" s="42">
        <f>R52-R48</f>
        <v>0</v>
      </c>
      <c r="S54" s="522"/>
      <c r="T54" s="42"/>
      <c r="U54" s="42"/>
      <c r="V54" s="2"/>
      <c r="W54" s="2"/>
      <c r="X54" s="2"/>
      <c r="Y54" s="2"/>
      <c r="Z54" s="2"/>
    </row>
    <row r="55" spans="1:50" ht="33.75" customHeight="1" x14ac:dyDescent="0.25">
      <c r="A55" s="41"/>
      <c r="B55" s="42">
        <f>B53-B49</f>
        <v>-87.5493660185968</v>
      </c>
      <c r="C55" s="42">
        <f>C53-C49</f>
        <v>-89.128571428571433</v>
      </c>
      <c r="D55" s="42">
        <f t="shared" si="28"/>
        <v>-66.585714285714303</v>
      </c>
      <c r="E55" s="316">
        <f>E53-E49</f>
        <v>-90.377436582109482</v>
      </c>
      <c r="F55" s="42">
        <f>F53-F49</f>
        <v>-88.01428571428572</v>
      </c>
      <c r="G55" s="41"/>
      <c r="H55" s="41"/>
      <c r="I55" s="41"/>
      <c r="J55" s="41"/>
      <c r="K55" s="42"/>
      <c r="L55" s="42"/>
      <c r="M55" s="42">
        <f>M53-M49</f>
        <v>-92.965156794425084</v>
      </c>
      <c r="N55" s="42">
        <f t="shared" si="29"/>
        <v>-91.857142857142861</v>
      </c>
      <c r="O55" s="42">
        <f>O53-O49</f>
        <v>-87.000000000000014</v>
      </c>
      <c r="P55" s="42">
        <f>P53-P49</f>
        <v>-92.112244897959201</v>
      </c>
      <c r="Q55" s="42">
        <f t="shared" si="29"/>
        <v>-92.010452961672485</v>
      </c>
      <c r="R55" s="42">
        <f t="shared" si="29"/>
        <v>0</v>
      </c>
      <c r="S55" s="522"/>
      <c r="T55" s="43"/>
      <c r="U55" s="43"/>
      <c r="V55" s="2"/>
      <c r="W55" s="2"/>
      <c r="X55" s="2"/>
      <c r="Y55" s="2"/>
      <c r="AC55" s="3"/>
    </row>
    <row r="56" spans="1:50" ht="33.75" customHeight="1" x14ac:dyDescent="0.25">
      <c r="A56" s="41"/>
      <c r="B56" s="287"/>
      <c r="C56" s="287"/>
      <c r="D56" s="287"/>
      <c r="E56" s="287"/>
      <c r="F56" s="287"/>
      <c r="G56" s="264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2"/>
      <c r="S56" s="42"/>
      <c r="T56" s="42"/>
      <c r="U56" s="42"/>
      <c r="V56" s="42"/>
      <c r="W56" s="42"/>
      <c r="X56" s="43"/>
      <c r="Y56" s="43"/>
      <c r="Z56" s="43"/>
      <c r="AA56" s="2"/>
      <c r="AB56" s="2"/>
      <c r="AC56" s="2"/>
      <c r="AD56" s="2"/>
      <c r="AH56" s="3"/>
    </row>
    <row r="57" spans="1:50" ht="33.75" customHeight="1" thickBot="1" x14ac:dyDescent="0.3">
      <c r="A57" s="53"/>
      <c r="B57" s="284"/>
      <c r="C57" s="284"/>
      <c r="D57" s="284"/>
      <c r="E57" s="284"/>
      <c r="F57" s="284"/>
      <c r="G57" s="284"/>
      <c r="H57" s="933"/>
      <c r="I57" s="933"/>
      <c r="J57" s="933"/>
      <c r="K57" s="933"/>
      <c r="L57" s="933"/>
      <c r="M57" s="283"/>
      <c r="N57" s="283"/>
      <c r="O57" s="283"/>
      <c r="P57" s="283"/>
      <c r="Q57" s="283"/>
      <c r="R57" s="283"/>
      <c r="S57" s="283"/>
      <c r="T57" s="933"/>
      <c r="U57" s="55"/>
      <c r="Z57" s="43"/>
      <c r="AA57" s="43"/>
      <c r="AB57" s="43"/>
      <c r="AC57" s="2"/>
      <c r="AD57" s="2"/>
      <c r="AE57" s="2"/>
      <c r="AF57" s="2"/>
      <c r="AH57" s="2"/>
      <c r="AI57" s="2"/>
      <c r="AJ57" s="2"/>
    </row>
    <row r="58" spans="1:50" ht="33.75" customHeight="1" thickBot="1" x14ac:dyDescent="0.3">
      <c r="A58" s="359" t="s">
        <v>19</v>
      </c>
      <c r="B58" s="986" t="s">
        <v>8</v>
      </c>
      <c r="C58" s="956"/>
      <c r="D58" s="956"/>
      <c r="E58" s="956"/>
      <c r="F58" s="956"/>
      <c r="G58" s="999" t="s">
        <v>30</v>
      </c>
      <c r="H58" s="1000"/>
      <c r="I58" s="1000"/>
      <c r="J58" s="1000"/>
      <c r="K58" s="1001"/>
      <c r="L58" s="973" t="s">
        <v>29</v>
      </c>
      <c r="M58" s="974"/>
      <c r="N58" s="974"/>
      <c r="O58" s="974"/>
      <c r="P58" s="991"/>
      <c r="Q58" s="974" t="s">
        <v>31</v>
      </c>
      <c r="R58" s="974"/>
      <c r="S58" s="974"/>
      <c r="T58" s="974"/>
      <c r="U58" s="991"/>
      <c r="V58" s="992" t="s">
        <v>9</v>
      </c>
      <c r="W58" s="661"/>
      <c r="X58" s="662"/>
      <c r="Y58" s="874"/>
      <c r="Z58" s="874"/>
      <c r="AA58" s="148"/>
      <c r="AB58" s="148"/>
      <c r="AC58" s="148"/>
      <c r="AD58" s="148"/>
      <c r="AE58" s="148"/>
      <c r="AF58" s="58"/>
      <c r="AG58" s="58"/>
      <c r="AH58" s="58"/>
      <c r="AI58" s="2"/>
      <c r="AJ58" s="2"/>
      <c r="AK58" s="2"/>
      <c r="AL58" s="2"/>
      <c r="AN58" s="2"/>
      <c r="AO58" s="2"/>
      <c r="AP58" s="2"/>
    </row>
    <row r="59" spans="1:50" ht="33.75" customHeight="1" thickBot="1" x14ac:dyDescent="0.3">
      <c r="A59" s="170" t="s">
        <v>10</v>
      </c>
      <c r="B59" s="188">
        <v>1</v>
      </c>
      <c r="C59" s="168">
        <v>2</v>
      </c>
      <c r="D59" s="168">
        <v>3</v>
      </c>
      <c r="E59" s="168">
        <v>4</v>
      </c>
      <c r="F59" s="413">
        <v>5</v>
      </c>
      <c r="G59" s="692">
        <v>1</v>
      </c>
      <c r="H59" s="693">
        <v>2</v>
      </c>
      <c r="I59" s="693">
        <v>3</v>
      </c>
      <c r="J59" s="693">
        <v>4</v>
      </c>
      <c r="K59" s="693">
        <v>5</v>
      </c>
      <c r="L59" s="188">
        <v>1</v>
      </c>
      <c r="M59" s="168">
        <v>2</v>
      </c>
      <c r="N59" s="168">
        <v>3</v>
      </c>
      <c r="O59" s="168">
        <v>4</v>
      </c>
      <c r="P59" s="414">
        <v>5</v>
      </c>
      <c r="Q59" s="189">
        <v>1</v>
      </c>
      <c r="R59" s="168">
        <v>2</v>
      </c>
      <c r="S59" s="168">
        <v>3</v>
      </c>
      <c r="T59" s="168">
        <v>4</v>
      </c>
      <c r="U59" s="414">
        <v>5</v>
      </c>
      <c r="V59" s="993"/>
      <c r="W59" s="663"/>
      <c r="X59" s="645"/>
      <c r="Y59" s="657"/>
      <c r="Z59" s="657"/>
      <c r="AA59" s="148"/>
      <c r="AB59" s="148"/>
      <c r="AC59" s="45"/>
      <c r="AD59" s="45"/>
      <c r="AE59" s="45"/>
      <c r="AF59" s="45"/>
      <c r="AG59" s="45"/>
      <c r="AH59" s="57"/>
      <c r="AI59" s="57"/>
      <c r="AJ59" s="57"/>
      <c r="AK59" s="57"/>
      <c r="AL59" s="45"/>
      <c r="AM59" s="45"/>
      <c r="AN59" s="58"/>
      <c r="AO59" s="58"/>
      <c r="AP59" s="58"/>
      <c r="AQ59" s="2"/>
      <c r="AR59" s="2"/>
      <c r="AS59" s="2"/>
      <c r="AT59" s="2"/>
      <c r="AU59" s="2"/>
      <c r="AV59" s="2"/>
      <c r="AW59" s="2"/>
      <c r="AX59" s="2"/>
    </row>
    <row r="60" spans="1:50" ht="33.75" customHeight="1" x14ac:dyDescent="0.45">
      <c r="A60" s="171" t="s">
        <v>53</v>
      </c>
      <c r="B60" s="884">
        <v>7.1</v>
      </c>
      <c r="C60" s="596">
        <v>7.4</v>
      </c>
      <c r="D60" s="596">
        <v>1</v>
      </c>
      <c r="E60" s="596">
        <v>6.9</v>
      </c>
      <c r="F60" s="601">
        <v>7.5</v>
      </c>
      <c r="G60" s="884">
        <v>7.6</v>
      </c>
      <c r="H60" s="596">
        <v>7.6</v>
      </c>
      <c r="I60" s="885">
        <v>1</v>
      </c>
      <c r="J60" s="596">
        <v>7.6</v>
      </c>
      <c r="K60" s="596">
        <v>7.3</v>
      </c>
      <c r="L60" s="508">
        <v>6.1</v>
      </c>
      <c r="M60" s="504">
        <v>5.9</v>
      </c>
      <c r="N60" s="504">
        <v>1.7</v>
      </c>
      <c r="O60" s="504">
        <v>5.9</v>
      </c>
      <c r="P60" s="507">
        <v>4.5999999999999996</v>
      </c>
      <c r="Q60" s="601">
        <v>6.3</v>
      </c>
      <c r="R60" s="596">
        <v>6.1</v>
      </c>
      <c r="S60" s="596">
        <v>1.3</v>
      </c>
      <c r="T60" s="596">
        <v>6.3</v>
      </c>
      <c r="U60" s="600">
        <v>6.2</v>
      </c>
      <c r="V60" s="846">
        <f t="shared" ref="V60:V67" si="30">SUM(B60:U60)</f>
        <v>111.39999999999999</v>
      </c>
      <c r="W60" s="42"/>
      <c r="X60" s="646"/>
      <c r="Y60" s="657"/>
      <c r="Z60" s="657"/>
      <c r="AA60" s="148"/>
      <c r="AB60" s="148"/>
      <c r="AC60" s="58"/>
      <c r="AD60" s="45"/>
      <c r="AE60" s="45"/>
      <c r="AF60" s="45"/>
      <c r="AG60" s="45"/>
      <c r="AH60" s="57"/>
      <c r="AI60" s="57"/>
      <c r="AJ60" s="57"/>
      <c r="AK60" s="57"/>
      <c r="AL60" s="45"/>
      <c r="AM60" s="45"/>
      <c r="AN60" s="58"/>
      <c r="AO60" s="58"/>
      <c r="AP60" s="58"/>
      <c r="AQ60" s="2"/>
      <c r="AR60" s="2"/>
      <c r="AS60" s="2"/>
      <c r="AT60" s="2"/>
      <c r="AU60" s="2"/>
      <c r="AV60" s="2"/>
      <c r="AW60" s="2"/>
      <c r="AX60" s="2"/>
    </row>
    <row r="61" spans="1:50" ht="33.75" customHeight="1" x14ac:dyDescent="0.45">
      <c r="A61" s="171" t="s">
        <v>24</v>
      </c>
      <c r="B61" s="884">
        <v>7.1</v>
      </c>
      <c r="C61" s="596">
        <v>7.4</v>
      </c>
      <c r="D61" s="596">
        <v>1</v>
      </c>
      <c r="E61" s="596">
        <v>6.9</v>
      </c>
      <c r="F61" s="601">
        <v>7.5</v>
      </c>
      <c r="G61" s="884">
        <v>7.6</v>
      </c>
      <c r="H61" s="596">
        <v>7.6</v>
      </c>
      <c r="I61" s="885">
        <v>1</v>
      </c>
      <c r="J61" s="596">
        <v>7.6</v>
      </c>
      <c r="K61" s="596">
        <v>7.3</v>
      </c>
      <c r="L61" s="508">
        <v>6.1</v>
      </c>
      <c r="M61" s="504">
        <v>5.9</v>
      </c>
      <c r="N61" s="504">
        <v>1.7</v>
      </c>
      <c r="O61" s="504">
        <v>5.9</v>
      </c>
      <c r="P61" s="507">
        <v>4.5999999999999996</v>
      </c>
      <c r="Q61" s="601">
        <v>6.3</v>
      </c>
      <c r="R61" s="596">
        <v>6.1</v>
      </c>
      <c r="S61" s="596">
        <v>1.3</v>
      </c>
      <c r="T61" s="596">
        <v>6.3</v>
      </c>
      <c r="U61" s="600">
        <v>6.2</v>
      </c>
      <c r="V61" s="953">
        <f t="shared" si="30"/>
        <v>111.39999999999999</v>
      </c>
      <c r="W61" s="42"/>
      <c r="X61" s="646"/>
      <c r="Y61" s="875"/>
      <c r="Z61" s="875"/>
      <c r="AA61" s="148"/>
      <c r="AB61" s="148"/>
      <c r="AC61" s="58"/>
      <c r="AD61" s="45"/>
      <c r="AE61" s="45"/>
      <c r="AF61" s="45"/>
      <c r="AG61" s="45"/>
      <c r="AH61" s="57"/>
      <c r="AI61" s="57"/>
      <c r="AJ61" s="57"/>
      <c r="AK61" s="57"/>
      <c r="AL61" s="45"/>
      <c r="AM61" s="45"/>
      <c r="AN61" s="58"/>
      <c r="AO61" s="58"/>
      <c r="AP61" s="58"/>
      <c r="AQ61" s="2"/>
      <c r="AR61" s="2"/>
      <c r="AS61" s="2"/>
      <c r="AT61" s="2"/>
      <c r="AU61" s="2"/>
      <c r="AV61" s="2"/>
      <c r="AW61" s="2"/>
      <c r="AX61" s="2"/>
    </row>
    <row r="62" spans="1:50" ht="33.75" customHeight="1" x14ac:dyDescent="0.45">
      <c r="A62" s="171" t="s">
        <v>20</v>
      </c>
      <c r="B62" s="884">
        <v>7.1</v>
      </c>
      <c r="C62" s="596">
        <v>7.4</v>
      </c>
      <c r="D62" s="596">
        <v>1</v>
      </c>
      <c r="E62" s="925">
        <v>6.9</v>
      </c>
      <c r="F62" s="601">
        <v>7.5</v>
      </c>
      <c r="G62" s="884">
        <v>7.6</v>
      </c>
      <c r="H62" s="596">
        <v>7.6</v>
      </c>
      <c r="I62" s="885">
        <v>1</v>
      </c>
      <c r="J62" s="596">
        <v>7.6</v>
      </c>
      <c r="K62" s="596">
        <v>7.3</v>
      </c>
      <c r="L62" s="508">
        <v>6.1</v>
      </c>
      <c r="M62" s="504">
        <v>5.9</v>
      </c>
      <c r="N62" s="504">
        <v>1.7</v>
      </c>
      <c r="O62" s="504">
        <v>5.9</v>
      </c>
      <c r="P62" s="507">
        <v>4.5999999999999996</v>
      </c>
      <c r="Q62" s="601">
        <v>6.3</v>
      </c>
      <c r="R62" s="596">
        <v>6.1</v>
      </c>
      <c r="S62" s="596">
        <v>1.3</v>
      </c>
      <c r="T62" s="596">
        <v>6.3</v>
      </c>
      <c r="U62" s="600">
        <v>6.2</v>
      </c>
      <c r="V62" s="953">
        <f t="shared" si="30"/>
        <v>111.39999999999999</v>
      </c>
      <c r="W62" s="42"/>
      <c r="X62" s="646"/>
      <c r="Y62" s="875"/>
      <c r="Z62" s="875"/>
      <c r="AA62" s="148"/>
      <c r="AB62" s="148"/>
      <c r="AC62" s="58"/>
      <c r="AD62" s="45"/>
      <c r="AE62" s="45"/>
      <c r="AF62" s="45"/>
      <c r="AG62" s="45"/>
      <c r="AH62" s="57"/>
      <c r="AI62" s="57"/>
      <c r="AJ62" s="57"/>
      <c r="AK62" s="57"/>
      <c r="AL62" s="45"/>
      <c r="AM62" s="45"/>
      <c r="AN62" s="58"/>
      <c r="AO62" s="58"/>
      <c r="AP62" s="58"/>
      <c r="AQ62" s="2"/>
      <c r="AR62" s="2"/>
      <c r="AS62" s="2"/>
      <c r="AT62" s="2"/>
      <c r="AU62" s="2"/>
      <c r="AV62" s="2"/>
      <c r="AW62" s="2"/>
      <c r="AX62" s="2"/>
    </row>
    <row r="63" spans="1:50" ht="33.75" customHeight="1" x14ac:dyDescent="0.45">
      <c r="A63" s="171" t="s">
        <v>28</v>
      </c>
      <c r="B63" s="884"/>
      <c r="C63" s="596"/>
      <c r="D63" s="596"/>
      <c r="E63" s="596"/>
      <c r="F63" s="601"/>
      <c r="G63" s="884"/>
      <c r="H63" s="596"/>
      <c r="I63" s="885"/>
      <c r="J63" s="596"/>
      <c r="K63" s="596"/>
      <c r="L63" s="508"/>
      <c r="M63" s="504"/>
      <c r="N63" s="504"/>
      <c r="O63" s="504"/>
      <c r="P63" s="507"/>
      <c r="Q63" s="601"/>
      <c r="R63" s="596"/>
      <c r="S63" s="596"/>
      <c r="T63" s="596"/>
      <c r="U63" s="600"/>
      <c r="V63" s="953">
        <f t="shared" si="30"/>
        <v>0</v>
      </c>
      <c r="W63" s="42"/>
      <c r="X63" s="646"/>
      <c r="Y63" s="875"/>
      <c r="Z63" s="875"/>
      <c r="AA63" s="148"/>
      <c r="AB63" s="148"/>
      <c r="AC63" s="58"/>
      <c r="AD63" s="45"/>
      <c r="AE63" s="45"/>
      <c r="AF63" s="45"/>
      <c r="AG63" s="45"/>
      <c r="AH63" s="57"/>
      <c r="AI63" s="57"/>
      <c r="AJ63" s="57"/>
      <c r="AK63" s="57"/>
      <c r="AL63" s="45"/>
      <c r="AM63" s="45"/>
      <c r="AN63" s="58"/>
      <c r="AO63" s="58"/>
      <c r="AP63" s="58"/>
      <c r="AQ63" s="3"/>
      <c r="AR63" s="3"/>
      <c r="AS63" s="2"/>
      <c r="AT63" s="2"/>
      <c r="AU63" s="2"/>
      <c r="AV63" s="2"/>
      <c r="AW63" s="2"/>
      <c r="AX63" s="2"/>
    </row>
    <row r="64" spans="1:50" ht="33.75" customHeight="1" x14ac:dyDescent="0.45">
      <c r="A64" s="171" t="s">
        <v>21</v>
      </c>
      <c r="B64" s="884"/>
      <c r="C64" s="596"/>
      <c r="D64" s="596"/>
      <c r="E64" s="596"/>
      <c r="F64" s="601"/>
      <c r="G64" s="884"/>
      <c r="H64" s="596"/>
      <c r="I64" s="885"/>
      <c r="J64" s="596"/>
      <c r="K64" s="596"/>
      <c r="L64" s="508"/>
      <c r="M64" s="504"/>
      <c r="N64" s="504"/>
      <c r="O64" s="504"/>
      <c r="P64" s="507"/>
      <c r="Q64" s="601"/>
      <c r="R64" s="596"/>
      <c r="S64" s="596"/>
      <c r="T64" s="596"/>
      <c r="U64" s="600"/>
      <c r="V64" s="953">
        <f t="shared" si="30"/>
        <v>0</v>
      </c>
      <c r="W64" s="42"/>
      <c r="X64" s="646"/>
      <c r="Y64" s="875"/>
      <c r="Z64" s="875"/>
      <c r="AA64" s="148"/>
      <c r="AB64" s="148"/>
      <c r="AC64" s="58"/>
      <c r="AD64" s="45"/>
      <c r="AE64" s="45"/>
      <c r="AF64" s="45"/>
      <c r="AG64" s="45"/>
      <c r="AH64" s="57"/>
      <c r="AI64" s="57"/>
      <c r="AJ64" s="57"/>
      <c r="AK64" s="57"/>
      <c r="AL64" s="45"/>
      <c r="AM64" s="45"/>
      <c r="AN64" s="58"/>
      <c r="AO64" s="58"/>
      <c r="AP64" s="58"/>
      <c r="AQ64" s="3"/>
      <c r="AR64" s="3"/>
      <c r="AS64" s="2"/>
      <c r="AT64" s="2"/>
      <c r="AU64" s="2"/>
      <c r="AV64" s="2"/>
      <c r="AW64" s="2"/>
      <c r="AX64" s="2"/>
    </row>
    <row r="65" spans="1:50" ht="33.75" customHeight="1" x14ac:dyDescent="0.45">
      <c r="A65" s="171" t="s">
        <v>22</v>
      </c>
      <c r="B65" s="884"/>
      <c r="C65" s="596"/>
      <c r="D65" s="596"/>
      <c r="E65" s="596"/>
      <c r="F65" s="601"/>
      <c r="G65" s="884"/>
      <c r="H65" s="596"/>
      <c r="I65" s="885"/>
      <c r="J65" s="596"/>
      <c r="K65" s="596"/>
      <c r="L65" s="508"/>
      <c r="M65" s="504"/>
      <c r="N65" s="504"/>
      <c r="O65" s="504"/>
      <c r="P65" s="507"/>
      <c r="Q65" s="601"/>
      <c r="R65" s="596"/>
      <c r="S65" s="596"/>
      <c r="T65" s="596"/>
      <c r="U65" s="600"/>
      <c r="V65" s="953">
        <f t="shared" si="30"/>
        <v>0</v>
      </c>
      <c r="W65" s="42"/>
      <c r="X65" s="646"/>
      <c r="Y65" s="875"/>
      <c r="Z65" s="875"/>
      <c r="AA65" s="148"/>
      <c r="AB65" s="148"/>
      <c r="AC65" s="58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3"/>
      <c r="AR65" s="3"/>
      <c r="AU65" s="2"/>
      <c r="AV65" s="2"/>
      <c r="AW65" s="2"/>
      <c r="AX65" s="2"/>
    </row>
    <row r="66" spans="1:50" ht="33.75" customHeight="1" thickBot="1" x14ac:dyDescent="0.5">
      <c r="A66" s="171" t="s">
        <v>23</v>
      </c>
      <c r="B66" s="884"/>
      <c r="C66" s="596"/>
      <c r="D66" s="596"/>
      <c r="E66" s="596"/>
      <c r="F66" s="601"/>
      <c r="G66" s="884"/>
      <c r="H66" s="596"/>
      <c r="I66" s="885"/>
      <c r="J66" s="596"/>
      <c r="K66" s="596"/>
      <c r="L66" s="508"/>
      <c r="M66" s="504"/>
      <c r="N66" s="504"/>
      <c r="O66" s="504"/>
      <c r="P66" s="507"/>
      <c r="Q66" s="601"/>
      <c r="R66" s="596"/>
      <c r="S66" s="596"/>
      <c r="T66" s="596"/>
      <c r="U66" s="600"/>
      <c r="V66" s="953">
        <f t="shared" si="30"/>
        <v>0</v>
      </c>
      <c r="W66" s="42"/>
      <c r="X66" s="646"/>
      <c r="Y66" s="875"/>
      <c r="Z66" s="875"/>
      <c r="AA66" s="148"/>
      <c r="AB66" s="148"/>
      <c r="AC66" s="58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3"/>
      <c r="AR66" s="3"/>
      <c r="AU66" s="2"/>
      <c r="AV66" s="2"/>
      <c r="AW66" s="2"/>
      <c r="AX66" s="2"/>
    </row>
    <row r="67" spans="1:50" ht="33.75" customHeight="1" thickBot="1" x14ac:dyDescent="0.3">
      <c r="A67" s="170" t="s">
        <v>9</v>
      </c>
      <c r="B67" s="618">
        <f t="shared" ref="B67:U67" si="31">SUM(B60:B66)</f>
        <v>21.299999999999997</v>
      </c>
      <c r="C67" s="616">
        <f t="shared" si="31"/>
        <v>22.200000000000003</v>
      </c>
      <c r="D67" s="616">
        <f t="shared" si="31"/>
        <v>3</v>
      </c>
      <c r="E67" s="616">
        <f t="shared" si="31"/>
        <v>20.700000000000003</v>
      </c>
      <c r="F67" s="617">
        <f t="shared" si="31"/>
        <v>22.5</v>
      </c>
      <c r="G67" s="719">
        <f t="shared" si="31"/>
        <v>22.799999999999997</v>
      </c>
      <c r="H67" s="696">
        <f t="shared" si="31"/>
        <v>22.799999999999997</v>
      </c>
      <c r="I67" s="696">
        <f t="shared" si="31"/>
        <v>3</v>
      </c>
      <c r="J67" s="696">
        <f t="shared" si="31"/>
        <v>22.799999999999997</v>
      </c>
      <c r="K67" s="720">
        <f t="shared" si="31"/>
        <v>21.9</v>
      </c>
      <c r="L67" s="618">
        <f t="shared" si="31"/>
        <v>18.299999999999997</v>
      </c>
      <c r="M67" s="616">
        <f t="shared" si="31"/>
        <v>17.700000000000003</v>
      </c>
      <c r="N67" s="616">
        <f t="shared" si="31"/>
        <v>5.0999999999999996</v>
      </c>
      <c r="O67" s="616">
        <f t="shared" si="31"/>
        <v>17.700000000000003</v>
      </c>
      <c r="P67" s="619">
        <f t="shared" si="31"/>
        <v>13.799999999999999</v>
      </c>
      <c r="Q67" s="615">
        <f t="shared" si="31"/>
        <v>18.899999999999999</v>
      </c>
      <c r="R67" s="616">
        <f t="shared" si="31"/>
        <v>18.299999999999997</v>
      </c>
      <c r="S67" s="616">
        <f t="shared" si="31"/>
        <v>3.9000000000000004</v>
      </c>
      <c r="T67" s="616">
        <f t="shared" si="31"/>
        <v>18.899999999999999</v>
      </c>
      <c r="U67" s="617">
        <f t="shared" si="31"/>
        <v>18.600000000000001</v>
      </c>
      <c r="V67" s="954">
        <f t="shared" si="30"/>
        <v>334.2</v>
      </c>
      <c r="W67" s="664"/>
      <c r="X67" s="646"/>
      <c r="Y67" s="875"/>
      <c r="Z67" s="875"/>
      <c r="AA67" s="148"/>
      <c r="AB67" s="148"/>
      <c r="AC67" s="148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3"/>
      <c r="AR67" s="3"/>
      <c r="AS67" s="3"/>
      <c r="AT67" s="3"/>
      <c r="AU67" s="2"/>
      <c r="AV67" s="2"/>
      <c r="AW67" s="2"/>
      <c r="AX67" s="2"/>
    </row>
    <row r="68" spans="1:50" ht="33.75" customHeight="1" x14ac:dyDescent="0.25">
      <c r="A68" s="192" t="s">
        <v>11</v>
      </c>
      <c r="B68" s="357">
        <v>164.5</v>
      </c>
      <c r="C68" s="358">
        <v>164</v>
      </c>
      <c r="D68" s="358">
        <v>164.5</v>
      </c>
      <c r="E68" s="358">
        <v>164</v>
      </c>
      <c r="F68" s="624">
        <v>162.5</v>
      </c>
      <c r="G68" s="357">
        <v>164.5</v>
      </c>
      <c r="H68" s="358">
        <v>164</v>
      </c>
      <c r="I68" s="358">
        <v>164.5</v>
      </c>
      <c r="J68" s="358">
        <v>164</v>
      </c>
      <c r="K68" s="624">
        <v>162.5</v>
      </c>
      <c r="L68" s="357">
        <v>164.5</v>
      </c>
      <c r="M68" s="358">
        <v>164</v>
      </c>
      <c r="N68" s="358">
        <v>164.5</v>
      </c>
      <c r="O68" s="358">
        <v>164</v>
      </c>
      <c r="P68" s="624">
        <v>162.5</v>
      </c>
      <c r="Q68" s="671">
        <v>164.5</v>
      </c>
      <c r="R68" s="358">
        <v>164</v>
      </c>
      <c r="S68" s="358">
        <v>164.5</v>
      </c>
      <c r="T68" s="358">
        <v>164</v>
      </c>
      <c r="U68" s="624">
        <v>162.5</v>
      </c>
      <c r="V68" s="296">
        <f>+((V67/V69)/7)*1000</f>
        <v>69.596001665972508</v>
      </c>
      <c r="W68" s="145"/>
      <c r="X68" s="648"/>
      <c r="Y68" s="874"/>
      <c r="Z68" s="874"/>
      <c r="AA68" s="148"/>
      <c r="AB68" s="148"/>
      <c r="AC68" s="148"/>
      <c r="AD68" s="148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3"/>
      <c r="AR68" s="3"/>
      <c r="AS68" s="3"/>
      <c r="AT68" s="3"/>
      <c r="AU68" s="2"/>
      <c r="AV68" s="2"/>
      <c r="AW68" s="2"/>
      <c r="AX68" s="2"/>
    </row>
    <row r="69" spans="1:50" ht="33.75" customHeight="1" x14ac:dyDescent="0.25">
      <c r="A69" s="193" t="s">
        <v>12</v>
      </c>
      <c r="B69" s="257">
        <v>43</v>
      </c>
      <c r="C69" s="275">
        <v>45</v>
      </c>
      <c r="D69" s="275">
        <v>6</v>
      </c>
      <c r="E69" s="275">
        <v>45</v>
      </c>
      <c r="F69" s="276">
        <v>46</v>
      </c>
      <c r="G69" s="723">
        <v>46</v>
      </c>
      <c r="H69" s="700">
        <v>46</v>
      </c>
      <c r="I69" s="700">
        <v>6</v>
      </c>
      <c r="J69" s="700">
        <v>46</v>
      </c>
      <c r="K69" s="724">
        <v>45</v>
      </c>
      <c r="L69" s="257">
        <v>37</v>
      </c>
      <c r="M69" s="275">
        <v>36</v>
      </c>
      <c r="N69" s="275">
        <v>10</v>
      </c>
      <c r="O69" s="275">
        <v>36</v>
      </c>
      <c r="P69" s="276">
        <v>34</v>
      </c>
      <c r="Q69" s="79">
        <v>38</v>
      </c>
      <c r="R69" s="275">
        <v>37</v>
      </c>
      <c r="S69" s="275">
        <v>8</v>
      </c>
      <c r="T69" s="275">
        <v>38</v>
      </c>
      <c r="U69" s="276">
        <v>38</v>
      </c>
      <c r="V69" s="254">
        <f>SUM(B69:U69)</f>
        <v>686</v>
      </c>
      <c r="W69" s="145"/>
      <c r="X69" s="649"/>
      <c r="Y69" s="874"/>
      <c r="Z69" s="874"/>
      <c r="AA69" s="148"/>
      <c r="AB69" s="148"/>
      <c r="AC69" s="148"/>
      <c r="AD69" s="45"/>
      <c r="AE69" s="148"/>
      <c r="AF69" s="148"/>
      <c r="AG69" s="148"/>
      <c r="AH69" s="45"/>
      <c r="AI69" s="3"/>
      <c r="AJ69" s="3"/>
      <c r="AK69" s="3"/>
      <c r="AL69" s="3"/>
      <c r="AM69" s="3"/>
    </row>
    <row r="70" spans="1:50" ht="33.75" customHeight="1" x14ac:dyDescent="0.25">
      <c r="A70" s="194" t="s">
        <v>13</v>
      </c>
      <c r="B70" s="30">
        <f>((((B68*7)*B69)/1000-B60-B61)/5)</f>
        <v>7.0628999999999991</v>
      </c>
      <c r="C70" s="31">
        <f t="shared" ref="C70:U70" si="32">((((C68*7)*C69)/1000-C60-C61)/5)</f>
        <v>7.3719999999999999</v>
      </c>
      <c r="D70" s="31">
        <f t="shared" si="32"/>
        <v>0.98180000000000001</v>
      </c>
      <c r="E70" s="31">
        <f t="shared" si="32"/>
        <v>7.5720000000000001</v>
      </c>
      <c r="F70" s="32">
        <f t="shared" si="32"/>
        <v>7.4650000000000007</v>
      </c>
      <c r="G70" s="30">
        <f t="shared" si="32"/>
        <v>7.5537999999999998</v>
      </c>
      <c r="H70" s="31">
        <f t="shared" si="32"/>
        <v>7.5215999999999994</v>
      </c>
      <c r="I70" s="31">
        <f t="shared" si="32"/>
        <v>0.98180000000000001</v>
      </c>
      <c r="J70" s="31">
        <f t="shared" si="32"/>
        <v>7.5215999999999994</v>
      </c>
      <c r="K70" s="32">
        <f t="shared" si="32"/>
        <v>7.3175000000000008</v>
      </c>
      <c r="L70" s="30">
        <f t="shared" si="32"/>
        <v>6.0810999999999993</v>
      </c>
      <c r="M70" s="31">
        <f t="shared" si="32"/>
        <v>5.9056000000000015</v>
      </c>
      <c r="N70" s="31">
        <f t="shared" si="32"/>
        <v>1.6230000000000004</v>
      </c>
      <c r="O70" s="31">
        <f t="shared" si="32"/>
        <v>5.9056000000000015</v>
      </c>
      <c r="P70" s="32">
        <f t="shared" si="32"/>
        <v>5.8949999999999987</v>
      </c>
      <c r="Q70" s="65">
        <f t="shared" si="32"/>
        <v>6.2313999999999998</v>
      </c>
      <c r="R70" s="31">
        <f t="shared" si="32"/>
        <v>6.0551999999999992</v>
      </c>
      <c r="S70" s="31">
        <f t="shared" si="32"/>
        <v>1.3224</v>
      </c>
      <c r="T70" s="31">
        <f t="shared" si="32"/>
        <v>6.2048000000000005</v>
      </c>
      <c r="U70" s="32">
        <f t="shared" si="32"/>
        <v>6.165</v>
      </c>
      <c r="V70" s="139">
        <f>((V67*1000)/V69)/7</f>
        <v>69.596001665972508</v>
      </c>
      <c r="W70" s="144"/>
      <c r="X70" s="650"/>
      <c r="Y70" s="874"/>
      <c r="Z70" s="874"/>
      <c r="AA70" s="148"/>
      <c r="AB70" s="148"/>
      <c r="AC70" s="148"/>
      <c r="AD70" s="148"/>
      <c r="AE70" s="148"/>
      <c r="AF70" s="148"/>
      <c r="AG70" s="148"/>
      <c r="AH70" s="45"/>
      <c r="AI70" s="3"/>
      <c r="AJ70" s="3"/>
      <c r="AK70" s="3"/>
      <c r="AL70" s="3"/>
      <c r="AM70" s="3"/>
    </row>
    <row r="71" spans="1:50" ht="33.75" customHeight="1" x14ac:dyDescent="0.25">
      <c r="A71" s="185" t="s">
        <v>14</v>
      </c>
      <c r="B71" s="279">
        <f t="shared" ref="B71:U71" si="33">((B69*B68)*7)/1000</f>
        <v>49.514499999999998</v>
      </c>
      <c r="C71" s="280">
        <f t="shared" si="33"/>
        <v>51.66</v>
      </c>
      <c r="D71" s="280">
        <f t="shared" si="33"/>
        <v>6.9089999999999998</v>
      </c>
      <c r="E71" s="280">
        <f t="shared" si="33"/>
        <v>51.66</v>
      </c>
      <c r="F71" s="282">
        <f t="shared" si="33"/>
        <v>52.325000000000003</v>
      </c>
      <c r="G71" s="464">
        <f t="shared" si="33"/>
        <v>52.969000000000001</v>
      </c>
      <c r="H71" s="459">
        <f>((H69*H68)*7)/1000</f>
        <v>52.808</v>
      </c>
      <c r="I71" s="459">
        <f t="shared" si="33"/>
        <v>6.9089999999999998</v>
      </c>
      <c r="J71" s="459">
        <f t="shared" si="33"/>
        <v>52.808</v>
      </c>
      <c r="K71" s="460">
        <f t="shared" si="33"/>
        <v>51.1875</v>
      </c>
      <c r="L71" s="279">
        <f t="shared" si="33"/>
        <v>42.605499999999999</v>
      </c>
      <c r="M71" s="280">
        <f t="shared" si="33"/>
        <v>41.328000000000003</v>
      </c>
      <c r="N71" s="280">
        <f t="shared" si="33"/>
        <v>11.515000000000001</v>
      </c>
      <c r="O71" s="280">
        <f t="shared" si="33"/>
        <v>41.328000000000003</v>
      </c>
      <c r="P71" s="282">
        <f t="shared" si="33"/>
        <v>38.674999999999997</v>
      </c>
      <c r="Q71" s="325">
        <f t="shared" si="33"/>
        <v>43.756999999999998</v>
      </c>
      <c r="R71" s="280">
        <f t="shared" si="33"/>
        <v>42.475999999999999</v>
      </c>
      <c r="S71" s="280">
        <f t="shared" si="33"/>
        <v>9.2119999999999997</v>
      </c>
      <c r="T71" s="280">
        <f t="shared" si="33"/>
        <v>43.624000000000002</v>
      </c>
      <c r="U71" s="282">
        <f t="shared" si="33"/>
        <v>43.225000000000001</v>
      </c>
      <c r="V71" s="112"/>
      <c r="W71" s="651"/>
      <c r="X71" s="666"/>
      <c r="Y71" s="657"/>
      <c r="Z71" s="657"/>
      <c r="AA71" s="45"/>
      <c r="AB71" s="45"/>
      <c r="AC71" s="45"/>
      <c r="AD71" s="148"/>
      <c r="AE71" s="148"/>
      <c r="AF71" s="148"/>
      <c r="AG71" s="148"/>
      <c r="AH71" s="148"/>
      <c r="AM71" s="3"/>
    </row>
    <row r="72" spans="1:50" ht="33.75" customHeight="1" thickBot="1" x14ac:dyDescent="0.3">
      <c r="A72" s="195" t="s">
        <v>15</v>
      </c>
      <c r="B72" s="37">
        <f t="shared" ref="B72:U72" si="34">+(B67/B69)/7*1000</f>
        <v>70.7641196013289</v>
      </c>
      <c r="C72" s="38">
        <f t="shared" si="34"/>
        <v>70.476190476190482</v>
      </c>
      <c r="D72" s="38">
        <f t="shared" si="34"/>
        <v>71.428571428571431</v>
      </c>
      <c r="E72" s="38">
        <f t="shared" si="34"/>
        <v>65.714285714285722</v>
      </c>
      <c r="F72" s="39">
        <f t="shared" si="34"/>
        <v>69.875776397515537</v>
      </c>
      <c r="G72" s="727">
        <f t="shared" si="34"/>
        <v>70.807453416149059</v>
      </c>
      <c r="H72" s="704">
        <f t="shared" si="34"/>
        <v>70.807453416149059</v>
      </c>
      <c r="I72" s="704">
        <f t="shared" si="34"/>
        <v>71.428571428571431</v>
      </c>
      <c r="J72" s="704">
        <f t="shared" si="34"/>
        <v>70.807453416149059</v>
      </c>
      <c r="K72" s="728">
        <f t="shared" si="34"/>
        <v>69.523809523809518</v>
      </c>
      <c r="L72" s="37">
        <f t="shared" si="34"/>
        <v>70.656370656370655</v>
      </c>
      <c r="M72" s="38">
        <f t="shared" si="34"/>
        <v>70.238095238095255</v>
      </c>
      <c r="N72" s="38">
        <f t="shared" si="34"/>
        <v>72.857142857142861</v>
      </c>
      <c r="O72" s="38">
        <f t="shared" si="34"/>
        <v>70.238095238095255</v>
      </c>
      <c r="P72" s="39">
        <f t="shared" si="34"/>
        <v>57.983193277310917</v>
      </c>
      <c r="Q72" s="67">
        <f t="shared" si="34"/>
        <v>71.052631578947356</v>
      </c>
      <c r="R72" s="38">
        <f t="shared" si="34"/>
        <v>70.656370656370655</v>
      </c>
      <c r="S72" s="38">
        <f t="shared" si="34"/>
        <v>69.642857142857139</v>
      </c>
      <c r="T72" s="38">
        <f t="shared" si="34"/>
        <v>71.052631578947356</v>
      </c>
      <c r="U72" s="39">
        <f t="shared" si="34"/>
        <v>69.924812030075202</v>
      </c>
      <c r="V72" s="40"/>
      <c r="W72" s="651"/>
      <c r="X72" s="522"/>
      <c r="Y72" s="522"/>
      <c r="Z72" s="522"/>
      <c r="AM72" s="3"/>
    </row>
    <row r="73" spans="1:50" ht="33.75" customHeight="1" x14ac:dyDescent="0.25">
      <c r="B73" s="316">
        <f>B71-B67</f>
        <v>28.214500000000001</v>
      </c>
      <c r="C73" s="316">
        <f t="shared" ref="C73:F73" si="35">C71-C67</f>
        <v>29.459999999999994</v>
      </c>
      <c r="D73" s="316">
        <f t="shared" si="35"/>
        <v>3.9089999999999998</v>
      </c>
      <c r="E73" s="316">
        <f t="shared" si="35"/>
        <v>30.959999999999994</v>
      </c>
      <c r="F73" s="316">
        <f t="shared" si="35"/>
        <v>29.825000000000003</v>
      </c>
      <c r="G73" s="879">
        <f>G71-G67</f>
        <v>30.169000000000004</v>
      </c>
      <c r="H73" s="879">
        <f t="shared" ref="H73:P74" si="36">H71-H67</f>
        <v>30.008000000000003</v>
      </c>
      <c r="I73" s="879">
        <f t="shared" si="36"/>
        <v>3.9089999999999998</v>
      </c>
      <c r="J73" s="879">
        <f t="shared" si="36"/>
        <v>30.008000000000003</v>
      </c>
      <c r="K73" s="879">
        <f t="shared" si="36"/>
        <v>29.287500000000001</v>
      </c>
      <c r="L73" s="316">
        <f>L71-L67</f>
        <v>24.305500000000002</v>
      </c>
      <c r="M73" s="316">
        <f t="shared" ref="M73:U74" si="37">M71-M67</f>
        <v>23.628</v>
      </c>
      <c r="N73" s="316">
        <f t="shared" si="37"/>
        <v>6.4150000000000009</v>
      </c>
      <c r="O73" s="316">
        <f t="shared" si="37"/>
        <v>23.628</v>
      </c>
      <c r="P73" s="316">
        <f t="shared" si="37"/>
        <v>24.875</v>
      </c>
      <c r="Q73" s="316">
        <f t="shared" si="37"/>
        <v>24.856999999999999</v>
      </c>
      <c r="R73" s="316">
        <f t="shared" si="37"/>
        <v>24.176000000000002</v>
      </c>
      <c r="S73" s="316">
        <f t="shared" si="37"/>
        <v>5.3119999999999994</v>
      </c>
      <c r="T73" s="316">
        <f t="shared" si="37"/>
        <v>24.724000000000004</v>
      </c>
      <c r="U73" s="316">
        <f t="shared" si="37"/>
        <v>24.625</v>
      </c>
      <c r="V73" s="43">
        <f t="shared" ref="V73" si="38">U71-U67</f>
        <v>24.625</v>
      </c>
      <c r="X73" s="144"/>
      <c r="Y73" s="522"/>
      <c r="Z73" s="522"/>
      <c r="AA73" s="522"/>
    </row>
    <row r="74" spans="1:50" ht="33.75" customHeight="1" x14ac:dyDescent="0.25">
      <c r="B74" s="42">
        <f t="shared" ref="B74:J74" si="39">B72-B68</f>
        <v>-93.7358803986711</v>
      </c>
      <c r="C74" s="42">
        <f t="shared" si="39"/>
        <v>-93.523809523809518</v>
      </c>
      <c r="D74" s="42">
        <f t="shared" si="39"/>
        <v>-93.071428571428569</v>
      </c>
      <c r="E74" s="42">
        <f t="shared" si="39"/>
        <v>-98.285714285714278</v>
      </c>
      <c r="F74" s="42">
        <f t="shared" si="39"/>
        <v>-92.624223602484463</v>
      </c>
      <c r="G74" s="705">
        <f t="shared" si="39"/>
        <v>-93.692546583850941</v>
      </c>
      <c r="H74" s="705">
        <f t="shared" si="39"/>
        <v>-93.192546583850941</v>
      </c>
      <c r="I74" s="705">
        <f>I72-I68</f>
        <v>-93.071428571428569</v>
      </c>
      <c r="J74" s="705">
        <f t="shared" si="39"/>
        <v>-93.192546583850941</v>
      </c>
      <c r="K74" s="705">
        <f t="shared" si="36"/>
        <v>-92.976190476190482</v>
      </c>
      <c r="L74" s="42">
        <f t="shared" si="36"/>
        <v>-93.843629343629345</v>
      </c>
      <c r="M74" s="42">
        <f t="shared" si="36"/>
        <v>-93.761904761904745</v>
      </c>
      <c r="N74" s="42">
        <f t="shared" si="36"/>
        <v>-91.642857142857139</v>
      </c>
      <c r="O74" s="42">
        <f t="shared" si="36"/>
        <v>-93.761904761904745</v>
      </c>
      <c r="P74" s="42">
        <f t="shared" si="36"/>
        <v>-104.51680672268908</v>
      </c>
      <c r="Q74" s="42">
        <f t="shared" si="37"/>
        <v>-93.447368421052644</v>
      </c>
      <c r="R74" s="42">
        <f t="shared" si="37"/>
        <v>-93.343629343629345</v>
      </c>
      <c r="S74" s="42">
        <f t="shared" si="37"/>
        <v>-94.857142857142861</v>
      </c>
      <c r="T74" s="42">
        <f t="shared" si="37"/>
        <v>-92.947368421052644</v>
      </c>
      <c r="U74" s="42">
        <f t="shared" si="37"/>
        <v>-92.575187969924798</v>
      </c>
      <c r="V74" s="42">
        <f>U72-U68</f>
        <v>-92.575187969924798</v>
      </c>
      <c r="W74" s="45"/>
      <c r="X74" s="651"/>
      <c r="Y74" s="657"/>
      <c r="Z74" s="657"/>
      <c r="AA74" s="657"/>
      <c r="AB74" s="45"/>
      <c r="AC74" s="45"/>
      <c r="AD74" s="45"/>
      <c r="AE74" s="52"/>
    </row>
    <row r="75" spans="1:50" ht="33.75" customHeight="1" x14ac:dyDescent="0.25">
      <c r="B75" s="576"/>
      <c r="C75" s="576"/>
      <c r="D75" s="576"/>
      <c r="E75" s="576"/>
      <c r="F75" s="576"/>
      <c r="G75" s="576"/>
      <c r="H75" s="576"/>
      <c r="I75" s="576"/>
      <c r="J75" s="576"/>
      <c r="K75" s="576"/>
      <c r="L75" s="576"/>
      <c r="M75" s="576"/>
      <c r="N75" s="576"/>
      <c r="O75" s="576"/>
      <c r="P75" s="576"/>
      <c r="Q75" s="576"/>
      <c r="R75" s="576"/>
      <c r="S75" s="576"/>
      <c r="T75" s="576"/>
      <c r="U75" s="576"/>
      <c r="V75" s="636"/>
    </row>
    <row r="76" spans="1:50" ht="33.75" customHeight="1" x14ac:dyDescent="0.25">
      <c r="A76" s="45"/>
      <c r="B76" s="672"/>
      <c r="C76" s="672"/>
      <c r="D76" s="672"/>
      <c r="E76" s="672"/>
      <c r="F76" s="672"/>
      <c r="G76" s="673"/>
      <c r="H76" s="57"/>
      <c r="I76" s="57"/>
      <c r="J76" s="57"/>
      <c r="K76" s="57"/>
      <c r="L76" s="57"/>
      <c r="M76" s="58"/>
      <c r="N76" s="58"/>
      <c r="O76" s="58"/>
      <c r="P76" s="58"/>
      <c r="Q76" s="58"/>
      <c r="R76" s="58"/>
      <c r="S76" s="58"/>
      <c r="T76" s="58"/>
      <c r="U76" s="58"/>
      <c r="V76" s="58"/>
    </row>
    <row r="77" spans="1:50" ht="33.75" customHeight="1" x14ac:dyDescent="0.25">
      <c r="A77" s="45"/>
      <c r="B77" s="58"/>
      <c r="C77" s="58"/>
      <c r="D77" s="648" t="s">
        <v>132</v>
      </c>
      <c r="E77" s="58"/>
      <c r="F77" s="58"/>
      <c r="G77" s="58"/>
      <c r="H77" s="648" t="s">
        <v>132</v>
      </c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spans="1:5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5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50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8">
    <mergeCell ref="Z16:Z17"/>
    <mergeCell ref="B39:F39"/>
    <mergeCell ref="G39:G40"/>
    <mergeCell ref="M39:Q39"/>
    <mergeCell ref="R39:R40"/>
    <mergeCell ref="B58:F58"/>
    <mergeCell ref="G58:K58"/>
    <mergeCell ref="L58:P58"/>
    <mergeCell ref="Q58:U58"/>
    <mergeCell ref="V58:V59"/>
    <mergeCell ref="A3:C3"/>
    <mergeCell ref="E9:G9"/>
    <mergeCell ref="W9:X9"/>
    <mergeCell ref="O11:P11"/>
    <mergeCell ref="B16:H16"/>
    <mergeCell ref="I16:O16"/>
    <mergeCell ref="P16:T16"/>
    <mergeCell ref="U16:Y16"/>
  </mergeCells>
  <pageMargins left="0.23622047244094488" right="0.23622047244094488" top="0.74803149606299213" bottom="0.74803149606299213" header="0.31496062992125984" footer="0.31496062992125984"/>
  <pageSetup paperSize="9" scale="19" fitToWidth="0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O51"/>
  <sheetViews>
    <sheetView view="pageBreakPreview" zoomScale="32" zoomScaleNormal="32" zoomScaleSheetLayoutView="32" zoomScalePageLayoutView="55" workbookViewId="0">
      <selection activeCell="P56" sqref="P56"/>
    </sheetView>
  </sheetViews>
  <sheetFormatPr baseColWidth="10" defaultRowHeight="30" x14ac:dyDescent="0.25"/>
  <cols>
    <col min="1" max="1" width="13.7109375" bestFit="1" customWidth="1"/>
    <col min="2" max="2" width="33.140625" style="100" bestFit="1" customWidth="1"/>
    <col min="3" max="3" width="18.5703125" style="100" customWidth="1"/>
    <col min="4" max="4" width="15.7109375" style="100" bestFit="1" customWidth="1"/>
    <col min="5" max="5" width="14.28515625" style="100" customWidth="1"/>
    <col min="6" max="6" width="15.7109375" style="100" bestFit="1" customWidth="1"/>
    <col min="7" max="7" width="17.85546875" style="100" customWidth="1"/>
    <col min="8" max="8" width="20.42578125" style="100" customWidth="1"/>
    <col min="9" max="9" width="30.5703125" style="100" customWidth="1"/>
    <col min="10" max="10" width="17.7109375" style="100" customWidth="1"/>
    <col min="11" max="11" width="33" style="100" customWidth="1"/>
    <col min="12" max="15" width="14.28515625" style="100" customWidth="1"/>
    <col min="16" max="16" width="20.140625" style="100" customWidth="1"/>
    <col min="17" max="17" width="20.42578125" style="100" customWidth="1"/>
    <col min="18" max="18" width="16.85546875" style="100" customWidth="1"/>
    <col min="19" max="19" width="14.28515625" style="100" customWidth="1"/>
    <col min="20" max="22" width="15.7109375" style="100" bestFit="1" customWidth="1"/>
    <col min="23" max="23" width="17.5703125" style="100" customWidth="1"/>
    <col min="24" max="24" width="21.42578125" style="100" customWidth="1"/>
    <col min="25" max="25" width="15.7109375" style="100" bestFit="1" customWidth="1"/>
    <col min="26" max="26" width="15.7109375" bestFit="1" customWidth="1"/>
    <col min="27" max="27" width="21.28515625" bestFit="1" customWidth="1"/>
    <col min="28" max="28" width="31.85546875" customWidth="1"/>
    <col min="29" max="29" width="16.28515625" bestFit="1" customWidth="1"/>
    <col min="30" max="30" width="35.5703125" customWidth="1"/>
    <col min="31" max="31" width="20" customWidth="1"/>
    <col min="32" max="32" width="20.42578125" customWidth="1"/>
  </cols>
  <sheetData>
    <row r="1" spans="1:33" ht="39.75" customHeight="1" x14ac:dyDescent="0.25">
      <c r="A1" s="782"/>
      <c r="B1" s="1004"/>
      <c r="C1" s="1017" t="s">
        <v>36</v>
      </c>
      <c r="D1" s="1017"/>
      <c r="E1" s="1017"/>
      <c r="F1" s="1017"/>
      <c r="G1" s="1017"/>
      <c r="H1" s="1017"/>
      <c r="I1" s="1017"/>
      <c r="J1" s="1017"/>
      <c r="K1" s="1017"/>
      <c r="L1" s="1017"/>
      <c r="M1" s="1018"/>
      <c r="N1" s="1006" t="s">
        <v>37</v>
      </c>
      <c r="O1" s="1007"/>
      <c r="P1" s="1007"/>
      <c r="Q1" s="1007"/>
      <c r="R1" s="1008"/>
      <c r="S1" s="1046" t="s">
        <v>115</v>
      </c>
      <c r="T1" s="1040"/>
      <c r="U1" s="1040"/>
      <c r="V1" s="1040"/>
      <c r="W1" s="1041"/>
      <c r="X1" s="1040" t="s">
        <v>116</v>
      </c>
      <c r="Y1" s="1040"/>
      <c r="Z1" s="1040"/>
      <c r="AA1" s="1041"/>
    </row>
    <row r="2" spans="1:33" ht="39.75" customHeight="1" x14ac:dyDescent="0.25">
      <c r="A2" s="783"/>
      <c r="B2" s="1005"/>
      <c r="C2" s="1019" t="s">
        <v>38</v>
      </c>
      <c r="D2" s="1019"/>
      <c r="E2" s="1019"/>
      <c r="F2" s="1019"/>
      <c r="G2" s="1019"/>
      <c r="H2" s="1019"/>
      <c r="I2" s="1019"/>
      <c r="J2" s="1019"/>
      <c r="K2" s="1019"/>
      <c r="L2" s="1019"/>
      <c r="M2" s="1020"/>
      <c r="N2" s="1009" t="s">
        <v>39</v>
      </c>
      <c r="O2" s="1010"/>
      <c r="P2" s="1010"/>
      <c r="Q2" s="1010"/>
      <c r="R2" s="1011"/>
      <c r="S2" s="1047"/>
      <c r="T2" s="1042"/>
      <c r="U2" s="1042"/>
      <c r="V2" s="1042"/>
      <c r="W2" s="1043"/>
      <c r="X2" s="1042"/>
      <c r="Y2" s="1042"/>
      <c r="Z2" s="1042"/>
      <c r="AA2" s="1043"/>
    </row>
    <row r="3" spans="1:33" ht="39.75" customHeight="1" thickBot="1" x14ac:dyDescent="0.3">
      <c r="A3" s="783"/>
      <c r="B3" s="1005"/>
      <c r="C3" s="1015"/>
      <c r="D3" s="1015"/>
      <c r="E3" s="1015"/>
      <c r="F3" s="1015"/>
      <c r="G3" s="1015"/>
      <c r="H3" s="1015"/>
      <c r="I3" s="1015"/>
      <c r="J3" s="1015"/>
      <c r="K3" s="1015"/>
      <c r="L3" s="1015"/>
      <c r="M3" s="1021"/>
      <c r="N3" s="1012" t="s">
        <v>40</v>
      </c>
      <c r="O3" s="1013"/>
      <c r="P3" s="1013"/>
      <c r="Q3" s="1013"/>
      <c r="R3" s="1014"/>
      <c r="S3" s="1047"/>
      <c r="T3" s="1042"/>
      <c r="U3" s="1042"/>
      <c r="V3" s="1042"/>
      <c r="W3" s="1043"/>
      <c r="X3" s="1042"/>
      <c r="Y3" s="1042"/>
      <c r="Z3" s="1042"/>
      <c r="AA3" s="1043"/>
    </row>
    <row r="4" spans="1:33" ht="39.75" customHeight="1" x14ac:dyDescent="0.25">
      <c r="A4" s="783"/>
      <c r="B4" s="784"/>
      <c r="C4" s="101"/>
      <c r="D4" s="101"/>
      <c r="E4" s="101"/>
      <c r="F4" s="101"/>
      <c r="G4" s="101"/>
      <c r="H4" s="101"/>
      <c r="I4" s="101"/>
      <c r="J4" s="101"/>
      <c r="K4" s="101"/>
      <c r="L4" s="101"/>
      <c r="M4" s="101"/>
      <c r="N4" s="417"/>
      <c r="O4" s="417"/>
      <c r="P4" s="417"/>
      <c r="Q4" s="417"/>
      <c r="R4" s="417"/>
      <c r="S4" s="1047"/>
      <c r="T4" s="1042"/>
      <c r="U4" s="1042"/>
      <c r="V4" s="1042"/>
      <c r="W4" s="1043"/>
      <c r="X4" s="1042"/>
      <c r="Y4" s="1042"/>
      <c r="Z4" s="1042"/>
      <c r="AA4" s="1043"/>
    </row>
    <row r="5" spans="1:33" ht="39.75" customHeight="1" x14ac:dyDescent="0.25">
      <c r="A5" s="783"/>
      <c r="B5" s="785" t="s">
        <v>41</v>
      </c>
      <c r="C5" s="1015">
        <v>1</v>
      </c>
      <c r="D5" s="1015"/>
      <c r="E5" s="377"/>
      <c r="F5" s="377"/>
      <c r="G5" s="377" t="s">
        <v>42</v>
      </c>
      <c r="H5" s="1016" t="s">
        <v>51</v>
      </c>
      <c r="I5" s="1016"/>
      <c r="J5" s="303"/>
      <c r="K5" s="303"/>
      <c r="L5" s="303"/>
      <c r="M5" s="304"/>
      <c r="N5" s="377" t="s">
        <v>43</v>
      </c>
      <c r="O5" s="776">
        <v>56</v>
      </c>
      <c r="P5" s="777"/>
      <c r="S5" s="1047"/>
      <c r="T5" s="1042"/>
      <c r="U5" s="1042"/>
      <c r="V5" s="1042"/>
      <c r="W5" s="1043"/>
      <c r="X5" s="1042"/>
      <c r="Y5" s="1042"/>
      <c r="Z5" s="1042"/>
      <c r="AA5" s="1043"/>
    </row>
    <row r="6" spans="1:33" ht="39.75" customHeight="1" thickBot="1" x14ac:dyDescent="0.3">
      <c r="A6" s="783"/>
      <c r="B6" s="785"/>
      <c r="C6" s="377"/>
      <c r="D6" s="377"/>
      <c r="E6" s="377"/>
      <c r="F6" s="377"/>
      <c r="G6" s="377"/>
      <c r="H6" s="377"/>
      <c r="I6" s="377"/>
      <c r="J6" s="377"/>
      <c r="K6" s="377"/>
      <c r="L6" s="377"/>
      <c r="M6" s="377"/>
      <c r="N6" s="377"/>
      <c r="O6" s="377"/>
      <c r="P6" s="377"/>
      <c r="Q6" s="377"/>
      <c r="R6" s="377"/>
      <c r="S6" s="1048"/>
      <c r="T6" s="1044"/>
      <c r="U6" s="1044"/>
      <c r="V6" s="1044"/>
      <c r="W6" s="1045"/>
      <c r="X6" s="1044"/>
      <c r="Y6" s="1044"/>
      <c r="Z6" s="1044"/>
      <c r="AA6" s="1045"/>
    </row>
    <row r="7" spans="1:33" ht="39.75" customHeight="1" x14ac:dyDescent="0.25">
      <c r="A7" s="783"/>
      <c r="B7" s="786" t="s">
        <v>44</v>
      </c>
      <c r="C7" s="1022" t="s">
        <v>2</v>
      </c>
      <c r="D7" s="1022"/>
      <c r="E7" s="305"/>
      <c r="F7" s="305"/>
      <c r="G7" s="377" t="s">
        <v>45</v>
      </c>
      <c r="H7" s="1023">
        <v>45721</v>
      </c>
      <c r="I7" s="1016"/>
      <c r="J7" s="1016"/>
      <c r="K7" s="1016"/>
      <c r="L7" s="303"/>
      <c r="M7" s="1025" t="s">
        <v>46</v>
      </c>
      <c r="N7" s="1025"/>
      <c r="O7" s="1025"/>
      <c r="P7" s="1024" t="s">
        <v>121</v>
      </c>
      <c r="Q7" s="1024"/>
      <c r="R7" s="1024"/>
      <c r="S7" s="1024"/>
      <c r="T7" s="306"/>
      <c r="U7" s="417"/>
      <c r="V7" s="417"/>
      <c r="W7" s="417"/>
      <c r="X7" s="417"/>
      <c r="Y7" s="417"/>
    </row>
    <row r="8" spans="1:33" ht="39.75" customHeight="1" thickBot="1" x14ac:dyDescent="0.3">
      <c r="A8" s="787"/>
      <c r="B8" s="788"/>
      <c r="C8" s="377"/>
      <c r="D8" s="377"/>
      <c r="E8" s="377"/>
      <c r="F8" s="377"/>
      <c r="G8" s="377"/>
      <c r="H8" s="377"/>
      <c r="I8" s="377"/>
      <c r="J8" s="377"/>
      <c r="K8" s="377"/>
      <c r="L8" s="377"/>
      <c r="M8" s="377"/>
      <c r="N8" s="377"/>
      <c r="O8" s="377"/>
      <c r="P8" s="377"/>
      <c r="Q8" s="377"/>
      <c r="R8" s="377"/>
      <c r="S8" s="377"/>
      <c r="T8" s="377"/>
      <c r="U8" s="417"/>
      <c r="V8" s="417"/>
      <c r="W8" s="417"/>
      <c r="X8" s="417"/>
      <c r="Y8" s="417"/>
    </row>
    <row r="9" spans="1:33" ht="39.75" customHeight="1" thickBot="1" x14ac:dyDescent="0.3">
      <c r="A9" s="1059" t="s">
        <v>47</v>
      </c>
      <c r="B9" s="1060"/>
      <c r="C9" s="1031" t="s">
        <v>8</v>
      </c>
      <c r="D9" s="1026"/>
      <c r="E9" s="1026"/>
      <c r="F9" s="1026"/>
      <c r="G9" s="1026"/>
      <c r="H9" s="1027"/>
      <c r="I9" s="1032" t="s">
        <v>109</v>
      </c>
      <c r="J9" s="1031" t="s">
        <v>30</v>
      </c>
      <c r="K9" s="1026"/>
      <c r="L9" s="1026"/>
      <c r="M9" s="1026"/>
      <c r="N9" s="1026"/>
      <c r="O9" s="1027"/>
      <c r="P9" s="1034" t="s">
        <v>109</v>
      </c>
      <c r="Q9" s="1026" t="s">
        <v>29</v>
      </c>
      <c r="R9" s="1026"/>
      <c r="S9" s="1026"/>
      <c r="T9" s="1026"/>
      <c r="U9" s="1027"/>
      <c r="V9" s="1031" t="s">
        <v>31</v>
      </c>
      <c r="W9" s="1026"/>
      <c r="X9" s="1026"/>
      <c r="Y9" s="1026"/>
      <c r="Z9" s="1027"/>
      <c r="AA9" s="410"/>
    </row>
    <row r="10" spans="1:33" ht="39.75" customHeight="1" thickBot="1" x14ac:dyDescent="0.3">
      <c r="A10" s="1051" t="s">
        <v>48</v>
      </c>
      <c r="B10" s="1058"/>
      <c r="C10" s="867" t="s">
        <v>100</v>
      </c>
      <c r="D10" s="242">
        <v>1</v>
      </c>
      <c r="E10" s="242">
        <v>2</v>
      </c>
      <c r="F10" s="242">
        <v>3</v>
      </c>
      <c r="G10" s="242">
        <v>4</v>
      </c>
      <c r="H10" s="714">
        <v>5</v>
      </c>
      <c r="I10" s="1033"/>
      <c r="J10" s="535" t="s">
        <v>100</v>
      </c>
      <c r="K10" s="164">
        <v>1</v>
      </c>
      <c r="L10" s="164">
        <v>2</v>
      </c>
      <c r="M10" s="164">
        <v>3</v>
      </c>
      <c r="N10" s="164">
        <v>4</v>
      </c>
      <c r="O10" s="165">
        <v>5</v>
      </c>
      <c r="P10" s="1035"/>
      <c r="Q10" s="245">
        <v>1</v>
      </c>
      <c r="R10" s="242">
        <v>2</v>
      </c>
      <c r="S10" s="242">
        <v>3</v>
      </c>
      <c r="T10" s="242">
        <v>4</v>
      </c>
      <c r="U10" s="243">
        <v>5</v>
      </c>
      <c r="V10" s="406">
        <v>1</v>
      </c>
      <c r="W10" s="407">
        <v>2</v>
      </c>
      <c r="X10" s="407">
        <v>3</v>
      </c>
      <c r="Y10" s="407">
        <v>4</v>
      </c>
      <c r="Z10" s="408">
        <v>5</v>
      </c>
      <c r="AA10" s="409" t="s">
        <v>9</v>
      </c>
      <c r="AB10" s="391"/>
    </row>
    <row r="11" spans="1:33" ht="39.75" customHeight="1" x14ac:dyDescent="0.25">
      <c r="A11" s="450" t="s">
        <v>130</v>
      </c>
      <c r="B11" s="830">
        <v>45721</v>
      </c>
      <c r="C11" s="873">
        <f ca="1">INDIRECT("'SEM " &amp; $O$5 &amp; "'!" &amp; ADDRESS(18, COLUMN(B18)))</f>
        <v>296.89999999999998</v>
      </c>
      <c r="D11" s="871">
        <f t="shared" ref="D11:Z11" ca="1" si="0">INDIRECT("'SEM " &amp; $O$5 &amp; "'!" &amp; ADDRESS(18, COLUMN(C18)))</f>
        <v>13.6</v>
      </c>
      <c r="E11" s="871">
        <f t="shared" ca="1" si="0"/>
        <v>14.3</v>
      </c>
      <c r="F11" s="871">
        <f t="shared" ca="1" si="0"/>
        <v>2</v>
      </c>
      <c r="G11" s="871">
        <f t="shared" ca="1" si="0"/>
        <v>14.2</v>
      </c>
      <c r="H11" s="872">
        <f t="shared" ca="1" si="0"/>
        <v>14.3</v>
      </c>
      <c r="I11" s="866">
        <f t="shared" ca="1" si="0"/>
        <v>355.3</v>
      </c>
      <c r="J11" s="745">
        <f t="shared" ca="1" si="0"/>
        <v>298.2</v>
      </c>
      <c r="K11" s="739">
        <f t="shared" ca="1" si="0"/>
        <v>14</v>
      </c>
      <c r="L11" s="739">
        <f t="shared" ca="1" si="0"/>
        <v>14.2</v>
      </c>
      <c r="M11" s="739">
        <f t="shared" ca="1" si="0"/>
        <v>1.9</v>
      </c>
      <c r="N11" s="739">
        <f t="shared" ca="1" si="0"/>
        <v>14.3</v>
      </c>
      <c r="O11" s="746">
        <f t="shared" ca="1" si="0"/>
        <v>14.4</v>
      </c>
      <c r="P11" s="753">
        <f t="shared" ca="1" si="0"/>
        <v>356.99999999999994</v>
      </c>
      <c r="Q11" s="747">
        <f t="shared" ca="1" si="0"/>
        <v>72</v>
      </c>
      <c r="R11" s="459">
        <f t="shared" ca="1" si="0"/>
        <v>72.599999999999994</v>
      </c>
      <c r="S11" s="739">
        <f t="shared" ca="1" si="0"/>
        <v>15.7</v>
      </c>
      <c r="T11" s="739">
        <f t="shared" ca="1" si="0"/>
        <v>71.8</v>
      </c>
      <c r="U11" s="746">
        <f t="shared" ca="1" si="0"/>
        <v>72.599999999999994</v>
      </c>
      <c r="V11" s="748">
        <f t="shared" ca="1" si="0"/>
        <v>74</v>
      </c>
      <c r="W11" s="739">
        <f t="shared" ca="1" si="0"/>
        <v>76.400000000000006</v>
      </c>
      <c r="X11" s="459">
        <f t="shared" ca="1" si="0"/>
        <v>16.7</v>
      </c>
      <c r="Y11" s="459">
        <f t="shared" ca="1" si="0"/>
        <v>75.599999999999994</v>
      </c>
      <c r="Z11" s="746">
        <f t="shared" ca="1" si="0"/>
        <v>76.599999999999994</v>
      </c>
      <c r="AA11" s="580">
        <f ca="1">SUM(C11:Z11)-I11-P11</f>
        <v>1336.3</v>
      </c>
      <c r="AB11" s="780"/>
      <c r="AC11" s="403"/>
      <c r="AD11" s="244"/>
      <c r="AE11" s="244"/>
      <c r="AF11" s="244"/>
      <c r="AG11" s="244"/>
    </row>
    <row r="12" spans="1:33" ht="39.75" customHeight="1" x14ac:dyDescent="0.25">
      <c r="A12" s="450" t="s">
        <v>124</v>
      </c>
      <c r="B12" s="830">
        <f>B11+1</f>
        <v>45722</v>
      </c>
      <c r="C12" s="279">
        <f t="shared" ref="C12:Z12" ca="1" si="1">INDIRECT("'SEM " &amp; $O$5 &amp; "'!" &amp; ADDRESS(19, COLUMN(B19)))</f>
        <v>296.89999999999998</v>
      </c>
      <c r="D12" s="459">
        <f t="shared" ca="1" si="1"/>
        <v>13.6</v>
      </c>
      <c r="E12" s="459">
        <f t="shared" ca="1" si="1"/>
        <v>14.3</v>
      </c>
      <c r="F12" s="459">
        <f t="shared" ca="1" si="1"/>
        <v>2</v>
      </c>
      <c r="G12" s="459">
        <f t="shared" ca="1" si="1"/>
        <v>14.2</v>
      </c>
      <c r="H12" s="460">
        <f t="shared" ca="1" si="1"/>
        <v>14.3</v>
      </c>
      <c r="I12" s="866">
        <f t="shared" ca="1" si="1"/>
        <v>355.3</v>
      </c>
      <c r="J12" s="745">
        <f t="shared" ca="1" si="1"/>
        <v>298.2</v>
      </c>
      <c r="K12" s="739">
        <f t="shared" ca="1" si="1"/>
        <v>14</v>
      </c>
      <c r="L12" s="739">
        <f t="shared" ca="1" si="1"/>
        <v>14.2</v>
      </c>
      <c r="M12" s="739">
        <f t="shared" ca="1" si="1"/>
        <v>1.9</v>
      </c>
      <c r="N12" s="739">
        <f t="shared" ca="1" si="1"/>
        <v>14.3</v>
      </c>
      <c r="O12" s="746">
        <f t="shared" ca="1" si="1"/>
        <v>14.4</v>
      </c>
      <c r="P12" s="753">
        <f t="shared" ca="1" si="1"/>
        <v>356.99999999999994</v>
      </c>
      <c r="Q12" s="747">
        <f t="shared" ca="1" si="1"/>
        <v>72</v>
      </c>
      <c r="R12" s="459">
        <f t="shared" ca="1" si="1"/>
        <v>72.599999999999994</v>
      </c>
      <c r="S12" s="739">
        <f t="shared" ca="1" si="1"/>
        <v>15.7</v>
      </c>
      <c r="T12" s="739">
        <f t="shared" ca="1" si="1"/>
        <v>71.8</v>
      </c>
      <c r="U12" s="746">
        <f t="shared" ca="1" si="1"/>
        <v>72.599999999999994</v>
      </c>
      <c r="V12" s="748">
        <f t="shared" ca="1" si="1"/>
        <v>74</v>
      </c>
      <c r="W12" s="739">
        <f t="shared" ca="1" si="1"/>
        <v>76.400000000000006</v>
      </c>
      <c r="X12" s="459">
        <f t="shared" ca="1" si="1"/>
        <v>16.7</v>
      </c>
      <c r="Y12" s="459">
        <f t="shared" ca="1" si="1"/>
        <v>75.599999999999994</v>
      </c>
      <c r="Z12" s="746">
        <f t="shared" ca="1" si="1"/>
        <v>76.599999999999994</v>
      </c>
      <c r="AA12" s="582">
        <f ca="1">SUM(C12:Z12)-I12-P12</f>
        <v>1336.3</v>
      </c>
      <c r="AB12" s="780"/>
      <c r="AC12" s="403"/>
      <c r="AD12" s="103"/>
      <c r="AE12" s="103"/>
      <c r="AF12" s="103"/>
      <c r="AG12" s="103"/>
    </row>
    <row r="13" spans="1:33" ht="39.75" customHeight="1" x14ac:dyDescent="0.25">
      <c r="A13" s="450" t="s">
        <v>125</v>
      </c>
      <c r="B13" s="830">
        <f t="shared" ref="B13:B17" si="2">B12+1</f>
        <v>45723</v>
      </c>
      <c r="C13" s="279">
        <f t="shared" ref="C13:Z13" ca="1" si="3">INDIRECT("'SEM " &amp; $O$5 &amp; "'!" &amp; ADDRESS(20, COLUMN(B20)))</f>
        <v>295.10000000000002</v>
      </c>
      <c r="D13" s="459">
        <f t="shared" ca="1" si="3"/>
        <v>13.5</v>
      </c>
      <c r="E13" s="459">
        <f t="shared" ca="1" si="3"/>
        <v>14.2</v>
      </c>
      <c r="F13" s="459">
        <f t="shared" ca="1" si="3"/>
        <v>1.9</v>
      </c>
      <c r="G13" s="459">
        <f t="shared" ca="1" si="3"/>
        <v>14.1</v>
      </c>
      <c r="H13" s="460">
        <f t="shared" ca="1" si="3"/>
        <v>14.3</v>
      </c>
      <c r="I13" s="866">
        <f t="shared" ca="1" si="3"/>
        <v>353.1</v>
      </c>
      <c r="J13" s="745">
        <f t="shared" ca="1" si="3"/>
        <v>296.8</v>
      </c>
      <c r="K13" s="739">
        <f t="shared" ca="1" si="3"/>
        <v>13.7</v>
      </c>
      <c r="L13" s="739">
        <f t="shared" ca="1" si="3"/>
        <v>14.2</v>
      </c>
      <c r="M13" s="739">
        <f t="shared" ca="1" si="3"/>
        <v>1.7</v>
      </c>
      <c r="N13" s="739">
        <f t="shared" ca="1" si="3"/>
        <v>14.3</v>
      </c>
      <c r="O13" s="746">
        <f t="shared" ca="1" si="3"/>
        <v>14.3</v>
      </c>
      <c r="P13" s="753">
        <f t="shared" ca="1" si="3"/>
        <v>355</v>
      </c>
      <c r="Q13" s="747">
        <f t="shared" ca="1" si="3"/>
        <v>72.099999999999994</v>
      </c>
      <c r="R13" s="459">
        <f t="shared" ca="1" si="3"/>
        <v>72.5</v>
      </c>
      <c r="S13" s="739">
        <f t="shared" ca="1" si="3"/>
        <v>16.3</v>
      </c>
      <c r="T13" s="739">
        <f t="shared" ca="1" si="3"/>
        <v>71.7</v>
      </c>
      <c r="U13" s="746">
        <f t="shared" ca="1" si="3"/>
        <v>72.5</v>
      </c>
      <c r="V13" s="748">
        <f t="shared" ca="1" si="3"/>
        <v>73.8</v>
      </c>
      <c r="W13" s="739">
        <f t="shared" ca="1" si="3"/>
        <v>76.599999999999994</v>
      </c>
      <c r="X13" s="459">
        <f t="shared" ca="1" si="3"/>
        <v>16.8</v>
      </c>
      <c r="Y13" s="459">
        <f t="shared" ca="1" si="3"/>
        <v>75.8</v>
      </c>
      <c r="Z13" s="746">
        <f t="shared" ca="1" si="3"/>
        <v>76.5</v>
      </c>
      <c r="AA13" s="582">
        <f t="shared" ref="AA13:AA17" ca="1" si="4">SUM(C13:Z13)-I13-P13</f>
        <v>1332.6999999999998</v>
      </c>
      <c r="AB13" s="780"/>
      <c r="AC13" s="403"/>
      <c r="AD13" s="102"/>
      <c r="AE13" s="102"/>
      <c r="AF13" s="102"/>
      <c r="AG13" s="143"/>
    </row>
    <row r="14" spans="1:33" ht="39.75" customHeight="1" x14ac:dyDescent="0.25">
      <c r="A14" s="450" t="s">
        <v>126</v>
      </c>
      <c r="B14" s="830">
        <f t="shared" si="2"/>
        <v>45724</v>
      </c>
      <c r="C14" s="279">
        <f t="shared" ref="C14:Z14" ca="1" si="5">INDIRECT("'SEM " &amp; $O$5 &amp; "'!" &amp; ADDRESS(21, COLUMN(B21)))</f>
        <v>295.10000000000002</v>
      </c>
      <c r="D14" s="459">
        <f t="shared" ca="1" si="5"/>
        <v>13.5</v>
      </c>
      <c r="E14" s="459">
        <f t="shared" ca="1" si="5"/>
        <v>14.2</v>
      </c>
      <c r="F14" s="459">
        <f t="shared" ca="1" si="5"/>
        <v>1.9</v>
      </c>
      <c r="G14" s="459">
        <f t="shared" ca="1" si="5"/>
        <v>14.1</v>
      </c>
      <c r="H14" s="460">
        <f t="shared" ca="1" si="5"/>
        <v>14.3</v>
      </c>
      <c r="I14" s="866">
        <f t="shared" ca="1" si="5"/>
        <v>353.1</v>
      </c>
      <c r="J14" s="745">
        <f t="shared" ca="1" si="5"/>
        <v>296.8</v>
      </c>
      <c r="K14" s="739">
        <f t="shared" ca="1" si="5"/>
        <v>13.8</v>
      </c>
      <c r="L14" s="739">
        <f t="shared" ca="1" si="5"/>
        <v>14.2</v>
      </c>
      <c r="M14" s="739">
        <f t="shared" ca="1" si="5"/>
        <v>1.7</v>
      </c>
      <c r="N14" s="739">
        <f t="shared" ca="1" si="5"/>
        <v>14.3</v>
      </c>
      <c r="O14" s="746">
        <f t="shared" ca="1" si="5"/>
        <v>14.4</v>
      </c>
      <c r="P14" s="753">
        <f t="shared" ca="1" si="5"/>
        <v>355.2</v>
      </c>
      <c r="Q14" s="747">
        <f t="shared" ca="1" si="5"/>
        <v>72.099999999999994</v>
      </c>
      <c r="R14" s="459">
        <f t="shared" ca="1" si="5"/>
        <v>72.5</v>
      </c>
      <c r="S14" s="739">
        <f t="shared" ca="1" si="5"/>
        <v>16.3</v>
      </c>
      <c r="T14" s="739">
        <f t="shared" ca="1" si="5"/>
        <v>71.7</v>
      </c>
      <c r="U14" s="746">
        <f t="shared" ca="1" si="5"/>
        <v>72.5</v>
      </c>
      <c r="V14" s="748">
        <f t="shared" ca="1" si="5"/>
        <v>73.900000000000006</v>
      </c>
      <c r="W14" s="739">
        <f t="shared" ca="1" si="5"/>
        <v>76.3</v>
      </c>
      <c r="X14" s="459">
        <f t="shared" ca="1" si="5"/>
        <v>16.8</v>
      </c>
      <c r="Y14" s="459">
        <f t="shared" ca="1" si="5"/>
        <v>75.5</v>
      </c>
      <c r="Z14" s="746">
        <f t="shared" ca="1" si="5"/>
        <v>76.5</v>
      </c>
      <c r="AA14" s="582">
        <f ca="1">SUM(C14:Z14)-I14-P14</f>
        <v>1332.3999999999999</v>
      </c>
      <c r="AB14" s="780"/>
      <c r="AC14" s="403"/>
      <c r="AD14" s="102"/>
      <c r="AE14" s="102"/>
      <c r="AF14" s="102"/>
      <c r="AG14" s="143"/>
    </row>
    <row r="15" spans="1:33" ht="39.75" customHeight="1" x14ac:dyDescent="0.25">
      <c r="A15" s="450" t="s">
        <v>127</v>
      </c>
      <c r="B15" s="830">
        <f t="shared" si="2"/>
        <v>45725</v>
      </c>
      <c r="C15" s="279">
        <f t="shared" ref="C15:Z15" ca="1" si="6">INDIRECT("'SEM " &amp; $O$5 &amp; "'!" &amp; ADDRESS(22, COLUMN(B22)))</f>
        <v>295.10000000000002</v>
      </c>
      <c r="D15" s="459">
        <f t="shared" ca="1" si="6"/>
        <v>13.5</v>
      </c>
      <c r="E15" s="459">
        <f t="shared" ca="1" si="6"/>
        <v>14.2</v>
      </c>
      <c r="F15" s="459">
        <f t="shared" ca="1" si="6"/>
        <v>1.9</v>
      </c>
      <c r="G15" s="459">
        <f t="shared" ca="1" si="6"/>
        <v>14.1</v>
      </c>
      <c r="H15" s="460">
        <f t="shared" ca="1" si="6"/>
        <v>14.3</v>
      </c>
      <c r="I15" s="866">
        <f t="shared" ca="1" si="6"/>
        <v>353.1</v>
      </c>
      <c r="J15" s="745">
        <f t="shared" ca="1" si="6"/>
        <v>296.8</v>
      </c>
      <c r="K15" s="739">
        <f t="shared" ca="1" si="6"/>
        <v>13.8</v>
      </c>
      <c r="L15" s="739">
        <f t="shared" ca="1" si="6"/>
        <v>14.2</v>
      </c>
      <c r="M15" s="739">
        <f t="shared" ca="1" si="6"/>
        <v>1.7</v>
      </c>
      <c r="N15" s="739">
        <f t="shared" ca="1" si="6"/>
        <v>14.3</v>
      </c>
      <c r="O15" s="746">
        <f t="shared" ca="1" si="6"/>
        <v>14.4</v>
      </c>
      <c r="P15" s="753">
        <f t="shared" ca="1" si="6"/>
        <v>355.2</v>
      </c>
      <c r="Q15" s="747">
        <f t="shared" ca="1" si="6"/>
        <v>72.099999999999994</v>
      </c>
      <c r="R15" s="459">
        <f t="shared" ca="1" si="6"/>
        <v>72.5</v>
      </c>
      <c r="S15" s="739">
        <f t="shared" ca="1" si="6"/>
        <v>16.399999999999999</v>
      </c>
      <c r="T15" s="739">
        <f t="shared" ca="1" si="6"/>
        <v>71.7</v>
      </c>
      <c r="U15" s="746">
        <f t="shared" ca="1" si="6"/>
        <v>72.5</v>
      </c>
      <c r="V15" s="748">
        <f t="shared" ca="1" si="6"/>
        <v>73.900000000000006</v>
      </c>
      <c r="W15" s="739">
        <f t="shared" ca="1" si="6"/>
        <v>76.3</v>
      </c>
      <c r="X15" s="459">
        <f t="shared" ca="1" si="6"/>
        <v>16.8</v>
      </c>
      <c r="Y15" s="459">
        <f t="shared" ca="1" si="6"/>
        <v>75.2</v>
      </c>
      <c r="Z15" s="746">
        <f t="shared" ca="1" si="6"/>
        <v>76.5</v>
      </c>
      <c r="AA15" s="582">
        <f t="shared" ca="1" si="4"/>
        <v>1332.2</v>
      </c>
      <c r="AB15" s="780"/>
      <c r="AC15" s="403"/>
      <c r="AD15" s="263"/>
      <c r="AE15" s="102"/>
      <c r="AF15" s="263"/>
      <c r="AG15" s="143"/>
    </row>
    <row r="16" spans="1:33" ht="39.75" customHeight="1" x14ac:dyDescent="0.25">
      <c r="A16" s="450" t="s">
        <v>128</v>
      </c>
      <c r="B16" s="830">
        <f t="shared" si="2"/>
        <v>45726</v>
      </c>
      <c r="C16" s="279">
        <f t="shared" ref="C16:Z16" ca="1" si="7">INDIRECT("'SEM " &amp; $O$5 &amp; "'!" &amp; ADDRESS(23, COLUMN(B23)))</f>
        <v>295.10000000000002</v>
      </c>
      <c r="D16" s="459">
        <f t="shared" ca="1" si="7"/>
        <v>13.5</v>
      </c>
      <c r="E16" s="459">
        <f t="shared" ca="1" si="7"/>
        <v>14.2</v>
      </c>
      <c r="F16" s="459">
        <f t="shared" ca="1" si="7"/>
        <v>1.9</v>
      </c>
      <c r="G16" s="459">
        <f t="shared" ca="1" si="7"/>
        <v>14.1</v>
      </c>
      <c r="H16" s="460">
        <f t="shared" ca="1" si="7"/>
        <v>14.3</v>
      </c>
      <c r="I16" s="866">
        <f t="shared" ca="1" si="7"/>
        <v>353.1</v>
      </c>
      <c r="J16" s="745">
        <f t="shared" ca="1" si="7"/>
        <v>296.8</v>
      </c>
      <c r="K16" s="739">
        <f t="shared" ca="1" si="7"/>
        <v>13.8</v>
      </c>
      <c r="L16" s="739">
        <f t="shared" ca="1" si="7"/>
        <v>14.2</v>
      </c>
      <c r="M16" s="739">
        <f t="shared" ca="1" si="7"/>
        <v>1.7</v>
      </c>
      <c r="N16" s="739">
        <f t="shared" ca="1" si="7"/>
        <v>14.3</v>
      </c>
      <c r="O16" s="746">
        <f t="shared" ca="1" si="7"/>
        <v>14.4</v>
      </c>
      <c r="P16" s="753">
        <f t="shared" ca="1" si="7"/>
        <v>355.2</v>
      </c>
      <c r="Q16" s="747">
        <f t="shared" ca="1" si="7"/>
        <v>72.099999999999994</v>
      </c>
      <c r="R16" s="459">
        <f t="shared" ca="1" si="7"/>
        <v>72.5</v>
      </c>
      <c r="S16" s="739">
        <f t="shared" ca="1" si="7"/>
        <v>16.399999999999999</v>
      </c>
      <c r="T16" s="739">
        <f t="shared" ca="1" si="7"/>
        <v>71.8</v>
      </c>
      <c r="U16" s="746">
        <f t="shared" ca="1" si="7"/>
        <v>72.5</v>
      </c>
      <c r="V16" s="748">
        <f t="shared" ca="1" si="7"/>
        <v>73.900000000000006</v>
      </c>
      <c r="W16" s="739">
        <f t="shared" ca="1" si="7"/>
        <v>76.3</v>
      </c>
      <c r="X16" s="459">
        <f t="shared" ca="1" si="7"/>
        <v>16.8</v>
      </c>
      <c r="Y16" s="459">
        <f t="shared" ca="1" si="7"/>
        <v>75.2</v>
      </c>
      <c r="Z16" s="746">
        <f t="shared" ca="1" si="7"/>
        <v>76.5</v>
      </c>
      <c r="AA16" s="582">
        <f t="shared" ca="1" si="4"/>
        <v>1332.3</v>
      </c>
      <c r="AB16" s="780"/>
      <c r="AC16" s="403"/>
      <c r="AD16" s="263"/>
      <c r="AE16" s="102"/>
      <c r="AF16" s="263"/>
      <c r="AG16" s="143"/>
    </row>
    <row r="17" spans="1:33" ht="39.75" customHeight="1" thickBot="1" x14ac:dyDescent="0.3">
      <c r="A17" s="450" t="s">
        <v>129</v>
      </c>
      <c r="B17" s="830">
        <f t="shared" si="2"/>
        <v>45727</v>
      </c>
      <c r="C17" s="37">
        <f t="shared" ref="C17:Z17" ca="1" si="8">INDIRECT("'SEM " &amp; $O$5 &amp; "'!" &amp; ADDRESS(24, COLUMN(B24)))</f>
        <v>295.10000000000002</v>
      </c>
      <c r="D17" s="704">
        <f t="shared" ca="1" si="8"/>
        <v>13.5</v>
      </c>
      <c r="E17" s="704">
        <f t="shared" ca="1" si="8"/>
        <v>14.2</v>
      </c>
      <c r="F17" s="704">
        <f t="shared" ca="1" si="8"/>
        <v>2</v>
      </c>
      <c r="G17" s="704">
        <f t="shared" ca="1" si="8"/>
        <v>14.1</v>
      </c>
      <c r="H17" s="728">
        <f t="shared" ca="1" si="8"/>
        <v>14.3</v>
      </c>
      <c r="I17" s="866">
        <f t="shared" ca="1" si="8"/>
        <v>353.20000000000005</v>
      </c>
      <c r="J17" s="745">
        <f t="shared" ca="1" si="8"/>
        <v>296.8</v>
      </c>
      <c r="K17" s="739">
        <f t="shared" ca="1" si="8"/>
        <v>13.8</v>
      </c>
      <c r="L17" s="739">
        <f t="shared" ca="1" si="8"/>
        <v>14.2</v>
      </c>
      <c r="M17" s="739">
        <f t="shared" ca="1" si="8"/>
        <v>1.8</v>
      </c>
      <c r="N17" s="739">
        <f t="shared" ca="1" si="8"/>
        <v>14.3</v>
      </c>
      <c r="O17" s="746">
        <f t="shared" ca="1" si="8"/>
        <v>14.4</v>
      </c>
      <c r="P17" s="753">
        <f t="shared" ca="1" si="8"/>
        <v>355.3</v>
      </c>
      <c r="Q17" s="747">
        <f t="shared" ca="1" si="8"/>
        <v>72.099999999999994</v>
      </c>
      <c r="R17" s="459">
        <f t="shared" ca="1" si="8"/>
        <v>72.5</v>
      </c>
      <c r="S17" s="739">
        <f t="shared" ca="1" si="8"/>
        <v>16.399999999999999</v>
      </c>
      <c r="T17" s="739">
        <f t="shared" ca="1" si="8"/>
        <v>71.8</v>
      </c>
      <c r="U17" s="746">
        <f t="shared" ca="1" si="8"/>
        <v>72.5</v>
      </c>
      <c r="V17" s="748">
        <f t="shared" ca="1" si="8"/>
        <v>73.900000000000006</v>
      </c>
      <c r="W17" s="739">
        <f t="shared" ca="1" si="8"/>
        <v>76.400000000000006</v>
      </c>
      <c r="X17" s="459">
        <f t="shared" ca="1" si="8"/>
        <v>16.899999999999999</v>
      </c>
      <c r="Y17" s="459">
        <f t="shared" ca="1" si="8"/>
        <v>75.3</v>
      </c>
      <c r="Z17" s="746">
        <f t="shared" ca="1" si="8"/>
        <v>76.599999999999994</v>
      </c>
      <c r="AA17" s="583">
        <f t="shared" ca="1" si="4"/>
        <v>1332.9</v>
      </c>
      <c r="AB17" s="780"/>
      <c r="AC17" s="263"/>
      <c r="AD17" s="263"/>
      <c r="AE17" s="102"/>
      <c r="AF17" s="263"/>
      <c r="AG17" s="143"/>
    </row>
    <row r="18" spans="1:33" ht="39.75" customHeight="1" thickBot="1" x14ac:dyDescent="0.3">
      <c r="A18" s="1053" t="s">
        <v>9</v>
      </c>
      <c r="B18" s="1054"/>
      <c r="C18" s="868">
        <f ca="1">SUM(C11:C17)</f>
        <v>2069.2999999999997</v>
      </c>
      <c r="D18" s="869">
        <f ca="1">SUM(D11:D17)</f>
        <v>94.7</v>
      </c>
      <c r="E18" s="869">
        <f t="shared" ref="E18:Z18" ca="1" si="9">SUM(E11:E17)</f>
        <v>99.600000000000009</v>
      </c>
      <c r="F18" s="869">
        <f ca="1">SUM(F11:F17)</f>
        <v>13.600000000000001</v>
      </c>
      <c r="G18" s="869">
        <f t="shared" ca="1" si="9"/>
        <v>98.899999999999991</v>
      </c>
      <c r="H18" s="870">
        <f t="shared" ca="1" si="9"/>
        <v>100.1</v>
      </c>
      <c r="I18" s="496">
        <f t="shared" ca="1" si="9"/>
        <v>2476.1999999999998</v>
      </c>
      <c r="J18" s="492">
        <f t="shared" ca="1" si="9"/>
        <v>2080.4</v>
      </c>
      <c r="K18" s="757">
        <f t="shared" ca="1" si="9"/>
        <v>96.899999999999991</v>
      </c>
      <c r="L18" s="757">
        <f t="shared" ca="1" si="9"/>
        <v>99.4</v>
      </c>
      <c r="M18" s="757">
        <f t="shared" ca="1" si="9"/>
        <v>12.4</v>
      </c>
      <c r="N18" s="757">
        <f t="shared" ca="1" si="9"/>
        <v>100.1</v>
      </c>
      <c r="O18" s="758">
        <f t="shared" ca="1" si="9"/>
        <v>100.70000000000002</v>
      </c>
      <c r="P18" s="496">
        <f t="shared" ca="1" si="9"/>
        <v>2489.9</v>
      </c>
      <c r="Q18" s="759">
        <f t="shared" ca="1" si="9"/>
        <v>504.5</v>
      </c>
      <c r="R18" s="760">
        <f t="shared" ca="1" si="9"/>
        <v>507.7</v>
      </c>
      <c r="S18" s="760">
        <f t="shared" ca="1" si="9"/>
        <v>113.20000000000002</v>
      </c>
      <c r="T18" s="760">
        <f t="shared" ca="1" si="9"/>
        <v>502.3</v>
      </c>
      <c r="U18" s="760">
        <f t="shared" ca="1" si="9"/>
        <v>507.7</v>
      </c>
      <c r="V18" s="760">
        <f t="shared" ca="1" si="9"/>
        <v>517.4</v>
      </c>
      <c r="W18" s="760">
        <f t="shared" ca="1" si="9"/>
        <v>534.70000000000005</v>
      </c>
      <c r="X18" s="760">
        <f t="shared" ca="1" si="9"/>
        <v>117.5</v>
      </c>
      <c r="Y18" s="760">
        <f t="shared" ca="1" si="9"/>
        <v>528.19999999999993</v>
      </c>
      <c r="Z18" s="761">
        <f t="shared" ca="1" si="9"/>
        <v>535.79999999999995</v>
      </c>
      <c r="AA18" s="762">
        <f ca="1">SUM(AA11:AA17)</f>
        <v>9335.1</v>
      </c>
      <c r="AC18" s="263"/>
      <c r="AD18" s="263"/>
      <c r="AE18" s="102"/>
      <c r="AF18" s="263"/>
      <c r="AG18" s="143"/>
    </row>
    <row r="19" spans="1:33" ht="39.75" customHeight="1" thickBot="1" x14ac:dyDescent="0.3">
      <c r="A19" s="1049" t="s">
        <v>52</v>
      </c>
      <c r="B19" s="1055"/>
      <c r="C19" s="102"/>
      <c r="D19" s="803">
        <f ca="1">INDIRECT("'SEM " &amp; $O$5 &amp; "'!" &amp; ADDRESS(27, COLUMN(C27)))</f>
        <v>523</v>
      </c>
      <c r="E19" s="770">
        <f t="shared" ref="E19:Z19" ca="1" si="10">INDIRECT("'SEM " &amp; $O$5 &amp; "'!" &amp; ADDRESS(27, COLUMN(D27)))</f>
        <v>554</v>
      </c>
      <c r="F19" s="770">
        <f t="shared" ca="1" si="10"/>
        <v>76</v>
      </c>
      <c r="G19" s="770">
        <f t="shared" ca="1" si="10"/>
        <v>551</v>
      </c>
      <c r="H19" s="771">
        <f t="shared" ca="1" si="10"/>
        <v>556</v>
      </c>
      <c r="I19" s="106"/>
      <c r="J19" s="106"/>
      <c r="K19" s="769">
        <f t="shared" ca="1" si="10"/>
        <v>540</v>
      </c>
      <c r="L19" s="770">
        <f t="shared" ca="1" si="10"/>
        <v>553</v>
      </c>
      <c r="M19" s="770">
        <f t="shared" ca="1" si="10"/>
        <v>66</v>
      </c>
      <c r="N19" s="770">
        <f t="shared" ca="1" si="10"/>
        <v>558</v>
      </c>
      <c r="O19" s="771">
        <f t="shared" ca="1" si="10"/>
        <v>560</v>
      </c>
      <c r="P19" s="106"/>
      <c r="Q19" s="769">
        <f t="shared" ca="1" si="10"/>
        <v>468</v>
      </c>
      <c r="R19" s="770">
        <f t="shared" ca="1" si="10"/>
        <v>471</v>
      </c>
      <c r="S19" s="770">
        <f t="shared" ca="1" si="10"/>
        <v>105</v>
      </c>
      <c r="T19" s="770">
        <f t="shared" ca="1" si="10"/>
        <v>466</v>
      </c>
      <c r="U19" s="770">
        <f t="shared" ca="1" si="10"/>
        <v>471</v>
      </c>
      <c r="V19" s="770">
        <f t="shared" ca="1" si="10"/>
        <v>480</v>
      </c>
      <c r="W19" s="770">
        <f t="shared" ca="1" si="10"/>
        <v>496</v>
      </c>
      <c r="X19" s="770">
        <f t="shared" ca="1" si="10"/>
        <v>109</v>
      </c>
      <c r="Y19" s="770">
        <f t="shared" ca="1" si="10"/>
        <v>490</v>
      </c>
      <c r="Z19" s="771">
        <f t="shared" ca="1" si="10"/>
        <v>497</v>
      </c>
      <c r="AA19" s="802">
        <f ca="1">SUM(C19:Z19)</f>
        <v>8590</v>
      </c>
      <c r="AC19" s="263"/>
      <c r="AD19" s="263"/>
      <c r="AE19" s="102"/>
      <c r="AF19" s="263"/>
      <c r="AG19" s="143"/>
    </row>
    <row r="20" spans="1:33" ht="39.75" customHeight="1" x14ac:dyDescent="0.25">
      <c r="A20" s="1061"/>
      <c r="B20" s="1061"/>
      <c r="C20" s="1030" t="s">
        <v>101</v>
      </c>
      <c r="D20" s="1030"/>
      <c r="E20" s="1030"/>
      <c r="F20" s="1030"/>
      <c r="G20" s="1030"/>
      <c r="H20" s="1030"/>
      <c r="I20" s="1030"/>
      <c r="J20" s="1030"/>
      <c r="K20" s="1030"/>
      <c r="L20" s="1030"/>
      <c r="M20" s="1030"/>
      <c r="N20" s="1030"/>
      <c r="O20" s="1030"/>
      <c r="P20" s="1030"/>
      <c r="Q20" s="1030"/>
      <c r="R20" s="1030"/>
      <c r="S20" s="1030"/>
      <c r="T20" s="1030"/>
      <c r="U20" s="1030"/>
      <c r="V20" s="1030"/>
      <c r="W20" s="1030"/>
      <c r="X20" s="1030"/>
      <c r="Y20" s="463"/>
      <c r="Z20" s="462"/>
      <c r="AA20" s="462"/>
      <c r="AB20" s="102"/>
      <c r="AC20" s="102"/>
      <c r="AD20" s="102"/>
      <c r="AE20" s="102"/>
    </row>
    <row r="21" spans="1:33" ht="39.75" customHeight="1" x14ac:dyDescent="0.25">
      <c r="A21" s="1062"/>
      <c r="B21" s="1062"/>
      <c r="C21" s="1030"/>
      <c r="D21" s="1030"/>
      <c r="E21" s="1030"/>
      <c r="F21" s="1030"/>
      <c r="G21" s="1030"/>
      <c r="H21" s="1030"/>
      <c r="I21" s="1030"/>
      <c r="J21" s="1030"/>
      <c r="K21" s="1030"/>
      <c r="L21" s="1030"/>
      <c r="M21" s="1030"/>
      <c r="N21" s="1030"/>
      <c r="O21" s="1030"/>
      <c r="P21" s="1030"/>
      <c r="Q21" s="1030"/>
      <c r="R21" s="1030"/>
      <c r="S21" s="1030"/>
      <c r="T21" s="1030"/>
      <c r="U21" s="1030"/>
      <c r="V21" s="1030"/>
      <c r="W21" s="1030"/>
      <c r="X21" s="1030"/>
      <c r="Y21" s="106"/>
      <c r="Z21" s="106"/>
      <c r="AB21" s="106"/>
      <c r="AC21" s="106"/>
      <c r="AD21" s="106"/>
      <c r="AE21" s="106"/>
    </row>
    <row r="22" spans="1:33" ht="39.75" customHeight="1" x14ac:dyDescent="0.25">
      <c r="A22" s="1062"/>
      <c r="B22" s="1062"/>
      <c r="C22" s="1030"/>
      <c r="D22" s="1030"/>
      <c r="E22" s="1030"/>
      <c r="F22" s="1030"/>
      <c r="G22" s="1030"/>
      <c r="H22" s="1030"/>
      <c r="I22" s="1030"/>
      <c r="J22" s="1030"/>
      <c r="K22" s="1030"/>
      <c r="L22" s="1030"/>
      <c r="M22" s="1030"/>
      <c r="N22" s="1030"/>
      <c r="O22" s="1030"/>
      <c r="P22" s="1030"/>
      <c r="Q22" s="1030"/>
      <c r="R22" s="1030"/>
      <c r="S22" s="1030"/>
      <c r="T22" s="1030"/>
      <c r="U22" s="1030"/>
      <c r="V22" s="1030"/>
      <c r="W22" s="1030"/>
      <c r="X22" s="1030"/>
      <c r="Y22" s="106"/>
      <c r="Z22" s="106"/>
      <c r="AB22" s="41"/>
      <c r="AC22" s="41"/>
      <c r="AD22" s="41"/>
      <c r="AE22" s="102"/>
    </row>
    <row r="23" spans="1:33" ht="39.75" customHeight="1" x14ac:dyDescent="0.25">
      <c r="A23" s="1062"/>
      <c r="B23" s="1062"/>
      <c r="C23" s="1030"/>
      <c r="D23" s="1030"/>
      <c r="E23" s="1030"/>
      <c r="F23" s="1030"/>
      <c r="G23" s="1030"/>
      <c r="H23" s="1030"/>
      <c r="I23" s="1030"/>
      <c r="J23" s="1030"/>
      <c r="K23" s="1030"/>
      <c r="L23" s="1030"/>
      <c r="M23" s="1030"/>
      <c r="N23" s="1030"/>
      <c r="O23" s="1030"/>
      <c r="P23" s="1030"/>
      <c r="Q23" s="1030"/>
      <c r="R23" s="1030"/>
      <c r="S23" s="1030"/>
      <c r="T23" s="1030"/>
      <c r="U23" s="1030"/>
      <c r="V23" s="1030"/>
      <c r="W23" s="1030"/>
      <c r="X23" s="1030"/>
      <c r="Y23" s="106"/>
      <c r="Z23" s="106"/>
      <c r="AB23" s="143"/>
      <c r="AC23" s="143"/>
      <c r="AD23" s="143"/>
      <c r="AE23" s="106"/>
    </row>
    <row r="24" spans="1:33" ht="39.75" customHeight="1" thickBot="1" x14ac:dyDescent="0.3">
      <c r="A24" s="1062"/>
      <c r="B24" s="1062"/>
      <c r="C24" s="307"/>
      <c r="D24" s="307"/>
      <c r="E24" s="307"/>
      <c r="F24" s="307"/>
      <c r="G24" s="307"/>
      <c r="H24" s="307"/>
      <c r="I24" s="307"/>
      <c r="J24" s="307"/>
      <c r="K24" s="307"/>
      <c r="L24" s="307"/>
      <c r="M24" s="307"/>
      <c r="N24" s="307"/>
      <c r="O24" s="307"/>
      <c r="P24" s="307"/>
      <c r="Q24" s="307"/>
      <c r="R24" s="307"/>
      <c r="S24" s="307"/>
      <c r="T24" s="307"/>
      <c r="U24" s="307"/>
      <c r="V24" s="307"/>
      <c r="W24" s="307"/>
      <c r="X24" s="197"/>
      <c r="Y24" s="307"/>
      <c r="Z24" s="103"/>
      <c r="AA24" s="103"/>
    </row>
    <row r="25" spans="1:33" ht="39.75" customHeight="1" thickBot="1" x14ac:dyDescent="0.3">
      <c r="A25" s="1056" t="s">
        <v>27</v>
      </c>
      <c r="B25" s="1057"/>
      <c r="C25" s="1031" t="s">
        <v>17</v>
      </c>
      <c r="D25" s="1026"/>
      <c r="E25" s="1026"/>
      <c r="F25" s="1026"/>
      <c r="G25" s="1026"/>
      <c r="H25" s="1027"/>
      <c r="I25" s="244"/>
      <c r="J25" s="1028" t="s">
        <v>49</v>
      </c>
      <c r="K25" s="1029"/>
      <c r="L25" s="1036" t="s">
        <v>17</v>
      </c>
      <c r="M25" s="1037"/>
      <c r="N25" s="1037"/>
      <c r="O25" s="1037"/>
      <c r="P25" s="1037"/>
      <c r="Q25" s="1038"/>
      <c r="S25" s="659"/>
      <c r="U25" s="307"/>
      <c r="V25" s="452"/>
      <c r="W25" s="452"/>
      <c r="X25" s="452"/>
      <c r="Y25" s="452"/>
      <c r="Z25" s="452"/>
    </row>
    <row r="26" spans="1:33" ht="39.75" customHeight="1" thickBot="1" x14ac:dyDescent="0.3">
      <c r="A26" s="1051" t="s">
        <v>48</v>
      </c>
      <c r="B26" s="1058"/>
      <c r="C26" s="157">
        <v>1</v>
      </c>
      <c r="D26" s="242">
        <v>2</v>
      </c>
      <c r="E26" s="242">
        <v>3</v>
      </c>
      <c r="F26" s="242">
        <v>4</v>
      </c>
      <c r="G26" s="714">
        <v>5</v>
      </c>
      <c r="H26" s="491" t="s">
        <v>9</v>
      </c>
      <c r="I26" s="451"/>
      <c r="J26" s="1051" t="s">
        <v>48</v>
      </c>
      <c r="K26" s="1052"/>
      <c r="L26" s="591">
        <v>1</v>
      </c>
      <c r="M26" s="592">
        <v>2</v>
      </c>
      <c r="N26" s="592">
        <v>3</v>
      </c>
      <c r="O26" s="592">
        <v>4</v>
      </c>
      <c r="P26" s="593">
        <v>5</v>
      </c>
      <c r="Q26" s="812" t="s">
        <v>9</v>
      </c>
      <c r="S26" s="1039" t="s">
        <v>122</v>
      </c>
      <c r="T26" s="1039"/>
      <c r="U26" s="1039"/>
      <c r="V26" s="1039"/>
      <c r="W26" s="1039"/>
      <c r="X26" s="1039"/>
      <c r="Y26" s="1039"/>
      <c r="Z26" s="1039"/>
      <c r="AA26" s="1039"/>
    </row>
    <row r="27" spans="1:33" ht="39.75" customHeight="1" x14ac:dyDescent="0.25">
      <c r="A27" s="450" t="s">
        <v>130</v>
      </c>
      <c r="B27" s="781">
        <f>B11</f>
        <v>45721</v>
      </c>
      <c r="C27" s="873">
        <f ca="1">INDIRECT("'SEM " &amp; $O$5 &amp; "'!" &amp; ADDRESS(41, COLUMN(B41)))</f>
        <v>78.900000000000006</v>
      </c>
      <c r="D27" s="280">
        <f t="shared" ref="D27:G27" ca="1" si="11">INDIRECT("'SEM " &amp; $O$5 &amp; "'!" &amp; ADDRESS(41, COLUMN(C41)))</f>
        <v>77.099999999999994</v>
      </c>
      <c r="E27" s="280">
        <f t="shared" ca="1" si="11"/>
        <v>9.4</v>
      </c>
      <c r="F27" s="280">
        <f t="shared" ca="1" si="11"/>
        <v>83.8</v>
      </c>
      <c r="G27" s="281">
        <f t="shared" ca="1" si="11"/>
        <v>79.8</v>
      </c>
      <c r="H27" s="715">
        <f ca="1">SUM(C27:G27)</f>
        <v>329</v>
      </c>
      <c r="I27" s="780"/>
      <c r="J27" s="450" t="s">
        <v>130</v>
      </c>
      <c r="K27" s="830">
        <f>B11</f>
        <v>45721</v>
      </c>
      <c r="L27" s="873">
        <f ca="1">INDIRECT("'SEM " &amp; $O$5 &amp; "'!" &amp; ADDRESS(41, COLUMN(M41)))</f>
        <v>6.7</v>
      </c>
      <c r="M27" s="280">
        <f t="shared" ref="M27:P27" ca="1" si="12">INDIRECT("'SEM " &amp; $O$5 &amp; "'!" &amp; ADDRESS(41, COLUMN(N41)))</f>
        <v>6.6</v>
      </c>
      <c r="N27" s="280">
        <f t="shared" ca="1" si="12"/>
        <v>1.2</v>
      </c>
      <c r="O27" s="280">
        <f t="shared" ca="1" si="12"/>
        <v>6.8</v>
      </c>
      <c r="P27" s="281">
        <f t="shared" ca="1" si="12"/>
        <v>6.6</v>
      </c>
      <c r="Q27" s="837">
        <f t="shared" ref="Q27:Q30" ca="1" si="13">SUM(L27:P27)</f>
        <v>27.9</v>
      </c>
      <c r="S27" s="1039"/>
      <c r="T27" s="1039"/>
      <c r="U27" s="1039"/>
      <c r="V27" s="1039"/>
      <c r="W27" s="1039"/>
      <c r="X27" s="1039"/>
      <c r="Y27" s="1039"/>
      <c r="Z27" s="1039"/>
      <c r="AA27" s="1039"/>
    </row>
    <row r="28" spans="1:33" ht="39.75" customHeight="1" x14ac:dyDescent="0.25">
      <c r="A28" s="450" t="s">
        <v>124</v>
      </c>
      <c r="B28" s="781">
        <f>B27+1</f>
        <v>45722</v>
      </c>
      <c r="C28" s="279">
        <f ca="1">INDIRECT("'SEM " &amp; $O$5 &amp; "'!" &amp; ADDRESS(42, COLUMN(B42)))</f>
        <v>78.900000000000006</v>
      </c>
      <c r="D28" s="280">
        <f ca="1">INDIRECT("'SEM " &amp; $O$5 &amp; "'!" &amp; ADDRESS(42, COLUMN(C42)))</f>
        <v>77.099999999999994</v>
      </c>
      <c r="E28" s="280">
        <f ca="1">INDIRECT("'SEM " &amp; $O$5 &amp; "'!" &amp; ADDRESS(42, COLUMN(D42)))</f>
        <v>9.4</v>
      </c>
      <c r="F28" s="280">
        <f ca="1">INDIRECT("'SEM " &amp; $O$5 &amp; "'!" &amp; ADDRESS(42, COLUMN(E42)))</f>
        <v>83.8</v>
      </c>
      <c r="G28" s="281">
        <f ca="1">INDIRECT("'SEM " &amp; $O$5 &amp; "'!" &amp; ADDRESS(42, COLUMN(F42)))</f>
        <v>79.8</v>
      </c>
      <c r="H28" s="715">
        <f t="shared" ref="H28:H33" ca="1" si="14">SUM(C28:G28)</f>
        <v>329</v>
      </c>
      <c r="I28" s="780"/>
      <c r="J28" s="450" t="s">
        <v>124</v>
      </c>
      <c r="K28" s="830">
        <f>K27+1</f>
        <v>45722</v>
      </c>
      <c r="L28" s="279">
        <f ca="1">INDIRECT("'SEM " &amp; $O$5 &amp; "'!" &amp; ADDRESS(42, COLUMN(M42)))</f>
        <v>6.7</v>
      </c>
      <c r="M28" s="280">
        <f ca="1">INDIRECT("'SEM " &amp; $O$5 &amp; "'!" &amp; ADDRESS(42, COLUMN(N42)))</f>
        <v>6.6</v>
      </c>
      <c r="N28" s="280">
        <f ca="1">INDIRECT("'SEM " &amp; $O$5 &amp; "'!" &amp; ADDRESS(42, COLUMN(O42)))</f>
        <v>1.2</v>
      </c>
      <c r="O28" s="280">
        <f ca="1">INDIRECT("'SEM " &amp; $O$5 &amp; "'!" &amp; ADDRESS(42, COLUMN(P42)))</f>
        <v>6.8</v>
      </c>
      <c r="P28" s="281">
        <f ca="1">INDIRECT("'SEM " &amp; $O$5 &amp; "'!" &amp; ADDRESS(42, COLUMN(Q42)))</f>
        <v>6.6</v>
      </c>
      <c r="Q28" s="837">
        <f t="shared" ca="1" si="13"/>
        <v>27.9</v>
      </c>
      <c r="S28" s="1039"/>
      <c r="T28" s="1039"/>
      <c r="U28" s="1039"/>
      <c r="V28" s="1039"/>
      <c r="W28" s="1039"/>
      <c r="X28" s="1039"/>
      <c r="Y28" s="1039"/>
      <c r="Z28" s="1039"/>
      <c r="AA28" s="1039"/>
    </row>
    <row r="29" spans="1:33" ht="39.75" customHeight="1" x14ac:dyDescent="0.25">
      <c r="A29" s="450" t="s">
        <v>125</v>
      </c>
      <c r="B29" s="781">
        <f t="shared" ref="B29:B33" si="15">B28+1</f>
        <v>45723</v>
      </c>
      <c r="C29" s="279">
        <f ca="1">INDIRECT("'SEM " &amp; $O$5 &amp; "'!" &amp; ADDRESS(43, COLUMN(B43)))</f>
        <v>78.8</v>
      </c>
      <c r="D29" s="280">
        <f ca="1">INDIRECT("'SEM " &amp; $O$5 &amp; "'!" &amp; ADDRESS(43, COLUMN(C43)))</f>
        <v>78.3</v>
      </c>
      <c r="E29" s="280">
        <f ca="1">INDIRECT("'SEM " &amp; $O$5 &amp; "'!" &amp; ADDRESS(43, COLUMN(D43)))</f>
        <v>9.6</v>
      </c>
      <c r="F29" s="280">
        <f ca="1">INDIRECT("'SEM " &amp; $O$5 &amp; "'!" &amp; ADDRESS(43, COLUMN(E43)))</f>
        <v>83.7</v>
      </c>
      <c r="G29" s="281">
        <f ca="1">INDIRECT("'SEM " &amp; $O$5 &amp; "'!" &amp; ADDRESS(43, COLUMN(F43)))</f>
        <v>80</v>
      </c>
      <c r="H29" s="715">
        <f t="shared" ca="1" si="14"/>
        <v>330.4</v>
      </c>
      <c r="I29" s="780"/>
      <c r="J29" s="450" t="s">
        <v>125</v>
      </c>
      <c r="K29" s="830">
        <f t="shared" ref="K29:K33" si="16">K28+1</f>
        <v>45723</v>
      </c>
      <c r="L29" s="279">
        <f ca="1">INDIRECT("'SEM " &amp; $O$5 &amp; "'!" &amp; ADDRESS(43, COLUMN(M43)))</f>
        <v>6.6</v>
      </c>
      <c r="M29" s="280">
        <f ca="1">INDIRECT("'SEM " &amp; $O$5 &amp; "'!" &amp; ADDRESS(43, COLUMN(N43)))</f>
        <v>6.3</v>
      </c>
      <c r="N29" s="280">
        <f ca="1">INDIRECT("'SEM " &amp; $O$5 &amp; "'!" &amp; ADDRESS(43, COLUMN(O43)))</f>
        <v>0.8</v>
      </c>
      <c r="O29" s="280">
        <f ca="1">INDIRECT("'SEM " &amp; $O$5 &amp; "'!" &amp; ADDRESS(43, COLUMN(P43)))</f>
        <v>6.6</v>
      </c>
      <c r="P29" s="281">
        <f ca="1">INDIRECT("'SEM " &amp; $O$5 &amp; "'!" &amp; ADDRESS(43, COLUMN(Q43)))</f>
        <v>6.5</v>
      </c>
      <c r="Q29" s="837">
        <f t="shared" ca="1" si="13"/>
        <v>26.799999999999997</v>
      </c>
      <c r="S29" s="1039"/>
      <c r="T29" s="1039"/>
      <c r="U29" s="1039"/>
      <c r="V29" s="1039"/>
      <c r="W29" s="1039"/>
      <c r="X29" s="1039"/>
      <c r="Y29" s="1039"/>
      <c r="Z29" s="1039"/>
      <c r="AA29" s="1039"/>
    </row>
    <row r="30" spans="1:33" ht="39.75" customHeight="1" x14ac:dyDescent="0.25">
      <c r="A30" s="450" t="s">
        <v>126</v>
      </c>
      <c r="B30" s="781">
        <f t="shared" si="15"/>
        <v>45724</v>
      </c>
      <c r="C30" s="279">
        <f ca="1">INDIRECT("'SEM " &amp; $O$5 &amp; "'!" &amp; ADDRESS(44, COLUMN(B44)))</f>
        <v>78.900000000000006</v>
      </c>
      <c r="D30" s="280">
        <f ca="1">INDIRECT("'SEM " &amp; $O$5 &amp; "'!" &amp; ADDRESS(44, COLUMN(C44)))</f>
        <v>78</v>
      </c>
      <c r="E30" s="280">
        <f ca="1">INDIRECT("'SEM " &amp; $O$5 &amp; "'!" &amp; ADDRESS(44, COLUMN(D44)))</f>
        <v>9.4</v>
      </c>
      <c r="F30" s="280">
        <f ca="1">INDIRECT("'SEM " &amp; $O$5 &amp; "'!" &amp; ADDRESS(44, COLUMN(E44)))</f>
        <v>83.2</v>
      </c>
      <c r="G30" s="281">
        <f ca="1">INDIRECT("'SEM " &amp; $O$5 &amp; "'!" &amp; ADDRESS(44, COLUMN(F44)))</f>
        <v>80</v>
      </c>
      <c r="H30" s="715">
        <f t="shared" ca="1" si="14"/>
        <v>329.5</v>
      </c>
      <c r="I30" s="780"/>
      <c r="J30" s="450" t="s">
        <v>126</v>
      </c>
      <c r="K30" s="830">
        <f t="shared" si="16"/>
        <v>45724</v>
      </c>
      <c r="L30" s="279">
        <f ca="1">INDIRECT("'SEM " &amp; $O$5 &amp; "'!" &amp; ADDRESS(44, COLUMN(M44)))</f>
        <v>6.6</v>
      </c>
      <c r="M30" s="280">
        <f ca="1">INDIRECT("'SEM " &amp; $O$5 &amp; "'!" &amp; ADDRESS(44, COLUMN(N44)))</f>
        <v>6.3</v>
      </c>
      <c r="N30" s="280">
        <f ca="1">INDIRECT("'SEM " &amp; $O$5 &amp; "'!" &amp; ADDRESS(44, COLUMN(O44)))</f>
        <v>0.8</v>
      </c>
      <c r="O30" s="280">
        <f ca="1">INDIRECT("'SEM " &amp; $O$5 &amp; "'!" &amp; ADDRESS(44, COLUMN(P44)))</f>
        <v>6.7</v>
      </c>
      <c r="P30" s="281">
        <f ca="1">INDIRECT("'SEM " &amp; $O$5 &amp; "'!" &amp; ADDRESS(44, COLUMN(Q44)))</f>
        <v>6.5</v>
      </c>
      <c r="Q30" s="837">
        <f t="shared" ca="1" si="13"/>
        <v>26.9</v>
      </c>
      <c r="S30" s="1039"/>
      <c r="T30" s="1039"/>
      <c r="U30" s="1039"/>
      <c r="V30" s="1039"/>
      <c r="W30" s="1039"/>
      <c r="X30" s="1039"/>
      <c r="Y30" s="1039"/>
      <c r="Z30" s="1039"/>
      <c r="AA30" s="1039"/>
    </row>
    <row r="31" spans="1:33" ht="39.75" customHeight="1" x14ac:dyDescent="0.25">
      <c r="A31" s="450" t="s">
        <v>127</v>
      </c>
      <c r="B31" s="781">
        <f t="shared" si="15"/>
        <v>45725</v>
      </c>
      <c r="C31" s="279">
        <f ca="1">INDIRECT("'SEM " &amp; $O$5 &amp; "'!" &amp; ADDRESS(45, COLUMN(B45)))</f>
        <v>78.900000000000006</v>
      </c>
      <c r="D31" s="280">
        <f ca="1">INDIRECT("'SEM " &amp; $O$5 &amp; "'!" &amp; ADDRESS(45, COLUMN(C45)))</f>
        <v>77.7</v>
      </c>
      <c r="E31" s="280">
        <f ca="1">INDIRECT("'SEM " &amp; $O$5 &amp; "'!" &amp; ADDRESS(45, COLUMN(D45)))</f>
        <v>9</v>
      </c>
      <c r="F31" s="280">
        <f ca="1">INDIRECT("'SEM " &amp; $O$5 &amp; "'!" &amp; ADDRESS(45, COLUMN(E45)))</f>
        <v>83.2</v>
      </c>
      <c r="G31" s="281">
        <f ca="1">INDIRECT("'SEM " &amp; $O$5 &amp; "'!" &amp; ADDRESS(45, COLUMN(F45)))</f>
        <v>80</v>
      </c>
      <c r="H31" s="715">
        <f t="shared" ca="1" si="14"/>
        <v>328.8</v>
      </c>
      <c r="I31" s="780"/>
      <c r="J31" s="450" t="s">
        <v>127</v>
      </c>
      <c r="K31" s="830">
        <f t="shared" si="16"/>
        <v>45725</v>
      </c>
      <c r="L31" s="279">
        <f ca="1">INDIRECT("'SEM " &amp; $O$5 &amp; "'!" &amp; ADDRESS(45, COLUMN(M45)))</f>
        <v>6.6</v>
      </c>
      <c r="M31" s="280">
        <f ca="1">INDIRECT("'SEM " &amp; $O$5 &amp; "'!" &amp; ADDRESS(45, COLUMN(N45)))</f>
        <v>6.3</v>
      </c>
      <c r="N31" s="280">
        <f ca="1">INDIRECT("'SEM " &amp; $O$5 &amp; "'!" &amp; ADDRESS(45, COLUMN(O45)))</f>
        <v>0.9</v>
      </c>
      <c r="O31" s="280">
        <f ca="1">INDIRECT("'SEM " &amp; $O$5 &amp; "'!" &amp; ADDRESS(45, COLUMN(P45)))</f>
        <v>6.7</v>
      </c>
      <c r="P31" s="281">
        <f ca="1">INDIRECT("'SEM " &amp; $O$5 &amp; "'!" &amp; ADDRESS(45, COLUMN(Q45)))</f>
        <v>6.5</v>
      </c>
      <c r="Q31" s="837">
        <f ca="1">SUM(L31:P31)</f>
        <v>27</v>
      </c>
      <c r="S31" s="1039"/>
      <c r="T31" s="1039"/>
      <c r="U31" s="1039"/>
      <c r="V31" s="1039"/>
      <c r="W31" s="1039"/>
      <c r="X31" s="1039"/>
      <c r="Y31" s="1039"/>
      <c r="Z31" s="1039"/>
      <c r="AA31" s="1039"/>
    </row>
    <row r="32" spans="1:33" ht="39.75" customHeight="1" x14ac:dyDescent="0.25">
      <c r="A32" s="450" t="s">
        <v>128</v>
      </c>
      <c r="B32" s="781">
        <f t="shared" si="15"/>
        <v>45726</v>
      </c>
      <c r="C32" s="279">
        <f ca="1">INDIRECT("'SEM " &amp; $O$5 &amp; "'!" &amp; ADDRESS(46, COLUMN(B46)))</f>
        <v>78.900000000000006</v>
      </c>
      <c r="D32" s="280">
        <f ca="1">INDIRECT("'SEM " &amp; $O$5 &amp; "'!" &amp; ADDRESS(46, COLUMN(C46)))</f>
        <v>77.7</v>
      </c>
      <c r="E32" s="280">
        <f ca="1">INDIRECT("'SEM " &amp; $O$5 &amp; "'!" &amp; ADDRESS(46, COLUMN(D46)))</f>
        <v>9.1</v>
      </c>
      <c r="F32" s="280">
        <f ca="1">INDIRECT("'SEM " &amp; $O$5 &amp; "'!" &amp; ADDRESS(46, COLUMN(E46)))</f>
        <v>83.2</v>
      </c>
      <c r="G32" s="281">
        <f ca="1">INDIRECT("'SEM " &amp; $O$5 &amp; "'!" &amp; ADDRESS(46, COLUMN(F46)))</f>
        <v>80</v>
      </c>
      <c r="H32" s="715">
        <f t="shared" ca="1" si="14"/>
        <v>328.90000000000003</v>
      </c>
      <c r="I32" s="780"/>
      <c r="J32" s="450" t="s">
        <v>128</v>
      </c>
      <c r="K32" s="830">
        <f t="shared" si="16"/>
        <v>45726</v>
      </c>
      <c r="L32" s="279">
        <f ca="1">INDIRECT("'SEM " &amp; $O$5 &amp; "'!" &amp; ADDRESS(46, COLUMN(M46)))</f>
        <v>6.6</v>
      </c>
      <c r="M32" s="280">
        <f ca="1">INDIRECT("'SEM " &amp; $O$5 &amp; "'!" &amp; ADDRESS(46, COLUMN(N46)))</f>
        <v>6.3</v>
      </c>
      <c r="N32" s="280">
        <f ca="1">INDIRECT("'SEM " &amp; $O$5 &amp; "'!" &amp; ADDRESS(46, COLUMN(O46)))</f>
        <v>0.9</v>
      </c>
      <c r="O32" s="280">
        <f ca="1">INDIRECT("'SEM " &amp; $O$5 &amp; "'!" &amp; ADDRESS(46, COLUMN(P46)))</f>
        <v>6.7</v>
      </c>
      <c r="P32" s="281">
        <f ca="1">INDIRECT("'SEM " &amp; $O$5 &amp; "'!" &amp; ADDRESS(46, COLUMN(Q46)))</f>
        <v>6.5</v>
      </c>
      <c r="Q32" s="837">
        <f t="shared" ref="Q32:Q33" ca="1" si="17">SUM(L32:P32)</f>
        <v>27</v>
      </c>
      <c r="S32" s="1039"/>
      <c r="T32" s="1039"/>
      <c r="U32" s="1039"/>
      <c r="V32" s="1039"/>
      <c r="W32" s="1039"/>
      <c r="X32" s="1039"/>
      <c r="Y32" s="1039"/>
      <c r="Z32" s="1039"/>
      <c r="AA32" s="1039"/>
    </row>
    <row r="33" spans="1:41" ht="39.75" customHeight="1" thickBot="1" x14ac:dyDescent="0.3">
      <c r="A33" s="450" t="s">
        <v>129</v>
      </c>
      <c r="B33" s="781">
        <f t="shared" si="15"/>
        <v>45727</v>
      </c>
      <c r="C33" s="279">
        <f ca="1">INDIRECT("'SEM " &amp; $O$5 &amp; "'!" &amp; ADDRESS(47, COLUMN(B47)))</f>
        <v>78.900000000000006</v>
      </c>
      <c r="D33" s="280">
        <f ca="1">INDIRECT("'SEM " &amp; $O$5 &amp; "'!" &amp; ADDRESS(47, COLUMN(C47)))</f>
        <v>77.8</v>
      </c>
      <c r="E33" s="280">
        <f ca="1">INDIRECT("'SEM " &amp; $O$5 &amp; "'!" &amp; ADDRESS(47, COLUMN(D47)))</f>
        <v>9.1</v>
      </c>
      <c r="F33" s="280">
        <f ca="1">INDIRECT("'SEM " &amp; $O$5 &amp; "'!" &amp; ADDRESS(47, COLUMN(E47)))</f>
        <v>83.3</v>
      </c>
      <c r="G33" s="281">
        <f ca="1">INDIRECT("'SEM " &amp; $O$5 &amp; "'!" &amp; ADDRESS(47, COLUMN(F47)))</f>
        <v>80.099999999999994</v>
      </c>
      <c r="H33" s="715">
        <f t="shared" ca="1" si="14"/>
        <v>329.19999999999993</v>
      </c>
      <c r="I33" s="780"/>
      <c r="J33" s="450" t="s">
        <v>129</v>
      </c>
      <c r="K33" s="830">
        <f t="shared" si="16"/>
        <v>45727</v>
      </c>
      <c r="L33" s="279">
        <f ca="1">INDIRECT("'SEM " &amp; $O$5 &amp; "'!" &amp; ADDRESS(47, COLUMN(M47)))</f>
        <v>6.6</v>
      </c>
      <c r="M33" s="280">
        <f ca="1">INDIRECT("'SEM " &amp; $O$5 &amp; "'!" &amp; ADDRESS(47, COLUMN(N47)))</f>
        <v>6.4</v>
      </c>
      <c r="N33" s="280">
        <f ca="1">INDIRECT("'SEM " &amp; $O$5 &amp; "'!" &amp; ADDRESS(47, COLUMN(O47)))</f>
        <v>0.9</v>
      </c>
      <c r="O33" s="280">
        <f ca="1">INDIRECT("'SEM " &amp; $O$5 &amp; "'!" &amp; ADDRESS(47, COLUMN(P47)))</f>
        <v>6.7</v>
      </c>
      <c r="P33" s="281">
        <f ca="1">INDIRECT("'SEM " &amp; $O$5 &amp; "'!" &amp; ADDRESS(47, COLUMN(Q47)))</f>
        <v>6.6</v>
      </c>
      <c r="Q33" s="838">
        <f t="shared" ca="1" si="17"/>
        <v>27.200000000000003</v>
      </c>
      <c r="S33" s="1039"/>
      <c r="T33" s="1039"/>
      <c r="U33" s="1039"/>
      <c r="V33" s="1039"/>
      <c r="W33" s="1039"/>
      <c r="X33" s="1039"/>
      <c r="Y33" s="1039"/>
      <c r="Z33" s="1039"/>
      <c r="AA33" s="1039"/>
    </row>
    <row r="34" spans="1:41" ht="39.75" customHeight="1" thickBot="1" x14ac:dyDescent="0.3">
      <c r="A34" s="1053" t="s">
        <v>9</v>
      </c>
      <c r="B34" s="1054"/>
      <c r="C34" s="831">
        <f t="shared" ref="C34:H34" ca="1" si="18">SUM(C27:C33)</f>
        <v>552.19999999999993</v>
      </c>
      <c r="D34" s="832">
        <f t="shared" ca="1" si="18"/>
        <v>543.69999999999993</v>
      </c>
      <c r="E34" s="832">
        <f t="shared" ca="1" si="18"/>
        <v>65</v>
      </c>
      <c r="F34" s="832">
        <f t="shared" ca="1" si="18"/>
        <v>584.19999999999993</v>
      </c>
      <c r="G34" s="833">
        <f t="shared" ca="1" si="18"/>
        <v>559.70000000000005</v>
      </c>
      <c r="H34" s="716">
        <f t="shared" ca="1" si="18"/>
        <v>2304.8000000000002</v>
      </c>
      <c r="I34" s="309"/>
      <c r="J34" s="1053" t="s">
        <v>9</v>
      </c>
      <c r="K34" s="1054"/>
      <c r="L34" s="687">
        <f ca="1">SUM(L27:L33)</f>
        <v>46.400000000000006</v>
      </c>
      <c r="M34" s="688">
        <f t="shared" ref="M34:P34" ca="1" si="19">SUM(M27:M33)</f>
        <v>44.8</v>
      </c>
      <c r="N34" s="688">
        <f ca="1">SUM(N27:N33)</f>
        <v>6.7000000000000011</v>
      </c>
      <c r="O34" s="688">
        <f t="shared" ca="1" si="19"/>
        <v>47.000000000000007</v>
      </c>
      <c r="P34" s="691">
        <f t="shared" ca="1" si="19"/>
        <v>45.800000000000004</v>
      </c>
      <c r="Q34" s="811">
        <f ca="1">SUM(L34:P34)</f>
        <v>190.70000000000002</v>
      </c>
      <c r="S34" s="1039"/>
      <c r="T34" s="1039"/>
      <c r="U34" s="1039"/>
      <c r="V34" s="1039"/>
      <c r="W34" s="1039"/>
      <c r="X34" s="1039"/>
      <c r="Y34" s="1039"/>
      <c r="Z34" s="1039"/>
      <c r="AA34" s="1039"/>
    </row>
    <row r="35" spans="1:41" ht="39.75" customHeight="1" thickBot="1" x14ac:dyDescent="0.3">
      <c r="A35" s="1049" t="s">
        <v>52</v>
      </c>
      <c r="B35" s="1050"/>
      <c r="C35" s="803">
        <f ca="1">INDIRECT("'SEM " &amp; $O$5 &amp; "'!" &amp; ADDRESS(50, COLUMN(B50)))</f>
        <v>518</v>
      </c>
      <c r="D35" s="804">
        <f t="shared" ref="D35:G35" ca="1" si="20">INDIRECT("'SEM " &amp; $O$5 &amp; "'!" &amp; ADDRESS(50, COLUMN(C50)))</f>
        <v>510</v>
      </c>
      <c r="E35" s="804">
        <f t="shared" ca="1" si="20"/>
        <v>61</v>
      </c>
      <c r="F35" s="804">
        <f t="shared" ca="1" si="20"/>
        <v>548</v>
      </c>
      <c r="G35" s="805">
        <f t="shared" ca="1" si="20"/>
        <v>525</v>
      </c>
      <c r="H35" s="802">
        <f t="shared" ref="H35" ca="1" si="21">SUM(C35:G35)</f>
        <v>2162</v>
      </c>
      <c r="I35" s="310"/>
      <c r="J35" s="1049" t="s">
        <v>52</v>
      </c>
      <c r="K35" s="1050"/>
      <c r="L35" s="803">
        <f ca="1">INDIRECT("'SEM " &amp; $O$5 &amp; "'!" &amp; ADDRESS(50, COLUMN(M50)))</f>
        <v>41</v>
      </c>
      <c r="M35" s="814">
        <f t="shared" ref="M35:P35" ca="1" si="22">INDIRECT("'SEM " &amp; $O$5 &amp; "'!" &amp; ADDRESS(50, COLUMN(N50)))</f>
        <v>40</v>
      </c>
      <c r="N35" s="814">
        <f t="shared" ca="1" si="22"/>
        <v>6</v>
      </c>
      <c r="O35" s="814">
        <f t="shared" ca="1" si="22"/>
        <v>42</v>
      </c>
      <c r="P35" s="834">
        <f t="shared" ca="1" si="22"/>
        <v>41</v>
      </c>
      <c r="Q35" s="775">
        <f ca="1">SUM(L35:P35)</f>
        <v>170</v>
      </c>
      <c r="S35" s="1039"/>
      <c r="T35" s="1039"/>
      <c r="U35" s="1039"/>
      <c r="V35" s="1039"/>
      <c r="W35" s="1039"/>
      <c r="X35" s="1039"/>
      <c r="Y35" s="1039"/>
      <c r="Z35" s="1039"/>
      <c r="AA35" s="1039"/>
    </row>
    <row r="36" spans="1:41" ht="39.75" customHeight="1" x14ac:dyDescent="0.25">
      <c r="A36" s="1061"/>
      <c r="B36" s="1061"/>
      <c r="H36" s="308"/>
      <c r="I36" s="102"/>
      <c r="J36" s="102"/>
      <c r="K36" s="102"/>
      <c r="L36" s="102"/>
      <c r="M36" s="103"/>
      <c r="N36" s="103"/>
      <c r="O36" s="143"/>
      <c r="P36" s="143"/>
      <c r="Q36" s="311"/>
      <c r="R36" s="143"/>
      <c r="W36" s="103"/>
      <c r="X36" s="103"/>
      <c r="Y36" s="103"/>
      <c r="Z36" s="103"/>
    </row>
    <row r="37" spans="1:41" ht="39.75" customHeight="1" thickBot="1" x14ac:dyDescent="0.3">
      <c r="A37" s="1062"/>
      <c r="B37" s="1062"/>
      <c r="I37" s="308"/>
      <c r="J37" s="308"/>
      <c r="K37" s="308"/>
      <c r="L37" s="308"/>
      <c r="M37" s="308"/>
      <c r="N37" s="390"/>
      <c r="O37" s="390"/>
      <c r="P37" s="390"/>
      <c r="Q37" s="390"/>
      <c r="R37" s="390"/>
      <c r="S37" s="390"/>
      <c r="T37" s="390"/>
      <c r="U37" s="390"/>
      <c r="V37" s="390"/>
      <c r="W37" s="390"/>
      <c r="X37" s="390"/>
      <c r="Y37" s="308"/>
      <c r="Z37" s="308"/>
    </row>
    <row r="38" spans="1:41" ht="39.75" customHeight="1" thickBot="1" x14ac:dyDescent="0.3">
      <c r="A38" s="1056" t="s">
        <v>50</v>
      </c>
      <c r="B38" s="1057"/>
      <c r="C38" s="1031" t="s">
        <v>8</v>
      </c>
      <c r="D38" s="1026"/>
      <c r="E38" s="1026"/>
      <c r="F38" s="1026"/>
      <c r="G38" s="1027"/>
      <c r="H38" s="1031" t="s">
        <v>30</v>
      </c>
      <c r="I38" s="1026"/>
      <c r="J38" s="1026"/>
      <c r="K38" s="1026"/>
      <c r="L38" s="1027"/>
      <c r="M38" s="1031" t="s">
        <v>29</v>
      </c>
      <c r="N38" s="1026"/>
      <c r="O38" s="1026"/>
      <c r="P38" s="1026"/>
      <c r="Q38" s="1027"/>
      <c r="R38" s="1031" t="s">
        <v>31</v>
      </c>
      <c r="S38" s="1026"/>
      <c r="T38" s="1026"/>
      <c r="U38" s="1026"/>
      <c r="V38" s="1027"/>
      <c r="W38" s="588" t="s">
        <v>9</v>
      </c>
      <c r="X38" s="244"/>
      <c r="Y38" s="659"/>
      <c r="Z38" s="100"/>
      <c r="AA38" s="100"/>
      <c r="AB38" s="100"/>
      <c r="AC38" s="305"/>
      <c r="AD38" s="390"/>
      <c r="AE38" s="390"/>
      <c r="AF38" s="390"/>
      <c r="AG38" s="390"/>
      <c r="AH38" s="390"/>
      <c r="AI38" s="390"/>
      <c r="AJ38" s="390"/>
      <c r="AK38" s="390"/>
      <c r="AL38" s="390"/>
      <c r="AM38" s="390"/>
      <c r="AN38" s="100"/>
    </row>
    <row r="39" spans="1:41" ht="39.75" customHeight="1" thickBot="1" x14ac:dyDescent="0.3">
      <c r="A39" s="1051" t="s">
        <v>48</v>
      </c>
      <c r="B39" s="1058"/>
      <c r="C39" s="166">
        <v>1</v>
      </c>
      <c r="D39" s="167">
        <v>2</v>
      </c>
      <c r="E39" s="167">
        <v>3</v>
      </c>
      <c r="F39" s="167">
        <v>4</v>
      </c>
      <c r="G39" s="246">
        <v>5</v>
      </c>
      <c r="H39" s="166">
        <v>1</v>
      </c>
      <c r="I39" s="167">
        <v>2</v>
      </c>
      <c r="J39" s="167">
        <v>3</v>
      </c>
      <c r="K39" s="167">
        <v>4</v>
      </c>
      <c r="L39" s="246">
        <v>5</v>
      </c>
      <c r="M39" s="591">
        <v>1</v>
      </c>
      <c r="N39" s="592">
        <v>2</v>
      </c>
      <c r="O39" s="592">
        <v>3</v>
      </c>
      <c r="P39" s="592">
        <v>4</v>
      </c>
      <c r="Q39" s="839">
        <v>5</v>
      </c>
      <c r="R39" s="166">
        <v>1</v>
      </c>
      <c r="S39" s="167">
        <v>2</v>
      </c>
      <c r="T39" s="167">
        <v>3</v>
      </c>
      <c r="U39" s="167">
        <v>4</v>
      </c>
      <c r="V39" s="842">
        <v>5</v>
      </c>
      <c r="W39" s="589"/>
      <c r="X39" s="308"/>
      <c r="Y39" s="659"/>
      <c r="Z39" s="100"/>
      <c r="AA39" s="100"/>
      <c r="AB39" s="100"/>
      <c r="AC39" s="305"/>
      <c r="AD39" s="390"/>
      <c r="AE39" s="390"/>
      <c r="AF39" s="390"/>
      <c r="AG39" s="390"/>
      <c r="AH39" s="390"/>
      <c r="AI39" s="390"/>
      <c r="AJ39" s="390"/>
      <c r="AK39" s="390"/>
      <c r="AL39" s="390"/>
      <c r="AM39" s="390"/>
      <c r="AN39" s="100"/>
    </row>
    <row r="40" spans="1:41" ht="39.75" customHeight="1" x14ac:dyDescent="0.45">
      <c r="A40" s="450" t="s">
        <v>130</v>
      </c>
      <c r="B40" s="781">
        <f>B11</f>
        <v>45721</v>
      </c>
      <c r="C40" s="873">
        <f ca="1">INDIRECT("'SEM " &amp; $O$5 &amp; "'!" &amp; ADDRESS(ROW(B60), COLUMN(B60)))</f>
        <v>7.1</v>
      </c>
      <c r="D40" s="736">
        <f t="shared" ref="D40:V40" ca="1" si="23">INDIRECT("'SEM " &amp; $O$5 &amp; "'!" &amp; ADDRESS(ROW(C60), COLUMN(C60)))</f>
        <v>7.4</v>
      </c>
      <c r="E40" s="736">
        <f t="shared" ca="1" si="23"/>
        <v>1.2</v>
      </c>
      <c r="F40" s="736">
        <f t="shared" ca="1" si="23"/>
        <v>7.4</v>
      </c>
      <c r="G40" s="737">
        <f t="shared" ca="1" si="23"/>
        <v>7.4</v>
      </c>
      <c r="H40" s="738">
        <f t="shared" ca="1" si="23"/>
        <v>7.5</v>
      </c>
      <c r="I40" s="739">
        <f t="shared" ca="1" si="23"/>
        <v>7.5</v>
      </c>
      <c r="J40" s="799">
        <f t="shared" ca="1" si="23"/>
        <v>1.1000000000000001</v>
      </c>
      <c r="K40" s="739">
        <f t="shared" ca="1" si="23"/>
        <v>7.5</v>
      </c>
      <c r="L40" s="739">
        <f t="shared" ca="1" si="23"/>
        <v>7.3</v>
      </c>
      <c r="M40" s="279">
        <f t="shared" ca="1" si="23"/>
        <v>6.1</v>
      </c>
      <c r="N40" s="280">
        <f t="shared" ca="1" si="23"/>
        <v>6.1</v>
      </c>
      <c r="O40" s="280">
        <f t="shared" ca="1" si="23"/>
        <v>1.7</v>
      </c>
      <c r="P40" s="280">
        <f t="shared" ca="1" si="23"/>
        <v>5.9</v>
      </c>
      <c r="Q40" s="282">
        <f t="shared" ca="1" si="23"/>
        <v>5.8</v>
      </c>
      <c r="R40" s="737">
        <f t="shared" ca="1" si="23"/>
        <v>6.1</v>
      </c>
      <c r="S40" s="736">
        <f t="shared" ca="1" si="23"/>
        <v>6.4</v>
      </c>
      <c r="T40" s="736">
        <f t="shared" ca="1" si="23"/>
        <v>1.7</v>
      </c>
      <c r="U40" s="736">
        <f t="shared" ca="1" si="23"/>
        <v>6.2</v>
      </c>
      <c r="V40" s="742">
        <f t="shared" ca="1" si="23"/>
        <v>6.1</v>
      </c>
      <c r="W40" s="581">
        <f t="shared" ref="W40:W46" ca="1" si="24">SUM(C40:V40)</f>
        <v>113.5</v>
      </c>
      <c r="X40" s="780"/>
      <c r="Y40" s="667"/>
      <c r="Z40" s="404"/>
      <c r="AA40" s="100"/>
      <c r="AB40" s="100"/>
      <c r="AC40" s="305"/>
      <c r="AD40" s="390"/>
      <c r="AE40" s="390"/>
      <c r="AF40" s="390"/>
      <c r="AG40" s="390"/>
      <c r="AH40" s="390"/>
      <c r="AI40" s="390"/>
      <c r="AJ40" s="390"/>
      <c r="AK40" s="390"/>
      <c r="AL40" s="390"/>
      <c r="AM40" s="390"/>
      <c r="AN40" s="100"/>
    </row>
    <row r="41" spans="1:41" ht="39.75" customHeight="1" x14ac:dyDescent="0.45">
      <c r="A41" s="450" t="s">
        <v>124</v>
      </c>
      <c r="B41" s="781">
        <f>B40+1</f>
        <v>45722</v>
      </c>
      <c r="C41" s="735">
        <f t="shared" ref="C41:V46" ca="1" si="25">INDIRECT("'SEM " &amp; $O$5 &amp; "'!" &amp; ADDRESS(ROW(B61), COLUMN(B61)))</f>
        <v>7.1</v>
      </c>
      <c r="D41" s="736">
        <f t="shared" ca="1" si="25"/>
        <v>7.4</v>
      </c>
      <c r="E41" s="736">
        <f t="shared" ca="1" si="25"/>
        <v>1.2</v>
      </c>
      <c r="F41" s="736">
        <f t="shared" ca="1" si="25"/>
        <v>7.4</v>
      </c>
      <c r="G41" s="737">
        <f t="shared" ca="1" si="25"/>
        <v>7.4</v>
      </c>
      <c r="H41" s="738">
        <f t="shared" ca="1" si="25"/>
        <v>7.5</v>
      </c>
      <c r="I41" s="739">
        <f t="shared" ca="1" si="25"/>
        <v>7.5</v>
      </c>
      <c r="J41" s="799">
        <f t="shared" ca="1" si="25"/>
        <v>1.1000000000000001</v>
      </c>
      <c r="K41" s="739">
        <f t="shared" ca="1" si="25"/>
        <v>7.5</v>
      </c>
      <c r="L41" s="739">
        <f t="shared" ca="1" si="25"/>
        <v>7.3</v>
      </c>
      <c r="M41" s="279">
        <f t="shared" ca="1" si="25"/>
        <v>6.1</v>
      </c>
      <c r="N41" s="280">
        <f t="shared" ca="1" si="25"/>
        <v>6.1</v>
      </c>
      <c r="O41" s="280">
        <f t="shared" ca="1" si="25"/>
        <v>1.7</v>
      </c>
      <c r="P41" s="280">
        <f t="shared" ca="1" si="25"/>
        <v>5.9</v>
      </c>
      <c r="Q41" s="282">
        <f t="shared" ca="1" si="25"/>
        <v>5.8</v>
      </c>
      <c r="R41" s="737">
        <f t="shared" ca="1" si="25"/>
        <v>6.1</v>
      </c>
      <c r="S41" s="736">
        <f t="shared" ca="1" si="25"/>
        <v>6.4</v>
      </c>
      <c r="T41" s="736">
        <f t="shared" ca="1" si="25"/>
        <v>1.7</v>
      </c>
      <c r="U41" s="736">
        <f t="shared" ca="1" si="25"/>
        <v>6.2</v>
      </c>
      <c r="V41" s="742">
        <f t="shared" ca="1" si="25"/>
        <v>6.1</v>
      </c>
      <c r="W41" s="581">
        <f t="shared" ca="1" si="24"/>
        <v>113.5</v>
      </c>
      <c r="X41" s="780"/>
      <c r="Y41" s="667"/>
      <c r="Z41" s="404"/>
      <c r="AA41" s="100"/>
      <c r="AB41" s="100"/>
      <c r="AC41" s="305"/>
      <c r="AD41" s="390"/>
      <c r="AE41" s="390"/>
      <c r="AF41" s="390"/>
      <c r="AG41" s="390"/>
      <c r="AH41" s="390"/>
      <c r="AI41" s="390"/>
      <c r="AJ41" s="390"/>
      <c r="AK41" s="390"/>
      <c r="AL41" s="390"/>
      <c r="AM41" s="390"/>
      <c r="AN41" s="100"/>
    </row>
    <row r="42" spans="1:41" ht="39.75" customHeight="1" x14ac:dyDescent="0.45">
      <c r="A42" s="450" t="s">
        <v>125</v>
      </c>
      <c r="B42" s="781">
        <f t="shared" ref="B42:B46" si="26">B41+1</f>
        <v>45723</v>
      </c>
      <c r="C42" s="735">
        <f t="shared" ca="1" si="25"/>
        <v>6.9</v>
      </c>
      <c r="D42" s="736">
        <f t="shared" ca="1" si="25"/>
        <v>7.5</v>
      </c>
      <c r="E42" s="736">
        <f t="shared" ca="1" si="25"/>
        <v>0.8</v>
      </c>
      <c r="F42" s="736">
        <f t="shared" ca="1" si="25"/>
        <v>7.5</v>
      </c>
      <c r="G42" s="737">
        <f t="shared" ca="1" si="25"/>
        <v>7.4</v>
      </c>
      <c r="H42" s="738">
        <f t="shared" ca="1" si="25"/>
        <v>7.5</v>
      </c>
      <c r="I42" s="739">
        <f t="shared" ca="1" si="25"/>
        <v>7.4</v>
      </c>
      <c r="J42" s="799">
        <f t="shared" ca="1" si="25"/>
        <v>0.9</v>
      </c>
      <c r="K42" s="739">
        <f t="shared" ca="1" si="25"/>
        <v>7.4</v>
      </c>
      <c r="L42" s="739">
        <f t="shared" ca="1" si="25"/>
        <v>7.2</v>
      </c>
      <c r="M42" s="279">
        <f t="shared" ca="1" si="25"/>
        <v>6</v>
      </c>
      <c r="N42" s="280">
        <f t="shared" ca="1" si="25"/>
        <v>5.9</v>
      </c>
      <c r="O42" s="280">
        <f t="shared" ca="1" si="25"/>
        <v>1.6</v>
      </c>
      <c r="P42" s="280">
        <f t="shared" ca="1" si="25"/>
        <v>5.8</v>
      </c>
      <c r="Q42" s="282">
        <f t="shared" ca="1" si="25"/>
        <v>5.8</v>
      </c>
      <c r="R42" s="737">
        <f t="shared" ca="1" si="25"/>
        <v>6.2</v>
      </c>
      <c r="S42" s="736">
        <f t="shared" ca="1" si="25"/>
        <v>5.8</v>
      </c>
      <c r="T42" s="736">
        <f t="shared" ca="1" si="25"/>
        <v>1.6</v>
      </c>
      <c r="U42" s="736">
        <f t="shared" ca="1" si="25"/>
        <v>6.1</v>
      </c>
      <c r="V42" s="742">
        <f t="shared" ca="1" si="25"/>
        <v>6.1</v>
      </c>
      <c r="W42" s="581">
        <f t="shared" ca="1" si="24"/>
        <v>111.39999999999998</v>
      </c>
      <c r="X42" s="780"/>
      <c r="Y42" s="667"/>
      <c r="Z42" s="404"/>
      <c r="AA42" s="100"/>
      <c r="AB42" s="100"/>
      <c r="AC42" s="305"/>
      <c r="AD42" s="390"/>
      <c r="AE42" s="390"/>
      <c r="AF42" s="390"/>
      <c r="AG42" s="390"/>
      <c r="AH42" s="390"/>
      <c r="AI42" s="390"/>
      <c r="AJ42" s="390"/>
      <c r="AK42" s="390"/>
      <c r="AL42" s="390"/>
      <c r="AM42" s="390"/>
      <c r="AN42" s="100"/>
    </row>
    <row r="43" spans="1:41" ht="39.75" customHeight="1" x14ac:dyDescent="0.45">
      <c r="A43" s="450" t="s">
        <v>126</v>
      </c>
      <c r="B43" s="781">
        <f t="shared" si="26"/>
        <v>45724</v>
      </c>
      <c r="C43" s="735">
        <f t="shared" ca="1" si="25"/>
        <v>7</v>
      </c>
      <c r="D43" s="736">
        <f t="shared" ca="1" si="25"/>
        <v>7.5</v>
      </c>
      <c r="E43" s="736">
        <f t="shared" ca="1" si="25"/>
        <v>0.9</v>
      </c>
      <c r="F43" s="736">
        <f t="shared" ca="1" si="25"/>
        <v>7.5</v>
      </c>
      <c r="G43" s="737">
        <f t="shared" ca="1" si="25"/>
        <v>7.4</v>
      </c>
      <c r="H43" s="738">
        <f t="shared" ca="1" si="25"/>
        <v>7.5</v>
      </c>
      <c r="I43" s="739">
        <f t="shared" ca="1" si="25"/>
        <v>7.4</v>
      </c>
      <c r="J43" s="799">
        <f t="shared" ca="1" si="25"/>
        <v>0.9</v>
      </c>
      <c r="K43" s="739">
        <f t="shared" ca="1" si="25"/>
        <v>7.4</v>
      </c>
      <c r="L43" s="739">
        <f t="shared" ca="1" si="25"/>
        <v>7.2</v>
      </c>
      <c r="M43" s="279">
        <f t="shared" ca="1" si="25"/>
        <v>6</v>
      </c>
      <c r="N43" s="280">
        <f t="shared" ca="1" si="25"/>
        <v>6</v>
      </c>
      <c r="O43" s="280">
        <f t="shared" ca="1" si="25"/>
        <v>1.6</v>
      </c>
      <c r="P43" s="280">
        <f t="shared" ca="1" si="25"/>
        <v>5.8</v>
      </c>
      <c r="Q43" s="282">
        <f t="shared" ca="1" si="25"/>
        <v>5.8</v>
      </c>
      <c r="R43" s="737">
        <f t="shared" ca="1" si="25"/>
        <v>6.2</v>
      </c>
      <c r="S43" s="736">
        <f t="shared" ca="1" si="25"/>
        <v>5.8</v>
      </c>
      <c r="T43" s="736">
        <f t="shared" ca="1" si="25"/>
        <v>1.6</v>
      </c>
      <c r="U43" s="736">
        <f t="shared" ca="1" si="25"/>
        <v>6.1</v>
      </c>
      <c r="V43" s="742">
        <f t="shared" ca="1" si="25"/>
        <v>6.1</v>
      </c>
      <c r="W43" s="581">
        <f t="shared" ca="1" si="24"/>
        <v>111.69999999999996</v>
      </c>
      <c r="X43" s="780"/>
      <c r="Y43" s="667"/>
      <c r="Z43" s="404"/>
      <c r="AA43" s="100"/>
      <c r="AB43" s="100"/>
      <c r="AC43" s="305"/>
      <c r="AD43" s="390"/>
      <c r="AE43" s="390"/>
      <c r="AF43" s="390"/>
      <c r="AG43" s="390"/>
      <c r="AH43" s="390"/>
      <c r="AI43" s="390"/>
      <c r="AJ43" s="390"/>
      <c r="AK43" s="390"/>
      <c r="AL43" s="390"/>
      <c r="AM43" s="390"/>
      <c r="AN43" s="100"/>
    </row>
    <row r="44" spans="1:41" ht="39.75" customHeight="1" x14ac:dyDescent="0.45">
      <c r="A44" s="450" t="s">
        <v>127</v>
      </c>
      <c r="B44" s="781">
        <f t="shared" si="26"/>
        <v>45725</v>
      </c>
      <c r="C44" s="735">
        <f t="shared" ca="1" si="25"/>
        <v>7</v>
      </c>
      <c r="D44" s="736">
        <f t="shared" ca="1" si="25"/>
        <v>7.5</v>
      </c>
      <c r="E44" s="736">
        <f t="shared" ca="1" si="25"/>
        <v>0.9</v>
      </c>
      <c r="F44" s="736">
        <f t="shared" ca="1" si="25"/>
        <v>7.5</v>
      </c>
      <c r="G44" s="737">
        <f t="shared" ca="1" si="25"/>
        <v>7.4</v>
      </c>
      <c r="H44" s="738">
        <f t="shared" ca="1" si="25"/>
        <v>7.5</v>
      </c>
      <c r="I44" s="739">
        <f t="shared" ca="1" si="25"/>
        <v>7.5</v>
      </c>
      <c r="J44" s="799">
        <f t="shared" ca="1" si="25"/>
        <v>0.9</v>
      </c>
      <c r="K44" s="739">
        <f t="shared" ca="1" si="25"/>
        <v>7.5</v>
      </c>
      <c r="L44" s="739">
        <f t="shared" ca="1" si="25"/>
        <v>7.2</v>
      </c>
      <c r="M44" s="279">
        <f t="shared" ca="1" si="25"/>
        <v>6</v>
      </c>
      <c r="N44" s="280">
        <f t="shared" ca="1" si="25"/>
        <v>6</v>
      </c>
      <c r="O44" s="280">
        <f t="shared" ca="1" si="25"/>
        <v>1.6</v>
      </c>
      <c r="P44" s="280">
        <f t="shared" ca="1" si="25"/>
        <v>5.8</v>
      </c>
      <c r="Q44" s="282">
        <f t="shared" ca="1" si="25"/>
        <v>5.8</v>
      </c>
      <c r="R44" s="737">
        <f t="shared" ca="1" si="25"/>
        <v>6.2</v>
      </c>
      <c r="S44" s="736">
        <f t="shared" ca="1" si="25"/>
        <v>5.9</v>
      </c>
      <c r="T44" s="736">
        <f t="shared" ca="1" si="25"/>
        <v>1.6</v>
      </c>
      <c r="U44" s="736">
        <f t="shared" ca="1" si="25"/>
        <v>6.2</v>
      </c>
      <c r="V44" s="742">
        <f t="shared" ca="1" si="25"/>
        <v>6.1</v>
      </c>
      <c r="W44" s="581">
        <f t="shared" ca="1" si="24"/>
        <v>112.1</v>
      </c>
      <c r="X44" s="780"/>
      <c r="Y44" s="667"/>
      <c r="Z44" s="404"/>
      <c r="AA44" s="100"/>
      <c r="AB44" s="100"/>
      <c r="AC44" s="305"/>
      <c r="AD44" s="390"/>
      <c r="AE44" s="390"/>
      <c r="AF44" s="390"/>
      <c r="AG44" s="390"/>
      <c r="AH44" s="390"/>
      <c r="AI44" s="390"/>
      <c r="AJ44" s="390"/>
      <c r="AK44" s="390"/>
      <c r="AL44" s="390"/>
      <c r="AM44" s="390"/>
      <c r="AN44" s="100"/>
    </row>
    <row r="45" spans="1:41" ht="39.75" customHeight="1" x14ac:dyDescent="0.45">
      <c r="A45" s="450" t="s">
        <v>128</v>
      </c>
      <c r="B45" s="781">
        <f t="shared" si="26"/>
        <v>45726</v>
      </c>
      <c r="C45" s="735">
        <f t="shared" ca="1" si="25"/>
        <v>7</v>
      </c>
      <c r="D45" s="736">
        <f t="shared" ca="1" si="25"/>
        <v>7.5</v>
      </c>
      <c r="E45" s="736">
        <f t="shared" ca="1" si="25"/>
        <v>0.9</v>
      </c>
      <c r="F45" s="736">
        <f t="shared" ca="1" si="25"/>
        <v>7.5</v>
      </c>
      <c r="G45" s="737">
        <f t="shared" ca="1" si="25"/>
        <v>7.4</v>
      </c>
      <c r="H45" s="738">
        <f t="shared" ca="1" si="25"/>
        <v>7.5</v>
      </c>
      <c r="I45" s="739">
        <f t="shared" ca="1" si="25"/>
        <v>7.5</v>
      </c>
      <c r="J45" s="799">
        <f t="shared" ca="1" si="25"/>
        <v>0.9</v>
      </c>
      <c r="K45" s="739">
        <f t="shared" ca="1" si="25"/>
        <v>7.5</v>
      </c>
      <c r="L45" s="739">
        <f t="shared" ca="1" si="25"/>
        <v>7.2</v>
      </c>
      <c r="M45" s="279">
        <f t="shared" ca="1" si="25"/>
        <v>6</v>
      </c>
      <c r="N45" s="280">
        <f t="shared" ca="1" si="25"/>
        <v>6</v>
      </c>
      <c r="O45" s="280">
        <f t="shared" ca="1" si="25"/>
        <v>1.6</v>
      </c>
      <c r="P45" s="280">
        <f t="shared" ca="1" si="25"/>
        <v>5.9</v>
      </c>
      <c r="Q45" s="282">
        <f t="shared" ca="1" si="25"/>
        <v>5.8</v>
      </c>
      <c r="R45" s="737">
        <f t="shared" ca="1" si="25"/>
        <v>6.3</v>
      </c>
      <c r="S45" s="736">
        <f t="shared" ca="1" si="25"/>
        <v>5.9</v>
      </c>
      <c r="T45" s="736">
        <f t="shared" ca="1" si="25"/>
        <v>1.6</v>
      </c>
      <c r="U45" s="736">
        <f t="shared" ca="1" si="25"/>
        <v>6.2</v>
      </c>
      <c r="V45" s="742">
        <f t="shared" ca="1" si="25"/>
        <v>6.1</v>
      </c>
      <c r="W45" s="581">
        <f t="shared" ca="1" si="24"/>
        <v>112.3</v>
      </c>
      <c r="X45" s="780"/>
      <c r="Y45" s="667"/>
      <c r="Z45" s="404"/>
      <c r="AA45" s="100"/>
      <c r="AB45" s="100"/>
      <c r="AC45" s="305"/>
      <c r="AD45" s="390"/>
      <c r="AE45" s="390"/>
      <c r="AF45" s="390"/>
      <c r="AG45" s="390"/>
      <c r="AH45" s="390"/>
      <c r="AI45" s="390"/>
      <c r="AJ45" s="390"/>
      <c r="AK45" s="390"/>
      <c r="AL45" s="390"/>
      <c r="AM45" s="390"/>
      <c r="AN45" s="100"/>
    </row>
    <row r="46" spans="1:41" ht="39.75" customHeight="1" thickBot="1" x14ac:dyDescent="0.5">
      <c r="A46" s="450" t="s">
        <v>129</v>
      </c>
      <c r="B46" s="781">
        <f t="shared" si="26"/>
        <v>45727</v>
      </c>
      <c r="C46" s="735">
        <f t="shared" ca="1" si="25"/>
        <v>7</v>
      </c>
      <c r="D46" s="736">
        <f t="shared" ca="1" si="25"/>
        <v>7.5</v>
      </c>
      <c r="E46" s="736">
        <f t="shared" ca="1" si="25"/>
        <v>0.9</v>
      </c>
      <c r="F46" s="736">
        <f t="shared" ca="1" si="25"/>
        <v>7.5</v>
      </c>
      <c r="G46" s="737">
        <f t="shared" ca="1" si="25"/>
        <v>7.4</v>
      </c>
      <c r="H46" s="738">
        <f t="shared" ca="1" si="25"/>
        <v>7.5</v>
      </c>
      <c r="I46" s="739">
        <f t="shared" ca="1" si="25"/>
        <v>7.5</v>
      </c>
      <c r="J46" s="799">
        <f t="shared" ca="1" si="25"/>
        <v>1</v>
      </c>
      <c r="K46" s="739">
        <f t="shared" ca="1" si="25"/>
        <v>7.5</v>
      </c>
      <c r="L46" s="739">
        <f t="shared" ca="1" si="25"/>
        <v>7.3</v>
      </c>
      <c r="M46" s="279">
        <f t="shared" ca="1" si="25"/>
        <v>6</v>
      </c>
      <c r="N46" s="280">
        <f t="shared" ca="1" si="25"/>
        <v>6</v>
      </c>
      <c r="O46" s="280">
        <f t="shared" ca="1" si="25"/>
        <v>1.6</v>
      </c>
      <c r="P46" s="280">
        <f t="shared" ca="1" si="25"/>
        <v>5.9</v>
      </c>
      <c r="Q46" s="282">
        <f t="shared" ca="1" si="25"/>
        <v>5.8</v>
      </c>
      <c r="R46" s="737">
        <f t="shared" ca="1" si="25"/>
        <v>6.3</v>
      </c>
      <c r="S46" s="736">
        <f t="shared" ca="1" si="25"/>
        <v>5.9</v>
      </c>
      <c r="T46" s="736">
        <f t="shared" ca="1" si="25"/>
        <v>1.6</v>
      </c>
      <c r="U46" s="736">
        <f t="shared" ca="1" si="25"/>
        <v>6.2</v>
      </c>
      <c r="V46" s="742">
        <f t="shared" ca="1" si="25"/>
        <v>6.2</v>
      </c>
      <c r="W46" s="581">
        <f t="shared" ca="1" si="24"/>
        <v>112.6</v>
      </c>
      <c r="X46" s="780"/>
      <c r="Y46" s="667"/>
      <c r="Z46" s="404"/>
      <c r="AA46" s="100"/>
      <c r="AB46" s="100"/>
      <c r="AC46" s="305"/>
      <c r="AD46" s="390"/>
      <c r="AE46" s="390"/>
      <c r="AF46" s="390"/>
      <c r="AG46" s="390"/>
      <c r="AH46" s="390"/>
      <c r="AI46" s="390"/>
      <c r="AJ46" s="390"/>
      <c r="AK46" s="390"/>
      <c r="AL46" s="390"/>
      <c r="AM46" s="390"/>
      <c r="AN46" s="100"/>
    </row>
    <row r="47" spans="1:41" ht="39.75" customHeight="1" thickBot="1" x14ac:dyDescent="0.3">
      <c r="A47" s="1053" t="s">
        <v>9</v>
      </c>
      <c r="B47" s="1054"/>
      <c r="C47" s="493">
        <f t="shared" ref="C47:F47" ca="1" si="27">SUM(C40:C46)</f>
        <v>49.1</v>
      </c>
      <c r="D47" s="494">
        <f t="shared" ca="1" si="27"/>
        <v>52.3</v>
      </c>
      <c r="E47" s="494">
        <f t="shared" ca="1" si="27"/>
        <v>6.8000000000000016</v>
      </c>
      <c r="F47" s="494">
        <f t="shared" ca="1" si="27"/>
        <v>52.3</v>
      </c>
      <c r="G47" s="768">
        <f ca="1">SUM(G40:G46)</f>
        <v>51.8</v>
      </c>
      <c r="H47" s="493">
        <f t="shared" ref="H47:K47" ca="1" si="28">SUM(H40:H46)</f>
        <v>52.5</v>
      </c>
      <c r="I47" s="494">
        <f t="shared" ca="1" si="28"/>
        <v>52.3</v>
      </c>
      <c r="J47" s="494">
        <f t="shared" ca="1" si="28"/>
        <v>6.8000000000000007</v>
      </c>
      <c r="K47" s="494">
        <f t="shared" ca="1" si="28"/>
        <v>52.3</v>
      </c>
      <c r="L47" s="768">
        <f ca="1">SUM(L40:L46)</f>
        <v>50.7</v>
      </c>
      <c r="M47" s="493">
        <f t="shared" ref="M47:P47" ca="1" si="29">SUM(M40:M46)</f>
        <v>42.2</v>
      </c>
      <c r="N47" s="494">
        <f t="shared" ca="1" si="29"/>
        <v>42.1</v>
      </c>
      <c r="O47" s="494">
        <f t="shared" ca="1" si="29"/>
        <v>11.399999999999999</v>
      </c>
      <c r="P47" s="494">
        <f t="shared" ca="1" si="29"/>
        <v>41</v>
      </c>
      <c r="Q47" s="840">
        <f ca="1">SUM(Q40:Q46)</f>
        <v>40.599999999999994</v>
      </c>
      <c r="R47" s="843">
        <f t="shared" ref="R47:U47" ca="1" si="30">SUM(R40:R46)</f>
        <v>43.399999999999991</v>
      </c>
      <c r="S47" s="766">
        <f t="shared" ca="1" si="30"/>
        <v>42.1</v>
      </c>
      <c r="T47" s="766">
        <f t="shared" ca="1" si="30"/>
        <v>11.399999999999999</v>
      </c>
      <c r="U47" s="766">
        <f t="shared" ca="1" si="30"/>
        <v>43.2</v>
      </c>
      <c r="V47" s="844">
        <f ca="1">SUM(V40:V46)</f>
        <v>42.800000000000004</v>
      </c>
      <c r="W47" s="495">
        <f ca="1">SUM(W40:W46)</f>
        <v>787.09999999999991</v>
      </c>
      <c r="X47" s="667"/>
      <c r="Y47" s="667"/>
      <c r="Z47" s="789"/>
      <c r="AA47" s="789"/>
      <c r="AB47" s="789"/>
      <c r="AC47" s="305"/>
      <c r="AD47" s="390"/>
      <c r="AE47" s="390"/>
      <c r="AF47" s="390"/>
      <c r="AG47" s="390"/>
      <c r="AH47" s="390"/>
      <c r="AI47" s="390"/>
      <c r="AJ47" s="390"/>
      <c r="AK47" s="390"/>
      <c r="AL47" s="390"/>
      <c r="AM47" s="390"/>
      <c r="AN47" s="100"/>
    </row>
    <row r="48" spans="1:41" ht="39.75" customHeight="1" thickBot="1" x14ac:dyDescent="0.3">
      <c r="A48" s="1049" t="s">
        <v>52</v>
      </c>
      <c r="B48" s="1055"/>
      <c r="C48" s="803">
        <f ca="1">INDIRECT("'SEM " &amp; $O$5 &amp; "'!" &amp; ADDRESS(69, COLUMN(B69)))</f>
        <v>43</v>
      </c>
      <c r="D48" s="773">
        <f t="shared" ref="D48:V48" ca="1" si="31">INDIRECT("'SEM " &amp; $O$5 &amp; "'!" &amp; ADDRESS(69, COLUMN(C69)))</f>
        <v>46</v>
      </c>
      <c r="E48" s="773">
        <f t="shared" ca="1" si="31"/>
        <v>6</v>
      </c>
      <c r="F48" s="773">
        <f t="shared" ca="1" si="31"/>
        <v>46</v>
      </c>
      <c r="G48" s="774">
        <f t="shared" ca="1" si="31"/>
        <v>46</v>
      </c>
      <c r="H48" s="772">
        <f t="shared" ca="1" si="31"/>
        <v>46</v>
      </c>
      <c r="I48" s="773">
        <f t="shared" ca="1" si="31"/>
        <v>46</v>
      </c>
      <c r="J48" s="773">
        <f t="shared" ca="1" si="31"/>
        <v>6</v>
      </c>
      <c r="K48" s="773">
        <f t="shared" ca="1" si="31"/>
        <v>46</v>
      </c>
      <c r="L48" s="774">
        <f t="shared" ca="1" si="31"/>
        <v>45</v>
      </c>
      <c r="M48" s="772">
        <f t="shared" ca="1" si="31"/>
        <v>37</v>
      </c>
      <c r="N48" s="773">
        <f t="shared" ca="1" si="31"/>
        <v>37</v>
      </c>
      <c r="O48" s="773">
        <f t="shared" ca="1" si="31"/>
        <v>10</v>
      </c>
      <c r="P48" s="773">
        <f t="shared" ca="1" si="31"/>
        <v>36</v>
      </c>
      <c r="Q48" s="841">
        <f t="shared" ca="1" si="31"/>
        <v>36</v>
      </c>
      <c r="R48" s="772">
        <f t="shared" ca="1" si="31"/>
        <v>38</v>
      </c>
      <c r="S48" s="773">
        <f t="shared" ca="1" si="31"/>
        <v>37</v>
      </c>
      <c r="T48" s="773">
        <f t="shared" ca="1" si="31"/>
        <v>10</v>
      </c>
      <c r="U48" s="773">
        <f t="shared" ca="1" si="31"/>
        <v>38</v>
      </c>
      <c r="V48" s="774">
        <f t="shared" ca="1" si="31"/>
        <v>38</v>
      </c>
      <c r="W48" s="775">
        <f ca="1">SUM(C48:V48)</f>
        <v>693</v>
      </c>
      <c r="X48" s="308"/>
      <c r="Y48" s="660"/>
      <c r="Z48" s="789"/>
      <c r="AA48" s="789"/>
      <c r="AB48" s="789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</row>
    <row r="49" spans="3:28" x14ac:dyDescent="0.25">
      <c r="Z49" s="789"/>
      <c r="AA49" s="789"/>
      <c r="AB49" s="789"/>
    </row>
    <row r="50" spans="3:28" x14ac:dyDescent="0.25">
      <c r="C50" s="104"/>
      <c r="D50" s="104"/>
      <c r="E50" s="104"/>
      <c r="F50" s="104"/>
      <c r="G50" s="104"/>
    </row>
    <row r="51" spans="3:28" x14ac:dyDescent="0.25">
      <c r="C51" s="104"/>
      <c r="D51" s="104"/>
      <c r="E51" s="104"/>
      <c r="F51" s="104"/>
      <c r="G51" s="104"/>
    </row>
  </sheetData>
  <mergeCells count="46">
    <mergeCell ref="B1:B3"/>
    <mergeCell ref="C1:M1"/>
    <mergeCell ref="N1:R1"/>
    <mergeCell ref="S1:W6"/>
    <mergeCell ref="X1:AA6"/>
    <mergeCell ref="C2:M3"/>
    <mergeCell ref="N2:R2"/>
    <mergeCell ref="N3:R3"/>
    <mergeCell ref="C5:D5"/>
    <mergeCell ref="H5:I5"/>
    <mergeCell ref="C7:D7"/>
    <mergeCell ref="H7:K7"/>
    <mergeCell ref="M7:O7"/>
    <mergeCell ref="P7:S7"/>
    <mergeCell ref="A9:B9"/>
    <mergeCell ref="C9:H9"/>
    <mergeCell ref="I9:I10"/>
    <mergeCell ref="J9:O9"/>
    <mergeCell ref="P9:P10"/>
    <mergeCell ref="Q9:U9"/>
    <mergeCell ref="V9:Z9"/>
    <mergeCell ref="A10:B10"/>
    <mergeCell ref="A18:B18"/>
    <mergeCell ref="A19:B19"/>
    <mergeCell ref="A20:B24"/>
    <mergeCell ref="C20:X23"/>
    <mergeCell ref="A25:B25"/>
    <mergeCell ref="C25:H25"/>
    <mergeCell ref="J25:K25"/>
    <mergeCell ref="L25:Q25"/>
    <mergeCell ref="A26:B26"/>
    <mergeCell ref="J26:K26"/>
    <mergeCell ref="M38:Q38"/>
    <mergeCell ref="R38:V38"/>
    <mergeCell ref="A39:B39"/>
    <mergeCell ref="S26:AA35"/>
    <mergeCell ref="A34:B34"/>
    <mergeCell ref="J34:K34"/>
    <mergeCell ref="A35:B35"/>
    <mergeCell ref="J35:K35"/>
    <mergeCell ref="A36:B37"/>
    <mergeCell ref="A47:B47"/>
    <mergeCell ref="A48:B48"/>
    <mergeCell ref="A38:B38"/>
    <mergeCell ref="C38:G38"/>
    <mergeCell ref="H38:L38"/>
  </mergeCells>
  <pageMargins left="0.25" right="0.25" top="0.75" bottom="0.75" header="0.3" footer="0.3"/>
  <pageSetup scale="26" orientation="landscape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O51"/>
  <sheetViews>
    <sheetView view="pageBreakPreview" topLeftCell="A4" zoomScale="32" zoomScaleNormal="32" zoomScaleSheetLayoutView="32" zoomScalePageLayoutView="55" workbookViewId="0">
      <selection activeCell="D19" sqref="D19"/>
    </sheetView>
  </sheetViews>
  <sheetFormatPr baseColWidth="10" defaultRowHeight="30" x14ac:dyDescent="0.25"/>
  <cols>
    <col min="1" max="1" width="13.7109375" bestFit="1" customWidth="1"/>
    <col min="2" max="2" width="30.140625" style="100" customWidth="1"/>
    <col min="3" max="3" width="18.5703125" style="100" customWidth="1"/>
    <col min="4" max="4" width="15.7109375" style="100" bestFit="1" customWidth="1"/>
    <col min="5" max="5" width="14.28515625" style="100" customWidth="1"/>
    <col min="6" max="6" width="15.7109375" style="100" bestFit="1" customWidth="1"/>
    <col min="7" max="7" width="17.85546875" style="100" customWidth="1"/>
    <col min="8" max="8" width="20.42578125" style="100" customWidth="1"/>
    <col min="9" max="9" width="30.5703125" style="100" customWidth="1"/>
    <col min="10" max="10" width="15.85546875" style="100" customWidth="1"/>
    <col min="11" max="11" width="33" style="100" customWidth="1"/>
    <col min="12" max="15" width="14.28515625" style="100" customWidth="1"/>
    <col min="16" max="16" width="20.140625" style="100" customWidth="1"/>
    <col min="17" max="17" width="20.42578125" style="100" customWidth="1"/>
    <col min="18" max="18" width="16.85546875" style="100" customWidth="1"/>
    <col min="19" max="19" width="14.28515625" style="100" customWidth="1"/>
    <col min="20" max="22" width="15.7109375" style="100" bestFit="1" customWidth="1"/>
    <col min="23" max="23" width="17.5703125" style="100" customWidth="1"/>
    <col min="24" max="24" width="21.42578125" style="100" customWidth="1"/>
    <col min="25" max="25" width="15.7109375" style="100" bestFit="1" customWidth="1"/>
    <col min="26" max="26" width="15.7109375" bestFit="1" customWidth="1"/>
    <col min="27" max="27" width="21.28515625" bestFit="1" customWidth="1"/>
    <col min="28" max="28" width="31.85546875" customWidth="1"/>
    <col min="29" max="29" width="16.28515625" bestFit="1" customWidth="1"/>
    <col min="30" max="30" width="35.5703125" customWidth="1"/>
    <col min="31" max="31" width="20" customWidth="1"/>
    <col min="32" max="32" width="20.42578125" customWidth="1"/>
  </cols>
  <sheetData>
    <row r="1" spans="1:33" ht="39.75" customHeight="1" x14ac:dyDescent="0.25">
      <c r="A1" s="782"/>
      <c r="B1" s="1004"/>
      <c r="C1" s="1017" t="s">
        <v>36</v>
      </c>
      <c r="D1" s="1017"/>
      <c r="E1" s="1017"/>
      <c r="F1" s="1017"/>
      <c r="G1" s="1017"/>
      <c r="H1" s="1017"/>
      <c r="I1" s="1017"/>
      <c r="J1" s="1017"/>
      <c r="K1" s="1017"/>
      <c r="L1" s="1017"/>
      <c r="M1" s="1018"/>
      <c r="N1" s="1006" t="s">
        <v>37</v>
      </c>
      <c r="O1" s="1007"/>
      <c r="P1" s="1007"/>
      <c r="Q1" s="1007"/>
      <c r="R1" s="1008"/>
      <c r="S1" s="1046" t="s">
        <v>115</v>
      </c>
      <c r="T1" s="1040"/>
      <c r="U1" s="1040"/>
      <c r="V1" s="1040"/>
      <c r="W1" s="1041"/>
      <c r="X1" s="1040" t="s">
        <v>116</v>
      </c>
      <c r="Y1" s="1040"/>
      <c r="Z1" s="1040"/>
      <c r="AA1" s="1041"/>
    </row>
    <row r="2" spans="1:33" ht="39.75" customHeight="1" x14ac:dyDescent="0.25">
      <c r="A2" s="783"/>
      <c r="B2" s="1005"/>
      <c r="C2" s="1019" t="s">
        <v>38</v>
      </c>
      <c r="D2" s="1019"/>
      <c r="E2" s="1019"/>
      <c r="F2" s="1019"/>
      <c r="G2" s="1019"/>
      <c r="H2" s="1019"/>
      <c r="I2" s="1019"/>
      <c r="J2" s="1019"/>
      <c r="K2" s="1019"/>
      <c r="L2" s="1019"/>
      <c r="M2" s="1020"/>
      <c r="N2" s="1009" t="s">
        <v>39</v>
      </c>
      <c r="O2" s="1010"/>
      <c r="P2" s="1010"/>
      <c r="Q2" s="1010"/>
      <c r="R2" s="1011"/>
      <c r="S2" s="1047"/>
      <c r="T2" s="1042"/>
      <c r="U2" s="1042"/>
      <c r="V2" s="1042"/>
      <c r="W2" s="1043"/>
      <c r="X2" s="1042"/>
      <c r="Y2" s="1042"/>
      <c r="Z2" s="1042"/>
      <c r="AA2" s="1043"/>
    </row>
    <row r="3" spans="1:33" ht="39.75" customHeight="1" thickBot="1" x14ac:dyDescent="0.3">
      <c r="A3" s="783"/>
      <c r="B3" s="1005"/>
      <c r="C3" s="1015"/>
      <c r="D3" s="1015"/>
      <c r="E3" s="1015"/>
      <c r="F3" s="1015"/>
      <c r="G3" s="1015"/>
      <c r="H3" s="1015"/>
      <c r="I3" s="1015"/>
      <c r="J3" s="1015"/>
      <c r="K3" s="1015"/>
      <c r="L3" s="1015"/>
      <c r="M3" s="1021"/>
      <c r="N3" s="1012" t="s">
        <v>40</v>
      </c>
      <c r="O3" s="1013"/>
      <c r="P3" s="1013"/>
      <c r="Q3" s="1013"/>
      <c r="R3" s="1014"/>
      <c r="S3" s="1047"/>
      <c r="T3" s="1042"/>
      <c r="U3" s="1042"/>
      <c r="V3" s="1042"/>
      <c r="W3" s="1043"/>
      <c r="X3" s="1042"/>
      <c r="Y3" s="1042"/>
      <c r="Z3" s="1042"/>
      <c r="AA3" s="1043"/>
    </row>
    <row r="4" spans="1:33" ht="39.75" customHeight="1" x14ac:dyDescent="0.25">
      <c r="A4" s="783"/>
      <c r="B4" s="784"/>
      <c r="C4" s="101"/>
      <c r="D4" s="101"/>
      <c r="E4" s="101"/>
      <c r="F4" s="101"/>
      <c r="G4" s="101"/>
      <c r="H4" s="101"/>
      <c r="I4" s="101"/>
      <c r="J4" s="101"/>
      <c r="K4" s="101"/>
      <c r="L4" s="101"/>
      <c r="M4" s="101"/>
      <c r="N4" s="417"/>
      <c r="O4" s="417"/>
      <c r="P4" s="417"/>
      <c r="Q4" s="417"/>
      <c r="R4" s="417"/>
      <c r="S4" s="1047"/>
      <c r="T4" s="1042"/>
      <c r="U4" s="1042"/>
      <c r="V4" s="1042"/>
      <c r="W4" s="1043"/>
      <c r="X4" s="1042"/>
      <c r="Y4" s="1042"/>
      <c r="Z4" s="1042"/>
      <c r="AA4" s="1043"/>
    </row>
    <row r="5" spans="1:33" ht="39.75" customHeight="1" x14ac:dyDescent="0.25">
      <c r="A5" s="783"/>
      <c r="B5" s="785" t="s">
        <v>41</v>
      </c>
      <c r="C5" s="1015">
        <v>1</v>
      </c>
      <c r="D5" s="1015"/>
      <c r="E5" s="377"/>
      <c r="F5" s="377"/>
      <c r="G5" s="377" t="s">
        <v>42</v>
      </c>
      <c r="H5" s="1016" t="s">
        <v>51</v>
      </c>
      <c r="I5" s="1016"/>
      <c r="J5" s="303"/>
      <c r="K5" s="303"/>
      <c r="L5" s="303"/>
      <c r="M5" s="304"/>
      <c r="N5" s="377" t="s">
        <v>43</v>
      </c>
      <c r="O5" s="776">
        <v>52</v>
      </c>
      <c r="P5" s="777"/>
      <c r="S5" s="1047"/>
      <c r="T5" s="1042"/>
      <c r="U5" s="1042"/>
      <c r="V5" s="1042"/>
      <c r="W5" s="1043"/>
      <c r="X5" s="1042"/>
      <c r="Y5" s="1042"/>
      <c r="Z5" s="1042"/>
      <c r="AA5" s="1043"/>
    </row>
    <row r="6" spans="1:33" ht="39.75" customHeight="1" thickBot="1" x14ac:dyDescent="0.3">
      <c r="A6" s="783"/>
      <c r="B6" s="785"/>
      <c r="C6" s="377"/>
      <c r="D6" s="377"/>
      <c r="E6" s="377"/>
      <c r="F6" s="377"/>
      <c r="G6" s="377"/>
      <c r="H6" s="377"/>
      <c r="I6" s="377"/>
      <c r="J6" s="377"/>
      <c r="K6" s="377"/>
      <c r="L6" s="377"/>
      <c r="M6" s="377"/>
      <c r="N6" s="377"/>
      <c r="O6" s="377"/>
      <c r="P6" s="377"/>
      <c r="Q6" s="377"/>
      <c r="R6" s="377"/>
      <c r="S6" s="1048"/>
      <c r="T6" s="1044"/>
      <c r="U6" s="1044"/>
      <c r="V6" s="1044"/>
      <c r="W6" s="1045"/>
      <c r="X6" s="1044"/>
      <c r="Y6" s="1044"/>
      <c r="Z6" s="1044"/>
      <c r="AA6" s="1045"/>
    </row>
    <row r="7" spans="1:33" ht="39.75" customHeight="1" x14ac:dyDescent="0.25">
      <c r="A7" s="783"/>
      <c r="B7" s="786" t="s">
        <v>44</v>
      </c>
      <c r="C7" s="1022" t="s">
        <v>2</v>
      </c>
      <c r="D7" s="1022"/>
      <c r="E7" s="305"/>
      <c r="F7" s="305"/>
      <c r="G7" s="377" t="s">
        <v>45</v>
      </c>
      <c r="H7" s="1023">
        <v>45695</v>
      </c>
      <c r="I7" s="1016"/>
      <c r="J7" s="1016"/>
      <c r="K7" s="1016"/>
      <c r="L7" s="303"/>
      <c r="M7" s="1025" t="s">
        <v>46</v>
      </c>
      <c r="N7" s="1025"/>
      <c r="O7" s="1025"/>
      <c r="P7" s="1024" t="s">
        <v>121</v>
      </c>
      <c r="Q7" s="1024"/>
      <c r="R7" s="1024"/>
      <c r="S7" s="1024"/>
      <c r="T7" s="306"/>
      <c r="U7" s="417"/>
      <c r="V7" s="417"/>
      <c r="W7" s="417"/>
      <c r="X7" s="417"/>
      <c r="Y7" s="417"/>
    </row>
    <row r="8" spans="1:33" ht="39.75" customHeight="1" thickBot="1" x14ac:dyDescent="0.3">
      <c r="A8" s="787"/>
      <c r="B8" s="788"/>
      <c r="C8" s="377"/>
      <c r="D8" s="377"/>
      <c r="E8" s="377"/>
      <c r="F8" s="377"/>
      <c r="G8" s="377"/>
      <c r="H8" s="377"/>
      <c r="I8" s="377"/>
      <c r="J8" s="377"/>
      <c r="K8" s="377"/>
      <c r="L8" s="377"/>
      <c r="M8" s="377"/>
      <c r="N8" s="377"/>
      <c r="O8" s="377"/>
      <c r="P8" s="377"/>
      <c r="Q8" s="377"/>
      <c r="R8" s="377"/>
      <c r="S8" s="377"/>
      <c r="T8" s="377"/>
      <c r="U8" s="417"/>
      <c r="V8" s="417"/>
      <c r="W8" s="417"/>
      <c r="X8" s="417"/>
      <c r="Y8" s="417"/>
    </row>
    <row r="9" spans="1:33" ht="39.75" customHeight="1" thickBot="1" x14ac:dyDescent="0.3">
      <c r="A9" s="1059" t="s">
        <v>47</v>
      </c>
      <c r="B9" s="1060"/>
      <c r="C9" s="1031" t="s">
        <v>8</v>
      </c>
      <c r="D9" s="1026"/>
      <c r="E9" s="1026"/>
      <c r="F9" s="1026"/>
      <c r="G9" s="1026"/>
      <c r="H9" s="1027"/>
      <c r="I9" s="1032" t="s">
        <v>109</v>
      </c>
      <c r="J9" s="1031" t="s">
        <v>30</v>
      </c>
      <c r="K9" s="1026"/>
      <c r="L9" s="1026"/>
      <c r="M9" s="1026"/>
      <c r="N9" s="1026"/>
      <c r="O9" s="1027"/>
      <c r="P9" s="1034" t="s">
        <v>109</v>
      </c>
      <c r="Q9" s="1026" t="s">
        <v>29</v>
      </c>
      <c r="R9" s="1026"/>
      <c r="S9" s="1026"/>
      <c r="T9" s="1026"/>
      <c r="U9" s="1027"/>
      <c r="V9" s="1031" t="s">
        <v>31</v>
      </c>
      <c r="W9" s="1026"/>
      <c r="X9" s="1026"/>
      <c r="Y9" s="1026"/>
      <c r="Z9" s="1027"/>
      <c r="AA9" s="410"/>
    </row>
    <row r="10" spans="1:33" ht="39.75" customHeight="1" thickBot="1" x14ac:dyDescent="0.3">
      <c r="A10" s="1051" t="s">
        <v>48</v>
      </c>
      <c r="B10" s="1058"/>
      <c r="C10" s="535" t="s">
        <v>100</v>
      </c>
      <c r="D10" s="164">
        <v>1</v>
      </c>
      <c r="E10" s="164">
        <v>2</v>
      </c>
      <c r="F10" s="164">
        <v>3</v>
      </c>
      <c r="G10" s="164">
        <v>4</v>
      </c>
      <c r="H10" s="165">
        <v>5</v>
      </c>
      <c r="I10" s="1033"/>
      <c r="J10" s="535" t="s">
        <v>100</v>
      </c>
      <c r="K10" s="164">
        <v>1</v>
      </c>
      <c r="L10" s="164">
        <v>2</v>
      </c>
      <c r="M10" s="164">
        <v>3</v>
      </c>
      <c r="N10" s="164">
        <v>4</v>
      </c>
      <c r="O10" s="165">
        <v>5</v>
      </c>
      <c r="P10" s="1035"/>
      <c r="Q10" s="245">
        <v>1</v>
      </c>
      <c r="R10" s="242">
        <v>2</v>
      </c>
      <c r="S10" s="242">
        <v>3</v>
      </c>
      <c r="T10" s="242">
        <v>4</v>
      </c>
      <c r="U10" s="243">
        <v>5</v>
      </c>
      <c r="V10" s="406">
        <v>1</v>
      </c>
      <c r="W10" s="407">
        <v>2</v>
      </c>
      <c r="X10" s="407">
        <v>3</v>
      </c>
      <c r="Y10" s="407">
        <v>4</v>
      </c>
      <c r="Z10" s="408">
        <v>5</v>
      </c>
      <c r="AA10" s="409" t="s">
        <v>9</v>
      </c>
      <c r="AB10" s="391"/>
    </row>
    <row r="11" spans="1:33" ht="39.75" customHeight="1" x14ac:dyDescent="0.25">
      <c r="A11" s="450" t="s">
        <v>130</v>
      </c>
      <c r="B11" s="781">
        <v>45693</v>
      </c>
      <c r="C11" s="743">
        <v>299</v>
      </c>
      <c r="D11" s="739">
        <v>14.5</v>
      </c>
      <c r="E11" s="739">
        <v>15.1</v>
      </c>
      <c r="F11" s="739">
        <v>2.6</v>
      </c>
      <c r="G11" s="739">
        <v>15.1</v>
      </c>
      <c r="H11" s="744">
        <v>15.2</v>
      </c>
      <c r="I11" s="506">
        <f t="shared" ref="I11" si="0">+SUM(C11:H11)</f>
        <v>361.50000000000006</v>
      </c>
      <c r="J11" s="745">
        <v>302</v>
      </c>
      <c r="K11" s="739">
        <v>14.8</v>
      </c>
      <c r="L11" s="739">
        <v>15</v>
      </c>
      <c r="M11" s="739">
        <v>2.7</v>
      </c>
      <c r="N11" s="739">
        <v>15</v>
      </c>
      <c r="O11" s="746">
        <v>15</v>
      </c>
      <c r="P11" s="506">
        <f t="shared" ref="P11" si="1">+SUM(J11:O11)</f>
        <v>364.5</v>
      </c>
      <c r="Q11" s="747">
        <v>72.7</v>
      </c>
      <c r="R11" s="459">
        <v>72.400000000000006</v>
      </c>
      <c r="S11" s="739">
        <v>19.100000000000001</v>
      </c>
      <c r="T11" s="739">
        <v>72.900000000000006</v>
      </c>
      <c r="U11" s="746">
        <v>73.3</v>
      </c>
      <c r="V11" s="748">
        <v>73.8</v>
      </c>
      <c r="W11" s="739">
        <v>77.2</v>
      </c>
      <c r="X11" s="459">
        <v>16.2</v>
      </c>
      <c r="Y11" s="459">
        <v>76.5</v>
      </c>
      <c r="Z11" s="746">
        <v>77</v>
      </c>
      <c r="AA11" s="580">
        <f>SUM(C11:Z11)-I11-P11</f>
        <v>1357.1000000000004</v>
      </c>
      <c r="AB11" s="780"/>
      <c r="AC11" s="403"/>
      <c r="AD11" s="244"/>
      <c r="AE11" s="244"/>
      <c r="AF11" s="244"/>
      <c r="AG11" s="244"/>
    </row>
    <row r="12" spans="1:33" ht="39.75" customHeight="1" x14ac:dyDescent="0.25">
      <c r="A12" s="450" t="s">
        <v>124</v>
      </c>
      <c r="B12" s="781">
        <f>B11+1</f>
        <v>45694</v>
      </c>
      <c r="C12" s="743">
        <v>300.60000000000002</v>
      </c>
      <c r="D12" s="739">
        <v>13.8</v>
      </c>
      <c r="E12" s="739">
        <v>14.4</v>
      </c>
      <c r="F12" s="739">
        <v>2.2999999999999998</v>
      </c>
      <c r="G12" s="739">
        <v>14.4</v>
      </c>
      <c r="H12" s="744">
        <v>14.4</v>
      </c>
      <c r="I12" s="506">
        <f t="shared" ref="I12:I13" si="2">+SUM(C12:H12)</f>
        <v>359.9</v>
      </c>
      <c r="J12" s="745">
        <v>302.8</v>
      </c>
      <c r="K12" s="739">
        <v>14.1</v>
      </c>
      <c r="L12" s="739">
        <v>14.4</v>
      </c>
      <c r="M12" s="739">
        <v>2.2999999999999998</v>
      </c>
      <c r="N12" s="739">
        <v>14.4</v>
      </c>
      <c r="O12" s="746">
        <v>14.5</v>
      </c>
      <c r="P12" s="506">
        <f t="shared" ref="P12:P13" si="3">+SUM(J12:O12)</f>
        <v>362.5</v>
      </c>
      <c r="Q12" s="747">
        <v>72.7</v>
      </c>
      <c r="R12" s="459">
        <v>73.2</v>
      </c>
      <c r="S12" s="739">
        <v>19</v>
      </c>
      <c r="T12" s="739">
        <v>72.900000000000006</v>
      </c>
      <c r="U12" s="746">
        <v>73.2</v>
      </c>
      <c r="V12" s="748">
        <v>74.900000000000006</v>
      </c>
      <c r="W12" s="739">
        <v>77.900000000000006</v>
      </c>
      <c r="X12" s="459">
        <v>18.5</v>
      </c>
      <c r="Y12" s="459">
        <v>76.5</v>
      </c>
      <c r="Z12" s="746">
        <v>76.8</v>
      </c>
      <c r="AA12" s="582">
        <f t="shared" ref="AA12:AA17" si="4">SUM(C12:Z12)-I12-P12</f>
        <v>1358.0000000000005</v>
      </c>
      <c r="AB12" s="780"/>
      <c r="AC12" s="403"/>
      <c r="AD12" s="103"/>
      <c r="AE12" s="103"/>
      <c r="AF12" s="103"/>
      <c r="AG12" s="103"/>
    </row>
    <row r="13" spans="1:33" ht="39.75" customHeight="1" x14ac:dyDescent="0.25">
      <c r="A13" s="450" t="s">
        <v>125</v>
      </c>
      <c r="B13" s="781">
        <f t="shared" ref="B13:B17" si="5">B12+1</f>
        <v>45695</v>
      </c>
      <c r="C13" s="743">
        <v>300.60000000000002</v>
      </c>
      <c r="D13" s="739">
        <v>13.8</v>
      </c>
      <c r="E13" s="739">
        <v>14.4</v>
      </c>
      <c r="F13" s="739">
        <v>2.2999999999999998</v>
      </c>
      <c r="G13" s="739">
        <v>14.4</v>
      </c>
      <c r="H13" s="744">
        <v>14.4</v>
      </c>
      <c r="I13" s="506">
        <f t="shared" si="2"/>
        <v>359.9</v>
      </c>
      <c r="J13" s="745">
        <v>302.8</v>
      </c>
      <c r="K13" s="739">
        <v>14.1</v>
      </c>
      <c r="L13" s="739">
        <v>14.4</v>
      </c>
      <c r="M13" s="739">
        <v>2.2999999999999998</v>
      </c>
      <c r="N13" s="739">
        <v>14.4</v>
      </c>
      <c r="O13" s="746">
        <v>14.5</v>
      </c>
      <c r="P13" s="506">
        <f t="shared" si="3"/>
        <v>362.5</v>
      </c>
      <c r="Q13" s="747">
        <v>72.7</v>
      </c>
      <c r="R13" s="459">
        <v>73.3</v>
      </c>
      <c r="S13" s="739">
        <v>18.7</v>
      </c>
      <c r="T13" s="739">
        <v>72.900000000000006</v>
      </c>
      <c r="U13" s="746">
        <v>73.2</v>
      </c>
      <c r="V13" s="748">
        <v>74.900000000000006</v>
      </c>
      <c r="W13" s="739">
        <v>77.900000000000006</v>
      </c>
      <c r="X13" s="459">
        <v>18.5</v>
      </c>
      <c r="Y13" s="459">
        <v>76.5</v>
      </c>
      <c r="Z13" s="746">
        <v>76.8</v>
      </c>
      <c r="AA13" s="582">
        <f t="shared" si="4"/>
        <v>1357.8000000000002</v>
      </c>
      <c r="AB13" s="780"/>
      <c r="AC13" s="403"/>
      <c r="AD13" s="102"/>
      <c r="AE13" s="102"/>
      <c r="AF13" s="102"/>
      <c r="AG13" s="143"/>
    </row>
    <row r="14" spans="1:33" ht="39.75" customHeight="1" x14ac:dyDescent="0.25">
      <c r="A14" s="450" t="s">
        <v>126</v>
      </c>
      <c r="B14" s="781">
        <f t="shared" si="5"/>
        <v>45696</v>
      </c>
      <c r="C14" s="743">
        <v>300.60000000000002</v>
      </c>
      <c r="D14" s="739">
        <v>13.8</v>
      </c>
      <c r="E14" s="739">
        <v>14.4</v>
      </c>
      <c r="F14" s="739">
        <v>2.2999999999999998</v>
      </c>
      <c r="G14" s="739">
        <v>14.4</v>
      </c>
      <c r="H14" s="744">
        <v>14.4</v>
      </c>
      <c r="I14" s="506">
        <f t="shared" ref="I14:I17" si="6">+SUM(C14:H14)</f>
        <v>359.9</v>
      </c>
      <c r="J14" s="745">
        <v>302.8</v>
      </c>
      <c r="K14" s="739">
        <v>14.1</v>
      </c>
      <c r="L14" s="739">
        <v>14.4</v>
      </c>
      <c r="M14" s="739">
        <v>2.2999999999999998</v>
      </c>
      <c r="N14" s="739">
        <v>14.4</v>
      </c>
      <c r="O14" s="746">
        <v>14.5</v>
      </c>
      <c r="P14" s="506">
        <f t="shared" ref="P14:P17" si="7">+SUM(J14:O14)</f>
        <v>362.5</v>
      </c>
      <c r="Q14" s="747">
        <v>72.7</v>
      </c>
      <c r="R14" s="459">
        <v>73.3</v>
      </c>
      <c r="S14" s="739">
        <v>18.7</v>
      </c>
      <c r="T14" s="739">
        <v>72.599999999999994</v>
      </c>
      <c r="U14" s="746">
        <v>73.099999999999994</v>
      </c>
      <c r="V14" s="748">
        <v>74.8</v>
      </c>
      <c r="W14" s="739">
        <v>77.599999999999994</v>
      </c>
      <c r="X14" s="459">
        <v>18.5</v>
      </c>
      <c r="Y14" s="459">
        <v>76.5</v>
      </c>
      <c r="Z14" s="746">
        <v>76.8</v>
      </c>
      <c r="AA14" s="582">
        <f>SUM(C14:Z14)-I14-P14</f>
        <v>1356.9999999999995</v>
      </c>
      <c r="AB14" s="780"/>
      <c r="AC14" s="403"/>
      <c r="AD14" s="102"/>
      <c r="AE14" s="102"/>
      <c r="AF14" s="102"/>
      <c r="AG14" s="143"/>
    </row>
    <row r="15" spans="1:33" ht="39.75" customHeight="1" x14ac:dyDescent="0.25">
      <c r="A15" s="450" t="s">
        <v>127</v>
      </c>
      <c r="B15" s="781">
        <f t="shared" si="5"/>
        <v>45697</v>
      </c>
      <c r="C15" s="743">
        <v>300.60000000000002</v>
      </c>
      <c r="D15" s="739">
        <v>13.8</v>
      </c>
      <c r="E15" s="739">
        <v>14.4</v>
      </c>
      <c r="F15" s="739">
        <v>2.2999999999999998</v>
      </c>
      <c r="G15" s="739">
        <v>14.4</v>
      </c>
      <c r="H15" s="744">
        <v>14.4</v>
      </c>
      <c r="I15" s="506">
        <f t="shared" si="6"/>
        <v>359.9</v>
      </c>
      <c r="J15" s="745">
        <v>302.8</v>
      </c>
      <c r="K15" s="739">
        <v>14.1</v>
      </c>
      <c r="L15" s="739">
        <v>14.4</v>
      </c>
      <c r="M15" s="739">
        <v>2.2999999999999998</v>
      </c>
      <c r="N15" s="739">
        <v>14.4</v>
      </c>
      <c r="O15" s="746">
        <v>14.5</v>
      </c>
      <c r="P15" s="506">
        <f t="shared" si="7"/>
        <v>362.5</v>
      </c>
      <c r="Q15" s="747">
        <v>72.7</v>
      </c>
      <c r="R15" s="459">
        <v>73.3</v>
      </c>
      <c r="S15" s="739">
        <v>18.7</v>
      </c>
      <c r="T15" s="739">
        <v>72.5</v>
      </c>
      <c r="U15" s="746">
        <v>73.099999999999994</v>
      </c>
      <c r="V15" s="748">
        <v>74.8</v>
      </c>
      <c r="W15" s="739">
        <v>77.599999999999994</v>
      </c>
      <c r="X15" s="459">
        <v>18.5</v>
      </c>
      <c r="Y15" s="459">
        <v>76.599999999999994</v>
      </c>
      <c r="Z15" s="746">
        <v>76.8</v>
      </c>
      <c r="AA15" s="582">
        <f t="shared" si="4"/>
        <v>1356.9999999999995</v>
      </c>
      <c r="AB15" s="780"/>
      <c r="AC15" s="403"/>
      <c r="AD15" s="263"/>
      <c r="AE15" s="102"/>
      <c r="AF15" s="263"/>
      <c r="AG15" s="143"/>
    </row>
    <row r="16" spans="1:33" ht="39.75" customHeight="1" x14ac:dyDescent="0.25">
      <c r="A16" s="450" t="s">
        <v>128</v>
      </c>
      <c r="B16" s="781">
        <f t="shared" si="5"/>
        <v>45698</v>
      </c>
      <c r="C16" s="743">
        <v>300.60000000000002</v>
      </c>
      <c r="D16" s="739">
        <v>13.8</v>
      </c>
      <c r="E16" s="739">
        <v>14.4</v>
      </c>
      <c r="F16" s="739">
        <v>2.2999999999999998</v>
      </c>
      <c r="G16" s="739">
        <v>14.4</v>
      </c>
      <c r="H16" s="744">
        <v>14.4</v>
      </c>
      <c r="I16" s="506">
        <f t="shared" si="6"/>
        <v>359.9</v>
      </c>
      <c r="J16" s="745">
        <v>302.8</v>
      </c>
      <c r="K16" s="739">
        <v>14.1</v>
      </c>
      <c r="L16" s="739">
        <v>14.4</v>
      </c>
      <c r="M16" s="739">
        <v>2.2999999999999998</v>
      </c>
      <c r="N16" s="739">
        <v>14.4</v>
      </c>
      <c r="O16" s="746">
        <v>14.5</v>
      </c>
      <c r="P16" s="506">
        <f t="shared" si="7"/>
        <v>362.5</v>
      </c>
      <c r="Q16" s="747">
        <v>72.7</v>
      </c>
      <c r="R16" s="459">
        <v>73.3</v>
      </c>
      <c r="S16" s="739">
        <v>18.7</v>
      </c>
      <c r="T16" s="739">
        <v>72.5</v>
      </c>
      <c r="U16" s="746">
        <v>73.099999999999994</v>
      </c>
      <c r="V16" s="748">
        <v>74.8</v>
      </c>
      <c r="W16" s="739">
        <v>77.599999999999994</v>
      </c>
      <c r="X16" s="459">
        <v>18.5</v>
      </c>
      <c r="Y16" s="459">
        <v>76.599999999999994</v>
      </c>
      <c r="Z16" s="746">
        <v>76.8</v>
      </c>
      <c r="AA16" s="582">
        <f t="shared" si="4"/>
        <v>1356.9999999999995</v>
      </c>
      <c r="AB16" s="780"/>
      <c r="AC16" s="403"/>
      <c r="AD16" s="263"/>
      <c r="AE16" s="102"/>
      <c r="AF16" s="263"/>
      <c r="AG16" s="143"/>
    </row>
    <row r="17" spans="1:33" ht="39.75" customHeight="1" thickBot="1" x14ac:dyDescent="0.3">
      <c r="A17" s="450" t="s">
        <v>129</v>
      </c>
      <c r="B17" s="781">
        <f t="shared" si="5"/>
        <v>45699</v>
      </c>
      <c r="C17" s="743">
        <v>300.60000000000002</v>
      </c>
      <c r="D17" s="739">
        <v>13.8</v>
      </c>
      <c r="E17" s="739">
        <v>14.4</v>
      </c>
      <c r="F17" s="739">
        <v>2.2999999999999998</v>
      </c>
      <c r="G17" s="739">
        <v>14.4</v>
      </c>
      <c r="H17" s="744">
        <v>14.4</v>
      </c>
      <c r="I17" s="506">
        <f t="shared" si="6"/>
        <v>359.9</v>
      </c>
      <c r="J17" s="745">
        <v>302.8</v>
      </c>
      <c r="K17" s="739">
        <v>14.1</v>
      </c>
      <c r="L17" s="739">
        <v>14.4</v>
      </c>
      <c r="M17" s="739">
        <v>2.2999999999999998</v>
      </c>
      <c r="N17" s="739">
        <v>14.4</v>
      </c>
      <c r="O17" s="746">
        <v>14.5</v>
      </c>
      <c r="P17" s="506">
        <f t="shared" si="7"/>
        <v>362.5</v>
      </c>
      <c r="Q17" s="747">
        <v>72.599999999999994</v>
      </c>
      <c r="R17" s="459">
        <v>73.2</v>
      </c>
      <c r="S17" s="739">
        <v>18.600000000000001</v>
      </c>
      <c r="T17" s="739">
        <v>72.5</v>
      </c>
      <c r="U17" s="746">
        <v>73</v>
      </c>
      <c r="V17" s="748">
        <v>74.8</v>
      </c>
      <c r="W17" s="739">
        <v>77.5</v>
      </c>
      <c r="X17" s="459">
        <v>18.5</v>
      </c>
      <c r="Y17" s="459">
        <v>76.599999999999994</v>
      </c>
      <c r="Z17" s="746">
        <v>76.900000000000006</v>
      </c>
      <c r="AA17" s="583">
        <f t="shared" si="4"/>
        <v>1356.5999999999995</v>
      </c>
      <c r="AB17" s="780"/>
      <c r="AC17" s="263"/>
      <c r="AD17" s="263"/>
      <c r="AE17" s="102"/>
      <c r="AF17" s="263"/>
      <c r="AG17" s="143"/>
    </row>
    <row r="18" spans="1:33" ht="39.75" customHeight="1" thickBot="1" x14ac:dyDescent="0.3">
      <c r="A18" s="1053" t="s">
        <v>9</v>
      </c>
      <c r="B18" s="1054"/>
      <c r="C18" s="492">
        <f>SUM(C11:C17)</f>
        <v>2102.6</v>
      </c>
      <c r="D18" s="757">
        <f>SUM(D11:D17)</f>
        <v>97.3</v>
      </c>
      <c r="E18" s="757">
        <f t="shared" ref="E18:Z18" si="8">SUM(E11:E17)</f>
        <v>101.50000000000001</v>
      </c>
      <c r="F18" s="757">
        <f>SUM(F11:F17)</f>
        <v>16.400000000000002</v>
      </c>
      <c r="G18" s="757">
        <f t="shared" si="8"/>
        <v>101.50000000000001</v>
      </c>
      <c r="H18" s="758">
        <f t="shared" si="8"/>
        <v>101.60000000000001</v>
      </c>
      <c r="I18" s="496">
        <f t="shared" si="8"/>
        <v>2520.9000000000005</v>
      </c>
      <c r="J18" s="492">
        <f t="shared" si="8"/>
        <v>2118.7999999999997</v>
      </c>
      <c r="K18" s="757">
        <f t="shared" si="8"/>
        <v>99.399999999999991</v>
      </c>
      <c r="L18" s="757">
        <f t="shared" si="8"/>
        <v>101.4</v>
      </c>
      <c r="M18" s="757">
        <f t="shared" si="8"/>
        <v>16.5</v>
      </c>
      <c r="N18" s="757">
        <f t="shared" si="8"/>
        <v>101.4</v>
      </c>
      <c r="O18" s="758">
        <f t="shared" si="8"/>
        <v>102</v>
      </c>
      <c r="P18" s="496">
        <f t="shared" si="8"/>
        <v>2539.5</v>
      </c>
      <c r="Q18" s="759">
        <f t="shared" si="8"/>
        <v>508.79999999999995</v>
      </c>
      <c r="R18" s="760">
        <f t="shared" si="8"/>
        <v>512.00000000000011</v>
      </c>
      <c r="S18" s="760">
        <f t="shared" si="8"/>
        <v>131.5</v>
      </c>
      <c r="T18" s="760">
        <f t="shared" si="8"/>
        <v>508.8</v>
      </c>
      <c r="U18" s="760">
        <f t="shared" si="8"/>
        <v>512</v>
      </c>
      <c r="V18" s="760">
        <f t="shared" si="8"/>
        <v>522.79999999999995</v>
      </c>
      <c r="W18" s="760">
        <f t="shared" si="8"/>
        <v>543.30000000000007</v>
      </c>
      <c r="X18" s="760">
        <f t="shared" si="8"/>
        <v>127.2</v>
      </c>
      <c r="Y18" s="760">
        <f t="shared" si="8"/>
        <v>535.80000000000007</v>
      </c>
      <c r="Z18" s="761">
        <f t="shared" si="8"/>
        <v>537.90000000000009</v>
      </c>
      <c r="AA18" s="762">
        <f>SUM(AA11:AA17)</f>
        <v>9500.5</v>
      </c>
      <c r="AC18" s="263"/>
      <c r="AD18" s="263"/>
      <c r="AE18" s="102"/>
      <c r="AF18" s="263"/>
      <c r="AG18" s="143"/>
    </row>
    <row r="19" spans="1:33" ht="39.75" customHeight="1" thickBot="1" x14ac:dyDescent="0.3">
      <c r="A19" s="1049" t="s">
        <v>52</v>
      </c>
      <c r="B19" s="1055"/>
      <c r="C19" s="102"/>
      <c r="D19" s="803">
        <f ca="1">INDIRECT("'SEM " &amp; $O$5 &amp; "'!" &amp; ADDRESS(27, COLUMN(C27)))</f>
        <v>536</v>
      </c>
      <c r="E19" s="770">
        <f t="shared" ref="E19:Z19" ca="1" si="9">INDIRECT("'SEM " &amp; $O$5 &amp; "'!" &amp; ADDRESS(27, COLUMN(D27)))</f>
        <v>561</v>
      </c>
      <c r="F19" s="770">
        <f t="shared" ca="1" si="9"/>
        <v>87</v>
      </c>
      <c r="G19" s="770">
        <f t="shared" ca="1" si="9"/>
        <v>558</v>
      </c>
      <c r="H19" s="771">
        <f t="shared" ca="1" si="9"/>
        <v>560</v>
      </c>
      <c r="I19" s="106"/>
      <c r="J19" s="106"/>
      <c r="K19" s="769">
        <f t="shared" ca="1" si="9"/>
        <v>550</v>
      </c>
      <c r="L19" s="770">
        <f t="shared" ca="1" si="9"/>
        <v>559</v>
      </c>
      <c r="M19" s="770">
        <f t="shared" ca="1" si="9"/>
        <v>85</v>
      </c>
      <c r="N19" s="770">
        <f t="shared" ca="1" si="9"/>
        <v>564</v>
      </c>
      <c r="O19" s="771">
        <f t="shared" ca="1" si="9"/>
        <v>565</v>
      </c>
      <c r="P19" s="106"/>
      <c r="Q19" s="769">
        <f t="shared" ca="1" si="9"/>
        <v>470</v>
      </c>
      <c r="R19" s="770">
        <f t="shared" ca="1" si="9"/>
        <v>475</v>
      </c>
      <c r="S19" s="770">
        <f t="shared" ca="1" si="9"/>
        <v>118</v>
      </c>
      <c r="T19" s="770">
        <f t="shared" ca="1" si="9"/>
        <v>471</v>
      </c>
      <c r="U19" s="770">
        <f t="shared" ca="1" si="9"/>
        <v>474</v>
      </c>
      <c r="V19" s="770">
        <f t="shared" ca="1" si="9"/>
        <v>485</v>
      </c>
      <c r="W19" s="770">
        <f t="shared" ca="1" si="9"/>
        <v>503</v>
      </c>
      <c r="X19" s="770">
        <f t="shared" ca="1" si="9"/>
        <v>117</v>
      </c>
      <c r="Y19" s="770">
        <f t="shared" ca="1" si="9"/>
        <v>495</v>
      </c>
      <c r="Z19" s="771">
        <f t="shared" ca="1" si="9"/>
        <v>499</v>
      </c>
      <c r="AA19" s="802">
        <f ca="1">SUM(C19:Z19)</f>
        <v>8732</v>
      </c>
      <c r="AC19" s="263"/>
      <c r="AD19" s="263"/>
      <c r="AE19" s="102"/>
      <c r="AF19" s="263"/>
      <c r="AG19" s="143"/>
    </row>
    <row r="20" spans="1:33" ht="39.75" customHeight="1" x14ac:dyDescent="0.25">
      <c r="A20" s="1061"/>
      <c r="B20" s="1061"/>
      <c r="C20" s="1030" t="s">
        <v>101</v>
      </c>
      <c r="D20" s="1030"/>
      <c r="E20" s="1030"/>
      <c r="F20" s="1030"/>
      <c r="G20" s="1030"/>
      <c r="H20" s="1030"/>
      <c r="I20" s="1030"/>
      <c r="J20" s="1030"/>
      <c r="K20" s="1030"/>
      <c r="L20" s="1030"/>
      <c r="M20" s="1030"/>
      <c r="N20" s="1030"/>
      <c r="O20" s="1030"/>
      <c r="P20" s="1030"/>
      <c r="Q20" s="1030"/>
      <c r="R20" s="1030"/>
      <c r="S20" s="1030"/>
      <c r="T20" s="1030"/>
      <c r="U20" s="1030"/>
      <c r="V20" s="1030"/>
      <c r="W20" s="1030"/>
      <c r="X20" s="1030"/>
      <c r="Y20" s="463"/>
      <c r="Z20" s="462"/>
      <c r="AA20" s="462"/>
      <c r="AB20" s="102"/>
      <c r="AC20" s="102"/>
      <c r="AD20" s="102"/>
      <c r="AE20" s="102"/>
    </row>
    <row r="21" spans="1:33" ht="39.75" customHeight="1" x14ac:dyDescent="0.25">
      <c r="A21" s="1062"/>
      <c r="B21" s="1062"/>
      <c r="C21" s="1030"/>
      <c r="D21" s="1030"/>
      <c r="E21" s="1030"/>
      <c r="F21" s="1030"/>
      <c r="G21" s="1030"/>
      <c r="H21" s="1030"/>
      <c r="I21" s="1030"/>
      <c r="J21" s="1030"/>
      <c r="K21" s="1030"/>
      <c r="L21" s="1030"/>
      <c r="M21" s="1030"/>
      <c r="N21" s="1030"/>
      <c r="O21" s="1030"/>
      <c r="P21" s="1030"/>
      <c r="Q21" s="1030"/>
      <c r="R21" s="1030"/>
      <c r="S21" s="1030"/>
      <c r="T21" s="1030"/>
      <c r="U21" s="1030"/>
      <c r="V21" s="1030"/>
      <c r="W21" s="1030"/>
      <c r="X21" s="1030"/>
      <c r="Y21" s="106"/>
      <c r="Z21" s="106"/>
      <c r="AB21" s="106"/>
      <c r="AC21" s="106"/>
      <c r="AD21" s="106"/>
      <c r="AE21" s="106"/>
    </row>
    <row r="22" spans="1:33" ht="39.75" customHeight="1" x14ac:dyDescent="0.25">
      <c r="A22" s="1062"/>
      <c r="B22" s="1062"/>
      <c r="C22" s="1030"/>
      <c r="D22" s="1030"/>
      <c r="E22" s="1030"/>
      <c r="F22" s="1030"/>
      <c r="G22" s="1030"/>
      <c r="H22" s="1030"/>
      <c r="I22" s="1030"/>
      <c r="J22" s="1030"/>
      <c r="K22" s="1030"/>
      <c r="L22" s="1030"/>
      <c r="M22" s="1030"/>
      <c r="N22" s="1030"/>
      <c r="O22" s="1030"/>
      <c r="P22" s="1030"/>
      <c r="Q22" s="1030"/>
      <c r="R22" s="1030"/>
      <c r="S22" s="1030"/>
      <c r="T22" s="1030"/>
      <c r="U22" s="1030"/>
      <c r="V22" s="1030"/>
      <c r="W22" s="1030"/>
      <c r="X22" s="1030"/>
      <c r="Y22" s="106"/>
      <c r="Z22" s="106"/>
      <c r="AB22" s="41"/>
      <c r="AC22" s="41"/>
      <c r="AD22" s="41"/>
      <c r="AE22" s="102"/>
    </row>
    <row r="23" spans="1:33" ht="39.75" customHeight="1" x14ac:dyDescent="0.25">
      <c r="A23" s="1062"/>
      <c r="B23" s="1062"/>
      <c r="C23" s="1030"/>
      <c r="D23" s="1030"/>
      <c r="E23" s="1030"/>
      <c r="F23" s="1030"/>
      <c r="G23" s="1030"/>
      <c r="H23" s="1030"/>
      <c r="I23" s="1030"/>
      <c r="J23" s="1030"/>
      <c r="K23" s="1030"/>
      <c r="L23" s="1030"/>
      <c r="M23" s="1030"/>
      <c r="N23" s="1030"/>
      <c r="O23" s="1030"/>
      <c r="P23" s="1030"/>
      <c r="Q23" s="1030"/>
      <c r="R23" s="1030"/>
      <c r="S23" s="1030"/>
      <c r="T23" s="1030"/>
      <c r="U23" s="1030"/>
      <c r="V23" s="1030"/>
      <c r="W23" s="1030"/>
      <c r="X23" s="1030"/>
      <c r="Y23" s="106"/>
      <c r="Z23" s="106"/>
      <c r="AB23" s="143"/>
      <c r="AC23" s="143"/>
      <c r="AD23" s="143"/>
      <c r="AE23" s="106"/>
    </row>
    <row r="24" spans="1:33" ht="39.75" customHeight="1" thickBot="1" x14ac:dyDescent="0.3">
      <c r="A24" s="1062"/>
      <c r="B24" s="1062"/>
      <c r="C24" s="307"/>
      <c r="D24" s="307"/>
      <c r="E24" s="307"/>
      <c r="F24" s="307"/>
      <c r="G24" s="307"/>
      <c r="H24" s="307"/>
      <c r="I24" s="307"/>
      <c r="J24" s="307"/>
      <c r="K24" s="307"/>
      <c r="L24" s="307"/>
      <c r="M24" s="307"/>
      <c r="N24" s="307"/>
      <c r="O24" s="307"/>
      <c r="P24" s="307"/>
      <c r="Q24" s="307"/>
      <c r="R24" s="307"/>
      <c r="S24" s="307"/>
      <c r="T24" s="307"/>
      <c r="U24" s="307"/>
      <c r="V24" s="307"/>
      <c r="W24" s="307"/>
      <c r="X24" s="197"/>
      <c r="Y24" s="307"/>
      <c r="Z24" s="103"/>
      <c r="AA24" s="103"/>
    </row>
    <row r="25" spans="1:33" ht="39.75" customHeight="1" thickBot="1" x14ac:dyDescent="0.3">
      <c r="A25" s="1056" t="s">
        <v>27</v>
      </c>
      <c r="B25" s="1057"/>
      <c r="C25" s="1031" t="s">
        <v>17</v>
      </c>
      <c r="D25" s="1026"/>
      <c r="E25" s="1026"/>
      <c r="F25" s="1026"/>
      <c r="G25" s="1026"/>
      <c r="H25" s="1027"/>
      <c r="I25" s="244"/>
      <c r="J25" s="1028" t="s">
        <v>49</v>
      </c>
      <c r="K25" s="1029"/>
      <c r="L25" s="1036" t="s">
        <v>17</v>
      </c>
      <c r="M25" s="1037"/>
      <c r="N25" s="1037"/>
      <c r="O25" s="1037"/>
      <c r="P25" s="1037"/>
      <c r="Q25" s="1038"/>
      <c r="S25" s="659"/>
      <c r="U25" s="307"/>
      <c r="V25" s="452"/>
      <c r="W25" s="452"/>
      <c r="X25" s="452"/>
      <c r="Y25" s="452"/>
      <c r="Z25" s="452"/>
    </row>
    <row r="26" spans="1:33" ht="39.75" customHeight="1" thickBot="1" x14ac:dyDescent="0.3">
      <c r="A26" s="1051" t="s">
        <v>48</v>
      </c>
      <c r="B26" s="1058"/>
      <c r="C26" s="157">
        <v>1</v>
      </c>
      <c r="D26" s="242">
        <v>2</v>
      </c>
      <c r="E26" s="242">
        <v>3</v>
      </c>
      <c r="F26" s="242">
        <v>4</v>
      </c>
      <c r="G26" s="714">
        <v>5</v>
      </c>
      <c r="H26" s="491" t="s">
        <v>9</v>
      </c>
      <c r="I26" s="451"/>
      <c r="J26" s="1051" t="s">
        <v>48</v>
      </c>
      <c r="K26" s="1052"/>
      <c r="L26" s="591">
        <v>1</v>
      </c>
      <c r="M26" s="592">
        <v>2</v>
      </c>
      <c r="N26" s="592">
        <v>3</v>
      </c>
      <c r="O26" s="592">
        <v>4</v>
      </c>
      <c r="P26" s="593">
        <v>5</v>
      </c>
      <c r="Q26" s="812" t="s">
        <v>9</v>
      </c>
      <c r="S26" s="1039" t="s">
        <v>122</v>
      </c>
      <c r="T26" s="1039"/>
      <c r="U26" s="1039"/>
      <c r="V26" s="1039"/>
      <c r="W26" s="1039"/>
      <c r="X26" s="1039"/>
      <c r="Y26" s="1039"/>
      <c r="Z26" s="1039"/>
      <c r="AA26" s="1039"/>
    </row>
    <row r="27" spans="1:33" ht="39.75" customHeight="1" x14ac:dyDescent="0.25">
      <c r="A27" s="450" t="s">
        <v>130</v>
      </c>
      <c r="B27" s="781">
        <f>B11</f>
        <v>45693</v>
      </c>
      <c r="C27" s="279">
        <v>80.599999999999994</v>
      </c>
      <c r="D27" s="280">
        <v>77.2</v>
      </c>
      <c r="E27" s="280">
        <v>11.6</v>
      </c>
      <c r="F27" s="280">
        <v>85.6</v>
      </c>
      <c r="G27" s="281">
        <v>82.4</v>
      </c>
      <c r="H27" s="715">
        <f t="shared" ref="H27:H33" si="10">SUM(C27:G27)</f>
        <v>337.4</v>
      </c>
      <c r="I27" s="780"/>
      <c r="J27" s="450" t="s">
        <v>130</v>
      </c>
      <c r="K27" s="830">
        <f>B11</f>
        <v>45693</v>
      </c>
      <c r="L27" s="279">
        <v>6.6</v>
      </c>
      <c r="M27" s="280">
        <v>6.7</v>
      </c>
      <c r="N27" s="280">
        <v>1.2</v>
      </c>
      <c r="O27" s="280">
        <v>6.7</v>
      </c>
      <c r="P27" s="281">
        <v>6.7</v>
      </c>
      <c r="Q27" s="837">
        <f t="shared" ref="Q27:Q30" si="11">SUM(L27:P27)</f>
        <v>27.9</v>
      </c>
      <c r="S27" s="1039"/>
      <c r="T27" s="1039"/>
      <c r="U27" s="1039"/>
      <c r="V27" s="1039"/>
      <c r="W27" s="1039"/>
      <c r="X27" s="1039"/>
      <c r="Y27" s="1039"/>
      <c r="Z27" s="1039"/>
      <c r="AA27" s="1039"/>
    </row>
    <row r="28" spans="1:33" ht="39.75" customHeight="1" x14ac:dyDescent="0.25">
      <c r="A28" s="450" t="s">
        <v>124</v>
      </c>
      <c r="B28" s="781">
        <f>B27+1</f>
        <v>45694</v>
      </c>
      <c r="C28" s="279">
        <v>82.8</v>
      </c>
      <c r="D28" s="280">
        <v>82.5</v>
      </c>
      <c r="E28" s="280">
        <v>14.4</v>
      </c>
      <c r="F28" s="280">
        <v>85.6</v>
      </c>
      <c r="G28" s="281">
        <v>82.2</v>
      </c>
      <c r="H28" s="715">
        <f t="shared" si="10"/>
        <v>347.5</v>
      </c>
      <c r="I28" s="780"/>
      <c r="J28" s="450" t="s">
        <v>124</v>
      </c>
      <c r="K28" s="830">
        <f>K27+1</f>
        <v>45694</v>
      </c>
      <c r="L28" s="279">
        <v>6.6</v>
      </c>
      <c r="M28" s="280">
        <v>6.7</v>
      </c>
      <c r="N28" s="280">
        <v>1.1000000000000001</v>
      </c>
      <c r="O28" s="280">
        <v>6.7</v>
      </c>
      <c r="P28" s="281">
        <v>6.7</v>
      </c>
      <c r="Q28" s="837">
        <f t="shared" si="11"/>
        <v>27.8</v>
      </c>
      <c r="S28" s="1039"/>
      <c r="T28" s="1039"/>
      <c r="U28" s="1039"/>
      <c r="V28" s="1039"/>
      <c r="W28" s="1039"/>
      <c r="X28" s="1039"/>
      <c r="Y28" s="1039"/>
      <c r="Z28" s="1039"/>
      <c r="AA28" s="1039"/>
    </row>
    <row r="29" spans="1:33" ht="39.75" customHeight="1" x14ac:dyDescent="0.25">
      <c r="A29" s="450" t="s">
        <v>125</v>
      </c>
      <c r="B29" s="781">
        <f t="shared" ref="B29:B33" si="12">B28+1</f>
        <v>45695</v>
      </c>
      <c r="C29" s="279">
        <v>82.6</v>
      </c>
      <c r="D29" s="280">
        <v>82.3</v>
      </c>
      <c r="E29" s="280">
        <v>14.4</v>
      </c>
      <c r="F29" s="280">
        <v>85.6</v>
      </c>
      <c r="G29" s="281">
        <v>82.2</v>
      </c>
      <c r="H29" s="715">
        <f t="shared" si="10"/>
        <v>347.09999999999997</v>
      </c>
      <c r="I29" s="780"/>
      <c r="J29" s="450" t="s">
        <v>125</v>
      </c>
      <c r="K29" s="830">
        <f t="shared" ref="K29:K33" si="13">K28+1</f>
        <v>45695</v>
      </c>
      <c r="L29" s="279">
        <v>6.6</v>
      </c>
      <c r="M29" s="280">
        <v>6.7</v>
      </c>
      <c r="N29" s="280">
        <v>1.1000000000000001</v>
      </c>
      <c r="O29" s="280">
        <v>6.7</v>
      </c>
      <c r="P29" s="281">
        <v>6.7</v>
      </c>
      <c r="Q29" s="837">
        <f t="shared" si="11"/>
        <v>27.8</v>
      </c>
      <c r="S29" s="1039"/>
      <c r="T29" s="1039"/>
      <c r="U29" s="1039"/>
      <c r="V29" s="1039"/>
      <c r="W29" s="1039"/>
      <c r="X29" s="1039"/>
      <c r="Y29" s="1039"/>
      <c r="Z29" s="1039"/>
      <c r="AA29" s="1039"/>
    </row>
    <row r="30" spans="1:33" ht="39.75" customHeight="1" x14ac:dyDescent="0.25">
      <c r="A30" s="450" t="s">
        <v>126</v>
      </c>
      <c r="B30" s="781">
        <f t="shared" si="12"/>
        <v>45696</v>
      </c>
      <c r="C30" s="279">
        <v>82.6</v>
      </c>
      <c r="D30" s="280">
        <v>82.3</v>
      </c>
      <c r="E30" s="280">
        <v>14.1</v>
      </c>
      <c r="F30" s="280">
        <v>85.5</v>
      </c>
      <c r="G30" s="281">
        <v>82.1</v>
      </c>
      <c r="H30" s="715">
        <f t="shared" si="10"/>
        <v>346.6</v>
      </c>
      <c r="I30" s="780"/>
      <c r="J30" s="450" t="s">
        <v>126</v>
      </c>
      <c r="K30" s="830">
        <f t="shared" si="13"/>
        <v>45696</v>
      </c>
      <c r="L30" s="279">
        <v>6.6</v>
      </c>
      <c r="M30" s="280">
        <v>6.7</v>
      </c>
      <c r="N30" s="280">
        <v>1.1000000000000001</v>
      </c>
      <c r="O30" s="280">
        <v>6.7</v>
      </c>
      <c r="P30" s="281">
        <v>6.7</v>
      </c>
      <c r="Q30" s="837">
        <f t="shared" si="11"/>
        <v>27.8</v>
      </c>
      <c r="S30" s="1039"/>
      <c r="T30" s="1039"/>
      <c r="U30" s="1039"/>
      <c r="V30" s="1039"/>
      <c r="W30" s="1039"/>
      <c r="X30" s="1039"/>
      <c r="Y30" s="1039"/>
      <c r="Z30" s="1039"/>
      <c r="AA30" s="1039"/>
    </row>
    <row r="31" spans="1:33" ht="39.75" customHeight="1" x14ac:dyDescent="0.25">
      <c r="A31" s="450" t="s">
        <v>127</v>
      </c>
      <c r="B31" s="781">
        <f t="shared" si="12"/>
        <v>45697</v>
      </c>
      <c r="C31" s="279">
        <v>82.6</v>
      </c>
      <c r="D31" s="280">
        <v>82.2</v>
      </c>
      <c r="E31" s="280">
        <v>14.1</v>
      </c>
      <c r="F31" s="280">
        <v>85.5</v>
      </c>
      <c r="G31" s="281">
        <v>82.1</v>
      </c>
      <c r="H31" s="715">
        <f t="shared" si="10"/>
        <v>346.5</v>
      </c>
      <c r="I31" s="780"/>
      <c r="J31" s="450" t="s">
        <v>127</v>
      </c>
      <c r="K31" s="830">
        <f t="shared" si="13"/>
        <v>45697</v>
      </c>
      <c r="L31" s="279">
        <v>6.6</v>
      </c>
      <c r="M31" s="280">
        <v>6.7</v>
      </c>
      <c r="N31" s="280">
        <v>1.1000000000000001</v>
      </c>
      <c r="O31" s="280">
        <v>6.7</v>
      </c>
      <c r="P31" s="281">
        <v>6.7</v>
      </c>
      <c r="Q31" s="837">
        <f>SUM(L31:P31)</f>
        <v>27.8</v>
      </c>
      <c r="S31" s="1039"/>
      <c r="T31" s="1039"/>
      <c r="U31" s="1039"/>
      <c r="V31" s="1039"/>
      <c r="W31" s="1039"/>
      <c r="X31" s="1039"/>
      <c r="Y31" s="1039"/>
      <c r="Z31" s="1039"/>
      <c r="AA31" s="1039"/>
    </row>
    <row r="32" spans="1:33" ht="39.75" customHeight="1" x14ac:dyDescent="0.25">
      <c r="A32" s="450" t="s">
        <v>128</v>
      </c>
      <c r="B32" s="781">
        <f t="shared" si="12"/>
        <v>45698</v>
      </c>
      <c r="C32" s="279">
        <v>82.5</v>
      </c>
      <c r="D32" s="280">
        <v>82.2</v>
      </c>
      <c r="E32" s="280">
        <v>14</v>
      </c>
      <c r="F32" s="280">
        <v>85.5</v>
      </c>
      <c r="G32" s="281">
        <v>82.1</v>
      </c>
      <c r="H32" s="715">
        <f t="shared" si="10"/>
        <v>346.29999999999995</v>
      </c>
      <c r="I32" s="780"/>
      <c r="J32" s="450" t="s">
        <v>128</v>
      </c>
      <c r="K32" s="830">
        <f t="shared" si="13"/>
        <v>45698</v>
      </c>
      <c r="L32" s="279">
        <v>6.6</v>
      </c>
      <c r="M32" s="280">
        <v>6.7</v>
      </c>
      <c r="N32" s="280">
        <v>1.1000000000000001</v>
      </c>
      <c r="O32" s="280">
        <v>6.7</v>
      </c>
      <c r="P32" s="281">
        <v>6.6</v>
      </c>
      <c r="Q32" s="837">
        <f t="shared" ref="Q32:Q33" si="14">SUM(L32:P32)</f>
        <v>27.700000000000003</v>
      </c>
      <c r="S32" s="1039"/>
      <c r="T32" s="1039"/>
      <c r="U32" s="1039"/>
      <c r="V32" s="1039"/>
      <c r="W32" s="1039"/>
      <c r="X32" s="1039"/>
      <c r="Y32" s="1039"/>
      <c r="Z32" s="1039"/>
      <c r="AA32" s="1039"/>
    </row>
    <row r="33" spans="1:41" ht="39.75" customHeight="1" thickBot="1" x14ac:dyDescent="0.3">
      <c r="A33" s="450" t="s">
        <v>129</v>
      </c>
      <c r="B33" s="781">
        <f t="shared" si="12"/>
        <v>45699</v>
      </c>
      <c r="C33" s="279">
        <v>82.6</v>
      </c>
      <c r="D33" s="280">
        <v>82.2</v>
      </c>
      <c r="E33" s="280">
        <v>14</v>
      </c>
      <c r="F33" s="280">
        <v>85.5</v>
      </c>
      <c r="G33" s="281">
        <v>82.1</v>
      </c>
      <c r="H33" s="715">
        <f t="shared" si="10"/>
        <v>346.4</v>
      </c>
      <c r="I33" s="780"/>
      <c r="J33" s="450" t="s">
        <v>129</v>
      </c>
      <c r="K33" s="830">
        <f t="shared" si="13"/>
        <v>45699</v>
      </c>
      <c r="L33" s="279">
        <v>6.6</v>
      </c>
      <c r="M33" s="280">
        <v>6.7</v>
      </c>
      <c r="N33" s="280">
        <v>1.1000000000000001</v>
      </c>
      <c r="O33" s="280">
        <v>6.7</v>
      </c>
      <c r="P33" s="281">
        <v>6.6</v>
      </c>
      <c r="Q33" s="838">
        <f t="shared" si="14"/>
        <v>27.700000000000003</v>
      </c>
      <c r="S33" s="1039"/>
      <c r="T33" s="1039"/>
      <c r="U33" s="1039"/>
      <c r="V33" s="1039"/>
      <c r="W33" s="1039"/>
      <c r="X33" s="1039"/>
      <c r="Y33" s="1039"/>
      <c r="Z33" s="1039"/>
      <c r="AA33" s="1039"/>
    </row>
    <row r="34" spans="1:41" ht="39.75" customHeight="1" thickBot="1" x14ac:dyDescent="0.3">
      <c r="A34" s="1053" t="s">
        <v>9</v>
      </c>
      <c r="B34" s="1054"/>
      <c r="C34" s="831">
        <f t="shared" ref="C34:H34" si="15">SUM(C27:C33)</f>
        <v>576.29999999999995</v>
      </c>
      <c r="D34" s="832">
        <f t="shared" si="15"/>
        <v>570.9</v>
      </c>
      <c r="E34" s="832">
        <f t="shared" si="15"/>
        <v>96.6</v>
      </c>
      <c r="F34" s="832">
        <f t="shared" si="15"/>
        <v>598.79999999999995</v>
      </c>
      <c r="G34" s="833">
        <f t="shared" si="15"/>
        <v>575.20000000000005</v>
      </c>
      <c r="H34" s="716">
        <f t="shared" si="15"/>
        <v>2417.7999999999997</v>
      </c>
      <c r="I34" s="309"/>
      <c r="J34" s="1053" t="s">
        <v>9</v>
      </c>
      <c r="K34" s="1054"/>
      <c r="L34" s="687">
        <f>SUM(L27:L33)</f>
        <v>46.2</v>
      </c>
      <c r="M34" s="688">
        <f t="shared" ref="M34:P34" si="16">SUM(M27:M33)</f>
        <v>46.900000000000006</v>
      </c>
      <c r="N34" s="688">
        <f>SUM(N27:N33)</f>
        <v>7.7999999999999989</v>
      </c>
      <c r="O34" s="688">
        <f t="shared" si="16"/>
        <v>46.900000000000006</v>
      </c>
      <c r="P34" s="691">
        <f t="shared" si="16"/>
        <v>46.7</v>
      </c>
      <c r="Q34" s="811">
        <f>SUM(L34:P34)</f>
        <v>194.5</v>
      </c>
      <c r="S34" s="1039"/>
      <c r="T34" s="1039"/>
      <c r="U34" s="1039"/>
      <c r="V34" s="1039"/>
      <c r="W34" s="1039"/>
      <c r="X34" s="1039"/>
      <c r="Y34" s="1039"/>
      <c r="Z34" s="1039"/>
      <c r="AA34" s="1039"/>
    </row>
    <row r="35" spans="1:41" ht="39.75" customHeight="1" thickBot="1" x14ac:dyDescent="0.3">
      <c r="A35" s="1049" t="s">
        <v>52</v>
      </c>
      <c r="B35" s="1050"/>
      <c r="C35" s="803">
        <f ca="1">INDIRECT("'SEM " &amp; $O$5 &amp; "'!" &amp; ADDRESS(50, COLUMN(B50)))</f>
        <v>534</v>
      </c>
      <c r="D35" s="804">
        <f t="shared" ref="D35:G35" ca="1" si="17">INDIRECT("'SEM " &amp; $O$5 &amp; "'!" &amp; ADDRESS(50, COLUMN(C50)))</f>
        <v>529</v>
      </c>
      <c r="E35" s="804">
        <f t="shared" ca="1" si="17"/>
        <v>86</v>
      </c>
      <c r="F35" s="804">
        <f t="shared" ca="1" si="17"/>
        <v>558</v>
      </c>
      <c r="G35" s="805">
        <f t="shared" ca="1" si="17"/>
        <v>536</v>
      </c>
      <c r="H35" s="802">
        <f t="shared" ref="H35" ca="1" si="18">SUM(C35:G35)</f>
        <v>2243</v>
      </c>
      <c r="I35" s="310"/>
      <c r="J35" s="1049" t="s">
        <v>52</v>
      </c>
      <c r="K35" s="1050"/>
      <c r="L35" s="813">
        <f ca="1">INDIRECT("'SEM " &amp; $O$5 &amp; "'!" &amp; ADDRESS(50, COLUMN(M50)))</f>
        <v>41</v>
      </c>
      <c r="M35" s="814">
        <f t="shared" ref="M35:P35" ca="1" si="19">INDIRECT("'SEM " &amp; $O$5 &amp; "'!" &amp; ADDRESS(50, COLUMN(N50)))</f>
        <v>42</v>
      </c>
      <c r="N35" s="814">
        <f t="shared" ca="1" si="19"/>
        <v>7</v>
      </c>
      <c r="O35" s="814">
        <f t="shared" ca="1" si="19"/>
        <v>42</v>
      </c>
      <c r="P35" s="834">
        <f t="shared" ca="1" si="19"/>
        <v>42</v>
      </c>
      <c r="Q35" s="775">
        <f ca="1">SUM(L35:Q35)</f>
        <v>185</v>
      </c>
      <c r="S35" s="1039"/>
      <c r="T35" s="1039"/>
      <c r="U35" s="1039"/>
      <c r="V35" s="1039"/>
      <c r="W35" s="1039"/>
      <c r="X35" s="1039"/>
      <c r="Y35" s="1039"/>
      <c r="Z35" s="1039"/>
      <c r="AA35" s="1039"/>
    </row>
    <row r="36" spans="1:41" ht="39.75" customHeight="1" x14ac:dyDescent="0.25">
      <c r="A36" s="1061"/>
      <c r="B36" s="1061"/>
      <c r="H36" s="308"/>
      <c r="I36" s="102"/>
      <c r="J36" s="102"/>
      <c r="K36" s="102"/>
      <c r="L36" s="102"/>
      <c r="M36" s="103"/>
      <c r="N36" s="103"/>
      <c r="O36" s="143"/>
      <c r="P36" s="143"/>
      <c r="Q36" s="311"/>
      <c r="R36" s="143"/>
      <c r="W36" s="103"/>
      <c r="X36" s="103"/>
      <c r="Y36" s="103"/>
      <c r="Z36" s="103"/>
    </row>
    <row r="37" spans="1:41" ht="39.75" customHeight="1" thickBot="1" x14ac:dyDescent="0.3">
      <c r="A37" s="1062"/>
      <c r="B37" s="1062"/>
      <c r="I37" s="308"/>
      <c r="J37" s="308"/>
      <c r="K37" s="308"/>
      <c r="L37" s="308"/>
      <c r="M37" s="308"/>
      <c r="N37" s="390"/>
      <c r="O37" s="390"/>
      <c r="P37" s="390"/>
      <c r="Q37" s="390"/>
      <c r="R37" s="390"/>
      <c r="S37" s="390"/>
      <c r="T37" s="390"/>
      <c r="U37" s="390"/>
      <c r="V37" s="390"/>
      <c r="W37" s="390"/>
      <c r="X37" s="390"/>
      <c r="Y37" s="308"/>
      <c r="Z37" s="308"/>
    </row>
    <row r="38" spans="1:41" ht="39.75" customHeight="1" thickBot="1" x14ac:dyDescent="0.3">
      <c r="A38" s="1056" t="s">
        <v>50</v>
      </c>
      <c r="B38" s="1057"/>
      <c r="C38" s="1031" t="s">
        <v>8</v>
      </c>
      <c r="D38" s="1026"/>
      <c r="E38" s="1026"/>
      <c r="F38" s="1026"/>
      <c r="G38" s="1027"/>
      <c r="H38" s="1031" t="s">
        <v>30</v>
      </c>
      <c r="I38" s="1026"/>
      <c r="J38" s="1026"/>
      <c r="K38" s="1026"/>
      <c r="L38" s="1027"/>
      <c r="M38" s="1031" t="s">
        <v>29</v>
      </c>
      <c r="N38" s="1026"/>
      <c r="O38" s="1026"/>
      <c r="P38" s="1026"/>
      <c r="Q38" s="1027"/>
      <c r="R38" s="1031" t="s">
        <v>31</v>
      </c>
      <c r="S38" s="1026"/>
      <c r="T38" s="1026"/>
      <c r="U38" s="1026"/>
      <c r="V38" s="1027"/>
      <c r="W38" s="588" t="s">
        <v>9</v>
      </c>
      <c r="X38" s="244"/>
      <c r="Y38" s="659"/>
      <c r="Z38" s="100"/>
      <c r="AA38" s="100"/>
      <c r="AB38" s="100"/>
      <c r="AC38" s="305"/>
      <c r="AD38" s="390"/>
      <c r="AE38" s="390"/>
      <c r="AF38" s="390"/>
      <c r="AG38" s="390"/>
      <c r="AH38" s="390"/>
      <c r="AI38" s="390"/>
      <c r="AJ38" s="390"/>
      <c r="AK38" s="390"/>
      <c r="AL38" s="390"/>
      <c r="AM38" s="390"/>
      <c r="AN38" s="100"/>
    </row>
    <row r="39" spans="1:41" ht="39.75" customHeight="1" thickBot="1" x14ac:dyDescent="0.3">
      <c r="A39" s="1051" t="s">
        <v>48</v>
      </c>
      <c r="B39" s="1058"/>
      <c r="C39" s="166">
        <v>1</v>
      </c>
      <c r="D39" s="167">
        <v>2</v>
      </c>
      <c r="E39" s="167">
        <v>3</v>
      </c>
      <c r="F39" s="167">
        <v>4</v>
      </c>
      <c r="G39" s="246">
        <v>5</v>
      </c>
      <c r="H39" s="166">
        <v>1</v>
      </c>
      <c r="I39" s="167">
        <v>2</v>
      </c>
      <c r="J39" s="167">
        <v>3</v>
      </c>
      <c r="K39" s="167">
        <v>4</v>
      </c>
      <c r="L39" s="246">
        <v>5</v>
      </c>
      <c r="M39" s="591">
        <v>1</v>
      </c>
      <c r="N39" s="592">
        <v>2</v>
      </c>
      <c r="O39" s="592">
        <v>3</v>
      </c>
      <c r="P39" s="592">
        <v>4</v>
      </c>
      <c r="Q39" s="839">
        <v>5</v>
      </c>
      <c r="R39" s="166">
        <v>1</v>
      </c>
      <c r="S39" s="167">
        <v>2</v>
      </c>
      <c r="T39" s="167">
        <v>3</v>
      </c>
      <c r="U39" s="167">
        <v>4</v>
      </c>
      <c r="V39" s="842">
        <v>5</v>
      </c>
      <c r="W39" s="589"/>
      <c r="X39" s="308"/>
      <c r="Y39" s="659"/>
      <c r="Z39" s="100"/>
      <c r="AA39" s="100"/>
      <c r="AB39" s="100"/>
      <c r="AC39" s="305"/>
      <c r="AD39" s="390"/>
      <c r="AE39" s="390"/>
      <c r="AF39" s="390"/>
      <c r="AG39" s="390"/>
      <c r="AH39" s="390"/>
      <c r="AI39" s="390"/>
      <c r="AJ39" s="390"/>
      <c r="AK39" s="390"/>
      <c r="AL39" s="390"/>
      <c r="AM39" s="390"/>
      <c r="AN39" s="100"/>
    </row>
    <row r="40" spans="1:41" ht="39.75" customHeight="1" x14ac:dyDescent="0.45">
      <c r="A40" s="450" t="s">
        <v>130</v>
      </c>
      <c r="B40" s="781">
        <f>B11</f>
        <v>45693</v>
      </c>
      <c r="C40" s="735">
        <v>7</v>
      </c>
      <c r="D40" s="736">
        <v>7.5</v>
      </c>
      <c r="E40" s="736">
        <v>1.2</v>
      </c>
      <c r="F40" s="736">
        <v>7.5</v>
      </c>
      <c r="G40" s="737">
        <v>7.4</v>
      </c>
      <c r="H40" s="738">
        <v>7.5</v>
      </c>
      <c r="I40" s="739">
        <v>7.5</v>
      </c>
      <c r="J40" s="799">
        <v>1.2</v>
      </c>
      <c r="K40" s="739">
        <v>7.5</v>
      </c>
      <c r="L40" s="739">
        <v>7.2</v>
      </c>
      <c r="M40" s="279">
        <v>6</v>
      </c>
      <c r="N40" s="280">
        <v>6</v>
      </c>
      <c r="O40" s="280">
        <v>1.7</v>
      </c>
      <c r="P40" s="280">
        <v>5.9</v>
      </c>
      <c r="Q40" s="281">
        <v>5.8</v>
      </c>
      <c r="R40" s="745">
        <v>6.2</v>
      </c>
      <c r="S40" s="736">
        <v>6.3</v>
      </c>
      <c r="T40" s="736">
        <v>1.7</v>
      </c>
      <c r="U40" s="736">
        <v>6.2</v>
      </c>
      <c r="V40" s="742">
        <v>6.2</v>
      </c>
      <c r="W40" s="581">
        <f t="shared" ref="W40:W46" si="20">SUM(C40:V40)</f>
        <v>113.50000000000001</v>
      </c>
      <c r="X40" s="780"/>
      <c r="Y40" s="667"/>
      <c r="Z40" s="404"/>
      <c r="AA40" s="100"/>
      <c r="AB40" s="100"/>
      <c r="AC40" s="305"/>
      <c r="AD40" s="390"/>
      <c r="AE40" s="390"/>
      <c r="AF40" s="390"/>
      <c r="AG40" s="390"/>
      <c r="AH40" s="390"/>
      <c r="AI40" s="390"/>
      <c r="AJ40" s="390"/>
      <c r="AK40" s="390"/>
      <c r="AL40" s="390"/>
      <c r="AM40" s="390"/>
      <c r="AN40" s="100"/>
    </row>
    <row r="41" spans="1:41" ht="39.75" customHeight="1" x14ac:dyDescent="0.45">
      <c r="A41" s="450" t="s">
        <v>124</v>
      </c>
      <c r="B41" s="781">
        <f>B40+1</f>
        <v>45694</v>
      </c>
      <c r="C41" s="735">
        <v>7</v>
      </c>
      <c r="D41" s="736">
        <v>7.5</v>
      </c>
      <c r="E41" s="736">
        <v>1.2</v>
      </c>
      <c r="F41" s="736">
        <v>7.5</v>
      </c>
      <c r="G41" s="737">
        <v>7.4</v>
      </c>
      <c r="H41" s="738">
        <v>7.5</v>
      </c>
      <c r="I41" s="739">
        <v>7.5</v>
      </c>
      <c r="J41" s="799">
        <v>1.2</v>
      </c>
      <c r="K41" s="739">
        <v>7.5</v>
      </c>
      <c r="L41" s="739">
        <v>7.2</v>
      </c>
      <c r="M41" s="279">
        <v>6</v>
      </c>
      <c r="N41" s="280">
        <v>6</v>
      </c>
      <c r="O41" s="280">
        <v>1.6</v>
      </c>
      <c r="P41" s="280">
        <v>5.8</v>
      </c>
      <c r="Q41" s="281">
        <v>5.8</v>
      </c>
      <c r="R41" s="745">
        <v>6.2</v>
      </c>
      <c r="S41" s="736">
        <v>6.3</v>
      </c>
      <c r="T41" s="736">
        <v>1.6</v>
      </c>
      <c r="U41" s="736">
        <v>6.2</v>
      </c>
      <c r="V41" s="742">
        <v>6.1</v>
      </c>
      <c r="W41" s="581">
        <f t="shared" si="20"/>
        <v>113.09999999999998</v>
      </c>
      <c r="X41" s="780"/>
      <c r="Y41" s="667"/>
      <c r="Z41" s="404"/>
      <c r="AA41" s="100"/>
      <c r="AB41" s="100"/>
      <c r="AC41" s="305"/>
      <c r="AD41" s="390"/>
      <c r="AE41" s="390"/>
      <c r="AF41" s="390"/>
      <c r="AG41" s="390"/>
      <c r="AH41" s="390"/>
      <c r="AI41" s="390"/>
      <c r="AJ41" s="390"/>
      <c r="AK41" s="390"/>
      <c r="AL41" s="390"/>
      <c r="AM41" s="390"/>
      <c r="AN41" s="100"/>
    </row>
    <row r="42" spans="1:41" ht="39.75" customHeight="1" x14ac:dyDescent="0.45">
      <c r="A42" s="450" t="s">
        <v>125</v>
      </c>
      <c r="B42" s="781">
        <f t="shared" ref="B42:B46" si="21">B41+1</f>
        <v>45695</v>
      </c>
      <c r="C42" s="735">
        <v>7</v>
      </c>
      <c r="D42" s="736">
        <v>7.4</v>
      </c>
      <c r="E42" s="736">
        <v>1.1000000000000001</v>
      </c>
      <c r="F42" s="736">
        <v>7.4</v>
      </c>
      <c r="G42" s="737">
        <v>7.4</v>
      </c>
      <c r="H42" s="738">
        <v>7.5</v>
      </c>
      <c r="I42" s="739">
        <v>7.4</v>
      </c>
      <c r="J42" s="799">
        <v>1.1000000000000001</v>
      </c>
      <c r="K42" s="739">
        <v>7.4</v>
      </c>
      <c r="L42" s="739">
        <v>7.2</v>
      </c>
      <c r="M42" s="279">
        <v>6</v>
      </c>
      <c r="N42" s="280">
        <v>6</v>
      </c>
      <c r="O42" s="280">
        <v>1.6</v>
      </c>
      <c r="P42" s="280">
        <v>5.8</v>
      </c>
      <c r="Q42" s="281">
        <v>5.8</v>
      </c>
      <c r="R42" s="745">
        <v>6.3</v>
      </c>
      <c r="S42" s="736">
        <v>6.3</v>
      </c>
      <c r="T42" s="736">
        <v>1.6</v>
      </c>
      <c r="U42" s="736">
        <v>6.2</v>
      </c>
      <c r="V42" s="742">
        <v>6.1</v>
      </c>
      <c r="W42" s="581">
        <f t="shared" si="20"/>
        <v>112.59999999999998</v>
      </c>
      <c r="X42" s="780"/>
      <c r="Y42" s="667"/>
      <c r="Z42" s="404"/>
      <c r="AA42" s="100"/>
      <c r="AB42" s="100"/>
      <c r="AC42" s="305"/>
      <c r="AD42" s="390"/>
      <c r="AE42" s="390"/>
      <c r="AF42" s="390"/>
      <c r="AG42" s="390"/>
      <c r="AH42" s="390"/>
      <c r="AI42" s="390"/>
      <c r="AJ42" s="390"/>
      <c r="AK42" s="390"/>
      <c r="AL42" s="390"/>
      <c r="AM42" s="390"/>
      <c r="AN42" s="100"/>
    </row>
    <row r="43" spans="1:41" ht="39.75" customHeight="1" x14ac:dyDescent="0.45">
      <c r="A43" s="450" t="s">
        <v>126</v>
      </c>
      <c r="B43" s="781">
        <f t="shared" si="21"/>
        <v>45696</v>
      </c>
      <c r="C43" s="735">
        <v>7</v>
      </c>
      <c r="D43" s="736">
        <v>7.4</v>
      </c>
      <c r="E43" s="736">
        <v>1.1000000000000001</v>
      </c>
      <c r="F43" s="736">
        <v>7.4</v>
      </c>
      <c r="G43" s="737">
        <v>7.4</v>
      </c>
      <c r="H43" s="738">
        <v>7.5</v>
      </c>
      <c r="I43" s="739">
        <v>7.4</v>
      </c>
      <c r="J43" s="799">
        <v>1.1000000000000001</v>
      </c>
      <c r="K43" s="739">
        <v>7.4</v>
      </c>
      <c r="L43" s="739">
        <v>7.2</v>
      </c>
      <c r="M43" s="279">
        <v>6</v>
      </c>
      <c r="N43" s="280">
        <v>6</v>
      </c>
      <c r="O43" s="280">
        <v>1.6</v>
      </c>
      <c r="P43" s="280">
        <v>5.8</v>
      </c>
      <c r="Q43" s="281">
        <v>5.8</v>
      </c>
      <c r="R43" s="745">
        <v>6.4</v>
      </c>
      <c r="S43" s="736">
        <v>6.3</v>
      </c>
      <c r="T43" s="736">
        <v>1.6</v>
      </c>
      <c r="U43" s="736">
        <v>6.1</v>
      </c>
      <c r="V43" s="742">
        <v>6.1</v>
      </c>
      <c r="W43" s="581">
        <f t="shared" si="20"/>
        <v>112.59999999999998</v>
      </c>
      <c r="X43" s="780"/>
      <c r="Y43" s="667"/>
      <c r="Z43" s="404"/>
      <c r="AA43" s="100"/>
      <c r="AB43" s="100"/>
      <c r="AC43" s="305"/>
      <c r="AD43" s="390"/>
      <c r="AE43" s="390"/>
      <c r="AF43" s="390"/>
      <c r="AG43" s="390"/>
      <c r="AH43" s="390"/>
      <c r="AI43" s="390"/>
      <c r="AJ43" s="390"/>
      <c r="AK43" s="390"/>
      <c r="AL43" s="390"/>
      <c r="AM43" s="390"/>
      <c r="AN43" s="100"/>
    </row>
    <row r="44" spans="1:41" ht="39.75" customHeight="1" x14ac:dyDescent="0.45">
      <c r="A44" s="450" t="s">
        <v>127</v>
      </c>
      <c r="B44" s="781">
        <f t="shared" si="21"/>
        <v>45697</v>
      </c>
      <c r="C44" s="735">
        <v>7</v>
      </c>
      <c r="D44" s="736">
        <v>7.4</v>
      </c>
      <c r="E44" s="736">
        <v>1.1000000000000001</v>
      </c>
      <c r="F44" s="736">
        <v>7.4</v>
      </c>
      <c r="G44" s="737">
        <v>7.4</v>
      </c>
      <c r="H44" s="738">
        <v>7.5</v>
      </c>
      <c r="I44" s="739">
        <v>7.4</v>
      </c>
      <c r="J44" s="799">
        <v>1.1000000000000001</v>
      </c>
      <c r="K44" s="739">
        <v>7.4</v>
      </c>
      <c r="L44" s="739">
        <v>7.2</v>
      </c>
      <c r="M44" s="279">
        <v>6</v>
      </c>
      <c r="N44" s="280">
        <v>6</v>
      </c>
      <c r="O44" s="280">
        <v>1.6</v>
      </c>
      <c r="P44" s="280">
        <v>5.8</v>
      </c>
      <c r="Q44" s="281">
        <v>5.7</v>
      </c>
      <c r="R44" s="745">
        <v>6.4</v>
      </c>
      <c r="S44" s="736">
        <v>6.3</v>
      </c>
      <c r="T44" s="736">
        <v>1.6</v>
      </c>
      <c r="U44" s="736">
        <v>6.1</v>
      </c>
      <c r="V44" s="742">
        <v>6.1</v>
      </c>
      <c r="W44" s="581">
        <f t="shared" si="20"/>
        <v>112.49999999999999</v>
      </c>
      <c r="X44" s="780"/>
      <c r="Y44" s="667"/>
      <c r="Z44" s="404"/>
      <c r="AA44" s="100"/>
      <c r="AB44" s="100"/>
      <c r="AC44" s="305"/>
      <c r="AD44" s="390"/>
      <c r="AE44" s="390"/>
      <c r="AF44" s="390"/>
      <c r="AG44" s="390"/>
      <c r="AH44" s="390"/>
      <c r="AI44" s="390"/>
      <c r="AJ44" s="390"/>
      <c r="AK44" s="390"/>
      <c r="AL44" s="390"/>
      <c r="AM44" s="390"/>
      <c r="AN44" s="100"/>
    </row>
    <row r="45" spans="1:41" ht="39.75" customHeight="1" x14ac:dyDescent="0.45">
      <c r="A45" s="450" t="s">
        <v>128</v>
      </c>
      <c r="B45" s="781">
        <f t="shared" si="21"/>
        <v>45698</v>
      </c>
      <c r="C45" s="735">
        <v>7</v>
      </c>
      <c r="D45" s="736">
        <v>7.5</v>
      </c>
      <c r="E45" s="736">
        <v>1.1000000000000001</v>
      </c>
      <c r="F45" s="736">
        <v>7.5</v>
      </c>
      <c r="G45" s="737">
        <v>7.4</v>
      </c>
      <c r="H45" s="738">
        <v>7.4</v>
      </c>
      <c r="I45" s="739">
        <v>7.5</v>
      </c>
      <c r="J45" s="799">
        <v>1.1000000000000001</v>
      </c>
      <c r="K45" s="739">
        <v>7.5</v>
      </c>
      <c r="L45" s="739">
        <v>7.3</v>
      </c>
      <c r="M45" s="279">
        <v>6</v>
      </c>
      <c r="N45" s="280">
        <v>6</v>
      </c>
      <c r="O45" s="280">
        <v>1.6</v>
      </c>
      <c r="P45" s="280">
        <v>5.8</v>
      </c>
      <c r="Q45" s="281">
        <v>5.7</v>
      </c>
      <c r="R45" s="745">
        <v>6.4</v>
      </c>
      <c r="S45" s="736">
        <v>6.3</v>
      </c>
      <c r="T45" s="736">
        <v>1.6</v>
      </c>
      <c r="U45" s="736">
        <v>6.1</v>
      </c>
      <c r="V45" s="742">
        <v>6.1</v>
      </c>
      <c r="W45" s="581">
        <f t="shared" si="20"/>
        <v>112.89999999999998</v>
      </c>
      <c r="X45" s="780"/>
      <c r="Y45" s="667"/>
      <c r="Z45" s="404"/>
      <c r="AA45" s="100"/>
      <c r="AB45" s="100"/>
      <c r="AC45" s="305"/>
      <c r="AD45" s="390"/>
      <c r="AE45" s="390"/>
      <c r="AF45" s="390"/>
      <c r="AG45" s="390"/>
      <c r="AH45" s="390"/>
      <c r="AI45" s="390"/>
      <c r="AJ45" s="390"/>
      <c r="AK45" s="390"/>
      <c r="AL45" s="390"/>
      <c r="AM45" s="390"/>
      <c r="AN45" s="100"/>
    </row>
    <row r="46" spans="1:41" ht="39.75" customHeight="1" thickBot="1" x14ac:dyDescent="0.5">
      <c r="A46" s="450" t="s">
        <v>129</v>
      </c>
      <c r="B46" s="781">
        <f t="shared" si="21"/>
        <v>45699</v>
      </c>
      <c r="C46" s="735">
        <v>6.9</v>
      </c>
      <c r="D46" s="736">
        <v>7.5</v>
      </c>
      <c r="E46" s="736">
        <v>1.2</v>
      </c>
      <c r="F46" s="736">
        <v>7.5</v>
      </c>
      <c r="G46" s="737">
        <v>7.3</v>
      </c>
      <c r="H46" s="738">
        <v>7.4</v>
      </c>
      <c r="I46" s="739">
        <v>7.5</v>
      </c>
      <c r="J46" s="799">
        <v>1.1000000000000001</v>
      </c>
      <c r="K46" s="739">
        <v>7.5</v>
      </c>
      <c r="L46" s="739">
        <v>7.3</v>
      </c>
      <c r="M46" s="279">
        <v>6.1</v>
      </c>
      <c r="N46" s="280">
        <v>6</v>
      </c>
      <c r="O46" s="280">
        <v>1.7</v>
      </c>
      <c r="P46" s="280">
        <v>5.9</v>
      </c>
      <c r="Q46" s="281">
        <v>5.8</v>
      </c>
      <c r="R46" s="745">
        <v>6.5</v>
      </c>
      <c r="S46" s="736">
        <v>6.4</v>
      </c>
      <c r="T46" s="736">
        <v>1.7</v>
      </c>
      <c r="U46" s="736">
        <v>6.2</v>
      </c>
      <c r="V46" s="742">
        <v>6</v>
      </c>
      <c r="W46" s="581">
        <f t="shared" si="20"/>
        <v>113.50000000000001</v>
      </c>
      <c r="X46" s="780"/>
      <c r="Y46" s="667"/>
      <c r="Z46" s="404"/>
      <c r="AA46" s="100"/>
      <c r="AB46" s="100"/>
      <c r="AC46" s="305"/>
      <c r="AD46" s="390"/>
      <c r="AE46" s="390"/>
      <c r="AF46" s="390"/>
      <c r="AG46" s="390"/>
      <c r="AH46" s="390"/>
      <c r="AI46" s="390"/>
      <c r="AJ46" s="390"/>
      <c r="AK46" s="390"/>
      <c r="AL46" s="390"/>
      <c r="AM46" s="390"/>
      <c r="AN46" s="100"/>
    </row>
    <row r="47" spans="1:41" ht="39.75" customHeight="1" thickBot="1" x14ac:dyDescent="0.3">
      <c r="A47" s="1053" t="s">
        <v>9</v>
      </c>
      <c r="B47" s="1054"/>
      <c r="C47" s="493">
        <f t="shared" ref="C47:F47" si="22">SUM(C40:C46)</f>
        <v>48.9</v>
      </c>
      <c r="D47" s="494">
        <f t="shared" si="22"/>
        <v>52.199999999999996</v>
      </c>
      <c r="E47" s="494">
        <f t="shared" si="22"/>
        <v>7.9999999999999991</v>
      </c>
      <c r="F47" s="494">
        <f t="shared" si="22"/>
        <v>52.199999999999996</v>
      </c>
      <c r="G47" s="768">
        <f>SUM(G40:G46)</f>
        <v>51.699999999999996</v>
      </c>
      <c r="H47" s="493">
        <f t="shared" ref="H47:K47" si="23">SUM(H40:H46)</f>
        <v>52.3</v>
      </c>
      <c r="I47" s="494">
        <f t="shared" si="23"/>
        <v>52.199999999999996</v>
      </c>
      <c r="J47" s="494">
        <f t="shared" si="23"/>
        <v>7.8999999999999986</v>
      </c>
      <c r="K47" s="494">
        <f t="shared" si="23"/>
        <v>52.199999999999996</v>
      </c>
      <c r="L47" s="768">
        <f>SUM(L40:L46)</f>
        <v>50.599999999999994</v>
      </c>
      <c r="M47" s="493">
        <f t="shared" ref="M47:P47" si="24">SUM(M40:M46)</f>
        <v>42.1</v>
      </c>
      <c r="N47" s="494">
        <f t="shared" si="24"/>
        <v>42</v>
      </c>
      <c r="O47" s="494">
        <f t="shared" si="24"/>
        <v>11.399999999999999</v>
      </c>
      <c r="P47" s="494">
        <f t="shared" si="24"/>
        <v>40.799999999999997</v>
      </c>
      <c r="Q47" s="840">
        <f>SUM(Q40:Q46)</f>
        <v>40.4</v>
      </c>
      <c r="R47" s="843">
        <f t="shared" ref="R47:U47" si="25">SUM(R40:R46)</f>
        <v>44.4</v>
      </c>
      <c r="S47" s="766">
        <f t="shared" si="25"/>
        <v>44.199999999999996</v>
      </c>
      <c r="T47" s="766">
        <f t="shared" si="25"/>
        <v>11.399999999999999</v>
      </c>
      <c r="U47" s="766">
        <f t="shared" si="25"/>
        <v>43.100000000000009</v>
      </c>
      <c r="V47" s="844">
        <f>SUM(V40:V46)</f>
        <v>42.7</v>
      </c>
      <c r="W47" s="495">
        <f>SUM(W40:W46)</f>
        <v>790.69999999999993</v>
      </c>
      <c r="X47" s="667"/>
      <c r="Y47" s="667"/>
      <c r="Z47" s="789"/>
      <c r="AA47" s="789"/>
      <c r="AB47" s="789"/>
      <c r="AC47" s="305"/>
      <c r="AD47" s="390"/>
      <c r="AE47" s="390"/>
      <c r="AF47" s="390"/>
      <c r="AG47" s="390"/>
      <c r="AH47" s="390"/>
      <c r="AI47" s="390"/>
      <c r="AJ47" s="390"/>
      <c r="AK47" s="390"/>
      <c r="AL47" s="390"/>
      <c r="AM47" s="390"/>
      <c r="AN47" s="100"/>
    </row>
    <row r="48" spans="1:41" ht="39.75" customHeight="1" thickBot="1" x14ac:dyDescent="0.3">
      <c r="A48" s="1049" t="s">
        <v>52</v>
      </c>
      <c r="B48" s="1055"/>
      <c r="C48" s="803">
        <f ca="1">INDIRECT("'SEM " &amp; $O$5 &amp; "'!" &amp; ADDRESS(69, COLUMN(B69)))</f>
        <v>43</v>
      </c>
      <c r="D48" s="773">
        <f t="shared" ref="D48:Q48" ca="1" si="26">INDIRECT("'SEM " &amp; $O$5 &amp; "'!" &amp; ADDRESS(69, COLUMN(C69)))</f>
        <v>46</v>
      </c>
      <c r="E48" s="773">
        <f t="shared" ca="1" si="26"/>
        <v>7</v>
      </c>
      <c r="F48" s="773">
        <f t="shared" ca="1" si="26"/>
        <v>46</v>
      </c>
      <c r="G48" s="774">
        <f t="shared" ca="1" si="26"/>
        <v>46</v>
      </c>
      <c r="H48" s="772">
        <f t="shared" ca="1" si="26"/>
        <v>46</v>
      </c>
      <c r="I48" s="773">
        <f t="shared" ca="1" si="26"/>
        <v>46</v>
      </c>
      <c r="J48" s="773">
        <f t="shared" ca="1" si="26"/>
        <v>7</v>
      </c>
      <c r="K48" s="773">
        <f t="shared" ca="1" si="26"/>
        <v>46</v>
      </c>
      <c r="L48" s="774">
        <f t="shared" ca="1" si="26"/>
        <v>45</v>
      </c>
      <c r="M48" s="772">
        <f t="shared" ca="1" si="26"/>
        <v>37</v>
      </c>
      <c r="N48" s="773">
        <f t="shared" ca="1" si="26"/>
        <v>37</v>
      </c>
      <c r="O48" s="773">
        <f t="shared" ca="1" si="26"/>
        <v>10</v>
      </c>
      <c r="P48" s="773">
        <f t="shared" ca="1" si="26"/>
        <v>36</v>
      </c>
      <c r="Q48" s="841">
        <f t="shared" ca="1" si="26"/>
        <v>36</v>
      </c>
      <c r="R48" s="772">
        <f ca="1">INDIRECT("'SEM " &amp; $O$5 &amp; "'!" &amp; ADDRESS(69, COLUMN(R69)))</f>
        <v>39</v>
      </c>
      <c r="S48" s="773">
        <f ca="1">INDIRECT("'SEM " &amp; $O$5 &amp; "'!" &amp; ADDRESS(69, COLUMN(S69)))</f>
        <v>10</v>
      </c>
      <c r="T48" s="773">
        <f ca="1">INDIRECT("'SEM " &amp; $O$5 &amp; "'!" &amp; ADDRESS(69, COLUMN(T69)))</f>
        <v>38</v>
      </c>
      <c r="U48" s="773">
        <f ca="1">INDIRECT("'SEM " &amp; $O$5 &amp; "'!" &amp; ADDRESS(69, COLUMN(U69)))</f>
        <v>38</v>
      </c>
      <c r="V48" s="774">
        <f ca="1">INDIRECT("'SEM " &amp; $O$5 &amp; "'!" &amp; ADDRESS(69, COLUMN(V69)))</f>
        <v>697</v>
      </c>
      <c r="W48" s="775">
        <f ca="1">SUM(C48:V48)</f>
        <v>1356</v>
      </c>
      <c r="X48" s="308"/>
      <c r="Y48" s="660"/>
      <c r="Z48" s="789"/>
      <c r="AA48" s="789"/>
      <c r="AB48" s="789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</row>
    <row r="49" spans="3:28" x14ac:dyDescent="0.25">
      <c r="Z49" s="789"/>
      <c r="AA49" s="789"/>
      <c r="AB49" s="789"/>
    </row>
    <row r="50" spans="3:28" x14ac:dyDescent="0.25">
      <c r="C50" s="104"/>
      <c r="D50" s="104"/>
      <c r="E50" s="104"/>
      <c r="F50" s="104"/>
      <c r="G50" s="104"/>
    </row>
    <row r="51" spans="3:28" x14ac:dyDescent="0.25">
      <c r="C51" s="104"/>
      <c r="D51" s="104"/>
      <c r="E51" s="104"/>
      <c r="F51" s="104"/>
      <c r="G51" s="104"/>
    </row>
  </sheetData>
  <mergeCells count="46">
    <mergeCell ref="A47:B47"/>
    <mergeCell ref="A48:B48"/>
    <mergeCell ref="A38:B38"/>
    <mergeCell ref="C38:G38"/>
    <mergeCell ref="H38:L38"/>
    <mergeCell ref="M38:Q38"/>
    <mergeCell ref="R38:V38"/>
    <mergeCell ref="A39:B39"/>
    <mergeCell ref="S26:AA35"/>
    <mergeCell ref="A34:B34"/>
    <mergeCell ref="J34:K34"/>
    <mergeCell ref="A35:B35"/>
    <mergeCell ref="J35:K35"/>
    <mergeCell ref="A36:B37"/>
    <mergeCell ref="A25:B25"/>
    <mergeCell ref="C25:H25"/>
    <mergeCell ref="J25:K25"/>
    <mergeCell ref="L25:Q25"/>
    <mergeCell ref="A26:B26"/>
    <mergeCell ref="J26:K26"/>
    <mergeCell ref="V9:Z9"/>
    <mergeCell ref="A10:B10"/>
    <mergeCell ref="A18:B18"/>
    <mergeCell ref="A19:B19"/>
    <mergeCell ref="A20:B24"/>
    <mergeCell ref="C20:X23"/>
    <mergeCell ref="C7:D7"/>
    <mergeCell ref="H7:K7"/>
    <mergeCell ref="M7:O7"/>
    <mergeCell ref="P7:S7"/>
    <mergeCell ref="A9:B9"/>
    <mergeCell ref="C9:H9"/>
    <mergeCell ref="I9:I10"/>
    <mergeCell ref="J9:O9"/>
    <mergeCell ref="P9:P10"/>
    <mergeCell ref="Q9:U9"/>
    <mergeCell ref="B1:B3"/>
    <mergeCell ref="C1:M1"/>
    <mergeCell ref="N1:R1"/>
    <mergeCell ref="S1:W6"/>
    <mergeCell ref="X1:AA6"/>
    <mergeCell ref="C2:M3"/>
    <mergeCell ref="N2:R2"/>
    <mergeCell ref="N3:R3"/>
    <mergeCell ref="C5:D5"/>
    <mergeCell ref="H5:I5"/>
  </mergeCells>
  <pageMargins left="0.25" right="0.25" top="0.75" bottom="0.75" header="0.3" footer="0.3"/>
  <pageSetup scale="27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76</vt:i4>
      </vt:variant>
      <vt:variant>
        <vt:lpstr>Rangos con nombre</vt:lpstr>
      </vt:variant>
      <vt:variant>
        <vt:i4>3</vt:i4>
      </vt:variant>
    </vt:vector>
  </HeadingPairs>
  <TitlesOfParts>
    <vt:vector size="79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 </vt:lpstr>
      <vt:lpstr>SEM 11</vt:lpstr>
      <vt:lpstr>SEM 12</vt:lpstr>
      <vt:lpstr>SEM 13</vt:lpstr>
      <vt:lpstr>SEM 14</vt:lpstr>
      <vt:lpstr>SEM 15</vt:lpstr>
      <vt:lpstr>SEM 15 (2)</vt:lpstr>
      <vt:lpstr>SEM 16 OG</vt:lpstr>
      <vt:lpstr>SEM 17</vt:lpstr>
      <vt:lpstr>SEM 18</vt:lpstr>
      <vt:lpstr>SEM 19</vt:lpstr>
      <vt:lpstr>SEM 20</vt:lpstr>
      <vt:lpstr>SEM 21</vt:lpstr>
      <vt:lpstr>SEM 21.1</vt:lpstr>
      <vt:lpstr>SEM 22</vt:lpstr>
      <vt:lpstr>SEM 22,1</vt:lpstr>
      <vt:lpstr>SEM 23</vt:lpstr>
      <vt:lpstr>SEM 23,1</vt:lpstr>
      <vt:lpstr>SEM 24</vt:lpstr>
      <vt:lpstr>SEM 24,1</vt:lpstr>
      <vt:lpstr>SEM 24,2</vt:lpstr>
      <vt:lpstr>SEM 25</vt:lpstr>
      <vt:lpstr>SEM 26</vt:lpstr>
      <vt:lpstr>SEM 27</vt:lpstr>
      <vt:lpstr>SEM 28</vt:lpstr>
      <vt:lpstr>SEM 29</vt:lpstr>
      <vt:lpstr>SEM 30</vt:lpstr>
      <vt:lpstr>SEM 31</vt:lpstr>
      <vt:lpstr>SEM 31,1</vt:lpstr>
      <vt:lpstr>SEM 32</vt:lpstr>
      <vt:lpstr>SEM 33</vt:lpstr>
      <vt:lpstr>SEM 34</vt:lpstr>
      <vt:lpstr>SEM 34,1</vt:lpstr>
      <vt:lpstr>SEM 35</vt:lpstr>
      <vt:lpstr>SEM 36</vt:lpstr>
      <vt:lpstr>SEM 36 (2)</vt:lpstr>
      <vt:lpstr>SEM 37</vt:lpstr>
      <vt:lpstr>SEM 38</vt:lpstr>
      <vt:lpstr>SEM 39</vt:lpstr>
      <vt:lpstr>SEM 40</vt:lpstr>
      <vt:lpstr>SEM 40,1</vt:lpstr>
      <vt:lpstr>SEM 40,2</vt:lpstr>
      <vt:lpstr>SEM 41</vt:lpstr>
      <vt:lpstr>SEM 41,1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IMPRIMIR    </vt:lpstr>
      <vt:lpstr>SEM 60</vt:lpstr>
      <vt:lpstr>SEM 61</vt:lpstr>
      <vt:lpstr>Copia de seg</vt:lpstr>
      <vt:lpstr>Copia</vt:lpstr>
      <vt:lpstr>Copia!Área_de_impresión</vt:lpstr>
      <vt:lpstr>'Copia de seg'!Área_de_impresión</vt:lpstr>
      <vt:lpstr>'IMPRIMIR    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2025-04-08T20:53:01Z</cp:lastPrinted>
  <dcterms:created xsi:type="dcterms:W3CDTF">2021-03-04T08:17:33Z</dcterms:created>
  <dcterms:modified xsi:type="dcterms:W3CDTF">2025-04-11T13:12:52Z</dcterms:modified>
</cp:coreProperties>
</file>