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argomc\Desktop\"/>
    </mc:Choice>
  </mc:AlternateContent>
  <xr:revisionPtr revIDLastSave="0" documentId="13_ncr:1_{E300CD56-FFDF-481F-8DFF-F9919E4E0AB2}" xr6:coauthVersionLast="47" xr6:coauthVersionMax="47" xr10:uidLastSave="{00000000-0000-0000-0000-000000000000}"/>
  <bookViews>
    <workbookView xWindow="-120" yWindow="-120" windowWidth="20730" windowHeight="11160" tabRatio="598" xr2:uid="{9CF10BAD-C865-4FB7-AC4E-DE39D3270722}"/>
  </bookViews>
  <sheets>
    <sheet name="Concept" sheetId="1" r:id="rId1"/>
    <sheet name="Rates" sheetId="2" r:id="rId2"/>
    <sheet name="Combina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G12" i="1" s="1"/>
  <c r="C11" i="1"/>
  <c r="C12" i="1"/>
  <c r="C13" i="1"/>
  <c r="E9" i="1"/>
  <c r="E11" i="1"/>
  <c r="G11" i="1" s="1"/>
  <c r="E13" i="1"/>
  <c r="B14" i="1"/>
  <c r="G13" i="1"/>
  <c r="G9" i="1"/>
  <c r="E3" i="1"/>
  <c r="F3" i="1" s="1"/>
  <c r="C7" i="2"/>
  <c r="L7" i="2"/>
  <c r="B5" i="1"/>
  <c r="C4" i="1" s="1"/>
  <c r="G14" i="1" l="1"/>
  <c r="F12" i="1"/>
  <c r="F13" i="1"/>
  <c r="C9" i="1"/>
  <c r="E14" i="1"/>
  <c r="F9" i="1"/>
  <c r="F11" i="1"/>
  <c r="C3" i="1"/>
  <c r="C2" i="1"/>
  <c r="G3" i="1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" i="3"/>
  <c r="N3" i="3"/>
  <c r="P3" i="3" s="1"/>
  <c r="N4" i="3"/>
  <c r="N5" i="3"/>
  <c r="N6" i="3"/>
  <c r="N7" i="3"/>
  <c r="N8" i="3"/>
  <c r="N9" i="3"/>
  <c r="N10" i="3"/>
  <c r="P10" i="3" s="1"/>
  <c r="N11" i="3"/>
  <c r="P11" i="3" s="1"/>
  <c r="N12" i="3"/>
  <c r="P12" i="3" s="1"/>
  <c r="N13" i="3"/>
  <c r="N14" i="3"/>
  <c r="N15" i="3"/>
  <c r="P15" i="3" s="1"/>
  <c r="N16" i="3"/>
  <c r="N17" i="3"/>
  <c r="N18" i="3"/>
  <c r="N19" i="3"/>
  <c r="P19" i="3" s="1"/>
  <c r="N20" i="3"/>
  <c r="N2" i="3"/>
  <c r="P2" i="3" s="1"/>
  <c r="P6" i="3"/>
  <c r="P7" i="3"/>
  <c r="P8" i="3"/>
  <c r="P9" i="3"/>
  <c r="P5" i="3"/>
  <c r="P20" i="3"/>
  <c r="P18" i="3"/>
  <c r="P14" i="3"/>
  <c r="P4" i="3"/>
  <c r="BR6" i="2"/>
  <c r="BS6" i="2"/>
  <c r="BR7" i="2"/>
  <c r="BS7" i="2"/>
  <c r="BR8" i="2"/>
  <c r="BS8" i="2"/>
  <c r="BR9" i="2"/>
  <c r="BS9" i="2"/>
  <c r="BR10" i="2"/>
  <c r="BS10" i="2"/>
  <c r="BR11" i="2"/>
  <c r="BS11" i="2"/>
  <c r="BR12" i="2"/>
  <c r="BS12" i="2"/>
  <c r="BR13" i="2"/>
  <c r="BS13" i="2"/>
  <c r="BR14" i="2"/>
  <c r="BS14" i="2"/>
  <c r="BR15" i="2"/>
  <c r="BS15" i="2"/>
  <c r="BR16" i="2"/>
  <c r="BS16" i="2"/>
  <c r="BR17" i="2"/>
  <c r="BS17" i="2"/>
  <c r="BR18" i="2"/>
  <c r="BS18" i="2"/>
  <c r="BR19" i="2"/>
  <c r="BS19" i="2"/>
  <c r="BR20" i="2"/>
  <c r="BS20" i="2"/>
  <c r="BR21" i="2"/>
  <c r="BS21" i="2"/>
  <c r="BR22" i="2"/>
  <c r="BS22" i="2"/>
  <c r="BR23" i="2"/>
  <c r="BS23" i="2"/>
  <c r="BS5" i="2"/>
  <c r="BR5" i="2"/>
  <c r="BT8" i="2"/>
  <c r="BT9" i="2"/>
  <c r="BT10" i="2"/>
  <c r="BT12" i="2"/>
  <c r="BT13" i="2"/>
  <c r="BT14" i="2"/>
  <c r="BT15" i="2"/>
  <c r="BT16" i="2"/>
  <c r="BT19" i="2"/>
  <c r="BT20" i="2"/>
  <c r="BT21" i="2"/>
  <c r="BT22" i="2"/>
  <c r="BT23" i="2"/>
  <c r="BT5" i="2"/>
  <c r="AR17" i="2"/>
  <c r="AS17" i="2" s="1"/>
  <c r="AR18" i="2"/>
  <c r="AS18" i="2" s="1"/>
  <c r="AS7" i="2"/>
  <c r="AS6" i="2"/>
  <c r="S6" i="2"/>
  <c r="R6" i="2" s="1"/>
  <c r="U6" i="2"/>
  <c r="X6" i="2"/>
  <c r="AA6" i="2"/>
  <c r="AD6" i="2"/>
  <c r="AX7" i="2"/>
  <c r="AY7" i="2" s="1"/>
  <c r="BA7" i="2"/>
  <c r="BB7" i="2" s="1"/>
  <c r="O6" i="2"/>
  <c r="O7" i="2"/>
  <c r="O5" i="2"/>
  <c r="BN6" i="2"/>
  <c r="AG6" i="2"/>
  <c r="AI11" i="2"/>
  <c r="AJ11" i="2" s="1"/>
  <c r="BP11" i="2" s="1"/>
  <c r="AJ12" i="2"/>
  <c r="BP12" i="2" s="1"/>
  <c r="AJ13" i="2"/>
  <c r="BP13" i="2" s="1"/>
  <c r="AP17" i="2"/>
  <c r="AO18" i="2"/>
  <c r="AP18" i="2" s="1"/>
  <c r="AP16" i="2"/>
  <c r="AP15" i="2"/>
  <c r="AP7" i="2"/>
  <c r="AM16" i="2"/>
  <c r="AM7" i="2"/>
  <c r="BK16" i="2"/>
  <c r="BK15" i="2"/>
  <c r="BK7" i="2"/>
  <c r="BJ6" i="2"/>
  <c r="BK6" i="2" s="1"/>
  <c r="I7" i="2"/>
  <c r="C23" i="2"/>
  <c r="BP23" i="2" s="1"/>
  <c r="C20" i="2"/>
  <c r="BQ20" i="2" s="1"/>
  <c r="C19" i="2"/>
  <c r="BP19" i="2" s="1"/>
  <c r="C8" i="2"/>
  <c r="BQ8" i="2" s="1"/>
  <c r="BI16" i="2"/>
  <c r="BH16" i="2" s="1"/>
  <c r="BI15" i="2"/>
  <c r="BH15" i="2" s="1"/>
  <c r="BI7" i="2"/>
  <c r="BH7" i="2" s="1"/>
  <c r="BE7" i="2"/>
  <c r="BE5" i="2"/>
  <c r="F6" i="2"/>
  <c r="F18" i="2"/>
  <c r="F17" i="2"/>
  <c r="AV17" i="2"/>
  <c r="AU18" i="2"/>
  <c r="AV18" i="2" s="1"/>
  <c r="AU7" i="2"/>
  <c r="BT7" i="2" s="1"/>
  <c r="AW7" i="2"/>
  <c r="E4" i="1"/>
  <c r="E2" i="1"/>
  <c r="F2" i="1" s="1"/>
  <c r="F14" i="1" l="1"/>
  <c r="G4" i="1"/>
  <c r="F4" i="1"/>
  <c r="E5" i="1"/>
  <c r="G2" i="1"/>
  <c r="P16" i="3"/>
  <c r="P17" i="3"/>
  <c r="P13" i="3"/>
  <c r="P21" i="3"/>
  <c r="N21" i="3"/>
  <c r="BT18" i="2"/>
  <c r="AV7" i="2"/>
  <c r="BT11" i="2"/>
  <c r="BT17" i="2"/>
  <c r="BT6" i="2"/>
  <c r="B21" i="3"/>
  <c r="BQ12" i="2"/>
  <c r="BQ5" i="2"/>
  <c r="BP18" i="2"/>
  <c r="BQ7" i="2"/>
  <c r="BP5" i="2"/>
  <c r="BP7" i="2"/>
  <c r="BP15" i="2"/>
  <c r="BQ6" i="2"/>
  <c r="BP16" i="2"/>
  <c r="BQ15" i="2"/>
  <c r="BP20" i="2"/>
  <c r="BP8" i="2"/>
  <c r="BP6" i="2"/>
  <c r="BQ19" i="2"/>
  <c r="BQ13" i="2"/>
  <c r="BQ18" i="2"/>
  <c r="BQ23" i="2"/>
  <c r="BQ11" i="2"/>
  <c r="BQ16" i="2"/>
  <c r="BQ17" i="2"/>
  <c r="BP17" i="2"/>
  <c r="F5" i="1" l="1"/>
  <c r="G5" i="1"/>
  <c r="O21" i="3"/>
  <c r="C3" i="3"/>
  <c r="D3" i="3" s="1"/>
  <c r="C11" i="3"/>
  <c r="D11" i="3" s="1"/>
  <c r="C19" i="3"/>
  <c r="D19" i="3" s="1"/>
  <c r="C13" i="3"/>
  <c r="D13" i="3" s="1"/>
  <c r="C2" i="3"/>
  <c r="D2" i="3" s="1"/>
  <c r="C14" i="3"/>
  <c r="D14" i="3" s="1"/>
  <c r="C4" i="3"/>
  <c r="D4" i="3" s="1"/>
  <c r="C12" i="3"/>
  <c r="D12" i="3" s="1"/>
  <c r="C20" i="3"/>
  <c r="D20" i="3" s="1"/>
  <c r="C6" i="3"/>
  <c r="D6" i="3" s="1"/>
  <c r="C18" i="3"/>
  <c r="D18" i="3" s="1"/>
  <c r="C5" i="3"/>
  <c r="D5" i="3" s="1"/>
  <c r="C10" i="3"/>
  <c r="D10" i="3" s="1"/>
  <c r="C7" i="3"/>
  <c r="D7" i="3" s="1"/>
  <c r="C15" i="3"/>
  <c r="D15" i="3" s="1"/>
  <c r="C8" i="3"/>
  <c r="D8" i="3" s="1"/>
  <c r="C9" i="3"/>
  <c r="D9" i="3" s="1"/>
  <c r="C16" i="3"/>
  <c r="D16" i="3" s="1"/>
  <c r="C17" i="3"/>
  <c r="D17" i="3" s="1"/>
  <c r="F12" i="3" l="1"/>
  <c r="J12" i="3"/>
  <c r="F4" i="3"/>
  <c r="J4" i="3"/>
  <c r="F10" i="3"/>
  <c r="J10" i="3"/>
  <c r="F2" i="3"/>
  <c r="J2" i="3"/>
  <c r="F7" i="3"/>
  <c r="H7" i="3" s="1"/>
  <c r="J7" i="3"/>
  <c r="F5" i="3"/>
  <c r="J5" i="3"/>
  <c r="F18" i="3"/>
  <c r="J18" i="3"/>
  <c r="J19" i="3"/>
  <c r="F19" i="3"/>
  <c r="F15" i="3"/>
  <c r="J15" i="3"/>
  <c r="F6" i="3"/>
  <c r="J6" i="3"/>
  <c r="F11" i="3"/>
  <c r="J11" i="3"/>
  <c r="J8" i="3"/>
  <c r="F8" i="3"/>
  <c r="J14" i="3"/>
  <c r="F14" i="3"/>
  <c r="F13" i="3"/>
  <c r="J13" i="3"/>
  <c r="F17" i="3"/>
  <c r="J17" i="3"/>
  <c r="J16" i="3"/>
  <c r="F16" i="3"/>
  <c r="F9" i="3"/>
  <c r="J9" i="3"/>
  <c r="F20" i="3"/>
  <c r="J20" i="3"/>
  <c r="F3" i="3"/>
  <c r="J3" i="3"/>
  <c r="L8" i="3" l="1"/>
  <c r="L17" i="3"/>
  <c r="L10" i="3"/>
  <c r="H3" i="3"/>
  <c r="H17" i="3"/>
  <c r="H11" i="3"/>
  <c r="H18" i="3"/>
  <c r="H10" i="3"/>
  <c r="H19" i="3"/>
  <c r="H16" i="3"/>
  <c r="L19" i="3"/>
  <c r="L3" i="3"/>
  <c r="L5" i="3"/>
  <c r="H20" i="3"/>
  <c r="H13" i="3"/>
  <c r="H6" i="3"/>
  <c r="H5" i="3"/>
  <c r="H4" i="3"/>
  <c r="H8" i="3"/>
  <c r="H2" i="3"/>
  <c r="F21" i="3"/>
  <c r="G7" i="3" s="1"/>
  <c r="L11" i="3"/>
  <c r="L20" i="3"/>
  <c r="L6" i="3"/>
  <c r="L4" i="3"/>
  <c r="L9" i="3"/>
  <c r="H14" i="3"/>
  <c r="L15" i="3"/>
  <c r="L7" i="3"/>
  <c r="L12" i="3"/>
  <c r="L2" i="3"/>
  <c r="J21" i="3"/>
  <c r="K5" i="3" s="1"/>
  <c r="L16" i="3"/>
  <c r="L18" i="3"/>
  <c r="L13" i="3"/>
  <c r="H9" i="3"/>
  <c r="L14" i="3"/>
  <c r="H15" i="3"/>
  <c r="H12" i="3"/>
  <c r="H21" i="3" l="1"/>
  <c r="K15" i="3"/>
  <c r="K16" i="3"/>
  <c r="K7" i="3"/>
  <c r="K14" i="3"/>
  <c r="K4" i="3"/>
  <c r="G6" i="3"/>
  <c r="G3" i="3"/>
  <c r="G13" i="3"/>
  <c r="G14" i="3"/>
  <c r="K19" i="3"/>
  <c r="L21" i="3"/>
  <c r="G18" i="3"/>
  <c r="K2" i="3"/>
  <c r="K13" i="3"/>
  <c r="K20" i="3"/>
  <c r="G16" i="3"/>
  <c r="G10" i="3"/>
  <c r="K3" i="3"/>
  <c r="K6" i="3"/>
  <c r="K10" i="3"/>
  <c r="G4" i="3"/>
  <c r="K17" i="3"/>
  <c r="K12" i="3"/>
  <c r="K11" i="3"/>
  <c r="G5" i="3"/>
  <c r="G19" i="3"/>
  <c r="G17" i="3"/>
  <c r="K8" i="3"/>
  <c r="G9" i="3"/>
  <c r="G8" i="3"/>
  <c r="G12" i="3"/>
  <c r="G20" i="3"/>
  <c r="G11" i="3"/>
  <c r="K9" i="3"/>
  <c r="G15" i="3"/>
  <c r="K18" i="3"/>
  <c r="G2" i="3"/>
  <c r="G21" i="3" l="1"/>
  <c r="K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tc={49410604-BCDF-49DD-9D7D-88CB416B613E}</author>
    <author>tc={A3B63C48-547D-4E3E-B8AF-FA180177B624}</author>
    <author>tc={B0CC9B6A-4369-43AE-B529-C6C0821E88D9}</author>
    <author>tc={4F7C67F7-9BD1-4B12-ADA7-042F359CAA58}</author>
    <author>tc={042C2CD6-7816-4B67-B510-7E31CEDC0760}</author>
    <author>Murphy, Jack (NIH/NCI) [F]</author>
    <author>tc={FFD7956B-5B23-461A-8CE3-07753835F36B}</author>
    <author>tc={2F26D0A8-701B-4725-B9DC-4D3E0E40BD5E}</author>
    <author>tc={D387AF84-8CA1-4AA6-9F80-4ECD52D03732}</author>
    <author>tc={A8632F28-3C2E-421A-BA78-DF1C31FD7EA5}</author>
    <author>tc={FB25DE26-55B9-4983-B46B-0D2264B152F6}</author>
    <author>tc={93C50AE0-826F-4EA8-9E03-566A76C13E02}</author>
    <author>tc={983E6376-9303-4355-B12B-543C57686057}</author>
    <author>tc={6F1766E2-E10C-420E-96FC-680457EA03BB}</author>
    <author>tc={281CD1A5-C2A7-4E1A-BDAC-0F3A3F0C09FC}</author>
    <author>tc={630C1CE4-0A55-4FB4-85B0-89F378652F69}</author>
    <author>tc={AF7D87AC-EE20-45E6-ADD9-EF46A5F0ED43}</author>
    <author>tc={922B9969-27F8-4476-82A4-4587AF1A9008}</author>
    <author>tc={B9644881-7898-466E-9038-051FDED7F6CD}</author>
    <author>tc={826F424E-883B-4A4E-9F33-928DD86F3D5A}</author>
    <author>tc={0F54D992-E5A4-4D38-847F-910B3932B890}</author>
    <author>tc={41291639-6FDD-4C1C-B02E-276AD364509E}</author>
    <author>tc={87D99383-0E24-4D73-B465-8B660478C183}</author>
    <author>tc={CA813033-A24E-4ED0-8B7D-610164076746}</author>
    <author>tc={3E62C3CF-82BA-4257-BE18-E8218270E5BF}</author>
    <author>tc={446E0B0E-D58F-4903-A3D9-80EA3E15B400}</author>
    <author>tc={056DA768-FFB5-4585-AD41-4880E47A4308}</author>
    <author>tc={FB9EDB73-2A36-4D9D-8AFF-D76ED694DC09}</author>
    <author>tc={1BCB4073-CB9F-4947-8B5B-DC2F47A7FB7F}</author>
    <author>tc={72CC0D45-886F-48BE-9941-191CF78B4A45}</author>
  </authors>
  <commentList>
    <comment ref="AX1" authorId="0" shapeId="0" xr:uid="{49410604-BCDF-49DD-9D7D-88CB416B61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paper (2020) as Gawron Global to the right; US-specific results also presented</t>
      </text>
    </comment>
    <comment ref="BD1" authorId="1" shapeId="0" xr:uid="{A3B63C48-547D-4E3E-B8AF-FA180177B624}">
      <text>
        <t>[Threaded comment]
Your version of Excel allows you to read this threaded comment; however, any edits to it will get removed if the file is opened in a newer version of Excel. Learn more: https://go.microsoft.com/fwlink/?linkid=870924
Comment:
    Gastric cardia cancer only</t>
      </text>
    </comment>
    <comment ref="BG1" authorId="2" shapeId="0" xr:uid="{B0CC9B6A-4369-43AE-B529-C6C0821E88D9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presence of IM by ethnicity</t>
      </text>
    </comment>
    <comment ref="A3" authorId="3" shapeId="0" xr:uid="{4F7C67F7-9BD1-4B12-ADA7-042F359CAA5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patients over 40 years old</t>
      </text>
    </comment>
    <comment ref="AR3" authorId="4" shapeId="0" xr:uid="{042C2CD6-7816-4B67-B510-7E31CEDC0760}">
      <text>
        <t>[Threaded comment]
Your version of Excel allows you to read this threaded comment; however, any edits to it will get removed if the file is opened in a newer version of Excel. Learn more: https://go.microsoft.com/fwlink/?linkid=870924
Comment:
    Spence 2017, another systematic review on this subject, chose not to meta-analyze data because of substantial heterogeneity among studies and poor study quality.</t>
      </text>
    </comment>
    <comment ref="P5" authorId="5" shapeId="0" xr:uid="{33D588C2-F514-4320-B714-8938A3237A37}">
      <text>
        <r>
          <rPr>
            <b/>
            <sz val="9"/>
            <color indexed="81"/>
            <rFont val="Tahoma"/>
            <charset val="1"/>
          </rPr>
          <t>Murphy, Jack (NIH/NCI) [F]:</t>
        </r>
        <r>
          <rPr>
            <sz val="9"/>
            <color indexed="81"/>
            <rFont val="Tahoma"/>
            <charset val="1"/>
          </rPr>
          <t xml:space="preserve">
Non-cardia only: 0.508/1000</t>
        </r>
      </text>
    </comment>
    <comment ref="G6" authorId="6" shapeId="0" xr:uid="{FFD7956B-5B23-461A-8CE3-07753835F36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Spence 2017 Review</t>
      </text>
    </comment>
    <comment ref="P6" authorId="7" shapeId="0" xr:uid="{2F26D0A8-701B-4725-B9DC-4D3E0E40BD5E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Non-cardia only: 0.90/1000</t>
      </text>
    </comment>
    <comment ref="S6" authorId="8" shapeId="0" xr:uid="{D387AF84-8CA1-4AA6-9F80-4ECD52D037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1</t>
      </text>
    </comment>
    <comment ref="V6" authorId="9" shapeId="0" xr:uid="{A8632F28-3C2E-421A-BA78-DF1C31FD7EA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Spence 2017 Review</t>
      </text>
    </comment>
    <comment ref="AB6" authorId="10" shapeId="0" xr:uid="{FB25DE26-55B9-4983-B46B-0D2264B152F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Spence 2017 Review</t>
      </text>
    </comment>
    <comment ref="AE6" authorId="11" shapeId="0" xr:uid="{93C50AE0-826F-4EA8-9E03-566A76C1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Spence 2017 Review</t>
      </text>
    </comment>
    <comment ref="AR6" authorId="12" shapeId="0" xr:uid="{983E6376-9303-4355-B12B-543C5768605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supplementary materials</t>
      </text>
    </comment>
    <comment ref="BJ6" authorId="13" shapeId="0" xr:uid="{6F1766E2-E10C-420E-96FC-680457EA03B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3</t>
      </text>
    </comment>
    <comment ref="BL6" authorId="14" shapeId="0" xr:uid="{281CD1A5-C2A7-4E1A-BDAC-0F3A3F0C09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text (p.5); I can't replicate this value from their tables.</t>
      </text>
    </comment>
    <comment ref="K7" authorId="15" shapeId="0" xr:uid="{630C1CE4-0A55-4FB4-85B0-89F378652F6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Figure 1</t>
      </text>
    </comment>
    <comment ref="P7" authorId="16" shapeId="0" xr:uid="{AF7D87AC-EE20-45E6-ADD9-EF46A5F0ED43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Non-cardia only: 1.116/1000</t>
      </text>
    </comment>
    <comment ref="AL7" authorId="17" shapeId="0" xr:uid="{922B9969-27F8-4476-82A4-4587AF1A90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2</t>
      </text>
    </comment>
    <comment ref="AU7" authorId="18" shapeId="0" xr:uid="{B9644881-7898-466E-9038-051FDED7F6C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I. Excluded "Unconfirmed"</t>
      </text>
    </comment>
    <comment ref="AW7" authorId="19" shapeId="0" xr:uid="{826F424E-883B-4A4E-9F33-928DD86F3D5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III: second row ("Stomach cancer" endpoint); excluding "Unconfirmed"</t>
      </text>
    </comment>
    <comment ref="AX7" authorId="20" shapeId="0" xr:uid="{0F54D992-E5A4-4D38-847F-910B3932B89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Figure 5D</t>
      </text>
    </comment>
    <comment ref="BA7" authorId="21" shapeId="0" xr:uid="{41291639-6FDD-4C1C-B02E-276AD364509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Figure 5C</t>
      </text>
    </comment>
    <comment ref="BI7" authorId="22" shapeId="0" xr:uid="{87D99383-0E24-4D73-B465-8B660478C18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4</t>
      </text>
    </comment>
    <comment ref="BL7" authorId="23" shapeId="0" xr:uid="{CA813033-A24E-4ED0-8B7D-61016407674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text (p.5); I can't replicate this value from their tables.</t>
      </text>
    </comment>
    <comment ref="BI15" authorId="24" shapeId="0" xr:uid="{3E62C3CF-82BA-4257-BE18-E8218270E5B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4</t>
      </text>
    </comment>
    <comment ref="BJ15" authorId="25" shapeId="0" xr:uid="{446E0B0E-D58F-4903-A3D9-80EA3E15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text (p.3)</t>
      </text>
    </comment>
    <comment ref="AL16" authorId="26" shapeId="0" xr:uid="{056DA768-FFB5-4585-AD41-4880E47A43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2</t>
      </text>
    </comment>
    <comment ref="BI16" authorId="27" shapeId="0" xr:uid="{FB9EDB73-2A36-4D9D-8AFF-D76ED694DC0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4</t>
      </text>
    </comment>
    <comment ref="AU17" authorId="28" shapeId="0" xr:uid="{1BCB4073-CB9F-4947-8B5B-DC2F47A7FB7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I, "IM type I" column</t>
      </text>
    </comment>
    <comment ref="AU18" authorId="29" shapeId="0" xr:uid="{72CC0D45-886F-48BE-9941-191CF78B4A4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I, "IM type II" and "IM type III" columns</t>
      </text>
    </comment>
  </commentList>
</comments>
</file>

<file path=xl/sharedStrings.xml><?xml version="1.0" encoding="utf-8"?>
<sst xmlns="http://schemas.openxmlformats.org/spreadsheetml/2006/main" count="216" uniqueCount="114">
  <si>
    <t>Type</t>
  </si>
  <si>
    <t>No. people</t>
  </si>
  <si>
    <t>Rate to GC per year</t>
  </si>
  <si>
    <t>GC in one year (N)</t>
  </si>
  <si>
    <t>Attributable proportion</t>
  </si>
  <si>
    <t>Preventable GC (N)</t>
  </si>
  <si>
    <t>Other</t>
  </si>
  <si>
    <t>DYS</t>
  </si>
  <si>
    <t>Total</t>
  </si>
  <si>
    <t>*Assumptions</t>
  </si>
  <si>
    <t>prevent 1/2 cancers</t>
  </si>
  <si>
    <t>f/u on 5,000 ppl</t>
  </si>
  <si>
    <t>mutually exclusive categories for the endoscopy/pathology types</t>
  </si>
  <si>
    <t>Author</t>
  </si>
  <si>
    <t>Lee</t>
  </si>
  <si>
    <t>Singapore</t>
  </si>
  <si>
    <t>Non-atrophic gastritis</t>
  </si>
  <si>
    <t>Atrophic gastritis with intestinal metaplasia (IM)</t>
  </si>
  <si>
    <t>No intestinal metaplasia</t>
  </si>
  <si>
    <t>OLGA I</t>
  </si>
  <si>
    <t>OLGA II</t>
  </si>
  <si>
    <t>OLGA I/II</t>
  </si>
  <si>
    <t>OLGA III</t>
  </si>
  <si>
    <t>OLGA IV</t>
  </si>
  <si>
    <t>OLGA III/IV</t>
  </si>
  <si>
    <t>Antral IM</t>
  </si>
  <si>
    <t>Corpus extension IM</t>
  </si>
  <si>
    <t>Complete-type IM</t>
  </si>
  <si>
    <t>Incomplete-type IM</t>
  </si>
  <si>
    <t>OLGIM I</t>
  </si>
  <si>
    <t>OLGIM II</t>
  </si>
  <si>
    <t>OLGIM III</t>
  </si>
  <si>
    <t>OLGIM IV</t>
  </si>
  <si>
    <t>OLGIM III/IV</t>
  </si>
  <si>
    <t>Gonzalez</t>
  </si>
  <si>
    <t>Spain</t>
  </si>
  <si>
    <t>Li</t>
  </si>
  <si>
    <t>USA (NoCal)</t>
  </si>
  <si>
    <t>Notes</t>
  </si>
  <si>
    <t>Useful subgroup data (age, race/ethnicity)</t>
  </si>
  <si>
    <t>Reddy</t>
  </si>
  <si>
    <t>Incidence rate is adjusted for age and sex</t>
  </si>
  <si>
    <t>Song</t>
  </si>
  <si>
    <t>Sweden</t>
  </si>
  <si>
    <t>Inoue</t>
  </si>
  <si>
    <t>Lahner</t>
  </si>
  <si>
    <t>Siurala</t>
  </si>
  <si>
    <t>Takata</t>
  </si>
  <si>
    <t>Tatsuta</t>
  </si>
  <si>
    <t>Vannella</t>
  </si>
  <si>
    <t>Rugge</t>
  </si>
  <si>
    <t>O'Connor</t>
  </si>
  <si>
    <t>Piazuelo</t>
  </si>
  <si>
    <t>Colombia</t>
  </si>
  <si>
    <t>Akbari</t>
  </si>
  <si>
    <t>Slovenia</t>
  </si>
  <si>
    <t>Filipe</t>
  </si>
  <si>
    <t>Gawron</t>
  </si>
  <si>
    <t>US</t>
  </si>
  <si>
    <t>Global</t>
  </si>
  <si>
    <t>Gu</t>
  </si>
  <si>
    <t>China</t>
  </si>
  <si>
    <t>China (Linzhou)</t>
  </si>
  <si>
    <t>Laszkowska</t>
  </si>
  <si>
    <t>US (NYC)</t>
  </si>
  <si>
    <t>Nieminen</t>
  </si>
  <si>
    <t>Finland</t>
  </si>
  <si>
    <t>Zhang</t>
  </si>
  <si>
    <t>Ireland</t>
  </si>
  <si>
    <t>Italy</t>
  </si>
  <si>
    <t>Annual</t>
  </si>
  <si>
    <t>Per 1000 person-years</t>
  </si>
  <si>
    <t>Country/region</t>
  </si>
  <si>
    <t>Sample characteristics</t>
  </si>
  <si>
    <t>General</t>
  </si>
  <si>
    <t>Sample Size</t>
  </si>
  <si>
    <t>Rate (Annual is per 1000 persons)</t>
  </si>
  <si>
    <t>Has rates by ethnicity</t>
  </si>
  <si>
    <t>Only male smokers</t>
  </si>
  <si>
    <t>Japan</t>
  </si>
  <si>
    <t>Male smokers</t>
  </si>
  <si>
    <t>Annual Mean</t>
  </si>
  <si>
    <t>Annual Median</t>
  </si>
  <si>
    <t>Hospital-based</t>
  </si>
  <si>
    <t>Meta-analysis</t>
  </si>
  <si>
    <t>Multifocal atrophic gastritis (no IM)</t>
  </si>
  <si>
    <t>Median Rate to GC per year</t>
  </si>
  <si>
    <t>Mean Rate to GC per year</t>
  </si>
  <si>
    <t>Total Sample Size</t>
  </si>
  <si>
    <t>Type of Precancerous Lesion</t>
  </si>
  <si>
    <t>No. people (1 million total)</t>
  </si>
  <si>
    <t>Median GC in one year (N)</t>
  </si>
  <si>
    <t>No. people (from lit review)</t>
  </si>
  <si>
    <t>Median Attributable proportion</t>
  </si>
  <si>
    <t>Median Preventable GC (N)</t>
  </si>
  <si>
    <t>Mean GC in one year (N)</t>
  </si>
  <si>
    <t>Mean Attributable proportion</t>
  </si>
  <si>
    <t>Mean Preventable GC (N)</t>
  </si>
  <si>
    <t>No rate estimate available</t>
  </si>
  <si>
    <t>Minimum Annual Rate</t>
  </si>
  <si>
    <t>Maximum Annual Rate</t>
  </si>
  <si>
    <t>Minimum Rate to GC per year</t>
  </si>
  <si>
    <t>Minimum GC in one year (N)</t>
  </si>
  <si>
    <t>Minimum Attributable proportion</t>
  </si>
  <si>
    <t>Minimum Preventable GC (N)</t>
  </si>
  <si>
    <t>Maximum Rate to GC per year</t>
  </si>
  <si>
    <t>Maximum GC in one year (N)</t>
  </si>
  <si>
    <t>Maximum Attributable proportion</t>
  </si>
  <si>
    <t>Maximum Preventable GC (N)</t>
  </si>
  <si>
    <t>Proportion**</t>
  </si>
  <si>
    <t>**I doubt these are accurate estimates of the proportion of each of these conditions in the general population. IM and AG were categorized differently in different studies. I will need to do some more thinking to get accurate proportions.</t>
  </si>
  <si>
    <t>IM overall</t>
  </si>
  <si>
    <t>%</t>
  </si>
  <si>
    <t>Antral-restricted 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</si>
</sst>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"/>
    <numFmt numFmtId="165" formatCode="0.0000%"/>
    <numFmt numFmtId="166" formatCode="0.000000%"/>
    <numFmt numFmtId="167" formatCode="0.000"/>
    <numFmt numFmtId="168" formatCode="#,##0.000000"/>
    <numFmt numFmtId="169" formatCode="0.00000000000000000"/>
    <numFmt numFmtId="170" formatCode="0.000%"/>
    <numFmt numFmtId="171" formatCode="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D7F5"/>
        <bgColor indexed="64"/>
      </patternFill>
    </fill>
    <fill>
      <patternFill patternType="solid">
        <fgColor rgb="FFB457D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vertical="center" wrapText="1"/>
    </xf>
    <xf numFmtId="3" fontId="0" fillId="3" borderId="1" xfId="0" applyNumberFormat="1" applyFill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3" fillId="3" borderId="0" xfId="0" applyFont="1" applyFill="1" applyAlignment="1">
      <alignment horizontal="left" wrapText="1" indent="1"/>
    </xf>
    <xf numFmtId="3" fontId="3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3" borderId="0" xfId="0" applyFill="1" applyBorder="1" applyAlignment="1">
      <alignment vertical="center"/>
    </xf>
    <xf numFmtId="3" fontId="0" fillId="3" borderId="0" xfId="0" applyNumberFormat="1" applyFill="1" applyAlignment="1"/>
    <xf numFmtId="0" fontId="0" fillId="3" borderId="0" xfId="0" applyFill="1" applyAlignment="1"/>
    <xf numFmtId="0" fontId="2" fillId="3" borderId="0" xfId="0" applyFont="1" applyFill="1" applyAlignment="1"/>
    <xf numFmtId="3" fontId="0" fillId="3" borderId="0" xfId="0" applyNumberFormat="1" applyFill="1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0" fontId="0" fillId="0" borderId="3" xfId="0" applyBorder="1"/>
    <xf numFmtId="0" fontId="0" fillId="0" borderId="3" xfId="0" applyNumberFormat="1" applyBorder="1"/>
    <xf numFmtId="0" fontId="1" fillId="0" borderId="0" xfId="0" applyFont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NumberFormat="1" applyBorder="1"/>
    <xf numFmtId="0" fontId="0" fillId="0" borderId="0" xfId="0" applyNumberFormat="1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1" fillId="0" borderId="4" xfId="0" applyFont="1" applyBorder="1"/>
    <xf numFmtId="0" fontId="0" fillId="0" borderId="4" xfId="0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Border="1"/>
    <xf numFmtId="0" fontId="1" fillId="0" borderId="4" xfId="0" applyFont="1" applyFill="1" applyBorder="1" applyAlignment="1">
      <alignment horizontal="center"/>
    </xf>
    <xf numFmtId="164" fontId="0" fillId="0" borderId="0" xfId="0" applyNumberFormat="1"/>
    <xf numFmtId="164" fontId="0" fillId="6" borderId="0" xfId="0" applyNumberFormat="1" applyFill="1"/>
    <xf numFmtId="165" fontId="0" fillId="3" borderId="1" xfId="1" applyNumberFormat="1" applyFont="1" applyFill="1" applyBorder="1" applyAlignment="1">
      <alignment vertical="center" wrapText="1"/>
    </xf>
    <xf numFmtId="166" fontId="0" fillId="3" borderId="1" xfId="1" applyNumberFormat="1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0" fontId="0" fillId="0" borderId="5" xfId="0" applyFont="1" applyBorder="1"/>
    <xf numFmtId="0" fontId="0" fillId="0" borderId="5" xfId="0" applyBorder="1"/>
    <xf numFmtId="165" fontId="0" fillId="0" borderId="5" xfId="1" applyNumberFormat="1" applyFont="1" applyBorder="1"/>
    <xf numFmtId="166" fontId="0" fillId="0" borderId="5" xfId="1" applyNumberFormat="1" applyFont="1" applyBorder="1"/>
    <xf numFmtId="3" fontId="0" fillId="6" borderId="1" xfId="0" applyNumberFormat="1" applyFill="1" applyBorder="1" applyAlignment="1">
      <alignment vertical="center" wrapText="1"/>
    </xf>
    <xf numFmtId="165" fontId="0" fillId="6" borderId="1" xfId="1" applyNumberFormat="1" applyFont="1" applyFill="1" applyBorder="1" applyAlignment="1">
      <alignment vertical="center" wrapText="1"/>
    </xf>
    <xf numFmtId="166" fontId="0" fillId="6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 applyAlignment="1">
      <alignment vertical="center" wrapText="1"/>
    </xf>
    <xf numFmtId="3" fontId="0" fillId="6" borderId="1" xfId="0" applyNumberFormat="1" applyFont="1" applyFill="1" applyBorder="1" applyAlignment="1">
      <alignment wrapText="1"/>
    </xf>
    <xf numFmtId="165" fontId="3" fillId="6" borderId="1" xfId="1" applyNumberFormat="1" applyFont="1" applyFill="1" applyBorder="1" applyAlignment="1">
      <alignment wrapText="1"/>
    </xf>
    <xf numFmtId="166" fontId="3" fillId="6" borderId="1" xfId="1" applyNumberFormat="1" applyFont="1" applyFill="1" applyBorder="1" applyAlignment="1">
      <alignment wrapText="1"/>
    </xf>
    <xf numFmtId="0" fontId="0" fillId="6" borderId="1" xfId="0" applyFill="1" applyBorder="1"/>
    <xf numFmtId="165" fontId="0" fillId="6" borderId="1" xfId="1" applyNumberFormat="1" applyFont="1" applyFill="1" applyBorder="1"/>
    <xf numFmtId="166" fontId="0" fillId="6" borderId="1" xfId="1" applyNumberFormat="1" applyFont="1" applyFill="1" applyBorder="1"/>
    <xf numFmtId="0" fontId="0" fillId="0" borderId="0" xfId="0" applyFill="1" applyBorder="1" applyAlignment="1">
      <alignment vertical="center"/>
    </xf>
    <xf numFmtId="3" fontId="0" fillId="0" borderId="0" xfId="0" applyNumberFormat="1" applyFill="1" applyAlignment="1"/>
    <xf numFmtId="0" fontId="0" fillId="0" borderId="0" xfId="0" applyFill="1" applyAlignment="1"/>
    <xf numFmtId="3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7" fontId="0" fillId="3" borderId="1" xfId="0" applyNumberFormat="1" applyFill="1" applyBorder="1" applyAlignment="1">
      <alignment wrapText="1"/>
    </xf>
    <xf numFmtId="167" fontId="0" fillId="6" borderId="1" xfId="0" applyNumberFormat="1" applyFill="1" applyBorder="1" applyAlignment="1">
      <alignment wrapText="1"/>
    </xf>
    <xf numFmtId="168" fontId="0" fillId="3" borderId="1" xfId="0" applyNumberFormat="1" applyFill="1" applyBorder="1" applyAlignment="1">
      <alignment vertical="center" wrapText="1"/>
    </xf>
    <xf numFmtId="168" fontId="0" fillId="6" borderId="1" xfId="0" applyNumberFormat="1" applyFill="1" applyBorder="1" applyAlignment="1">
      <alignment vertical="center" wrapText="1"/>
    </xf>
    <xf numFmtId="168" fontId="0" fillId="3" borderId="5" xfId="0" applyNumberFormat="1" applyFill="1" applyBorder="1" applyAlignment="1">
      <alignment vertical="center" wrapText="1"/>
    </xf>
    <xf numFmtId="3" fontId="0" fillId="3" borderId="5" xfId="0" applyNumberForma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2" fontId="0" fillId="3" borderId="5" xfId="0" applyNumberFormat="1" applyFill="1" applyBorder="1" applyAlignment="1">
      <alignment vertical="center" wrapText="1"/>
    </xf>
    <xf numFmtId="167" fontId="0" fillId="3" borderId="5" xfId="0" applyNumberFormat="1" applyFill="1" applyBorder="1" applyAlignment="1">
      <alignment wrapText="1"/>
    </xf>
    <xf numFmtId="0" fontId="3" fillId="0" borderId="0" xfId="0" applyFont="1" applyFill="1"/>
    <xf numFmtId="3" fontId="3" fillId="0" borderId="0" xfId="0" applyNumberFormat="1" applyFont="1" applyFill="1" applyAlignment="1">
      <alignment wrapText="1"/>
    </xf>
    <xf numFmtId="1" fontId="3" fillId="0" borderId="0" xfId="0" applyNumberFormat="1" applyFont="1" applyFill="1"/>
    <xf numFmtId="1" fontId="7" fillId="0" borderId="0" xfId="0" applyNumberFormat="1" applyFont="1" applyFill="1"/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0" xfId="0" applyFill="1" applyAlignment="1">
      <alignment wrapText="1"/>
    </xf>
    <xf numFmtId="169" fontId="0" fillId="0" borderId="0" xfId="0" applyNumberFormat="1"/>
    <xf numFmtId="0" fontId="1" fillId="6" borderId="0" xfId="0" applyFont="1" applyFill="1"/>
    <xf numFmtId="0" fontId="0" fillId="6" borderId="0" xfId="0" applyFill="1"/>
    <xf numFmtId="0" fontId="0" fillId="6" borderId="0" xfId="0" applyFont="1" applyFill="1" applyBorder="1"/>
    <xf numFmtId="0" fontId="0" fillId="6" borderId="3" xfId="0" applyNumberFormat="1" applyFill="1" applyBorder="1"/>
    <xf numFmtId="0" fontId="0" fillId="6" borderId="4" xfId="0" applyNumberFormat="1" applyFill="1" applyBorder="1"/>
    <xf numFmtId="0" fontId="0" fillId="6" borderId="0" xfId="0" applyNumberFormat="1" applyFill="1" applyBorder="1"/>
    <xf numFmtId="0" fontId="0" fillId="6" borderId="0" xfId="0" applyNumberFormat="1" applyFill="1"/>
    <xf numFmtId="169" fontId="0" fillId="6" borderId="0" xfId="0" applyNumberFormat="1" applyFill="1"/>
    <xf numFmtId="1" fontId="0" fillId="6" borderId="0" xfId="0" applyNumberFormat="1" applyFill="1"/>
    <xf numFmtId="0" fontId="1" fillId="6" borderId="4" xfId="0" applyFont="1" applyFill="1" applyBorder="1"/>
    <xf numFmtId="0" fontId="0" fillId="6" borderId="4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right" vertical="center" wrapText="1"/>
    </xf>
    <xf numFmtId="170" fontId="0" fillId="3" borderId="1" xfId="0" applyNumberFormat="1" applyFill="1" applyBorder="1" applyAlignment="1">
      <alignment vertical="center" wrapText="1"/>
    </xf>
    <xf numFmtId="1" fontId="3" fillId="3" borderId="0" xfId="0" applyNumberFormat="1" applyFont="1" applyFill="1" applyAlignment="1">
      <alignment wrapText="1"/>
    </xf>
    <xf numFmtId="1" fontId="3" fillId="3" borderId="0" xfId="0" applyNumberFormat="1" applyFont="1" applyFill="1" applyBorder="1" applyAlignment="1">
      <alignment vertical="center" wrapText="1"/>
    </xf>
    <xf numFmtId="171" fontId="0" fillId="3" borderId="1" xfId="0" applyNumberForma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457D5"/>
      <color rgb="FFEDD7F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rphy, Jack (NIH/NCI) [F]" id="{B7578D57-66A4-4317-87FC-A800F9AC3E70}" userId="S::murphyjd@nih.gov::36eacde2-45d2-41a9-be56-b44d0ebd66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X1" dT="2022-01-31T19:45:55.15" personId="{B7578D57-66A4-4317-87FC-A800F9AC3E70}" id="{49410604-BCDF-49DD-9D7D-88CB416B613E}">
    <text>Same paper (2020) as Gawron Global to the right; US-specific results also presented</text>
  </threadedComment>
  <threadedComment ref="BD1" dT="2022-01-31T15:36:04.01" personId="{B7578D57-66A4-4317-87FC-A800F9AC3E70}" id="{A3B63C48-547D-4E3E-B8AF-FA180177B624}">
    <text>Gastric cardia cancer only</text>
  </threadedComment>
  <threadedComment ref="BG1" dT="2022-01-31T15:40:05.92" personId="{B7578D57-66A4-4317-87FC-A800F9AC3E70}" id="{B0CC9B6A-4369-43AE-B529-C6C0821E88D9}">
    <text>Has presence of IM by ethnicity</text>
  </threadedComment>
  <threadedComment ref="A3" dT="2022-02-01T16:26:27.33" personId="{B7578D57-66A4-4317-87FC-A800F9AC3E70}" id="{4F7C67F7-9BD1-4B12-ADA7-042F359CAA58}">
    <text>Confirm patients over 40 years old</text>
  </threadedComment>
  <threadedComment ref="AR3" dT="2022-01-31T21:34:55.59" personId="{B7578D57-66A4-4317-87FC-A800F9AC3E70}" id="{042C2CD6-7816-4B67-B510-7E31CEDC0760}">
    <text>Spence 2017, another systematic review on this subject, chose not to meta-analyze data because of substantial heterogeneity among studies and poor study quality.</text>
  </threadedComment>
  <threadedComment ref="G6" dT="2021-12-07T00:01:21.34" personId="{B7578D57-66A4-4317-87FC-A800F9AC3E70}" id="{FFD7956B-5B23-461A-8CE3-07753835F36B}">
    <text>From Spence 2017 Review</text>
  </threadedComment>
  <threadedComment ref="P6" dT="2022-01-20T23:07:32.01" personId="{B7578D57-66A4-4317-87FC-A800F9AC3E70}" id="{2F26D0A8-701B-4725-B9DC-4D3E0E40BD5E}">
    <text>Non-cardia only: 0.90/1000</text>
  </threadedComment>
  <threadedComment ref="S6" dT="2022-01-31T20:15:35.70" personId="{B7578D57-66A4-4317-87FC-A800F9AC3E70}" id="{D387AF84-8CA1-4AA6-9F80-4ECD52D03732}">
    <text>From Table 1</text>
  </threadedComment>
  <threadedComment ref="V6" dT="2021-12-07T00:03:02.85" personId="{B7578D57-66A4-4317-87FC-A800F9AC3E70}" id="{A8632F28-3C2E-421A-BA78-DF1C31FD7EA5}">
    <text>From Spence 2017 Review</text>
  </threadedComment>
  <threadedComment ref="AB6" dT="2021-12-07T00:04:39.41" personId="{B7578D57-66A4-4317-87FC-A800F9AC3E70}" id="{FB25DE26-55B9-4983-B46B-0D2264B152F6}">
    <text>From Spence 2017 Review</text>
  </threadedComment>
  <threadedComment ref="AE6" dT="2021-12-07T00:05:03.54" personId="{B7578D57-66A4-4317-87FC-A800F9AC3E70}" id="{93C50AE0-826F-4EA8-9E03-566A76C13E02}">
    <text>From Spence 2017 Review</text>
  </threadedComment>
  <threadedComment ref="AR6" dT="2022-01-31T22:03:13.80" personId="{B7578D57-66A4-4317-87FC-A800F9AC3E70}" id="{983E6376-9303-4355-B12B-543C57686057}">
    <text>From supplementary materials</text>
  </threadedComment>
  <threadedComment ref="BJ6" dT="2022-01-31T16:22:26.83" personId="{B7578D57-66A4-4317-87FC-A800F9AC3E70}" id="{6F1766E2-E10C-420E-96FC-680457EA03BB}">
    <text>From Table 3</text>
  </threadedComment>
  <threadedComment ref="BL6" dT="2022-01-31T16:21:34.20" personId="{B7578D57-66A4-4317-87FC-A800F9AC3E70}" id="{281CD1A5-C2A7-4E1A-BDAC-0F3A3F0C09FC}">
    <text>From text (p.5); I can't replicate this value from their tables.</text>
  </threadedComment>
  <threadedComment ref="K7" dT="2022-01-31T18:10:44.46" personId="{B7578D57-66A4-4317-87FC-A800F9AC3E70}" id="{630C1CE4-0A55-4FB4-85B0-89F378652F69}">
    <text>From Figure 1</text>
  </threadedComment>
  <threadedComment ref="P7" dT="2022-01-20T23:07:49.64" personId="{B7578D57-66A4-4317-87FC-A800F9AC3E70}" id="{AF7D87AC-EE20-45E6-ADD9-EF46A5F0ED43}">
    <text>Non-cardia only: 1.116/1000</text>
  </threadedComment>
  <threadedComment ref="AL7" dT="2022-01-31T16:45:21.81" personId="{B7578D57-66A4-4317-87FC-A800F9AC3E70}" id="{922B9969-27F8-4476-82A4-4587AF1A9008}">
    <text>From Table 2</text>
  </threadedComment>
  <threadedComment ref="AU7" dT="2022-01-31T15:16:21.82" personId="{B7578D57-66A4-4317-87FC-A800F9AC3E70}" id="{B9644881-7898-466E-9038-051FDED7F6CD}">
    <text>From Table I. Excluded "Unconfirmed"</text>
  </threadedComment>
  <threadedComment ref="AW7" dT="2022-01-31T15:12:13.49" personId="{B7578D57-66A4-4317-87FC-A800F9AC3E70}" id="{826F424E-883B-4A4E-9F33-928DD86F3D5A}">
    <text>From Table III: second row ("Stomach cancer" endpoint); excluding "Unconfirmed"</text>
  </threadedComment>
  <threadedComment ref="AX7" dT="2022-01-31T19:46:23.23" personId="{B7578D57-66A4-4317-87FC-A800F9AC3E70}" id="{0F54D992-E5A4-4D38-847F-910B3932B890}">
    <text>From Figure 5D</text>
  </threadedComment>
  <threadedComment ref="BA7" dT="2022-01-31T19:46:04.80" personId="{B7578D57-66A4-4317-87FC-A800F9AC3E70}" id="{41291639-6FDD-4C1C-B02E-276AD364509E}">
    <text>From Figure 5C</text>
  </threadedComment>
  <threadedComment ref="BI7" dT="2022-01-31T15:44:34.69" personId="{B7578D57-66A4-4317-87FC-A800F9AC3E70}" id="{87D99383-0E24-4D73-B465-8B660478C183}">
    <text>From Table 4</text>
  </threadedComment>
  <threadedComment ref="BL7" dT="2022-01-31T16:21:42.79" personId="{B7578D57-66A4-4317-87FC-A800F9AC3E70}" id="{CA813033-A24E-4ED0-8B7D-610164076746}">
    <text>From text (p.5); I can't replicate this value from their tables.</text>
  </threadedComment>
  <threadedComment ref="BI15" dT="2022-01-31T15:46:29.22" personId="{B7578D57-66A4-4317-87FC-A800F9AC3E70}" id="{3E62C3CF-82BA-4257-BE18-E8218270E5BF}">
    <text>From Table 4</text>
  </threadedComment>
  <threadedComment ref="BJ15" dT="2022-01-31T16:25:25.86" personId="{B7578D57-66A4-4317-87FC-A800F9AC3E70}" id="{446E0B0E-D58F-4903-A3D9-80EA3E15B400}">
    <text>From text (p.3)</text>
  </threadedComment>
  <threadedComment ref="AL16" dT="2022-01-31T16:47:04.20" personId="{B7578D57-66A4-4317-87FC-A800F9AC3E70}" id="{056DA768-FFB5-4585-AD41-4880E47A4308}">
    <text>From Table 2</text>
  </threadedComment>
  <threadedComment ref="BI16" dT="2022-01-31T15:46:36.45" personId="{B7578D57-66A4-4317-87FC-A800F9AC3E70}" id="{FB9EDB73-2A36-4D9D-8AFF-D76ED694DC09}">
    <text>From Table 4</text>
  </threadedComment>
  <threadedComment ref="AU17" dT="2022-01-31T15:18:13.36" personId="{B7578D57-66A4-4317-87FC-A800F9AC3E70}" id="{1BCB4073-CB9F-4947-8B5B-DC2F47A7FB7F}">
    <text>From Table I, "IM type I" column</text>
  </threadedComment>
  <threadedComment ref="AU18" dT="2022-01-31T15:18:37.59" personId="{B7578D57-66A4-4317-87FC-A800F9AC3E70}" id="{72CC0D45-886F-48BE-9941-191CF78B4A45}">
    <text>From Table I, "IM type II" and "IM type III" columns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EDBF-B4AE-4AD3-8FD1-5B12AF2E67C0}">
  <dimension ref="A1:G19"/>
  <sheetViews>
    <sheetView tabSelected="1" zoomScale="170" zoomScaleNormal="170" workbookViewId="0">
      <selection activeCell="A2" sqref="A2"/>
    </sheetView>
  </sheetViews>
  <sheetFormatPr defaultColWidth="8.85546875" defaultRowHeight="15" x14ac:dyDescent="0.25"/>
  <cols>
    <col min="1" max="1" width="19.7109375" style="4" customWidth="1"/>
    <col min="2" max="2" width="12.85546875" style="16" customWidth="1"/>
    <col min="3" max="3" width="7" style="16" bestFit="1" customWidth="1"/>
    <col min="4" max="7" width="12.85546875" style="4" customWidth="1"/>
    <col min="8" max="16384" width="8.85546875" style="4"/>
  </cols>
  <sheetData>
    <row r="1" spans="1:7" ht="30" x14ac:dyDescent="0.25">
      <c r="A1" s="1" t="s">
        <v>0</v>
      </c>
      <c r="B1" s="2" t="s">
        <v>1</v>
      </c>
      <c r="C1" s="2" t="s">
        <v>112</v>
      </c>
      <c r="D1" s="1" t="s">
        <v>2</v>
      </c>
      <c r="E1" s="1" t="s">
        <v>3</v>
      </c>
      <c r="F1" s="1" t="s">
        <v>4</v>
      </c>
      <c r="G1" s="3" t="s">
        <v>5</v>
      </c>
    </row>
    <row r="2" spans="1:7" x14ac:dyDescent="0.25">
      <c r="A2" s="5" t="s">
        <v>6</v>
      </c>
      <c r="B2" s="6">
        <v>84900</v>
      </c>
      <c r="C2" s="131">
        <f>(B2/$B$5)*100</f>
        <v>84.899999999999991</v>
      </c>
      <c r="D2" s="128">
        <v>1.0000000000000001E-5</v>
      </c>
      <c r="E2" s="5">
        <f>B2*D2</f>
        <v>0.84900000000000009</v>
      </c>
      <c r="F2" s="7">
        <f>E2/31</f>
        <v>2.7387096774193553E-2</v>
      </c>
      <c r="G2" s="8">
        <f>E2/2</f>
        <v>0.42450000000000004</v>
      </c>
    </row>
    <row r="3" spans="1:7" x14ac:dyDescent="0.25">
      <c r="A3" s="5" t="s">
        <v>111</v>
      </c>
      <c r="B3" s="6">
        <v>15000</v>
      </c>
      <c r="C3" s="131">
        <f>(B3/$B$5)*100</f>
        <v>15</v>
      </c>
      <c r="D3" s="128">
        <v>2E-3</v>
      </c>
      <c r="E3" s="5">
        <f>B3*D3</f>
        <v>30</v>
      </c>
      <c r="F3" s="7">
        <f t="shared" ref="F3:F4" si="0">E3/31</f>
        <v>0.967741935483871</v>
      </c>
      <c r="G3" s="8">
        <f t="shared" ref="G3:G4" si="1">E3/2</f>
        <v>15</v>
      </c>
    </row>
    <row r="4" spans="1:7" x14ac:dyDescent="0.25">
      <c r="A4" s="5" t="s">
        <v>7</v>
      </c>
      <c r="B4" s="6">
        <v>100</v>
      </c>
      <c r="C4" s="131">
        <f>(B4/$B$5)*100</f>
        <v>0.1</v>
      </c>
      <c r="D4" s="128">
        <v>5.0000000000000001E-3</v>
      </c>
      <c r="E4" s="5">
        <f>B4*D4</f>
        <v>0.5</v>
      </c>
      <c r="F4" s="7">
        <f t="shared" si="0"/>
        <v>1.6129032258064516E-2</v>
      </c>
      <c r="G4" s="8">
        <f t="shared" si="1"/>
        <v>0.25</v>
      </c>
    </row>
    <row r="5" spans="1:7" s="11" customFormat="1" x14ac:dyDescent="0.25">
      <c r="A5" s="9" t="s">
        <v>8</v>
      </c>
      <c r="B5" s="10">
        <f>SUM(B2:B4)</f>
        <v>100000</v>
      </c>
      <c r="C5" s="10"/>
      <c r="E5" s="129">
        <f>SUM(E2:E4)</f>
        <v>31.349</v>
      </c>
      <c r="F5" s="130">
        <f>SUM(F2:F4)</f>
        <v>1.0112580645161291</v>
      </c>
      <c r="G5" s="130">
        <f>SUM(G2:G4)</f>
        <v>15.6745</v>
      </c>
    </row>
    <row r="6" spans="1:7" s="11" customFormat="1" x14ac:dyDescent="0.25">
      <c r="A6" s="9"/>
      <c r="B6" s="10"/>
      <c r="C6" s="10"/>
      <c r="E6" s="129"/>
      <c r="F6" s="130"/>
      <c r="G6" s="130"/>
    </row>
    <row r="7" spans="1:7" s="11" customFormat="1" x14ac:dyDescent="0.25">
      <c r="A7" s="9"/>
      <c r="B7" s="10"/>
      <c r="C7" s="10"/>
      <c r="E7" s="129"/>
      <c r="F7" s="130"/>
      <c r="G7" s="130"/>
    </row>
    <row r="8" spans="1:7" ht="30" x14ac:dyDescent="0.25">
      <c r="A8" s="1" t="s">
        <v>0</v>
      </c>
      <c r="B8" s="2" t="s">
        <v>1</v>
      </c>
      <c r="C8" s="2" t="s">
        <v>112</v>
      </c>
      <c r="D8" s="1" t="s">
        <v>2</v>
      </c>
      <c r="E8" s="1" t="s">
        <v>3</v>
      </c>
      <c r="F8" s="1" t="s">
        <v>4</v>
      </c>
      <c r="G8" s="3" t="s">
        <v>5</v>
      </c>
    </row>
    <row r="9" spans="1:7" s="14" customFormat="1" x14ac:dyDescent="0.25">
      <c r="A9" s="5" t="s">
        <v>6</v>
      </c>
      <c r="B9" s="6">
        <v>84900</v>
      </c>
      <c r="C9" s="131">
        <f>(B9/$B$5)*100</f>
        <v>84.899999999999991</v>
      </c>
      <c r="D9" s="128">
        <v>1.0000000000000001E-5</v>
      </c>
      <c r="E9" s="5">
        <f>B9*D9</f>
        <v>0.84900000000000009</v>
      </c>
      <c r="F9" s="7">
        <f>E9/31</f>
        <v>2.7387096774193553E-2</v>
      </c>
      <c r="G9" s="8">
        <f>E9/2</f>
        <v>0.42450000000000004</v>
      </c>
    </row>
    <row r="10" spans="1:7" s="14" customFormat="1" x14ac:dyDescent="0.25">
      <c r="A10" s="5" t="s">
        <v>111</v>
      </c>
      <c r="B10" s="6"/>
      <c r="C10" s="131"/>
      <c r="D10" s="128"/>
      <c r="E10" s="5"/>
      <c r="F10" s="7"/>
      <c r="G10" s="8"/>
    </row>
    <row r="11" spans="1:7" s="14" customFormat="1" x14ac:dyDescent="0.25">
      <c r="A11" s="127" t="s">
        <v>113</v>
      </c>
      <c r="B11" s="6">
        <v>9000</v>
      </c>
      <c r="C11" s="131">
        <f t="shared" ref="C11:C13" si="2">(B11/$B$5)*100</f>
        <v>9</v>
      </c>
      <c r="D11" s="128">
        <v>6.4999999999999997E-4</v>
      </c>
      <c r="E11" s="5">
        <f t="shared" ref="E10:E13" si="3">B11*D11</f>
        <v>5.85</v>
      </c>
      <c r="F11" s="7">
        <f t="shared" ref="F10:F13" si="4">E11/31</f>
        <v>0.18870967741935482</v>
      </c>
      <c r="G11" s="8">
        <f t="shared" ref="G10:G13" si="5">E11/2</f>
        <v>2.9249999999999998</v>
      </c>
    </row>
    <row r="12" spans="1:7" x14ac:dyDescent="0.25">
      <c r="A12" s="127" t="s">
        <v>26</v>
      </c>
      <c r="B12" s="6">
        <v>6000</v>
      </c>
      <c r="C12" s="131">
        <f t="shared" si="2"/>
        <v>6</v>
      </c>
      <c r="D12" s="128">
        <v>4.0000000000000001E-3</v>
      </c>
      <c r="E12" s="5">
        <f>B12*D12</f>
        <v>24</v>
      </c>
      <c r="F12" s="7">
        <f t="shared" si="4"/>
        <v>0.77419354838709675</v>
      </c>
      <c r="G12" s="8">
        <f t="shared" si="5"/>
        <v>12</v>
      </c>
    </row>
    <row r="13" spans="1:7" x14ac:dyDescent="0.25">
      <c r="A13" s="5" t="s">
        <v>7</v>
      </c>
      <c r="B13" s="6">
        <v>100</v>
      </c>
      <c r="C13" s="131">
        <f t="shared" si="2"/>
        <v>0.1</v>
      </c>
      <c r="D13" s="128">
        <v>5.0000000000000001E-3</v>
      </c>
      <c r="E13" s="5">
        <f t="shared" si="3"/>
        <v>0.5</v>
      </c>
      <c r="F13" s="7">
        <f t="shared" si="4"/>
        <v>1.6129032258064516E-2</v>
      </c>
      <c r="G13" s="8">
        <f t="shared" si="5"/>
        <v>0.25</v>
      </c>
    </row>
    <row r="14" spans="1:7" x14ac:dyDescent="0.25">
      <c r="A14" s="9" t="s">
        <v>8</v>
      </c>
      <c r="B14" s="10">
        <f>SUM(B9:B13)</f>
        <v>100000</v>
      </c>
      <c r="C14" s="10"/>
      <c r="D14" s="11"/>
      <c r="E14" s="129">
        <f>SUM(E9:E13)</f>
        <v>31.198999999999998</v>
      </c>
      <c r="F14" s="130">
        <f>SUM(F9:F13)</f>
        <v>1.0064193548387097</v>
      </c>
      <c r="G14" s="130">
        <f>SUM(G9:G13)</f>
        <v>15.599499999999999</v>
      </c>
    </row>
    <row r="16" spans="1:7" x14ac:dyDescent="0.25">
      <c r="A16" s="12" t="s">
        <v>9</v>
      </c>
      <c r="B16" s="13"/>
      <c r="C16" s="13"/>
      <c r="D16" s="14"/>
      <c r="E16" s="14"/>
      <c r="F16" s="14"/>
      <c r="G16" s="14"/>
    </row>
    <row r="17" spans="1:7" x14ac:dyDescent="0.25">
      <c r="A17" s="14" t="s">
        <v>10</v>
      </c>
      <c r="B17" s="13"/>
      <c r="C17" s="13"/>
      <c r="D17" s="14"/>
      <c r="E17" s="14"/>
      <c r="F17" s="14"/>
      <c r="G17" s="14"/>
    </row>
    <row r="18" spans="1:7" x14ac:dyDescent="0.25">
      <c r="A18" s="15" t="s">
        <v>11</v>
      </c>
      <c r="B18" s="13"/>
      <c r="C18" s="13"/>
      <c r="D18" s="14"/>
      <c r="E18" s="14"/>
      <c r="F18" s="14"/>
      <c r="G18" s="14"/>
    </row>
    <row r="19" spans="1:7" x14ac:dyDescent="0.25">
      <c r="A19" s="14" t="s">
        <v>12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2F3-10D0-4D21-8983-F899C2DCE0F0}">
  <dimension ref="A1:BT2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41.85546875" bestFit="1" customWidth="1"/>
    <col min="2" max="2" width="10.5703125" bestFit="1" customWidth="1"/>
    <col min="3" max="3" width="11.85546875" bestFit="1" customWidth="1"/>
    <col min="4" max="4" width="19.5703125" bestFit="1" customWidth="1"/>
    <col min="5" max="5" width="10.5703125" bestFit="1" customWidth="1"/>
    <col min="6" max="6" width="11.85546875" bestFit="1" customWidth="1"/>
    <col min="7" max="7" width="19.5703125" bestFit="1" customWidth="1"/>
    <col min="8" max="8" width="10.5703125" bestFit="1" customWidth="1"/>
    <col min="9" max="9" width="11.85546875" bestFit="1" customWidth="1"/>
    <col min="10" max="10" width="19.5703125" bestFit="1" customWidth="1"/>
    <col min="11" max="11" width="10.5703125" bestFit="1" customWidth="1"/>
    <col min="12" max="12" width="12" bestFit="1" customWidth="1"/>
    <col min="13" max="13" width="22.140625" bestFit="1" customWidth="1"/>
    <col min="14" max="14" width="10.5703125" bestFit="1" customWidth="1"/>
    <col min="15" max="15" width="11.85546875" bestFit="1" customWidth="1"/>
    <col min="16" max="16" width="19.5703125" bestFit="1" customWidth="1"/>
    <col min="17" max="17" width="10.5703125" bestFit="1" customWidth="1"/>
    <col min="18" max="18" width="11.85546875" bestFit="1" customWidth="1"/>
    <col min="19" max="19" width="19.5703125" bestFit="1" customWidth="1"/>
    <col min="20" max="20" width="10.5703125" bestFit="1" customWidth="1"/>
    <col min="21" max="21" width="10.85546875" bestFit="1" customWidth="1"/>
    <col min="22" max="22" width="19.5703125" bestFit="1" customWidth="1"/>
    <col min="23" max="23" width="10.5703125" bestFit="1" customWidth="1"/>
    <col min="24" max="24" width="11.85546875" bestFit="1" customWidth="1"/>
    <col min="25" max="25" width="19.5703125" bestFit="1" customWidth="1"/>
    <col min="26" max="26" width="10.5703125" bestFit="1" customWidth="1"/>
    <col min="27" max="27" width="11.85546875" bestFit="1" customWidth="1"/>
    <col min="28" max="28" width="19.5703125" bestFit="1" customWidth="1"/>
    <col min="29" max="29" width="10.5703125" bestFit="1" customWidth="1"/>
    <col min="30" max="30" width="11.85546875" bestFit="1" customWidth="1"/>
    <col min="31" max="31" width="19.5703125" bestFit="1" customWidth="1"/>
    <col min="32" max="32" width="10.5703125" bestFit="1" customWidth="1"/>
    <col min="33" max="33" width="11.85546875" bestFit="1" customWidth="1"/>
    <col min="34" max="34" width="19.5703125" bestFit="1" customWidth="1"/>
    <col min="35" max="35" width="10.5703125" bestFit="1" customWidth="1"/>
    <col min="36" max="36" width="11.85546875" bestFit="1" customWidth="1"/>
    <col min="37" max="37" width="19.5703125" bestFit="1" customWidth="1"/>
    <col min="38" max="38" width="10.5703125" bestFit="1" customWidth="1"/>
    <col min="39" max="39" width="11.85546875" bestFit="1" customWidth="1"/>
    <col min="40" max="40" width="19.5703125" bestFit="1" customWidth="1"/>
    <col min="41" max="41" width="10.5703125" bestFit="1" customWidth="1"/>
    <col min="42" max="42" width="11.85546875" bestFit="1" customWidth="1"/>
    <col min="43" max="43" width="19.5703125" bestFit="1" customWidth="1"/>
    <col min="44" max="44" width="10.5703125" bestFit="1" customWidth="1"/>
    <col min="45" max="45" width="9.85546875" bestFit="1" customWidth="1"/>
    <col min="46" max="46" width="19.5703125" bestFit="1" customWidth="1"/>
    <col min="47" max="47" width="10.5703125" bestFit="1" customWidth="1"/>
    <col min="48" max="48" width="11.85546875" bestFit="1" customWidth="1"/>
    <col min="49" max="49" width="19.5703125" bestFit="1" customWidth="1"/>
    <col min="50" max="50" width="10.5703125" bestFit="1" customWidth="1"/>
    <col min="51" max="51" width="11.85546875" bestFit="1" customWidth="1"/>
    <col min="52" max="52" width="19.5703125" bestFit="1" customWidth="1"/>
    <col min="53" max="53" width="10.5703125" bestFit="1" customWidth="1"/>
    <col min="54" max="54" width="11.85546875" bestFit="1" customWidth="1"/>
    <col min="55" max="55" width="19.5703125" bestFit="1" customWidth="1"/>
    <col min="56" max="56" width="10.5703125" bestFit="1" customWidth="1"/>
    <col min="57" max="57" width="11.85546875" bestFit="1" customWidth="1"/>
    <col min="58" max="58" width="19.5703125" bestFit="1" customWidth="1"/>
    <col min="59" max="59" width="10.5703125" bestFit="1" customWidth="1"/>
    <col min="60" max="60" width="11.85546875" bestFit="1" customWidth="1"/>
    <col min="61" max="61" width="19.5703125" bestFit="1" customWidth="1"/>
    <col min="62" max="62" width="10.5703125" bestFit="1" customWidth="1"/>
    <col min="63" max="63" width="11.85546875" bestFit="1" customWidth="1"/>
    <col min="64" max="64" width="19.5703125" bestFit="1" customWidth="1"/>
    <col min="65" max="65" width="10.5703125" bestFit="1" customWidth="1"/>
    <col min="66" max="66" width="11.85546875" bestFit="1" customWidth="1"/>
    <col min="67" max="67" width="19.5703125" bestFit="1" customWidth="1"/>
    <col min="68" max="68" width="12" bestFit="1" customWidth="1"/>
    <col min="69" max="69" width="13.5703125" bestFit="1" customWidth="1"/>
    <col min="70" max="70" width="20.140625" bestFit="1" customWidth="1"/>
    <col min="71" max="71" width="20.5703125" bestFit="1" customWidth="1"/>
  </cols>
  <sheetData>
    <row r="1" spans="1:72" x14ac:dyDescent="0.25">
      <c r="A1" s="17" t="s">
        <v>13</v>
      </c>
      <c r="B1" s="112" t="s">
        <v>14</v>
      </c>
      <c r="C1" s="113"/>
      <c r="D1" s="118"/>
      <c r="E1" s="112" t="s">
        <v>34</v>
      </c>
      <c r="F1" s="113"/>
      <c r="G1" s="118"/>
      <c r="H1" s="112" t="s">
        <v>36</v>
      </c>
      <c r="I1" s="113"/>
      <c r="J1" s="118"/>
      <c r="K1" s="112" t="s">
        <v>40</v>
      </c>
      <c r="L1" s="113"/>
      <c r="M1" s="118"/>
      <c r="N1" s="124" t="s">
        <v>42</v>
      </c>
      <c r="O1" s="124"/>
      <c r="P1" s="124"/>
      <c r="Q1" s="112" t="s">
        <v>44</v>
      </c>
      <c r="R1" s="113"/>
      <c r="S1" s="113"/>
      <c r="T1" s="112" t="s">
        <v>45</v>
      </c>
      <c r="U1" s="113"/>
      <c r="V1" s="113"/>
      <c r="W1" s="112" t="s">
        <v>46</v>
      </c>
      <c r="X1" s="113"/>
      <c r="Y1" s="113"/>
      <c r="Z1" s="112" t="s">
        <v>47</v>
      </c>
      <c r="AA1" s="113"/>
      <c r="AB1" s="113"/>
      <c r="AC1" s="112" t="s">
        <v>48</v>
      </c>
      <c r="AD1" s="113"/>
      <c r="AE1" s="113"/>
      <c r="AF1" s="112" t="s">
        <v>49</v>
      </c>
      <c r="AG1" s="113"/>
      <c r="AH1" s="113"/>
      <c r="AI1" s="112" t="s">
        <v>50</v>
      </c>
      <c r="AJ1" s="113"/>
      <c r="AK1" s="113"/>
      <c r="AL1" s="112" t="s">
        <v>51</v>
      </c>
      <c r="AM1" s="113"/>
      <c r="AN1" s="113"/>
      <c r="AO1" s="112" t="s">
        <v>52</v>
      </c>
      <c r="AP1" s="113"/>
      <c r="AQ1" s="113"/>
      <c r="AR1" s="112" t="s">
        <v>54</v>
      </c>
      <c r="AS1" s="113"/>
      <c r="AT1" s="113"/>
      <c r="AU1" s="112" t="s">
        <v>56</v>
      </c>
      <c r="AV1" s="113"/>
      <c r="AW1" s="113"/>
      <c r="AX1" s="112" t="s">
        <v>57</v>
      </c>
      <c r="AY1" s="113"/>
      <c r="AZ1" s="113"/>
      <c r="BA1" s="112" t="s">
        <v>57</v>
      </c>
      <c r="BB1" s="113"/>
      <c r="BC1" s="113"/>
      <c r="BD1" s="112" t="s">
        <v>60</v>
      </c>
      <c r="BE1" s="113"/>
      <c r="BF1" s="113"/>
      <c r="BG1" s="112" t="s">
        <v>63</v>
      </c>
      <c r="BH1" s="113"/>
      <c r="BI1" s="113"/>
      <c r="BJ1" s="112" t="s">
        <v>65</v>
      </c>
      <c r="BK1" s="113"/>
      <c r="BL1" s="113"/>
      <c r="BM1" s="112" t="s">
        <v>67</v>
      </c>
      <c r="BN1" s="113"/>
      <c r="BO1" s="118"/>
      <c r="BP1" s="17" t="s">
        <v>81</v>
      </c>
      <c r="BQ1" s="17" t="s">
        <v>82</v>
      </c>
      <c r="BR1" s="17" t="s">
        <v>99</v>
      </c>
      <c r="BS1" s="17" t="s">
        <v>100</v>
      </c>
      <c r="BT1" s="17" t="s">
        <v>88</v>
      </c>
    </row>
    <row r="2" spans="1:72" s="27" customFormat="1" x14ac:dyDescent="0.25">
      <c r="A2" s="26" t="s">
        <v>72</v>
      </c>
      <c r="B2" s="114" t="s">
        <v>15</v>
      </c>
      <c r="C2" s="115"/>
      <c r="D2" s="119"/>
      <c r="E2" s="114" t="s">
        <v>35</v>
      </c>
      <c r="F2" s="115"/>
      <c r="G2" s="119"/>
      <c r="H2" s="114" t="s">
        <v>37</v>
      </c>
      <c r="I2" s="115"/>
      <c r="J2" s="119"/>
      <c r="K2" s="29"/>
      <c r="L2" s="45"/>
      <c r="M2" s="28" t="s">
        <v>37</v>
      </c>
      <c r="N2" s="125" t="s">
        <v>43</v>
      </c>
      <c r="O2" s="125"/>
      <c r="P2" s="125"/>
      <c r="Q2" s="114" t="s">
        <v>79</v>
      </c>
      <c r="R2" s="115"/>
      <c r="S2" s="115"/>
      <c r="T2" s="114"/>
      <c r="U2" s="115"/>
      <c r="V2" s="115"/>
      <c r="W2" s="114"/>
      <c r="X2" s="115"/>
      <c r="Y2" s="115"/>
      <c r="Z2" s="114"/>
      <c r="AA2" s="115"/>
      <c r="AB2" s="115"/>
      <c r="AC2" s="114"/>
      <c r="AD2" s="115"/>
      <c r="AE2" s="115"/>
      <c r="AF2" s="114"/>
      <c r="AG2" s="115"/>
      <c r="AH2" s="115"/>
      <c r="AI2" s="114" t="s">
        <v>69</v>
      </c>
      <c r="AJ2" s="115"/>
      <c r="AK2" s="115"/>
      <c r="AL2" s="114" t="s">
        <v>68</v>
      </c>
      <c r="AM2" s="115"/>
      <c r="AN2" s="115"/>
      <c r="AO2" s="114" t="s">
        <v>53</v>
      </c>
      <c r="AP2" s="115"/>
      <c r="AQ2" s="115"/>
      <c r="AR2" s="114" t="s">
        <v>59</v>
      </c>
      <c r="AS2" s="115"/>
      <c r="AT2" s="115"/>
      <c r="AU2" s="114" t="s">
        <v>55</v>
      </c>
      <c r="AV2" s="115"/>
      <c r="AW2" s="115"/>
      <c r="AX2" s="114" t="s">
        <v>58</v>
      </c>
      <c r="AY2" s="115"/>
      <c r="AZ2" s="115"/>
      <c r="BA2" s="114" t="s">
        <v>59</v>
      </c>
      <c r="BB2" s="115"/>
      <c r="BC2" s="115"/>
      <c r="BD2" s="114" t="s">
        <v>62</v>
      </c>
      <c r="BE2" s="115"/>
      <c r="BF2" s="115"/>
      <c r="BG2" s="114" t="s">
        <v>64</v>
      </c>
      <c r="BH2" s="115"/>
      <c r="BI2" s="115"/>
      <c r="BJ2" s="114" t="s">
        <v>66</v>
      </c>
      <c r="BK2" s="115"/>
      <c r="BL2" s="115"/>
      <c r="BM2" s="114" t="s">
        <v>61</v>
      </c>
      <c r="BN2" s="115"/>
      <c r="BO2" s="119"/>
    </row>
    <row r="3" spans="1:72" s="25" customFormat="1" x14ac:dyDescent="0.25">
      <c r="A3" s="24" t="s">
        <v>73</v>
      </c>
      <c r="B3" s="116" t="s">
        <v>74</v>
      </c>
      <c r="C3" s="117"/>
      <c r="D3" s="120"/>
      <c r="E3" s="116"/>
      <c r="F3" s="117"/>
      <c r="G3" s="120"/>
      <c r="H3" s="116"/>
      <c r="I3" s="117"/>
      <c r="J3" s="120"/>
      <c r="K3" s="116" t="s">
        <v>41</v>
      </c>
      <c r="L3" s="117"/>
      <c r="M3" s="120"/>
      <c r="N3" s="126"/>
      <c r="O3" s="126"/>
      <c r="P3" s="126"/>
      <c r="Q3" s="116" t="s">
        <v>83</v>
      </c>
      <c r="R3" s="117"/>
      <c r="S3" s="117"/>
      <c r="T3" s="116"/>
      <c r="U3" s="117"/>
      <c r="V3" s="117"/>
      <c r="W3" s="116"/>
      <c r="X3" s="117"/>
      <c r="Y3" s="117"/>
      <c r="Z3" s="116"/>
      <c r="AA3" s="117"/>
      <c r="AB3" s="117"/>
      <c r="AC3" s="116"/>
      <c r="AD3" s="117"/>
      <c r="AE3" s="117"/>
      <c r="AF3" s="116"/>
      <c r="AG3" s="117"/>
      <c r="AH3" s="117"/>
      <c r="AI3" s="116"/>
      <c r="AJ3" s="117"/>
      <c r="AK3" s="117"/>
      <c r="AL3" s="116"/>
      <c r="AM3" s="117"/>
      <c r="AN3" s="117"/>
      <c r="AO3" s="116"/>
      <c r="AP3" s="117"/>
      <c r="AQ3" s="117"/>
      <c r="AR3" s="116" t="s">
        <v>84</v>
      </c>
      <c r="AS3" s="117"/>
      <c r="AT3" s="117"/>
      <c r="AU3" s="116"/>
      <c r="AV3" s="117"/>
      <c r="AW3" s="117"/>
      <c r="AX3" s="116"/>
      <c r="AY3" s="117"/>
      <c r="AZ3" s="117"/>
      <c r="BA3" s="116"/>
      <c r="BB3" s="117"/>
      <c r="BC3" s="117"/>
      <c r="BD3" s="116"/>
      <c r="BE3" s="117"/>
      <c r="BF3" s="117"/>
      <c r="BG3" s="116"/>
      <c r="BH3" s="117"/>
      <c r="BI3" s="117"/>
      <c r="BJ3" s="116" t="s">
        <v>80</v>
      </c>
      <c r="BK3" s="117"/>
      <c r="BL3" s="117"/>
      <c r="BM3" s="116"/>
      <c r="BN3" s="117"/>
      <c r="BO3" s="120"/>
    </row>
    <row r="4" spans="1:72" x14ac:dyDescent="0.25">
      <c r="A4" s="17" t="s">
        <v>76</v>
      </c>
      <c r="B4" s="30" t="s">
        <v>75</v>
      </c>
      <c r="C4" s="31" t="s">
        <v>70</v>
      </c>
      <c r="D4" s="49" t="s">
        <v>71</v>
      </c>
      <c r="E4" s="52" t="s">
        <v>75</v>
      </c>
      <c r="F4" s="49" t="s">
        <v>70</v>
      </c>
      <c r="G4" s="38" t="s">
        <v>71</v>
      </c>
      <c r="H4" s="30" t="s">
        <v>75</v>
      </c>
      <c r="I4" s="30" t="s">
        <v>70</v>
      </c>
      <c r="J4" s="38" t="s">
        <v>71</v>
      </c>
      <c r="K4" s="44" t="s">
        <v>75</v>
      </c>
      <c r="L4" s="30" t="s">
        <v>70</v>
      </c>
      <c r="M4" s="38" t="s">
        <v>71</v>
      </c>
      <c r="N4" s="44" t="s">
        <v>75</v>
      </c>
      <c r="O4" s="23" t="s">
        <v>70</v>
      </c>
      <c r="P4" s="23" t="s">
        <v>71</v>
      </c>
      <c r="Q4" s="44" t="s">
        <v>75</v>
      </c>
      <c r="R4" s="30" t="s">
        <v>70</v>
      </c>
      <c r="S4" s="31" t="s">
        <v>71</v>
      </c>
      <c r="T4" s="44" t="s">
        <v>75</v>
      </c>
      <c r="U4" s="30" t="s">
        <v>70</v>
      </c>
      <c r="V4" s="31" t="s">
        <v>71</v>
      </c>
      <c r="W4" s="46" t="s">
        <v>75</v>
      </c>
      <c r="X4" s="30" t="s">
        <v>70</v>
      </c>
      <c r="Y4" s="31" t="s">
        <v>71</v>
      </c>
      <c r="Z4" s="44" t="s">
        <v>75</v>
      </c>
      <c r="AA4" s="30" t="s">
        <v>70</v>
      </c>
      <c r="AB4" s="31" t="s">
        <v>71</v>
      </c>
      <c r="AC4" s="44" t="s">
        <v>75</v>
      </c>
      <c r="AD4" s="30" t="s">
        <v>70</v>
      </c>
      <c r="AE4" s="31" t="s">
        <v>71</v>
      </c>
      <c r="AF4" s="44" t="s">
        <v>75</v>
      </c>
      <c r="AG4" s="30" t="s">
        <v>70</v>
      </c>
      <c r="AH4" s="31" t="s">
        <v>71</v>
      </c>
      <c r="AI4" s="44" t="s">
        <v>75</v>
      </c>
      <c r="AJ4" s="30" t="s">
        <v>70</v>
      </c>
      <c r="AK4" s="31" t="s">
        <v>71</v>
      </c>
      <c r="AL4" s="44" t="s">
        <v>75</v>
      </c>
      <c r="AM4" s="30" t="s">
        <v>70</v>
      </c>
      <c r="AN4" s="31" t="s">
        <v>71</v>
      </c>
      <c r="AO4" s="30" t="s">
        <v>75</v>
      </c>
      <c r="AP4" s="30" t="s">
        <v>70</v>
      </c>
      <c r="AQ4" s="31" t="s">
        <v>71</v>
      </c>
      <c r="AR4" s="30" t="s">
        <v>75</v>
      </c>
      <c r="AS4" s="30" t="s">
        <v>70</v>
      </c>
      <c r="AT4" s="31" t="s">
        <v>71</v>
      </c>
      <c r="AU4" s="44" t="s">
        <v>75</v>
      </c>
      <c r="AV4" s="30" t="s">
        <v>70</v>
      </c>
      <c r="AW4" s="31" t="s">
        <v>71</v>
      </c>
      <c r="AX4" s="30" t="s">
        <v>75</v>
      </c>
      <c r="AY4" s="30" t="s">
        <v>70</v>
      </c>
      <c r="AZ4" s="31" t="s">
        <v>71</v>
      </c>
      <c r="BA4" s="30" t="s">
        <v>75</v>
      </c>
      <c r="BB4" s="30" t="s">
        <v>70</v>
      </c>
      <c r="BC4" s="31" t="s">
        <v>71</v>
      </c>
      <c r="BD4" s="30" t="s">
        <v>75</v>
      </c>
      <c r="BE4" s="30" t="s">
        <v>70</v>
      </c>
      <c r="BF4" s="31" t="s">
        <v>71</v>
      </c>
      <c r="BG4" s="30" t="s">
        <v>75</v>
      </c>
      <c r="BH4" s="30" t="s">
        <v>70</v>
      </c>
      <c r="BI4" s="31" t="s">
        <v>71</v>
      </c>
      <c r="BJ4" s="30" t="s">
        <v>75</v>
      </c>
      <c r="BK4" s="30" t="s">
        <v>70</v>
      </c>
      <c r="BL4" s="31" t="s">
        <v>71</v>
      </c>
      <c r="BM4" s="48" t="s">
        <v>75</v>
      </c>
      <c r="BN4" s="48" t="s">
        <v>70</v>
      </c>
      <c r="BO4" s="50" t="s">
        <v>71</v>
      </c>
    </row>
    <row r="5" spans="1:72" x14ac:dyDescent="0.25">
      <c r="A5" s="17" t="s">
        <v>16</v>
      </c>
      <c r="B5" s="41"/>
      <c r="C5" s="42"/>
      <c r="D5" s="22"/>
      <c r="E5" s="32"/>
      <c r="F5" s="33"/>
      <c r="G5" s="22"/>
      <c r="H5" s="32"/>
      <c r="I5" s="33"/>
      <c r="J5" s="22"/>
      <c r="K5" s="32"/>
      <c r="M5" s="22"/>
      <c r="N5" s="47">
        <v>167521</v>
      </c>
      <c r="O5" s="20">
        <f>P5/(N5*1000)</f>
        <v>3.521946502229571E-9</v>
      </c>
      <c r="P5" s="22">
        <v>0.59</v>
      </c>
      <c r="Q5" s="32"/>
      <c r="R5" s="33"/>
      <c r="S5" s="33"/>
      <c r="T5" s="32"/>
      <c r="U5" s="33"/>
      <c r="V5" s="33"/>
      <c r="W5" s="32"/>
      <c r="X5" s="33"/>
      <c r="Y5" s="33"/>
      <c r="Z5" s="32"/>
      <c r="AA5" s="33"/>
      <c r="AB5" s="33"/>
      <c r="AC5" s="32"/>
      <c r="AD5" s="33"/>
      <c r="AE5" s="33"/>
      <c r="AF5" s="32"/>
      <c r="AG5" s="33"/>
      <c r="AH5" s="33"/>
      <c r="AI5" s="32"/>
      <c r="AJ5" s="33"/>
      <c r="AK5" s="33"/>
      <c r="AL5" s="32"/>
      <c r="AM5" s="33"/>
      <c r="AN5" s="33"/>
      <c r="AO5" s="32"/>
      <c r="AP5" s="33"/>
      <c r="AQ5" s="33"/>
      <c r="AR5" s="32"/>
      <c r="AS5" s="33"/>
      <c r="AT5" s="33"/>
      <c r="AU5" s="32"/>
      <c r="AV5" s="33"/>
      <c r="AW5" s="33"/>
      <c r="AX5" s="32"/>
      <c r="AY5" s="33"/>
      <c r="AZ5" s="33"/>
      <c r="BA5" s="32"/>
      <c r="BB5" s="33"/>
      <c r="BC5" s="33"/>
      <c r="BD5" s="32">
        <v>3099</v>
      </c>
      <c r="BE5" s="33">
        <f>BF5/(BD5*1000)</f>
        <v>2.2910616327847694E-6</v>
      </c>
      <c r="BF5" s="33">
        <v>7.1</v>
      </c>
      <c r="BG5" s="32"/>
      <c r="BH5" s="33"/>
      <c r="BI5" s="33"/>
      <c r="BJ5" s="32">
        <v>6</v>
      </c>
      <c r="BK5" s="33">
        <v>0</v>
      </c>
      <c r="BL5" s="33">
        <v>0</v>
      </c>
      <c r="BM5" s="32"/>
      <c r="BN5" s="33"/>
      <c r="BO5" s="22"/>
      <c r="BP5" s="53">
        <f>AVERAGE(C5,F5,I5,L5,O5,R5,U5,X5,AA5,AD5,AG5,AJ5,AM5,AP5,AS5,AV5,AY5,BB5,BE5,BH5,BK5,BN5)</f>
        <v>7.6486119309566625E-7</v>
      </c>
      <c r="BQ5" s="53">
        <f>MEDIAN(C5,F5,I5,L5,O5,R5,U5,X5,AA5,AD5,AG5,AJ5,AM5,AP5,AS5,AV5,AY5,BB5,BE5,BH5,BK5,BN5)</f>
        <v>3.521946502229571E-9</v>
      </c>
      <c r="BR5" s="98">
        <f>MIN(C5,F5,I5,L5,O5,R5,U5,X5,AA5,AD5,AG5,AJ5,AM5,AP5,AS5,AV5,AY5,BB5,BE5,BH5,BK5,BN5)</f>
        <v>0</v>
      </c>
      <c r="BS5" s="98">
        <f>MAX(C5,F5,I5,L5,O5,R5,U5,X5,AA5,AD5,AG5,AJ5,AM5,AP5,AS5,AV5,AY5,BB5,BE5,BH5,BK5,BN5)</f>
        <v>2.2910616327847694E-6</v>
      </c>
      <c r="BT5" s="47">
        <f>SUM(B5, E5, H5, K5, N5, Q5, T5, W5, Z5, AC5, AF5, AI5, AL5, AO5, AR5, AU5, AX5, BA5, BD5, BG5, BJ5, BM5)</f>
        <v>170626</v>
      </c>
    </row>
    <row r="6" spans="1:72" x14ac:dyDescent="0.25">
      <c r="A6" s="17" t="s">
        <v>85</v>
      </c>
      <c r="B6" s="41"/>
      <c r="C6" s="42"/>
      <c r="D6" s="22"/>
      <c r="E6" s="32">
        <v>156</v>
      </c>
      <c r="F6" s="33">
        <f>G6/(E6*1000)</f>
        <v>3.3974358974358975E-6</v>
      </c>
      <c r="G6" s="22">
        <v>0.53</v>
      </c>
      <c r="H6" s="32"/>
      <c r="I6" s="33"/>
      <c r="J6" s="22"/>
      <c r="K6" s="32"/>
      <c r="L6" s="33"/>
      <c r="M6" s="22"/>
      <c r="N6" s="20">
        <v>14285</v>
      </c>
      <c r="O6" s="20">
        <f t="shared" ref="O6:O7" si="0">P6/(N6*1000)</f>
        <v>7.0283514175708786E-8</v>
      </c>
      <c r="P6" s="22">
        <v>1.004</v>
      </c>
      <c r="Q6" s="32">
        <v>4397</v>
      </c>
      <c r="R6" s="20">
        <f>S6/(Q6*1000)</f>
        <v>5.5622186872491281E-7</v>
      </c>
      <c r="S6" s="51">
        <f>(108/44159)*1000</f>
        <v>2.4457075567834416</v>
      </c>
      <c r="T6" s="32">
        <v>200</v>
      </c>
      <c r="U6" s="20">
        <f t="shared" ref="U6" si="1">V6/(T6*1000)</f>
        <v>1.235E-5</v>
      </c>
      <c r="V6" s="33">
        <v>2.4700000000000002</v>
      </c>
      <c r="W6" s="32">
        <v>116</v>
      </c>
      <c r="X6" s="20">
        <f t="shared" ref="X6" si="2">Y6/(W6*1000)</f>
        <v>3.5344827586206893E-5</v>
      </c>
      <c r="Y6" s="33">
        <v>4.0999999999999996</v>
      </c>
      <c r="Z6" s="32">
        <v>101</v>
      </c>
      <c r="AA6" s="20">
        <f t="shared" ref="AA6" si="3">AB6/(Z6*1000)</f>
        <v>1.508910891089109E-4</v>
      </c>
      <c r="AB6" s="33">
        <v>15.24</v>
      </c>
      <c r="AC6" s="32">
        <v>194</v>
      </c>
      <c r="AD6" s="20">
        <f t="shared" ref="AD6" si="4">AE6/(AC6*1000)</f>
        <v>2.6597938144329897E-5</v>
      </c>
      <c r="AE6" s="33">
        <v>5.16</v>
      </c>
      <c r="AF6" s="32">
        <v>300</v>
      </c>
      <c r="AG6" s="20">
        <f t="shared" ref="AG6" si="5">AH6/(AF6*1000)</f>
        <v>7.7666666666666663E-6</v>
      </c>
      <c r="AH6" s="33">
        <v>2.33</v>
      </c>
      <c r="AI6" s="32"/>
      <c r="AJ6" s="33"/>
      <c r="AK6" s="33"/>
      <c r="AL6" s="32"/>
      <c r="AM6" s="33"/>
      <c r="AN6" s="33"/>
      <c r="AO6" s="32"/>
      <c r="AP6" s="33"/>
      <c r="AQ6" s="33"/>
      <c r="AR6" s="32">
        <v>68893</v>
      </c>
      <c r="AS6" s="33">
        <f>AT6/(AR6*1000)</f>
        <v>1.7998925870552885E-8</v>
      </c>
      <c r="AT6" s="33">
        <v>1.24</v>
      </c>
      <c r="AU6" s="32"/>
      <c r="AV6" s="33"/>
      <c r="AW6" s="33"/>
      <c r="AX6" s="32"/>
      <c r="AY6" s="33"/>
      <c r="AZ6" s="33"/>
      <c r="BA6" s="32"/>
      <c r="BB6" s="33"/>
      <c r="BC6" s="33"/>
      <c r="BD6" s="32"/>
      <c r="BE6" s="33"/>
      <c r="BF6" s="33"/>
      <c r="BG6" s="32"/>
      <c r="BH6" s="33"/>
      <c r="BI6" s="33"/>
      <c r="BJ6" s="32">
        <f>SUM(23, 63, 83)</f>
        <v>169</v>
      </c>
      <c r="BK6" s="33">
        <f>BL6/(BJ6*1000)</f>
        <v>1.0828402366863907E-5</v>
      </c>
      <c r="BL6" s="51">
        <v>1.83</v>
      </c>
      <c r="BM6" s="32">
        <v>332</v>
      </c>
      <c r="BN6" s="33">
        <f>BO6/(BM6*1000)</f>
        <v>1.5963855421686745E-5</v>
      </c>
      <c r="BO6" s="22">
        <v>5.3</v>
      </c>
      <c r="BP6" s="53">
        <f>AVERAGE(C6,F6,I6,L6,O6,R6,U6,X6,AA6,AD6,AG6,AJ6,AM6,AP6,AS6,AV6,AY6,BB6,BE6,BH6,BK6,BN6)</f>
        <v>2.3980429045533829E-5</v>
      </c>
      <c r="BQ6" s="53">
        <f>MEDIAN(C6,F6,I6,L6,O6,R6,U6,X6,AA6,AD6,AG6,AJ6,AM6,AP6,AS6,AV6,AY6,BB6,BE6,BH6,BK6,BN6)</f>
        <v>1.0828402366863907E-5</v>
      </c>
      <c r="BR6" s="98">
        <f t="shared" ref="BR6:BR23" si="6">MIN(C6,F6,I6,L6,O6,R6,U6,X6,AA6,AD6,AG6,AJ6,AM6,AP6,AS6,AV6,AY6,BB6,BE6,BH6,BK6,BN6)</f>
        <v>1.7998925870552885E-8</v>
      </c>
      <c r="BS6" s="98">
        <f t="shared" ref="BS6:BS23" si="7">MAX(C6,F6,I6,L6,O6,R6,U6,X6,AA6,AD6,AG6,AJ6,AM6,AP6,AS6,AV6,AY6,BB6,BE6,BH6,BK6,BN6)</f>
        <v>1.508910891089109E-4</v>
      </c>
      <c r="BT6" s="47">
        <f t="shared" ref="BT6:BT23" si="8">SUM(B6, E6, H6, K6, N6, Q6, T6, W6, Z6, AC6, AF6, AI6, AL6, AO6, AR6, AU6, AX6, BA6, BD6, BG6, BJ6, BM6)</f>
        <v>89143</v>
      </c>
    </row>
    <row r="7" spans="1:72" x14ac:dyDescent="0.25">
      <c r="A7" s="17" t="s">
        <v>17</v>
      </c>
      <c r="B7" s="41">
        <v>1321</v>
      </c>
      <c r="C7" s="33">
        <f>D7/(B7*1000)</f>
        <v>1.0136260408781227E-4</v>
      </c>
      <c r="D7" s="22">
        <v>133.9</v>
      </c>
      <c r="E7" s="32"/>
      <c r="F7" s="33"/>
      <c r="G7" s="22"/>
      <c r="H7" s="32">
        <v>4146</v>
      </c>
      <c r="I7" s="33">
        <f>J7/(H7*1000)</f>
        <v>1.736613603473227E-7</v>
      </c>
      <c r="J7" s="22">
        <v>0.72</v>
      </c>
      <c r="K7" s="32">
        <v>923</v>
      </c>
      <c r="L7" s="33">
        <f>M7/(K7*1000)</f>
        <v>1.8634886240520043E-6</v>
      </c>
      <c r="M7" s="22">
        <v>1.72</v>
      </c>
      <c r="N7" s="20">
        <v>11530</v>
      </c>
      <c r="O7" s="20">
        <f t="shared" si="0"/>
        <v>1.1205550737207286E-7</v>
      </c>
      <c r="P7" s="22">
        <v>1.292</v>
      </c>
      <c r="Q7" s="32"/>
      <c r="R7" s="33"/>
      <c r="S7" s="33"/>
      <c r="T7" s="32"/>
      <c r="U7" s="33"/>
      <c r="V7" s="33"/>
      <c r="W7" s="32"/>
      <c r="X7" s="33"/>
      <c r="Y7" s="33"/>
      <c r="Z7" s="32"/>
      <c r="AA7" s="33"/>
      <c r="AB7" s="33"/>
      <c r="AC7" s="32"/>
      <c r="AD7" s="33"/>
      <c r="AE7" s="33"/>
      <c r="AF7" s="32"/>
      <c r="AG7" s="33"/>
      <c r="AH7" s="33"/>
      <c r="AI7" s="32"/>
      <c r="AJ7" s="33"/>
      <c r="AK7" s="33"/>
      <c r="AL7" s="32">
        <v>848</v>
      </c>
      <c r="AM7" s="20">
        <f t="shared" ref="AM7" si="9">AN7/(AL7*1000)</f>
        <v>4.1273584905660379E-6</v>
      </c>
      <c r="AN7" s="33">
        <v>3.5</v>
      </c>
      <c r="AO7" s="32">
        <v>171</v>
      </c>
      <c r="AP7" s="20">
        <f t="shared" ref="AP7" si="10">AQ7/(AO7*1000)</f>
        <v>8.1871345029239757E-6</v>
      </c>
      <c r="AQ7" s="33">
        <v>1.4</v>
      </c>
      <c r="AR7" s="32">
        <v>85149</v>
      </c>
      <c r="AS7" s="33">
        <f>AT7/(AR7*1000)</f>
        <v>3.9695122667324338E-8</v>
      </c>
      <c r="AT7" s="33">
        <v>3.38</v>
      </c>
      <c r="AU7" s="32">
        <f>SUM(518, 197, 275)</f>
        <v>990</v>
      </c>
      <c r="AV7" s="33">
        <f>AW7/(AU7*1000)</f>
        <v>2.4457423811126978E-6</v>
      </c>
      <c r="AW7" s="51">
        <f>SUM(6, 5, 15)/SUM(2900.4, 2179.8, 5657.9)*1000</f>
        <v>2.4212849573015709</v>
      </c>
      <c r="AX7" s="32">
        <f>SUM(906, 4146)</f>
        <v>5052</v>
      </c>
      <c r="AY7" s="33">
        <f>AZ7/(AX7*1000)</f>
        <v>1.623119556611243E-7</v>
      </c>
      <c r="AZ7" s="33">
        <v>0.82</v>
      </c>
      <c r="BA7" s="32">
        <f>SUM(419, 298, 6778, 906, 4146, 11530, 249, 990, 129, 467)</f>
        <v>25912</v>
      </c>
      <c r="BB7" s="33">
        <f>BC7/(BA7*1000)</f>
        <v>4.7854276011114543E-8</v>
      </c>
      <c r="BC7" s="33">
        <v>1.24</v>
      </c>
      <c r="BD7" s="32">
        <v>921</v>
      </c>
      <c r="BE7" s="33">
        <f>BF7/(BD7*1000)</f>
        <v>1.7155266015200869E-5</v>
      </c>
      <c r="BF7" s="33">
        <v>15.8</v>
      </c>
      <c r="BG7" s="32">
        <v>118</v>
      </c>
      <c r="BH7" s="33">
        <f>BI7/(BG7*1000)</f>
        <v>5.6132315093137546E-5</v>
      </c>
      <c r="BI7" s="51">
        <f>(4/603.9)*1000</f>
        <v>6.6236131809902306</v>
      </c>
      <c r="BJ7" s="32">
        <v>1140</v>
      </c>
      <c r="BK7" s="33">
        <f>BL7/(BJ7*1000)</f>
        <v>1.7543859649122807E-6</v>
      </c>
      <c r="BL7" s="33">
        <v>2</v>
      </c>
      <c r="BM7" s="32"/>
      <c r="BN7" s="33"/>
      <c r="BO7" s="22"/>
      <c r="BP7" s="53">
        <f t="shared" ref="BP7:BP23" si="11">AVERAGE(C7,F7,I7,L7,O7,R7,U7,X7,AA7,AD7,AG7,AJ7,AM7,AP7,AS7,AV7,AY7,BB7,BE7,BH7,BK7,BN7)</f>
        <v>1.4889528721675126E-5</v>
      </c>
      <c r="BQ7" s="53">
        <f t="shared" ref="BQ7:BQ23" si="12">MEDIAN(C7,F7,I7,L7,O7,R7,U7,X7,AA7,AD7,AG7,AJ7,AM7,AP7,AS7,AV7,AY7,BB7,BE7,BH7,BK7,BN7)</f>
        <v>1.8634886240520043E-6</v>
      </c>
      <c r="BR7" s="98">
        <f t="shared" si="6"/>
        <v>3.9695122667324338E-8</v>
      </c>
      <c r="BS7" s="98">
        <f t="shared" si="7"/>
        <v>1.0136260408781227E-4</v>
      </c>
      <c r="BT7" s="47">
        <f t="shared" si="8"/>
        <v>138221</v>
      </c>
    </row>
    <row r="8" spans="1:72" x14ac:dyDescent="0.25">
      <c r="A8" s="17" t="s">
        <v>18</v>
      </c>
      <c r="B8" s="41">
        <v>1659</v>
      </c>
      <c r="C8" s="33">
        <f>D8/(B8*1000)</f>
        <v>7.5346594333936109E-6</v>
      </c>
      <c r="D8" s="22">
        <v>12.5</v>
      </c>
      <c r="E8" s="32"/>
      <c r="F8" s="33"/>
      <c r="G8" s="22"/>
      <c r="H8" s="32"/>
      <c r="I8" s="33"/>
      <c r="J8" s="22"/>
      <c r="K8" s="32"/>
      <c r="L8" s="33"/>
      <c r="M8" s="22"/>
      <c r="N8" s="20"/>
      <c r="O8" s="20"/>
      <c r="P8" s="20"/>
      <c r="Q8" s="32"/>
      <c r="R8" s="33"/>
      <c r="T8" s="32"/>
      <c r="U8" s="33"/>
      <c r="V8" s="33"/>
      <c r="W8" s="32"/>
      <c r="X8" s="33"/>
      <c r="Y8" s="33"/>
      <c r="Z8" s="32"/>
      <c r="AA8" s="33"/>
      <c r="AB8" s="33"/>
      <c r="AC8" s="32"/>
      <c r="AD8" s="33"/>
      <c r="AE8" s="33"/>
      <c r="AF8" s="32"/>
      <c r="AG8" s="33"/>
      <c r="AH8" s="33"/>
      <c r="AI8" s="32"/>
      <c r="AJ8" s="33"/>
      <c r="AK8" s="33"/>
      <c r="AL8" s="32"/>
      <c r="AM8" s="33"/>
      <c r="AN8" s="33"/>
      <c r="AO8" s="32"/>
      <c r="AP8" s="33"/>
      <c r="AQ8" s="33"/>
      <c r="AR8" s="32"/>
      <c r="AS8" s="33"/>
      <c r="AT8" s="33"/>
      <c r="AU8" s="32"/>
      <c r="AV8" s="33"/>
      <c r="AX8" s="32"/>
      <c r="AY8" s="33"/>
      <c r="AZ8" s="33"/>
      <c r="BA8" s="32"/>
      <c r="BB8" s="33"/>
      <c r="BC8" s="33"/>
      <c r="BD8" s="32"/>
      <c r="BE8" s="33"/>
      <c r="BF8" s="33"/>
      <c r="BG8" s="32"/>
      <c r="BH8" s="33"/>
      <c r="BI8" s="33"/>
      <c r="BJ8" s="32"/>
      <c r="BK8" s="33"/>
      <c r="BL8" s="33"/>
      <c r="BM8" s="32"/>
      <c r="BN8" s="33"/>
      <c r="BO8" s="22"/>
      <c r="BP8" s="53">
        <f t="shared" si="11"/>
        <v>7.5346594333936109E-6</v>
      </c>
      <c r="BQ8" s="53">
        <f t="shared" si="12"/>
        <v>7.5346594333936109E-6</v>
      </c>
      <c r="BR8" s="98">
        <f t="shared" si="6"/>
        <v>7.5346594333936109E-6</v>
      </c>
      <c r="BS8" s="98">
        <f t="shared" si="7"/>
        <v>7.5346594333936109E-6</v>
      </c>
      <c r="BT8" s="47">
        <f t="shared" si="8"/>
        <v>1659</v>
      </c>
    </row>
    <row r="9" spans="1:72" x14ac:dyDescent="0.25">
      <c r="A9" s="99" t="s">
        <v>19</v>
      </c>
      <c r="B9" s="100"/>
      <c r="C9" s="101"/>
      <c r="D9" s="102"/>
      <c r="E9" s="103"/>
      <c r="F9" s="104"/>
      <c r="G9" s="102"/>
      <c r="H9" s="103"/>
      <c r="I9" s="104"/>
      <c r="J9" s="102"/>
      <c r="K9" s="103"/>
      <c r="L9" s="104"/>
      <c r="M9" s="102"/>
      <c r="N9" s="105"/>
      <c r="O9" s="105"/>
      <c r="P9" s="105"/>
      <c r="Q9" s="103"/>
      <c r="R9" s="104"/>
      <c r="S9" s="104"/>
      <c r="T9" s="103"/>
      <c r="U9" s="104"/>
      <c r="V9" s="104"/>
      <c r="W9" s="103"/>
      <c r="X9" s="104"/>
      <c r="Y9" s="104"/>
      <c r="Z9" s="103"/>
      <c r="AA9" s="104"/>
      <c r="AB9" s="104"/>
      <c r="AC9" s="103"/>
      <c r="AD9" s="104"/>
      <c r="AE9" s="104"/>
      <c r="AF9" s="103"/>
      <c r="AG9" s="104"/>
      <c r="AH9" s="104"/>
      <c r="AI9" s="103"/>
      <c r="AJ9" s="104"/>
      <c r="AK9" s="104"/>
      <c r="AL9" s="103"/>
      <c r="AM9" s="104"/>
      <c r="AN9" s="104"/>
      <c r="AO9" s="103"/>
      <c r="AP9" s="104"/>
      <c r="AQ9" s="104"/>
      <c r="AR9" s="103"/>
      <c r="AS9" s="104"/>
      <c r="AT9" s="104"/>
      <c r="AU9" s="103"/>
      <c r="AV9" s="104"/>
      <c r="AW9" s="104"/>
      <c r="AX9" s="103"/>
      <c r="AY9" s="104"/>
      <c r="AZ9" s="104"/>
      <c r="BA9" s="103"/>
      <c r="BB9" s="104"/>
      <c r="BC9" s="104"/>
      <c r="BD9" s="103"/>
      <c r="BE9" s="104"/>
      <c r="BF9" s="104"/>
      <c r="BG9" s="103"/>
      <c r="BH9" s="104"/>
      <c r="BI9" s="104"/>
      <c r="BJ9" s="103"/>
      <c r="BK9" s="104"/>
      <c r="BL9" s="104"/>
      <c r="BM9" s="103"/>
      <c r="BN9" s="104"/>
      <c r="BO9" s="102"/>
      <c r="BP9" s="54"/>
      <c r="BQ9" s="54"/>
      <c r="BR9" s="106">
        <f t="shared" si="6"/>
        <v>0</v>
      </c>
      <c r="BS9" s="106">
        <f t="shared" si="7"/>
        <v>0</v>
      </c>
      <c r="BT9" s="107">
        <f t="shared" si="8"/>
        <v>0</v>
      </c>
    </row>
    <row r="10" spans="1:72" x14ac:dyDescent="0.25">
      <c r="A10" s="99" t="s">
        <v>20</v>
      </c>
      <c r="B10" s="100"/>
      <c r="C10" s="101"/>
      <c r="D10" s="102"/>
      <c r="E10" s="103"/>
      <c r="F10" s="104"/>
      <c r="G10" s="102"/>
      <c r="H10" s="103"/>
      <c r="I10" s="104"/>
      <c r="J10" s="102"/>
      <c r="K10" s="103"/>
      <c r="L10" s="104"/>
      <c r="M10" s="102"/>
      <c r="N10" s="105"/>
      <c r="O10" s="105"/>
      <c r="P10" s="100"/>
      <c r="Q10" s="103"/>
      <c r="R10" s="104"/>
      <c r="S10" s="104"/>
      <c r="T10" s="103"/>
      <c r="U10" s="104"/>
      <c r="V10" s="104"/>
      <c r="W10" s="103"/>
      <c r="X10" s="104"/>
      <c r="Y10" s="104"/>
      <c r="Z10" s="103"/>
      <c r="AA10" s="104"/>
      <c r="AB10" s="104"/>
      <c r="AC10" s="103"/>
      <c r="AD10" s="104"/>
      <c r="AE10" s="104"/>
      <c r="AF10" s="103"/>
      <c r="AG10" s="104"/>
      <c r="AH10" s="104"/>
      <c r="AI10" s="103"/>
      <c r="AJ10" s="104"/>
      <c r="AK10" s="104"/>
      <c r="AL10" s="103"/>
      <c r="AM10" s="104"/>
      <c r="AN10" s="104"/>
      <c r="AO10" s="103"/>
      <c r="AP10" s="104"/>
      <c r="AQ10" s="104"/>
      <c r="AR10" s="103"/>
      <c r="AS10" s="104"/>
      <c r="AT10" s="104"/>
      <c r="AU10" s="103"/>
      <c r="AV10" s="104"/>
      <c r="AW10" s="104"/>
      <c r="AX10" s="103"/>
      <c r="AY10" s="104"/>
      <c r="AZ10" s="104"/>
      <c r="BA10" s="103"/>
      <c r="BB10" s="104"/>
      <c r="BC10" s="104"/>
      <c r="BD10" s="103"/>
      <c r="BE10" s="104"/>
      <c r="BF10" s="104"/>
      <c r="BG10" s="103"/>
      <c r="BH10" s="104"/>
      <c r="BI10" s="104"/>
      <c r="BJ10" s="103"/>
      <c r="BK10" s="104"/>
      <c r="BL10" s="104"/>
      <c r="BM10" s="103"/>
      <c r="BN10" s="104"/>
      <c r="BO10" s="102"/>
      <c r="BP10" s="54"/>
      <c r="BQ10" s="54"/>
      <c r="BR10" s="106">
        <f t="shared" si="6"/>
        <v>0</v>
      </c>
      <c r="BS10" s="106">
        <f t="shared" si="7"/>
        <v>0</v>
      </c>
      <c r="BT10" s="107">
        <f t="shared" si="8"/>
        <v>0</v>
      </c>
    </row>
    <row r="11" spans="1:72" x14ac:dyDescent="0.25">
      <c r="A11" s="17" t="s">
        <v>21</v>
      </c>
      <c r="C11" s="43"/>
      <c r="D11" s="22"/>
      <c r="E11" s="32"/>
      <c r="F11" s="33"/>
      <c r="G11" s="22"/>
      <c r="H11" s="32"/>
      <c r="I11" s="33"/>
      <c r="J11" s="22"/>
      <c r="K11" s="32"/>
      <c r="L11" s="33"/>
      <c r="M11" s="22"/>
      <c r="N11" s="20"/>
      <c r="O11" s="20"/>
      <c r="Q11" s="32"/>
      <c r="R11" s="33"/>
      <c r="S11" s="33"/>
      <c r="T11" s="32"/>
      <c r="U11" s="33"/>
      <c r="V11" s="33"/>
      <c r="W11" s="32"/>
      <c r="X11" s="33"/>
      <c r="Y11" s="33"/>
      <c r="Z11" s="32"/>
      <c r="AA11" s="33"/>
      <c r="AB11" s="33"/>
      <c r="AC11" s="32"/>
      <c r="AD11" s="33"/>
      <c r="AE11" s="33"/>
      <c r="AF11" s="32"/>
      <c r="AG11" s="33"/>
      <c r="AH11" s="33"/>
      <c r="AI11" s="32">
        <f>SUM(253, 88)</f>
        <v>341</v>
      </c>
      <c r="AJ11" s="20">
        <f t="shared" ref="AJ11:AJ13" si="13">AK11/(AI11*1000)</f>
        <v>0</v>
      </c>
      <c r="AK11" s="33">
        <v>0</v>
      </c>
      <c r="AL11" s="32"/>
      <c r="AM11" s="33"/>
      <c r="AN11" s="33"/>
      <c r="AO11" s="32"/>
      <c r="AP11" s="33"/>
      <c r="AQ11" s="33"/>
      <c r="AR11" s="32"/>
      <c r="AS11" s="33"/>
      <c r="AT11" s="33"/>
      <c r="AU11" s="32"/>
      <c r="AV11" s="33"/>
      <c r="AW11" s="33"/>
      <c r="AX11" s="32"/>
      <c r="AY11" s="33"/>
      <c r="AZ11" s="33"/>
      <c r="BA11" s="32"/>
      <c r="BB11" s="33"/>
      <c r="BC11" s="33"/>
      <c r="BD11" s="32"/>
      <c r="BE11" s="33"/>
      <c r="BF11" s="33"/>
      <c r="BG11" s="32"/>
      <c r="BH11" s="33"/>
      <c r="BI11" s="33"/>
      <c r="BJ11" s="32"/>
      <c r="BK11" s="33"/>
      <c r="BL11" s="33"/>
      <c r="BM11" s="32"/>
      <c r="BN11" s="33"/>
      <c r="BO11" s="22"/>
      <c r="BP11" s="47">
        <f t="shared" si="11"/>
        <v>0</v>
      </c>
      <c r="BQ11" s="47">
        <f t="shared" si="12"/>
        <v>0</v>
      </c>
      <c r="BR11" s="98">
        <f t="shared" si="6"/>
        <v>0</v>
      </c>
      <c r="BS11" s="98">
        <f t="shared" si="7"/>
        <v>0</v>
      </c>
      <c r="BT11" s="47">
        <f t="shared" si="8"/>
        <v>341</v>
      </c>
    </row>
    <row r="12" spans="1:72" x14ac:dyDescent="0.25">
      <c r="A12" s="17" t="s">
        <v>22</v>
      </c>
      <c r="C12" s="43"/>
      <c r="D12" s="22"/>
      <c r="E12" s="32"/>
      <c r="F12" s="33"/>
      <c r="G12" s="22"/>
      <c r="H12" s="32"/>
      <c r="I12" s="33"/>
      <c r="J12" s="22"/>
      <c r="K12" s="32"/>
      <c r="L12" s="33"/>
      <c r="M12" s="22"/>
      <c r="N12" s="20"/>
      <c r="O12" s="20"/>
      <c r="Q12" s="32"/>
      <c r="R12" s="33"/>
      <c r="S12" s="33"/>
      <c r="T12" s="32"/>
      <c r="U12" s="33"/>
      <c r="V12" s="33"/>
      <c r="W12" s="32"/>
      <c r="X12" s="33"/>
      <c r="Y12" s="33"/>
      <c r="Z12" s="32"/>
      <c r="AA12" s="33"/>
      <c r="AB12" s="33"/>
      <c r="AC12" s="32"/>
      <c r="AD12" s="33"/>
      <c r="AE12" s="33"/>
      <c r="AF12" s="32"/>
      <c r="AG12" s="33"/>
      <c r="AH12" s="33"/>
      <c r="AI12" s="32">
        <v>32</v>
      </c>
      <c r="AJ12" s="20">
        <f t="shared" si="13"/>
        <v>1.1406249999999999E-3</v>
      </c>
      <c r="AK12" s="33">
        <v>36.5</v>
      </c>
      <c r="AL12" s="32"/>
      <c r="AM12" s="33"/>
      <c r="AN12" s="33"/>
      <c r="AO12" s="32"/>
      <c r="AP12" s="33"/>
      <c r="AQ12" s="33"/>
      <c r="AR12" s="32"/>
      <c r="AS12" s="33"/>
      <c r="AT12" s="33"/>
      <c r="AU12" s="32"/>
      <c r="AV12" s="33"/>
      <c r="AW12" s="33"/>
      <c r="AX12" s="32"/>
      <c r="AY12" s="33"/>
      <c r="AZ12" s="33"/>
      <c r="BA12" s="32"/>
      <c r="BB12" s="33"/>
      <c r="BC12" s="33"/>
      <c r="BD12" s="32"/>
      <c r="BE12" s="33"/>
      <c r="BF12" s="33"/>
      <c r="BG12" s="32"/>
      <c r="BH12" s="33"/>
      <c r="BI12" s="33"/>
      <c r="BJ12" s="32"/>
      <c r="BK12" s="33"/>
      <c r="BL12" s="33"/>
      <c r="BM12" s="32"/>
      <c r="BN12" s="33"/>
      <c r="BO12" s="22"/>
      <c r="BP12" s="53">
        <f t="shared" si="11"/>
        <v>1.1406249999999999E-3</v>
      </c>
      <c r="BQ12" s="53">
        <f t="shared" si="12"/>
        <v>1.1406249999999999E-3</v>
      </c>
      <c r="BR12" s="98">
        <f t="shared" si="6"/>
        <v>1.1406249999999999E-3</v>
      </c>
      <c r="BS12" s="98">
        <f t="shared" si="7"/>
        <v>1.1406249999999999E-3</v>
      </c>
      <c r="BT12" s="47">
        <f t="shared" si="8"/>
        <v>32</v>
      </c>
    </row>
    <row r="13" spans="1:72" x14ac:dyDescent="0.25">
      <c r="A13" s="17" t="s">
        <v>23</v>
      </c>
      <c r="B13" s="40"/>
      <c r="C13" s="43"/>
      <c r="D13" s="22"/>
      <c r="E13" s="32"/>
      <c r="F13" s="33"/>
      <c r="G13" s="22"/>
      <c r="H13" s="32"/>
      <c r="I13" s="33"/>
      <c r="J13" s="22"/>
      <c r="K13" s="32"/>
      <c r="L13" s="33"/>
      <c r="M13" s="22"/>
      <c r="N13" s="20"/>
      <c r="O13" s="20"/>
      <c r="P13" s="20"/>
      <c r="Q13" s="32"/>
      <c r="R13" s="33"/>
      <c r="S13" s="33"/>
      <c r="T13" s="32"/>
      <c r="U13" s="33"/>
      <c r="V13" s="33"/>
      <c r="W13" s="32"/>
      <c r="X13" s="33"/>
      <c r="Y13" s="33"/>
      <c r="Z13" s="32"/>
      <c r="AA13" s="33"/>
      <c r="AB13" s="33"/>
      <c r="AC13" s="32"/>
      <c r="AD13" s="33"/>
      <c r="AE13" s="33"/>
      <c r="AF13" s="32"/>
      <c r="AG13" s="33"/>
      <c r="AH13" s="33"/>
      <c r="AI13" s="32">
        <v>9</v>
      </c>
      <c r="AJ13" s="20">
        <f t="shared" si="13"/>
        <v>7.0111111111111112E-3</v>
      </c>
      <c r="AK13" s="33">
        <v>63.1</v>
      </c>
      <c r="AL13" s="32"/>
      <c r="AM13" s="33"/>
      <c r="AN13" s="33"/>
      <c r="AO13" s="32"/>
      <c r="AP13" s="33"/>
      <c r="AQ13" s="33"/>
      <c r="AR13" s="32"/>
      <c r="AS13" s="33"/>
      <c r="AT13" s="33"/>
      <c r="AU13" s="32"/>
      <c r="AV13" s="33"/>
      <c r="AW13" s="33"/>
      <c r="AX13" s="32"/>
      <c r="AY13" s="33"/>
      <c r="AZ13" s="33"/>
      <c r="BA13" s="32"/>
      <c r="BB13" s="33"/>
      <c r="BC13" s="33"/>
      <c r="BD13" s="32"/>
      <c r="BE13" s="33"/>
      <c r="BF13" s="33"/>
      <c r="BG13" s="32"/>
      <c r="BH13" s="33"/>
      <c r="BI13" s="33"/>
      <c r="BJ13" s="32"/>
      <c r="BK13" s="33"/>
      <c r="BL13" s="33"/>
      <c r="BM13" s="32"/>
      <c r="BN13" s="33"/>
      <c r="BO13" s="22"/>
      <c r="BP13" s="53">
        <f t="shared" si="11"/>
        <v>7.0111111111111112E-3</v>
      </c>
      <c r="BQ13" s="53">
        <f t="shared" si="12"/>
        <v>7.0111111111111112E-3</v>
      </c>
      <c r="BR13" s="98">
        <f t="shared" si="6"/>
        <v>7.0111111111111112E-3</v>
      </c>
      <c r="BS13" s="98">
        <f t="shared" si="7"/>
        <v>7.0111111111111112E-3</v>
      </c>
      <c r="BT13" s="47">
        <f t="shared" si="8"/>
        <v>9</v>
      </c>
    </row>
    <row r="14" spans="1:72" x14ac:dyDescent="0.25">
      <c r="A14" s="99" t="s">
        <v>24</v>
      </c>
      <c r="B14" s="108"/>
      <c r="C14" s="101"/>
      <c r="D14" s="102"/>
      <c r="E14" s="103"/>
      <c r="F14" s="104"/>
      <c r="G14" s="102"/>
      <c r="H14" s="103"/>
      <c r="I14" s="104"/>
      <c r="J14" s="102"/>
      <c r="K14" s="103"/>
      <c r="L14" s="104"/>
      <c r="M14" s="102"/>
      <c r="N14" s="105"/>
      <c r="O14" s="105"/>
      <c r="P14" s="105"/>
      <c r="Q14" s="103"/>
      <c r="R14" s="104"/>
      <c r="S14" s="104"/>
      <c r="T14" s="103"/>
      <c r="U14" s="104"/>
      <c r="V14" s="104"/>
      <c r="W14" s="103"/>
      <c r="X14" s="104"/>
      <c r="Y14" s="104"/>
      <c r="Z14" s="103"/>
      <c r="AA14" s="104"/>
      <c r="AB14" s="104"/>
      <c r="AC14" s="103"/>
      <c r="AD14" s="104"/>
      <c r="AE14" s="104"/>
      <c r="AF14" s="103"/>
      <c r="AG14" s="104"/>
      <c r="AH14" s="104"/>
      <c r="AI14" s="103"/>
      <c r="AJ14" s="104"/>
      <c r="AK14" s="104"/>
      <c r="AL14" s="103"/>
      <c r="AM14" s="104"/>
      <c r="AN14" s="104"/>
      <c r="AO14" s="103"/>
      <c r="AP14" s="104"/>
      <c r="AQ14" s="104"/>
      <c r="AR14" s="103"/>
      <c r="AS14" s="104"/>
      <c r="AT14" s="104"/>
      <c r="AU14" s="103"/>
      <c r="AV14" s="104"/>
      <c r="AW14" s="104"/>
      <c r="AX14" s="103"/>
      <c r="AY14" s="104"/>
      <c r="AZ14" s="104"/>
      <c r="BA14" s="103"/>
      <c r="BB14" s="104"/>
      <c r="BC14" s="104"/>
      <c r="BD14" s="103"/>
      <c r="BE14" s="104"/>
      <c r="BF14" s="104"/>
      <c r="BG14" s="103"/>
      <c r="BH14" s="104"/>
      <c r="BI14" s="104"/>
      <c r="BJ14" s="103"/>
      <c r="BK14" s="104"/>
      <c r="BL14" s="104"/>
      <c r="BM14" s="103"/>
      <c r="BN14" s="104"/>
      <c r="BO14" s="102"/>
      <c r="BP14" s="54"/>
      <c r="BQ14" s="54"/>
      <c r="BR14" s="106">
        <f t="shared" si="6"/>
        <v>0</v>
      </c>
      <c r="BS14" s="106">
        <f t="shared" si="7"/>
        <v>0</v>
      </c>
      <c r="BT14" s="107">
        <f t="shared" si="8"/>
        <v>0</v>
      </c>
    </row>
    <row r="15" spans="1:72" x14ac:dyDescent="0.25">
      <c r="A15" s="17" t="s">
        <v>25</v>
      </c>
      <c r="B15" s="40"/>
      <c r="C15" s="43"/>
      <c r="D15" s="22"/>
      <c r="E15" s="32"/>
      <c r="F15" s="33"/>
      <c r="G15" s="22"/>
      <c r="H15" s="32"/>
      <c r="I15" s="33"/>
      <c r="J15" s="22"/>
      <c r="K15" s="32"/>
      <c r="L15" s="33"/>
      <c r="M15" s="22"/>
      <c r="N15" s="20"/>
      <c r="O15" s="20"/>
      <c r="P15" s="20"/>
      <c r="Q15" s="32"/>
      <c r="R15" s="33"/>
      <c r="S15" s="33"/>
      <c r="T15" s="32"/>
      <c r="U15" s="33"/>
      <c r="V15" s="33"/>
      <c r="W15" s="32"/>
      <c r="X15" s="33"/>
      <c r="Y15" s="33"/>
      <c r="Z15" s="32"/>
      <c r="AA15" s="33"/>
      <c r="AB15" s="33"/>
      <c r="AC15" s="32"/>
      <c r="AD15" s="33"/>
      <c r="AE15" s="33"/>
      <c r="AF15" s="32"/>
      <c r="AG15" s="33"/>
      <c r="AH15" s="33"/>
      <c r="AI15" s="32"/>
      <c r="AJ15" s="33"/>
      <c r="AK15" s="33"/>
      <c r="AL15" s="32"/>
      <c r="AM15" s="33"/>
      <c r="AN15" s="33"/>
      <c r="AO15" s="32">
        <v>256</v>
      </c>
      <c r="AP15" s="20">
        <f t="shared" ref="AP15:AP18" si="14">AQ15/(AO15*1000)</f>
        <v>5.8593750000000001E-6</v>
      </c>
      <c r="AQ15" s="33">
        <v>1.5</v>
      </c>
      <c r="AR15" s="32"/>
      <c r="AS15" s="33"/>
      <c r="AT15" s="33"/>
      <c r="AU15" s="32"/>
      <c r="AV15" s="33"/>
      <c r="AW15" s="33"/>
      <c r="AX15" s="32"/>
      <c r="AY15" s="33"/>
      <c r="AZ15" s="33"/>
      <c r="BA15" s="32"/>
      <c r="BB15" s="33"/>
      <c r="BC15" s="33"/>
      <c r="BD15" s="32"/>
      <c r="BE15" s="33"/>
      <c r="BF15" s="33"/>
      <c r="BG15" s="32">
        <v>92</v>
      </c>
      <c r="BH15" s="33">
        <f>BI15/(BG15*1000)</f>
        <v>4.7830870043526083E-5</v>
      </c>
      <c r="BI15" s="51">
        <f>(2/454.5)*1000</f>
        <v>4.4004400440043998</v>
      </c>
      <c r="BJ15" s="32">
        <v>75</v>
      </c>
      <c r="BK15" s="33">
        <f>BL15/(BJ15*1000)</f>
        <v>3.8399999999999998E-5</v>
      </c>
      <c r="BL15" s="33">
        <v>2.88</v>
      </c>
      <c r="BM15" s="32"/>
      <c r="BN15" s="33"/>
      <c r="BO15" s="22"/>
      <c r="BP15" s="53">
        <f t="shared" si="11"/>
        <v>3.0696748347842027E-5</v>
      </c>
      <c r="BQ15" s="53">
        <f t="shared" si="12"/>
        <v>3.8399999999999998E-5</v>
      </c>
      <c r="BR15" s="98">
        <f t="shared" si="6"/>
        <v>5.8593750000000001E-6</v>
      </c>
      <c r="BS15" s="98">
        <f t="shared" si="7"/>
        <v>4.7830870043526083E-5</v>
      </c>
      <c r="BT15" s="47">
        <f t="shared" si="8"/>
        <v>423</v>
      </c>
    </row>
    <row r="16" spans="1:72" x14ac:dyDescent="0.25">
      <c r="A16" s="17" t="s">
        <v>26</v>
      </c>
      <c r="B16" s="40"/>
      <c r="C16" s="43"/>
      <c r="D16" s="22"/>
      <c r="E16" s="32"/>
      <c r="F16" s="33"/>
      <c r="G16" s="22"/>
      <c r="H16" s="32"/>
      <c r="I16" s="33"/>
      <c r="J16" s="22"/>
      <c r="K16" s="32"/>
      <c r="L16" s="33"/>
      <c r="M16" s="22"/>
      <c r="N16" s="20"/>
      <c r="O16" s="20"/>
      <c r="P16" s="20"/>
      <c r="Q16" s="32"/>
      <c r="R16" s="33"/>
      <c r="S16" s="33"/>
      <c r="T16" s="32"/>
      <c r="U16" s="33"/>
      <c r="V16" s="33"/>
      <c r="W16" s="32"/>
      <c r="X16" s="33"/>
      <c r="Y16" s="33"/>
      <c r="Z16" s="32"/>
      <c r="AA16" s="33"/>
      <c r="AB16" s="33"/>
      <c r="AC16" s="32"/>
      <c r="AD16" s="33"/>
      <c r="AE16" s="33"/>
      <c r="AF16" s="32"/>
      <c r="AG16" s="33"/>
      <c r="AH16" s="33"/>
      <c r="AI16" s="32"/>
      <c r="AJ16" s="33"/>
      <c r="AK16" s="33"/>
      <c r="AL16" s="32">
        <v>97</v>
      </c>
      <c r="AM16" s="20">
        <f t="shared" ref="AM16" si="15">AN16/(AL16*1000)</f>
        <v>3.1958762886597939E-4</v>
      </c>
      <c r="AN16" s="33">
        <v>31</v>
      </c>
      <c r="AO16" s="32">
        <v>89</v>
      </c>
      <c r="AP16" s="20">
        <f t="shared" si="14"/>
        <v>3.5955056179775286E-5</v>
      </c>
      <c r="AQ16" s="33">
        <v>3.2</v>
      </c>
      <c r="AR16" s="32"/>
      <c r="AS16" s="33"/>
      <c r="AT16" s="33"/>
      <c r="AU16" s="32"/>
      <c r="AV16" s="33"/>
      <c r="AW16" s="33"/>
      <c r="AX16" s="32"/>
      <c r="AY16" s="33"/>
      <c r="AZ16" s="33"/>
      <c r="BA16" s="32"/>
      <c r="BB16" s="33"/>
      <c r="BC16" s="33"/>
      <c r="BD16" s="32"/>
      <c r="BE16" s="33"/>
      <c r="BF16" s="33"/>
      <c r="BG16" s="32">
        <v>26</v>
      </c>
      <c r="BH16" s="33">
        <f>BI16/(BG16*1000)</f>
        <v>2.9585798816568051E-3</v>
      </c>
      <c r="BI16" s="51">
        <f>(2/26)*1000</f>
        <v>76.923076923076934</v>
      </c>
      <c r="BJ16" s="32">
        <v>459</v>
      </c>
      <c r="BK16" s="33">
        <f>BL16/(BJ16*1000)</f>
        <v>5.1416122004357292E-6</v>
      </c>
      <c r="BL16" s="33">
        <v>2.36</v>
      </c>
      <c r="BM16" s="32"/>
      <c r="BN16" s="33"/>
      <c r="BO16" s="22"/>
      <c r="BP16" s="53">
        <f t="shared" si="11"/>
        <v>8.2981604472574897E-4</v>
      </c>
      <c r="BQ16" s="53">
        <f t="shared" si="12"/>
        <v>1.7777134252287732E-4</v>
      </c>
      <c r="BR16" s="98">
        <f t="shared" si="6"/>
        <v>5.1416122004357292E-6</v>
      </c>
      <c r="BS16" s="98">
        <f t="shared" si="7"/>
        <v>2.9585798816568051E-3</v>
      </c>
      <c r="BT16" s="47">
        <f t="shared" si="8"/>
        <v>671</v>
      </c>
    </row>
    <row r="17" spans="1:72" x14ac:dyDescent="0.25">
      <c r="A17" s="17" t="s">
        <v>27</v>
      </c>
      <c r="B17" s="40"/>
      <c r="C17" s="43"/>
      <c r="D17" s="22"/>
      <c r="E17" s="32">
        <v>219</v>
      </c>
      <c r="F17" s="33">
        <f>G17/(E17*1000)</f>
        <v>1.2602739726027396E-5</v>
      </c>
      <c r="G17" s="22">
        <v>2.76</v>
      </c>
      <c r="H17" s="32"/>
      <c r="I17" s="33"/>
      <c r="J17" s="22"/>
      <c r="K17" s="32"/>
      <c r="L17" s="33"/>
      <c r="M17" s="22"/>
      <c r="N17" s="20"/>
      <c r="O17" s="20"/>
      <c r="P17" s="20"/>
      <c r="Q17" s="32"/>
      <c r="R17" s="33"/>
      <c r="S17" s="33"/>
      <c r="T17" s="32"/>
      <c r="U17" s="33"/>
      <c r="V17" s="33"/>
      <c r="W17" s="32"/>
      <c r="X17" s="33"/>
      <c r="Y17" s="33"/>
      <c r="Z17" s="32"/>
      <c r="AA17" s="33"/>
      <c r="AB17" s="33"/>
      <c r="AC17" s="32"/>
      <c r="AD17" s="33"/>
      <c r="AE17" s="33"/>
      <c r="AF17" s="32"/>
      <c r="AG17" s="33"/>
      <c r="AH17" s="33"/>
      <c r="AI17" s="32"/>
      <c r="AJ17" s="33"/>
      <c r="AK17" s="33"/>
      <c r="AL17" s="32"/>
      <c r="AM17" s="33"/>
      <c r="AN17" s="33"/>
      <c r="AO17" s="32">
        <v>197</v>
      </c>
      <c r="AP17" s="20">
        <f t="shared" si="14"/>
        <v>1.4213197969543148E-6</v>
      </c>
      <c r="AQ17" s="33">
        <v>0.28000000000000003</v>
      </c>
      <c r="AR17" s="32">
        <f>SUM(15, 34, 117, 145, 275, 18, 14, 104, 10, 248)</f>
        <v>980</v>
      </c>
      <c r="AS17" s="33">
        <f>AT17/(AR17*1000)</f>
        <v>3.306122448979592E-6</v>
      </c>
      <c r="AT17" s="33">
        <v>3.24</v>
      </c>
      <c r="AU17" s="32">
        <v>518</v>
      </c>
      <c r="AV17" s="33">
        <f>AW17/(AU17*1000)</f>
        <v>2.0463320463320464E-6</v>
      </c>
      <c r="AW17" s="33">
        <v>1.06</v>
      </c>
      <c r="AX17" s="32"/>
      <c r="AY17" s="33"/>
      <c r="AZ17" s="33"/>
      <c r="BA17" s="32"/>
      <c r="BB17" s="33"/>
      <c r="BC17" s="33"/>
      <c r="BD17" s="32"/>
      <c r="BE17" s="33"/>
      <c r="BF17" s="33"/>
      <c r="BG17" s="32"/>
      <c r="BH17" s="33"/>
      <c r="BI17" s="33"/>
      <c r="BJ17" s="32"/>
      <c r="BK17" s="33"/>
      <c r="BL17" s="33"/>
      <c r="BM17" s="32"/>
      <c r="BN17" s="33"/>
      <c r="BO17" s="22"/>
      <c r="BP17" s="53">
        <f t="shared" si="11"/>
        <v>4.8441285045733371E-6</v>
      </c>
      <c r="BQ17" s="53">
        <f t="shared" si="12"/>
        <v>2.6762272476558192E-6</v>
      </c>
      <c r="BR17" s="98">
        <f t="shared" si="6"/>
        <v>1.4213197969543148E-6</v>
      </c>
      <c r="BS17" s="98">
        <f t="shared" si="7"/>
        <v>1.2602739726027396E-5</v>
      </c>
      <c r="BT17" s="47">
        <f t="shared" si="8"/>
        <v>1914</v>
      </c>
    </row>
    <row r="18" spans="1:72" x14ac:dyDescent="0.25">
      <c r="A18" s="17" t="s">
        <v>28</v>
      </c>
      <c r="B18" s="40"/>
      <c r="C18" s="43"/>
      <c r="D18" s="22"/>
      <c r="E18" s="32">
        <v>26</v>
      </c>
      <c r="F18" s="33">
        <f>G18/(E18*1000)</f>
        <v>2.2153846153846152E-4</v>
      </c>
      <c r="G18" s="22">
        <v>5.76</v>
      </c>
      <c r="H18" s="32"/>
      <c r="I18" s="33"/>
      <c r="J18" s="22"/>
      <c r="K18" s="32"/>
      <c r="L18" s="33"/>
      <c r="M18" s="22"/>
      <c r="N18" s="20"/>
      <c r="O18" s="20"/>
      <c r="P18" s="20"/>
      <c r="Q18" s="32"/>
      <c r="R18" s="33"/>
      <c r="S18" s="33"/>
      <c r="T18" s="32"/>
      <c r="U18" s="33"/>
      <c r="V18" s="33"/>
      <c r="W18" s="32"/>
      <c r="X18" s="33"/>
      <c r="Y18" s="33"/>
      <c r="Z18" s="32"/>
      <c r="AA18" s="33"/>
      <c r="AB18" s="33"/>
      <c r="AC18" s="32"/>
      <c r="AD18" s="33"/>
      <c r="AE18" s="33"/>
      <c r="AF18" s="32"/>
      <c r="AG18" s="33"/>
      <c r="AH18" s="33"/>
      <c r="AI18" s="32"/>
      <c r="AJ18" s="33"/>
      <c r="AK18" s="33"/>
      <c r="AL18" s="32"/>
      <c r="AM18" s="33"/>
      <c r="AN18" s="33"/>
      <c r="AO18" s="32">
        <f>361-AO17</f>
        <v>164</v>
      </c>
      <c r="AP18" s="20">
        <f t="shared" si="14"/>
        <v>2.2560975609756099E-5</v>
      </c>
      <c r="AQ18" s="33">
        <v>3.7</v>
      </c>
      <c r="AR18" s="32">
        <f>SUM(36, 18, 33, 57, 87, 197, 518, 232, 16, 14, 88, 62, 48)</f>
        <v>1406</v>
      </c>
      <c r="AS18" s="33">
        <f>AT18/(AR18*1000)</f>
        <v>4.6941678520625887E-6</v>
      </c>
      <c r="AT18" s="33">
        <v>6.6</v>
      </c>
      <c r="AU18" s="32">
        <f>SUM(197, 275)</f>
        <v>472</v>
      </c>
      <c r="AV18" s="33">
        <f>AW18/(AU18*1000)</f>
        <v>4.8516949152542377E-6</v>
      </c>
      <c r="AW18" s="33">
        <v>2.29</v>
      </c>
      <c r="AX18" s="32"/>
      <c r="AY18" s="33"/>
      <c r="AZ18" s="33"/>
      <c r="BA18" s="32"/>
      <c r="BB18" s="33"/>
      <c r="BC18" s="33"/>
      <c r="BD18" s="32"/>
      <c r="BE18" s="33"/>
      <c r="BF18" s="33"/>
      <c r="BG18" s="32"/>
      <c r="BH18" s="33"/>
      <c r="BI18" s="33"/>
      <c r="BJ18" s="32"/>
      <c r="BK18" s="33"/>
      <c r="BL18" s="33"/>
      <c r="BM18" s="32"/>
      <c r="BN18" s="33"/>
      <c r="BO18" s="22"/>
      <c r="BP18" s="53">
        <f t="shared" si="11"/>
        <v>6.3411324978883613E-5</v>
      </c>
      <c r="BQ18" s="53">
        <f t="shared" si="12"/>
        <v>1.3706335262505169E-5</v>
      </c>
      <c r="BR18" s="98">
        <f t="shared" si="6"/>
        <v>4.6941678520625887E-6</v>
      </c>
      <c r="BS18" s="98">
        <f t="shared" si="7"/>
        <v>2.2153846153846152E-4</v>
      </c>
      <c r="BT18" s="47">
        <f t="shared" si="8"/>
        <v>2068</v>
      </c>
    </row>
    <row r="19" spans="1:72" x14ac:dyDescent="0.25">
      <c r="A19" s="17" t="s">
        <v>29</v>
      </c>
      <c r="B19" s="41">
        <v>506</v>
      </c>
      <c r="C19" s="33">
        <f>D19/(B19*1000)</f>
        <v>4.2490118577075101E-5</v>
      </c>
      <c r="D19" s="22">
        <v>21.5</v>
      </c>
      <c r="E19" s="32"/>
      <c r="F19" s="33"/>
      <c r="G19" s="22"/>
      <c r="H19" s="32"/>
      <c r="I19" s="33"/>
      <c r="J19" s="22"/>
      <c r="K19" s="32"/>
      <c r="L19" s="33"/>
      <c r="M19" s="22"/>
      <c r="N19" s="20"/>
      <c r="O19" s="20"/>
      <c r="P19" s="20"/>
      <c r="Q19" s="32"/>
      <c r="R19" s="33"/>
      <c r="S19" s="33"/>
      <c r="T19" s="32"/>
      <c r="U19" s="33"/>
      <c r="V19" s="33"/>
      <c r="W19" s="32"/>
      <c r="X19" s="33"/>
      <c r="Y19" s="33"/>
      <c r="Z19" s="32"/>
      <c r="AA19" s="33"/>
      <c r="AB19" s="33"/>
      <c r="AC19" s="32"/>
      <c r="AD19" s="33"/>
      <c r="AE19" s="33"/>
      <c r="AF19" s="32"/>
      <c r="AG19" s="33"/>
      <c r="AH19" s="33"/>
      <c r="AI19" s="32"/>
      <c r="AJ19" s="33"/>
      <c r="AK19" s="33"/>
      <c r="AL19" s="32"/>
      <c r="AM19" s="33"/>
      <c r="AN19" s="33"/>
      <c r="AO19" s="32"/>
      <c r="AP19" s="33"/>
      <c r="AQ19" s="33"/>
      <c r="AR19" s="32"/>
      <c r="AS19" s="33"/>
      <c r="AT19" s="33"/>
      <c r="AU19" s="32"/>
      <c r="AV19" s="33"/>
      <c r="AW19" s="33"/>
      <c r="AX19" s="32"/>
      <c r="AY19" s="33"/>
      <c r="AZ19" s="33"/>
      <c r="BA19" s="32"/>
      <c r="BB19" s="33"/>
      <c r="BC19" s="33"/>
      <c r="BD19" s="32"/>
      <c r="BE19" s="33"/>
      <c r="BF19" s="33"/>
      <c r="BG19" s="32"/>
      <c r="BH19" s="33"/>
      <c r="BI19" s="33"/>
      <c r="BJ19" s="32"/>
      <c r="BK19" s="33"/>
      <c r="BL19" s="33"/>
      <c r="BM19" s="32"/>
      <c r="BN19" s="33"/>
      <c r="BO19" s="22"/>
      <c r="BP19" s="53">
        <f t="shared" si="11"/>
        <v>4.2490118577075101E-5</v>
      </c>
      <c r="BQ19" s="53">
        <f t="shared" si="12"/>
        <v>4.2490118577075101E-5</v>
      </c>
      <c r="BR19" s="98">
        <f t="shared" si="6"/>
        <v>4.2490118577075101E-5</v>
      </c>
      <c r="BS19" s="98">
        <f t="shared" si="7"/>
        <v>4.2490118577075101E-5</v>
      </c>
      <c r="BT19" s="47">
        <f t="shared" si="8"/>
        <v>506</v>
      </c>
    </row>
    <row r="20" spans="1:72" x14ac:dyDescent="0.25">
      <c r="A20" s="17" t="s">
        <v>30</v>
      </c>
      <c r="B20" s="41">
        <v>252</v>
      </c>
      <c r="C20" s="33">
        <f>D20/(B20*1000)</f>
        <v>4.3174603174603174E-4</v>
      </c>
      <c r="D20" s="22">
        <v>108.8</v>
      </c>
      <c r="E20" s="32"/>
      <c r="F20" s="33"/>
      <c r="G20" s="22"/>
      <c r="H20" s="32"/>
      <c r="I20" s="33"/>
      <c r="J20" s="22"/>
      <c r="K20" s="32"/>
      <c r="L20" s="33"/>
      <c r="M20" s="22"/>
      <c r="N20" s="20"/>
      <c r="O20" s="20"/>
      <c r="P20" s="20"/>
      <c r="Q20" s="32"/>
      <c r="R20" s="33"/>
      <c r="S20" s="33"/>
      <c r="T20" s="32"/>
      <c r="U20" s="33"/>
      <c r="V20" s="33"/>
      <c r="W20" s="32"/>
      <c r="X20" s="33"/>
      <c r="Y20" s="33"/>
      <c r="Z20" s="32"/>
      <c r="AA20" s="33"/>
      <c r="AB20" s="33"/>
      <c r="AC20" s="32"/>
      <c r="AD20" s="33"/>
      <c r="AE20" s="33"/>
      <c r="AF20" s="32"/>
      <c r="AG20" s="33"/>
      <c r="AH20" s="33"/>
      <c r="AI20" s="32"/>
      <c r="AJ20" s="33"/>
      <c r="AK20" s="33"/>
      <c r="AL20" s="32"/>
      <c r="AM20" s="33"/>
      <c r="AN20" s="33"/>
      <c r="AO20" s="32"/>
      <c r="AP20" s="33"/>
      <c r="AQ20" s="33"/>
      <c r="AR20" s="32"/>
      <c r="AS20" s="33"/>
      <c r="AT20" s="33"/>
      <c r="AU20" s="32"/>
      <c r="AV20" s="33"/>
      <c r="AW20" s="33"/>
      <c r="AX20" s="32"/>
      <c r="AY20" s="33"/>
      <c r="AZ20" s="33"/>
      <c r="BA20" s="32"/>
      <c r="BB20" s="33"/>
      <c r="BC20" s="33"/>
      <c r="BD20" s="32"/>
      <c r="BE20" s="33"/>
      <c r="BF20" s="33"/>
      <c r="BG20" s="32"/>
      <c r="BH20" s="33"/>
      <c r="BI20" s="33"/>
      <c r="BJ20" s="32"/>
      <c r="BK20" s="33"/>
      <c r="BL20" s="33"/>
      <c r="BM20" s="32"/>
      <c r="BN20" s="33"/>
      <c r="BO20" s="22"/>
      <c r="BP20" s="53">
        <f>AVERAGE(C20,F20,I20,L20,O20,R20,U20,X20,AA20,AD20,AG20,AJ20,AM20,AP20,AS20,AV20,AY20,BB20,BE20,BH20,BK20,BN20)</f>
        <v>4.3174603174603174E-4</v>
      </c>
      <c r="BQ20" s="53">
        <f>MEDIAN(C20,F20,I20,L20,O20,R20,U20,X20,AA20,AD20,AG20,AJ20,AM20,AP20,AS20,AV20,AY20,BB20,BE20,BH20,BK20,BN20)</f>
        <v>4.3174603174603174E-4</v>
      </c>
      <c r="BR20" s="98">
        <f t="shared" si="6"/>
        <v>4.3174603174603174E-4</v>
      </c>
      <c r="BS20" s="98">
        <f t="shared" si="7"/>
        <v>4.3174603174603174E-4</v>
      </c>
      <c r="BT20" s="47">
        <f t="shared" si="8"/>
        <v>252</v>
      </c>
    </row>
    <row r="21" spans="1:72" x14ac:dyDescent="0.25">
      <c r="A21" s="99" t="s">
        <v>31</v>
      </c>
      <c r="B21" s="109"/>
      <c r="C21" s="101"/>
      <c r="D21" s="102"/>
      <c r="E21" s="103"/>
      <c r="F21" s="104"/>
      <c r="G21" s="102"/>
      <c r="H21" s="103"/>
      <c r="I21" s="104"/>
      <c r="J21" s="102"/>
      <c r="K21" s="103"/>
      <c r="L21" s="104"/>
      <c r="M21" s="102"/>
      <c r="N21" s="105"/>
      <c r="O21" s="105"/>
      <c r="P21" s="105"/>
      <c r="Q21" s="103"/>
      <c r="R21" s="104"/>
      <c r="S21" s="104"/>
      <c r="T21" s="103"/>
      <c r="U21" s="104"/>
      <c r="V21" s="104"/>
      <c r="W21" s="103"/>
      <c r="X21" s="104"/>
      <c r="Y21" s="104"/>
      <c r="Z21" s="103"/>
      <c r="AA21" s="104"/>
      <c r="AB21" s="104"/>
      <c r="AC21" s="103"/>
      <c r="AD21" s="104"/>
      <c r="AE21" s="104"/>
      <c r="AF21" s="103"/>
      <c r="AG21" s="104"/>
      <c r="AH21" s="104"/>
      <c r="AI21" s="103"/>
      <c r="AJ21" s="104"/>
      <c r="AK21" s="104"/>
      <c r="AL21" s="103"/>
      <c r="AM21" s="104"/>
      <c r="AN21" s="104"/>
      <c r="AO21" s="103"/>
      <c r="AP21" s="104"/>
      <c r="AQ21" s="104"/>
      <c r="AR21" s="103"/>
      <c r="AS21" s="104"/>
      <c r="AT21" s="104"/>
      <c r="AU21" s="103"/>
      <c r="AV21" s="104"/>
      <c r="AW21" s="104"/>
      <c r="AX21" s="103"/>
      <c r="AY21" s="104"/>
      <c r="AZ21" s="104"/>
      <c r="BA21" s="103"/>
      <c r="BB21" s="104"/>
      <c r="BC21" s="104"/>
      <c r="BD21" s="103"/>
      <c r="BE21" s="104"/>
      <c r="BF21" s="104"/>
      <c r="BG21" s="103"/>
      <c r="BH21" s="104"/>
      <c r="BI21" s="104"/>
      <c r="BJ21" s="103"/>
      <c r="BK21" s="104"/>
      <c r="BL21" s="104"/>
      <c r="BM21" s="103"/>
      <c r="BN21" s="104"/>
      <c r="BO21" s="102"/>
      <c r="BP21" s="54"/>
      <c r="BQ21" s="54"/>
      <c r="BR21" s="106">
        <f t="shared" si="6"/>
        <v>0</v>
      </c>
      <c r="BS21" s="106">
        <f t="shared" si="7"/>
        <v>0</v>
      </c>
      <c r="BT21" s="107">
        <f t="shared" si="8"/>
        <v>0</v>
      </c>
    </row>
    <row r="22" spans="1:72" x14ac:dyDescent="0.25">
      <c r="A22" s="99" t="s">
        <v>32</v>
      </c>
      <c r="B22" s="109"/>
      <c r="C22" s="101"/>
      <c r="D22" s="102"/>
      <c r="E22" s="103"/>
      <c r="F22" s="104"/>
      <c r="G22" s="102"/>
      <c r="H22" s="103"/>
      <c r="I22" s="104"/>
      <c r="J22" s="102"/>
      <c r="K22" s="103"/>
      <c r="L22" s="104"/>
      <c r="M22" s="102"/>
      <c r="N22" s="105"/>
      <c r="O22" s="105"/>
      <c r="P22" s="105"/>
      <c r="Q22" s="103"/>
      <c r="R22" s="104"/>
      <c r="S22" s="104"/>
      <c r="T22" s="103"/>
      <c r="U22" s="104"/>
      <c r="V22" s="104"/>
      <c r="W22" s="103"/>
      <c r="X22" s="104"/>
      <c r="Y22" s="104"/>
      <c r="Z22" s="103"/>
      <c r="AA22" s="104"/>
      <c r="AB22" s="104"/>
      <c r="AC22" s="103"/>
      <c r="AD22" s="104"/>
      <c r="AE22" s="104"/>
      <c r="AF22" s="103"/>
      <c r="AG22" s="104"/>
      <c r="AH22" s="104"/>
      <c r="AI22" s="103"/>
      <c r="AJ22" s="104"/>
      <c r="AK22" s="104"/>
      <c r="AL22" s="103"/>
      <c r="AM22" s="104"/>
      <c r="AN22" s="104"/>
      <c r="AO22" s="103"/>
      <c r="AP22" s="104"/>
      <c r="AQ22" s="104"/>
      <c r="AR22" s="103"/>
      <c r="AS22" s="104"/>
      <c r="AT22" s="104"/>
      <c r="AU22" s="103"/>
      <c r="AV22" s="104"/>
      <c r="AW22" s="104"/>
      <c r="AX22" s="103"/>
      <c r="AY22" s="104"/>
      <c r="AZ22" s="104"/>
      <c r="BA22" s="103"/>
      <c r="BB22" s="104"/>
      <c r="BC22" s="104"/>
      <c r="BD22" s="103"/>
      <c r="BE22" s="104"/>
      <c r="BF22" s="104"/>
      <c r="BG22" s="103"/>
      <c r="BH22" s="104"/>
      <c r="BI22" s="104"/>
      <c r="BJ22" s="103"/>
      <c r="BK22" s="104"/>
      <c r="BL22" s="104"/>
      <c r="BM22" s="103"/>
      <c r="BN22" s="104"/>
      <c r="BO22" s="102"/>
      <c r="BP22" s="54"/>
      <c r="BQ22" s="54"/>
      <c r="BR22" s="106">
        <f t="shared" si="6"/>
        <v>0</v>
      </c>
      <c r="BS22" s="106">
        <f t="shared" si="7"/>
        <v>0</v>
      </c>
      <c r="BT22" s="107">
        <f t="shared" si="8"/>
        <v>0</v>
      </c>
    </row>
    <row r="23" spans="1:72" x14ac:dyDescent="0.25">
      <c r="A23" s="17" t="s">
        <v>33</v>
      </c>
      <c r="B23" s="41">
        <v>163</v>
      </c>
      <c r="C23" s="33">
        <f>D23/(B23*1000)</f>
        <v>3.3361963190184046E-3</v>
      </c>
      <c r="D23" s="22">
        <v>543.79999999999995</v>
      </c>
      <c r="E23" s="32"/>
      <c r="F23" s="33"/>
      <c r="G23" s="22"/>
      <c r="H23" s="32"/>
      <c r="I23" s="33"/>
      <c r="J23" s="22"/>
      <c r="K23" s="32"/>
      <c r="L23" s="33"/>
      <c r="M23" s="22"/>
      <c r="N23" s="20"/>
      <c r="O23" s="20"/>
      <c r="P23" s="20"/>
      <c r="Q23" s="32"/>
      <c r="R23" s="33"/>
      <c r="S23" s="33"/>
      <c r="T23" s="32"/>
      <c r="U23" s="33"/>
      <c r="V23" s="33"/>
      <c r="W23" s="32"/>
      <c r="X23" s="33"/>
      <c r="Y23" s="33"/>
      <c r="Z23" s="32"/>
      <c r="AA23" s="33"/>
      <c r="AB23" s="33"/>
      <c r="AC23" s="32"/>
      <c r="AD23" s="33"/>
      <c r="AE23" s="33"/>
      <c r="AF23" s="32"/>
      <c r="AG23" s="33"/>
      <c r="AH23" s="33"/>
      <c r="AI23" s="32"/>
      <c r="AJ23" s="33"/>
      <c r="AK23" s="33"/>
      <c r="AL23" s="32"/>
      <c r="AM23" s="33"/>
      <c r="AN23" s="33"/>
      <c r="AO23" s="32"/>
      <c r="AP23" s="33"/>
      <c r="AQ23" s="33"/>
      <c r="AR23" s="32"/>
      <c r="AS23" s="33"/>
      <c r="AT23" s="33"/>
      <c r="AU23" s="32"/>
      <c r="AV23" s="33"/>
      <c r="AW23" s="33"/>
      <c r="AX23" s="32"/>
      <c r="AY23" s="33"/>
      <c r="AZ23" s="33"/>
      <c r="BA23" s="32"/>
      <c r="BB23" s="33"/>
      <c r="BC23" s="33"/>
      <c r="BD23" s="32"/>
      <c r="BE23" s="33"/>
      <c r="BF23" s="33"/>
      <c r="BG23" s="32"/>
      <c r="BH23" s="33"/>
      <c r="BI23" s="33"/>
      <c r="BJ23" s="32"/>
      <c r="BK23" s="33"/>
      <c r="BL23" s="33"/>
      <c r="BM23" s="32"/>
      <c r="BN23" s="33"/>
      <c r="BO23" s="22"/>
      <c r="BP23" s="53">
        <f t="shared" si="11"/>
        <v>3.3361963190184046E-3</v>
      </c>
      <c r="BQ23" s="53">
        <f t="shared" si="12"/>
        <v>3.3361963190184046E-3</v>
      </c>
      <c r="BR23" s="98">
        <f t="shared" si="6"/>
        <v>3.3361963190184046E-3</v>
      </c>
      <c r="BS23" s="98">
        <f t="shared" si="7"/>
        <v>3.3361963190184046E-3</v>
      </c>
      <c r="BT23" s="47">
        <f t="shared" si="8"/>
        <v>163</v>
      </c>
    </row>
    <row r="24" spans="1:72" x14ac:dyDescent="0.25">
      <c r="B24" s="36"/>
      <c r="C24" s="43"/>
      <c r="D24" s="22"/>
      <c r="E24" s="32"/>
      <c r="F24" s="33"/>
      <c r="G24" s="22"/>
      <c r="H24" s="32"/>
      <c r="I24" s="33"/>
      <c r="J24" s="22"/>
      <c r="K24" s="32"/>
      <c r="L24" s="33"/>
      <c r="M24" s="22"/>
      <c r="N24" s="20"/>
      <c r="O24" s="20"/>
      <c r="P24" s="20"/>
      <c r="Q24" s="32"/>
      <c r="R24" s="33"/>
      <c r="S24" s="33"/>
      <c r="T24" s="32"/>
      <c r="U24" s="33"/>
      <c r="V24" s="33"/>
      <c r="W24" s="32"/>
      <c r="X24" s="33"/>
      <c r="Y24" s="33"/>
      <c r="Z24" s="32"/>
      <c r="AA24" s="33"/>
      <c r="AB24" s="33"/>
      <c r="AC24" s="32"/>
      <c r="AD24" s="33"/>
      <c r="AE24" s="33"/>
      <c r="AF24" s="32"/>
      <c r="AG24" s="33"/>
      <c r="AH24" s="33"/>
      <c r="AI24" s="32"/>
      <c r="AJ24" s="33"/>
      <c r="AK24" s="33"/>
      <c r="AL24" s="32"/>
      <c r="AM24" s="33"/>
      <c r="AN24" s="33"/>
      <c r="AO24" s="32"/>
      <c r="AP24" s="33"/>
      <c r="AQ24" s="33"/>
      <c r="AR24" s="32"/>
      <c r="AS24" s="33"/>
      <c r="AT24" s="33"/>
      <c r="AU24" s="32"/>
      <c r="AV24" s="33"/>
      <c r="AW24" s="33"/>
      <c r="AX24" s="32"/>
      <c r="AY24" s="33"/>
      <c r="AZ24" s="33"/>
      <c r="BA24" s="32"/>
      <c r="BB24" s="33"/>
      <c r="BC24" s="33"/>
      <c r="BD24" s="32"/>
      <c r="BE24" s="33"/>
      <c r="BF24" s="33"/>
      <c r="BG24" s="32"/>
      <c r="BH24" s="33"/>
      <c r="BI24" s="33"/>
      <c r="BJ24" s="32"/>
      <c r="BK24" s="33"/>
      <c r="BL24" s="33"/>
      <c r="BM24" s="32"/>
      <c r="BN24" s="33"/>
      <c r="BO24" s="22"/>
      <c r="BP24" s="20"/>
      <c r="BQ24" s="20"/>
      <c r="BR24" s="20"/>
      <c r="BS24" s="20"/>
    </row>
    <row r="25" spans="1:72" ht="45" x14ac:dyDescent="0.25">
      <c r="A25" s="17" t="s">
        <v>38</v>
      </c>
      <c r="B25" s="40"/>
      <c r="C25" s="43"/>
      <c r="D25" s="21"/>
      <c r="E25" s="36"/>
      <c r="F25" s="37"/>
      <c r="G25" s="21"/>
      <c r="H25" s="36"/>
      <c r="I25" s="37"/>
      <c r="J25" s="39" t="s">
        <v>39</v>
      </c>
      <c r="K25" s="34"/>
      <c r="L25" s="35"/>
      <c r="M25" s="39" t="s">
        <v>41</v>
      </c>
      <c r="N25" s="19"/>
      <c r="O25" s="19"/>
      <c r="Q25" s="36"/>
      <c r="R25" s="37"/>
      <c r="S25" s="37"/>
      <c r="T25" s="36"/>
      <c r="U25" s="37"/>
      <c r="V25" s="37"/>
      <c r="W25" s="36"/>
      <c r="X25" s="37"/>
      <c r="Y25" s="37"/>
      <c r="Z25" s="36"/>
      <c r="AA25" s="37"/>
      <c r="AB25" s="37"/>
      <c r="AC25" s="36"/>
      <c r="AD25" s="37"/>
      <c r="AE25" s="37"/>
      <c r="AF25" s="36"/>
      <c r="AG25" s="37"/>
      <c r="AH25" s="37"/>
      <c r="AI25" s="36"/>
      <c r="AJ25" s="37"/>
      <c r="AK25" s="37"/>
      <c r="AL25" s="36"/>
      <c r="AM25" s="37"/>
      <c r="AN25" s="37"/>
      <c r="AO25" s="36"/>
      <c r="AP25" s="37"/>
      <c r="AQ25" s="37"/>
      <c r="AR25" s="36"/>
      <c r="AS25" s="37"/>
      <c r="AT25" s="37"/>
      <c r="AU25" s="36"/>
      <c r="AV25" s="37"/>
      <c r="AW25" s="37"/>
      <c r="AX25" s="36"/>
      <c r="AY25" s="37"/>
      <c r="AZ25" s="37"/>
      <c r="BA25" s="36"/>
      <c r="BB25" s="37"/>
      <c r="BC25" s="37"/>
      <c r="BD25" s="36"/>
      <c r="BE25" s="37"/>
      <c r="BF25" s="37"/>
      <c r="BG25" s="121" t="s">
        <v>77</v>
      </c>
      <c r="BH25" s="122"/>
      <c r="BI25" s="123"/>
      <c r="BJ25" s="121" t="s">
        <v>78</v>
      </c>
      <c r="BK25" s="122"/>
      <c r="BL25" s="123"/>
      <c r="BM25" s="36"/>
      <c r="BN25" s="37"/>
      <c r="BO25" s="21"/>
    </row>
    <row r="26" spans="1:72" x14ac:dyDescent="0.25">
      <c r="B26" s="36"/>
      <c r="C26" s="43"/>
      <c r="D26" s="21"/>
      <c r="E26" s="36"/>
      <c r="F26" s="37"/>
      <c r="G26" s="21"/>
      <c r="H26" s="36"/>
      <c r="I26" s="37"/>
      <c r="J26" s="21"/>
      <c r="K26" s="36"/>
      <c r="L26" s="37"/>
      <c r="M26" s="21"/>
      <c r="Q26" s="36"/>
      <c r="R26" s="37"/>
      <c r="S26" s="37"/>
      <c r="T26" s="36"/>
      <c r="U26" s="37"/>
      <c r="V26" s="37"/>
      <c r="W26" s="36"/>
      <c r="X26" s="37"/>
      <c r="Y26" s="37"/>
      <c r="Z26" s="36"/>
      <c r="AA26" s="37"/>
      <c r="AB26" s="37"/>
      <c r="AC26" s="36"/>
      <c r="AD26" s="37"/>
      <c r="AE26" s="37"/>
      <c r="AF26" s="36"/>
      <c r="AG26" s="37"/>
      <c r="AH26" s="37"/>
      <c r="AI26" s="36"/>
      <c r="AJ26" s="37"/>
      <c r="AK26" s="37"/>
      <c r="AL26" s="36"/>
      <c r="AM26" s="37"/>
      <c r="AN26" s="37"/>
      <c r="AO26" s="36"/>
      <c r="AP26" s="37"/>
      <c r="AQ26" s="37"/>
      <c r="AR26" s="36"/>
      <c r="AS26" s="37"/>
      <c r="AT26" s="37"/>
      <c r="AU26" s="36"/>
      <c r="AV26" s="37"/>
      <c r="AW26" s="37"/>
      <c r="AX26" s="36"/>
      <c r="AY26" s="37"/>
      <c r="AZ26" s="37"/>
      <c r="BA26" s="36"/>
      <c r="BB26" s="37"/>
      <c r="BC26" s="37"/>
      <c r="BD26" s="36"/>
      <c r="BE26" s="37"/>
      <c r="BF26" s="37"/>
      <c r="BG26" s="36"/>
      <c r="BH26" s="37"/>
      <c r="BI26" s="37"/>
      <c r="BJ26" s="36"/>
      <c r="BK26" s="37"/>
      <c r="BL26" s="37"/>
      <c r="BM26" s="36"/>
      <c r="BN26" s="37"/>
      <c r="BO26" s="21"/>
    </row>
    <row r="27" spans="1:72" x14ac:dyDescent="0.25">
      <c r="A27" s="18"/>
      <c r="B27" s="41"/>
      <c r="C27" s="43"/>
      <c r="D27" s="21"/>
      <c r="E27" s="36"/>
      <c r="F27" s="37"/>
      <c r="G27" s="21"/>
      <c r="H27" s="36"/>
      <c r="I27" s="37"/>
      <c r="J27" s="21"/>
      <c r="K27" s="36"/>
      <c r="L27" s="37"/>
      <c r="M27" s="21"/>
      <c r="Q27" s="36"/>
      <c r="R27" s="37"/>
      <c r="S27" s="37"/>
      <c r="T27" s="36"/>
      <c r="U27" s="37"/>
      <c r="V27" s="37"/>
      <c r="W27" s="36"/>
      <c r="X27" s="37"/>
      <c r="Y27" s="37"/>
      <c r="Z27" s="36"/>
      <c r="AA27" s="37"/>
      <c r="AB27" s="37"/>
      <c r="AC27" s="36"/>
      <c r="AD27" s="37"/>
      <c r="AE27" s="37"/>
      <c r="AF27" s="36"/>
      <c r="AG27" s="37"/>
      <c r="AH27" s="37"/>
      <c r="AI27" s="36"/>
      <c r="AJ27" s="37"/>
      <c r="AK27" s="37"/>
      <c r="AL27" s="36"/>
      <c r="AM27" s="37"/>
      <c r="AN27" s="37"/>
      <c r="AO27" s="36"/>
      <c r="AP27" s="37"/>
      <c r="AQ27" s="37"/>
      <c r="AR27" s="36"/>
      <c r="AS27" s="37"/>
      <c r="AT27" s="37"/>
      <c r="AU27" s="36"/>
      <c r="AV27" s="37"/>
      <c r="AW27" s="37"/>
      <c r="AX27" s="36"/>
      <c r="AY27" s="37"/>
      <c r="AZ27" s="37"/>
      <c r="BA27" s="36"/>
      <c r="BB27" s="37"/>
      <c r="BC27" s="37"/>
      <c r="BD27" s="36"/>
      <c r="BE27" s="37"/>
      <c r="BF27" s="37"/>
      <c r="BG27" s="36"/>
      <c r="BH27" s="37"/>
      <c r="BI27" s="37"/>
      <c r="BJ27" s="36"/>
      <c r="BK27" s="37"/>
      <c r="BL27" s="37"/>
      <c r="BM27" s="36"/>
      <c r="BN27" s="37"/>
      <c r="BO27" s="21"/>
    </row>
  </sheetData>
  <mergeCells count="67">
    <mergeCell ref="BJ25:BL25"/>
    <mergeCell ref="BG25:BI25"/>
    <mergeCell ref="B1:D1"/>
    <mergeCell ref="B2:D2"/>
    <mergeCell ref="B3:D3"/>
    <mergeCell ref="E1:G1"/>
    <mergeCell ref="E2:G2"/>
    <mergeCell ref="E3:G3"/>
    <mergeCell ref="H1:J1"/>
    <mergeCell ref="H2:J2"/>
    <mergeCell ref="H3:J3"/>
    <mergeCell ref="K1:M1"/>
    <mergeCell ref="K3:M3"/>
    <mergeCell ref="N1:P1"/>
    <mergeCell ref="N2:P2"/>
    <mergeCell ref="N3:P3"/>
    <mergeCell ref="W1:Y1"/>
    <mergeCell ref="W2:Y2"/>
    <mergeCell ref="W3:Y3"/>
    <mergeCell ref="Q1:S1"/>
    <mergeCell ref="Q2:S2"/>
    <mergeCell ref="Q3:S3"/>
    <mergeCell ref="T1:V1"/>
    <mergeCell ref="T2:V2"/>
    <mergeCell ref="T3:V3"/>
    <mergeCell ref="Z1:AB1"/>
    <mergeCell ref="Z2:AB2"/>
    <mergeCell ref="Z3:AB3"/>
    <mergeCell ref="AC1:AE1"/>
    <mergeCell ref="AC2:AE2"/>
    <mergeCell ref="AC3:AE3"/>
    <mergeCell ref="AF1:AH1"/>
    <mergeCell ref="AF2:AH2"/>
    <mergeCell ref="AF3:AH3"/>
    <mergeCell ref="AI1:AK1"/>
    <mergeCell ref="AI2:AK2"/>
    <mergeCell ref="AI3:AK3"/>
    <mergeCell ref="AL1:AN1"/>
    <mergeCell ref="AL2:AN2"/>
    <mergeCell ref="AL3:AN3"/>
    <mergeCell ref="AO1:AQ1"/>
    <mergeCell ref="AO2:AQ2"/>
    <mergeCell ref="AO3:AQ3"/>
    <mergeCell ref="AR1:AT1"/>
    <mergeCell ref="AR2:AT2"/>
    <mergeCell ref="AR3:AT3"/>
    <mergeCell ref="AU1:AW1"/>
    <mergeCell ref="AU2:AW2"/>
    <mergeCell ref="AU3:AW3"/>
    <mergeCell ref="AX1:AZ1"/>
    <mergeCell ref="AX2:AZ2"/>
    <mergeCell ref="AX3:AZ3"/>
    <mergeCell ref="BA1:BC1"/>
    <mergeCell ref="BA2:BC2"/>
    <mergeCell ref="BA3:BC3"/>
    <mergeCell ref="BD1:BF1"/>
    <mergeCell ref="BD2:BF2"/>
    <mergeCell ref="BD3:BF3"/>
    <mergeCell ref="BG1:BI1"/>
    <mergeCell ref="BG2:BI2"/>
    <mergeCell ref="BG3:BI3"/>
    <mergeCell ref="BJ1:BL1"/>
    <mergeCell ref="BJ2:BL2"/>
    <mergeCell ref="BJ3:BL3"/>
    <mergeCell ref="BM1:BO1"/>
    <mergeCell ref="BM2:BO2"/>
    <mergeCell ref="BM3:BO3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31D-0E50-4924-A865-27112A306F73}">
  <dimension ref="A1:T27"/>
  <sheetViews>
    <sheetView zoomScale="80" zoomScaleNormal="80" workbookViewId="0">
      <selection activeCell="B2" sqref="B2"/>
    </sheetView>
  </sheetViews>
  <sheetFormatPr defaultRowHeight="15" x14ac:dyDescent="0.25"/>
  <cols>
    <col min="1" max="1" width="55.42578125" bestFit="1" customWidth="1"/>
    <col min="2" max="2" width="8.85546875" bestFit="1" customWidth="1"/>
    <col min="3" max="3" width="11.5703125" customWidth="1"/>
    <col min="4" max="4" width="9.85546875" bestFit="1" customWidth="1"/>
    <col min="5" max="5" width="8.7109375" bestFit="1" customWidth="1"/>
    <col min="6" max="6" width="11.85546875" bestFit="1" customWidth="1"/>
    <col min="7" max="7" width="11.140625" bestFit="1" customWidth="1"/>
    <col min="8" max="8" width="10.85546875" bestFit="1" customWidth="1"/>
    <col min="9" max="9" width="10.85546875" customWidth="1"/>
    <col min="10" max="10" width="11.42578125" bestFit="1" customWidth="1"/>
    <col min="11" max="11" width="11.28515625" customWidth="1"/>
    <col min="12" max="12" width="11.140625" customWidth="1"/>
    <col min="13" max="13" width="10.85546875" bestFit="1" customWidth="1"/>
    <col min="14" max="14" width="11.7109375" bestFit="1" customWidth="1"/>
    <col min="17" max="17" width="13" bestFit="1" customWidth="1"/>
    <col min="18" max="19" width="10.5703125" customWidth="1"/>
    <col min="20" max="20" width="12.140625" customWidth="1"/>
  </cols>
  <sheetData>
    <row r="1" spans="1:20" ht="90" x14ac:dyDescent="0.25">
      <c r="A1" s="1" t="s">
        <v>89</v>
      </c>
      <c r="B1" s="2" t="s">
        <v>92</v>
      </c>
      <c r="C1" s="2" t="s">
        <v>109</v>
      </c>
      <c r="D1" s="2" t="s">
        <v>90</v>
      </c>
      <c r="E1" s="94" t="s">
        <v>86</v>
      </c>
      <c r="F1" s="94" t="s">
        <v>91</v>
      </c>
      <c r="G1" s="94" t="s">
        <v>93</v>
      </c>
      <c r="H1" s="94" t="s">
        <v>94</v>
      </c>
      <c r="I1" s="95" t="s">
        <v>87</v>
      </c>
      <c r="J1" s="95" t="s">
        <v>95</v>
      </c>
      <c r="K1" s="95" t="s">
        <v>96</v>
      </c>
      <c r="L1" s="95" t="s">
        <v>97</v>
      </c>
      <c r="M1" s="110" t="s">
        <v>101</v>
      </c>
      <c r="N1" s="110" t="s">
        <v>102</v>
      </c>
      <c r="O1" s="110" t="s">
        <v>103</v>
      </c>
      <c r="P1" s="110" t="s">
        <v>104</v>
      </c>
      <c r="Q1" s="111" t="s">
        <v>105</v>
      </c>
      <c r="R1" s="111" t="s">
        <v>106</v>
      </c>
      <c r="S1" s="111" t="s">
        <v>107</v>
      </c>
      <c r="T1" s="111" t="s">
        <v>108</v>
      </c>
    </row>
    <row r="2" spans="1:20" x14ac:dyDescent="0.25">
      <c r="A2" s="57" t="s">
        <v>16</v>
      </c>
      <c r="B2" s="6">
        <v>170626</v>
      </c>
      <c r="C2" s="83">
        <f>B2/$B$21</f>
        <v>0.42023210221955137</v>
      </c>
      <c r="D2" s="6">
        <f>$D$21*C2</f>
        <v>420232.10221955139</v>
      </c>
      <c r="E2" s="55">
        <v>7.6486119309566625E-7</v>
      </c>
      <c r="F2" s="5">
        <f t="shared" ref="F2:F20" si="0">D2*E2</f>
        <v>0.32141922708074605</v>
      </c>
      <c r="G2" s="7">
        <f>F2/$F$21</f>
        <v>2.2413424492866416E-2</v>
      </c>
      <c r="H2" s="81">
        <f>F2/2</f>
        <v>0.16070961354037303</v>
      </c>
      <c r="I2" s="56">
        <v>7.6486119309566625E-7</v>
      </c>
      <c r="J2" s="5">
        <f t="shared" ref="J2:J20" si="1">I2*D2</f>
        <v>0.32141922708074605</v>
      </c>
      <c r="K2" s="7">
        <f>J2/$J$21</f>
        <v>2.2413424492866416E-2</v>
      </c>
      <c r="L2" s="81">
        <f>J2/2</f>
        <v>0.16070961354037303</v>
      </c>
      <c r="M2" s="56">
        <v>7.6486119309566625E-7</v>
      </c>
      <c r="N2" s="5">
        <f>D2*M2</f>
        <v>0.32141922708074605</v>
      </c>
      <c r="O2" s="7">
        <f>N2/$N$21</f>
        <v>2.2413424492866416E-2</v>
      </c>
      <c r="P2" s="81">
        <f>N2/2</f>
        <v>0.16070961354037303</v>
      </c>
      <c r="Q2" s="58">
        <v>2.2910616327847694E-6</v>
      </c>
      <c r="R2" s="58">
        <f>Q2*D2</f>
        <v>0.96277764625970153</v>
      </c>
      <c r="S2" s="7">
        <f>R2/$N$21</f>
        <v>6.7137066671000431E-2</v>
      </c>
      <c r="T2" s="81">
        <f>R2/2</f>
        <v>0.48138882312985076</v>
      </c>
    </row>
    <row r="3" spans="1:20" x14ac:dyDescent="0.25">
      <c r="A3" s="57" t="s">
        <v>85</v>
      </c>
      <c r="B3" s="6">
        <v>89143</v>
      </c>
      <c r="C3" s="83">
        <f t="shared" ref="C3:C20" si="2">B3/$B$21</f>
        <v>0.21954889810554937</v>
      </c>
      <c r="D3" s="6">
        <f t="shared" ref="D3:D20" si="3">$D$21*C3</f>
        <v>219548.89810554936</v>
      </c>
      <c r="E3" s="55">
        <v>2.3980429045533829E-5</v>
      </c>
      <c r="F3" s="5">
        <f t="shared" si="0"/>
        <v>5.2648767730452635</v>
      </c>
      <c r="G3" s="7">
        <f t="shared" ref="G3:G20" si="4">F3/$F$21</f>
        <v>0.36713397356049143</v>
      </c>
      <c r="H3" s="81">
        <f t="shared" ref="H3:H20" si="5">F3/2</f>
        <v>2.6324383865226317</v>
      </c>
      <c r="I3" s="56">
        <v>2.3980429045533829E-5</v>
      </c>
      <c r="J3" s="5">
        <f t="shared" si="1"/>
        <v>5.2648767730452635</v>
      </c>
      <c r="K3" s="7">
        <f t="shared" ref="K3:K20" si="6">J3/$J$21</f>
        <v>0.36713397356049143</v>
      </c>
      <c r="L3" s="81">
        <f t="shared" ref="L3:L20" si="7">J3/2</f>
        <v>2.6324383865226317</v>
      </c>
      <c r="M3" s="56">
        <v>2.3980429045533829E-5</v>
      </c>
      <c r="N3" s="5">
        <f t="shared" ref="N3:N20" si="8">D3*M3</f>
        <v>5.2648767730452635</v>
      </c>
      <c r="O3" s="7">
        <f t="shared" ref="O3:O20" si="9">N3/$N$21</f>
        <v>0.36713397356049143</v>
      </c>
      <c r="P3" s="81">
        <f t="shared" ref="P3:P20" si="10">N3/2</f>
        <v>2.6324383865226317</v>
      </c>
      <c r="Q3" s="58">
        <v>1.508910891089109E-4</v>
      </c>
      <c r="R3" s="58">
        <f t="shared" ref="R3:R20" si="11">Q3*D3</f>
        <v>33.127972347807649</v>
      </c>
      <c r="S3" s="7">
        <f t="shared" ref="S3:S20" si="12">R3/$N$21</f>
        <v>2.3101023344593563</v>
      </c>
      <c r="T3" s="81">
        <f t="shared" ref="T3:T20" si="13">R3/2</f>
        <v>16.563986173903825</v>
      </c>
    </row>
    <row r="4" spans="1:20" x14ac:dyDescent="0.25">
      <c r="A4" s="57" t="s">
        <v>17</v>
      </c>
      <c r="B4" s="6">
        <v>138221</v>
      </c>
      <c r="C4" s="83">
        <f t="shared" si="2"/>
        <v>0.34042233540544004</v>
      </c>
      <c r="D4" s="6">
        <f t="shared" si="3"/>
        <v>340422.33540544001</v>
      </c>
      <c r="E4" s="55">
        <v>1.4889528721675126E-5</v>
      </c>
      <c r="F4" s="5">
        <f t="shared" si="0"/>
        <v>5.0687281405190223</v>
      </c>
      <c r="G4" s="7">
        <f t="shared" si="4"/>
        <v>0.35345600350115375</v>
      </c>
      <c r="H4" s="81">
        <f t="shared" si="5"/>
        <v>2.5343640702595112</v>
      </c>
      <c r="I4" s="56">
        <v>1.4889528721675126E-5</v>
      </c>
      <c r="J4" s="5">
        <f t="shared" si="1"/>
        <v>5.0687281405190223</v>
      </c>
      <c r="K4" s="7">
        <f t="shared" si="6"/>
        <v>0.35345600350115375</v>
      </c>
      <c r="L4" s="81">
        <f t="shared" si="7"/>
        <v>2.5343640702595112</v>
      </c>
      <c r="M4" s="56">
        <v>1.4889528721675126E-5</v>
      </c>
      <c r="N4" s="5">
        <f t="shared" si="8"/>
        <v>5.0687281405190223</v>
      </c>
      <c r="O4" s="7">
        <f t="shared" si="9"/>
        <v>0.35345600350115375</v>
      </c>
      <c r="P4" s="81">
        <f t="shared" si="10"/>
        <v>2.5343640702595112</v>
      </c>
      <c r="Q4" s="58">
        <v>1.0136260408781227E-4</v>
      </c>
      <c r="R4" s="58">
        <f t="shared" si="11"/>
        <v>34.506094406350051</v>
      </c>
      <c r="S4" s="7">
        <f t="shared" si="12"/>
        <v>2.4062024806193558</v>
      </c>
      <c r="T4" s="81">
        <f t="shared" si="13"/>
        <v>17.253047203175026</v>
      </c>
    </row>
    <row r="5" spans="1:20" x14ac:dyDescent="0.25">
      <c r="A5" s="57" t="s">
        <v>18</v>
      </c>
      <c r="B5" s="6">
        <v>1659</v>
      </c>
      <c r="C5" s="83">
        <f t="shared" si="2"/>
        <v>4.085925108613199E-3</v>
      </c>
      <c r="D5" s="6">
        <f t="shared" si="3"/>
        <v>4085.925108613199</v>
      </c>
      <c r="E5" s="55">
        <v>7.5346594333936109E-6</v>
      </c>
      <c r="F5" s="5">
        <f t="shared" si="0"/>
        <v>3.0786054163752255E-2</v>
      </c>
      <c r="G5" s="7">
        <f t="shared" si="4"/>
        <v>2.1467941003392799E-3</v>
      </c>
      <c r="H5" s="81">
        <f t="shared" si="5"/>
        <v>1.5393027081876128E-2</v>
      </c>
      <c r="I5" s="56">
        <v>7.5346594333936109E-6</v>
      </c>
      <c r="J5" s="5">
        <f t="shared" si="1"/>
        <v>3.0786054163752255E-2</v>
      </c>
      <c r="K5" s="7">
        <f t="shared" si="6"/>
        <v>2.1467941003392799E-3</v>
      </c>
      <c r="L5" s="81">
        <f t="shared" si="7"/>
        <v>1.5393027081876128E-2</v>
      </c>
      <c r="M5" s="56">
        <v>7.5346594333936109E-6</v>
      </c>
      <c r="N5" s="5">
        <f t="shared" si="8"/>
        <v>3.0786054163752255E-2</v>
      </c>
      <c r="O5" s="7">
        <f t="shared" si="9"/>
        <v>2.1467941003392799E-3</v>
      </c>
      <c r="P5" s="81">
        <f t="shared" si="10"/>
        <v>1.5393027081876128E-2</v>
      </c>
      <c r="Q5" s="58">
        <v>7.5346594333936109E-6</v>
      </c>
      <c r="R5" s="58">
        <f t="shared" si="11"/>
        <v>3.0786054163752255E-2</v>
      </c>
      <c r="S5" s="7">
        <f t="shared" si="12"/>
        <v>2.1467941003392799E-3</v>
      </c>
      <c r="T5" s="81">
        <f t="shared" si="13"/>
        <v>1.5393027081876128E-2</v>
      </c>
    </row>
    <row r="6" spans="1:20" x14ac:dyDescent="0.25">
      <c r="A6" s="96" t="s">
        <v>19</v>
      </c>
      <c r="B6" s="65">
        <v>0</v>
      </c>
      <c r="C6" s="84">
        <f t="shared" si="2"/>
        <v>0</v>
      </c>
      <c r="D6" s="65">
        <f t="shared" si="3"/>
        <v>0</v>
      </c>
      <c r="E6" s="66"/>
      <c r="F6" s="68">
        <f t="shared" si="0"/>
        <v>0</v>
      </c>
      <c r="G6" s="69">
        <f t="shared" si="4"/>
        <v>0</v>
      </c>
      <c r="H6" s="82">
        <f t="shared" si="5"/>
        <v>0</v>
      </c>
      <c r="I6" s="67"/>
      <c r="J6" s="68">
        <f t="shared" si="1"/>
        <v>0</v>
      </c>
      <c r="K6" s="69">
        <f t="shared" si="6"/>
        <v>0</v>
      </c>
      <c r="L6" s="82">
        <f t="shared" si="7"/>
        <v>0</v>
      </c>
      <c r="M6" s="67"/>
      <c r="N6" s="68">
        <f t="shared" si="8"/>
        <v>0</v>
      </c>
      <c r="O6" s="69">
        <f t="shared" si="9"/>
        <v>0</v>
      </c>
      <c r="P6" s="82">
        <f t="shared" si="10"/>
        <v>0</v>
      </c>
      <c r="Q6" s="73">
        <v>0</v>
      </c>
      <c r="R6" s="73">
        <f t="shared" si="11"/>
        <v>0</v>
      </c>
      <c r="S6" s="69">
        <f t="shared" si="12"/>
        <v>0</v>
      </c>
      <c r="T6" s="82">
        <f t="shared" si="13"/>
        <v>0</v>
      </c>
    </row>
    <row r="7" spans="1:20" x14ac:dyDescent="0.25">
      <c r="A7" s="96" t="s">
        <v>20</v>
      </c>
      <c r="B7" s="70">
        <v>0</v>
      </c>
      <c r="C7" s="84">
        <f t="shared" si="2"/>
        <v>0</v>
      </c>
      <c r="D7" s="65">
        <f t="shared" si="3"/>
        <v>0</v>
      </c>
      <c r="E7" s="71"/>
      <c r="F7" s="68">
        <f t="shared" si="0"/>
        <v>0</v>
      </c>
      <c r="G7" s="69">
        <f t="shared" si="4"/>
        <v>0</v>
      </c>
      <c r="H7" s="82">
        <f t="shared" si="5"/>
        <v>0</v>
      </c>
      <c r="I7" s="72"/>
      <c r="J7" s="68">
        <f t="shared" si="1"/>
        <v>0</v>
      </c>
      <c r="K7" s="69">
        <f t="shared" si="6"/>
        <v>0</v>
      </c>
      <c r="L7" s="82">
        <f t="shared" si="7"/>
        <v>0</v>
      </c>
      <c r="M7" s="72"/>
      <c r="N7" s="68">
        <f t="shared" si="8"/>
        <v>0</v>
      </c>
      <c r="O7" s="69">
        <f t="shared" si="9"/>
        <v>0</v>
      </c>
      <c r="P7" s="82">
        <f t="shared" si="10"/>
        <v>0</v>
      </c>
      <c r="Q7" s="73">
        <v>0</v>
      </c>
      <c r="R7" s="73">
        <f t="shared" si="11"/>
        <v>0</v>
      </c>
      <c r="S7" s="69">
        <f t="shared" si="12"/>
        <v>0</v>
      </c>
      <c r="T7" s="82">
        <f t="shared" si="13"/>
        <v>0</v>
      </c>
    </row>
    <row r="8" spans="1:20" x14ac:dyDescent="0.25">
      <c r="A8" s="57" t="s">
        <v>21</v>
      </c>
      <c r="B8" s="58">
        <v>341</v>
      </c>
      <c r="C8" s="83">
        <f t="shared" si="2"/>
        <v>8.398435575871615E-4</v>
      </c>
      <c r="D8" s="6">
        <f t="shared" si="3"/>
        <v>839.84355758716151</v>
      </c>
      <c r="E8" s="59">
        <v>0</v>
      </c>
      <c r="F8" s="5">
        <f t="shared" si="0"/>
        <v>0</v>
      </c>
      <c r="G8" s="7">
        <f t="shared" si="4"/>
        <v>0</v>
      </c>
      <c r="H8" s="81">
        <f t="shared" si="5"/>
        <v>0</v>
      </c>
      <c r="I8" s="60">
        <v>0</v>
      </c>
      <c r="J8" s="5">
        <f t="shared" si="1"/>
        <v>0</v>
      </c>
      <c r="K8" s="7">
        <f t="shared" si="6"/>
        <v>0</v>
      </c>
      <c r="L8" s="81">
        <f t="shared" si="7"/>
        <v>0</v>
      </c>
      <c r="M8" s="60">
        <v>0</v>
      </c>
      <c r="N8" s="5">
        <f t="shared" si="8"/>
        <v>0</v>
      </c>
      <c r="O8" s="7">
        <f t="shared" si="9"/>
        <v>0</v>
      </c>
      <c r="P8" s="81">
        <f t="shared" si="10"/>
        <v>0</v>
      </c>
      <c r="Q8" s="58">
        <v>0</v>
      </c>
      <c r="R8" s="58">
        <f t="shared" si="11"/>
        <v>0</v>
      </c>
      <c r="S8" s="7">
        <f t="shared" si="12"/>
        <v>0</v>
      </c>
      <c r="T8" s="81">
        <f t="shared" si="13"/>
        <v>0</v>
      </c>
    </row>
    <row r="9" spans="1:20" x14ac:dyDescent="0.25">
      <c r="A9" s="57" t="s">
        <v>22</v>
      </c>
      <c r="B9" s="58">
        <v>32</v>
      </c>
      <c r="C9" s="83">
        <f t="shared" si="2"/>
        <v>7.8812298659205768E-5</v>
      </c>
      <c r="D9" s="6">
        <f t="shared" si="3"/>
        <v>78.812298659205766</v>
      </c>
      <c r="E9" s="59">
        <v>1.1406249999999999E-3</v>
      </c>
      <c r="F9" s="5">
        <f t="shared" si="0"/>
        <v>8.9895278158156566E-2</v>
      </c>
      <c r="G9" s="7">
        <f t="shared" si="4"/>
        <v>6.2686387729906957E-3</v>
      </c>
      <c r="H9" s="81">
        <f t="shared" si="5"/>
        <v>4.4947639079078283E-2</v>
      </c>
      <c r="I9" s="60">
        <v>1.1406249999999999E-3</v>
      </c>
      <c r="J9" s="5">
        <f t="shared" si="1"/>
        <v>8.9895278158156566E-2</v>
      </c>
      <c r="K9" s="7">
        <f t="shared" si="6"/>
        <v>6.2686387729906957E-3</v>
      </c>
      <c r="L9" s="81">
        <f t="shared" si="7"/>
        <v>4.4947639079078283E-2</v>
      </c>
      <c r="M9" s="60">
        <v>1.1406249999999999E-3</v>
      </c>
      <c r="N9" s="5">
        <f t="shared" si="8"/>
        <v>8.9895278158156566E-2</v>
      </c>
      <c r="O9" s="7">
        <f t="shared" si="9"/>
        <v>6.2686387729906957E-3</v>
      </c>
      <c r="P9" s="81">
        <f t="shared" si="10"/>
        <v>4.4947639079078283E-2</v>
      </c>
      <c r="Q9" s="58">
        <v>1.1406249999999999E-3</v>
      </c>
      <c r="R9" s="58">
        <f t="shared" si="11"/>
        <v>8.9895278158156566E-2</v>
      </c>
      <c r="S9" s="7">
        <f t="shared" si="12"/>
        <v>6.2686387729906957E-3</v>
      </c>
      <c r="T9" s="81">
        <f t="shared" si="13"/>
        <v>4.4947639079078283E-2</v>
      </c>
    </row>
    <row r="10" spans="1:20" x14ac:dyDescent="0.25">
      <c r="A10" s="57" t="s">
        <v>23</v>
      </c>
      <c r="B10" s="58">
        <v>9</v>
      </c>
      <c r="C10" s="83">
        <f t="shared" si="2"/>
        <v>2.2165958997901624E-5</v>
      </c>
      <c r="D10" s="6">
        <f t="shared" si="3"/>
        <v>22.165958997901622</v>
      </c>
      <c r="E10" s="59">
        <v>7.0111111111111112E-3</v>
      </c>
      <c r="F10" s="5">
        <f t="shared" si="0"/>
        <v>0.15540800141862138</v>
      </c>
      <c r="G10" s="7">
        <f t="shared" si="4"/>
        <v>1.0837016618512685E-2</v>
      </c>
      <c r="H10" s="81">
        <f t="shared" si="5"/>
        <v>7.7704000709310689E-2</v>
      </c>
      <c r="I10" s="60">
        <v>7.0111111111111112E-3</v>
      </c>
      <c r="J10" s="5">
        <f t="shared" si="1"/>
        <v>0.15540800141862138</v>
      </c>
      <c r="K10" s="7">
        <f t="shared" si="6"/>
        <v>1.0837016618512685E-2</v>
      </c>
      <c r="L10" s="81">
        <f t="shared" si="7"/>
        <v>7.7704000709310689E-2</v>
      </c>
      <c r="M10" s="60">
        <v>7.0111111111111112E-3</v>
      </c>
      <c r="N10" s="5">
        <f t="shared" si="8"/>
        <v>0.15540800141862138</v>
      </c>
      <c r="O10" s="7">
        <f t="shared" si="9"/>
        <v>1.0837016618512685E-2</v>
      </c>
      <c r="P10" s="81">
        <f t="shared" si="10"/>
        <v>7.7704000709310689E-2</v>
      </c>
      <c r="Q10" s="58">
        <v>7.0111111111111112E-3</v>
      </c>
      <c r="R10" s="58">
        <f t="shared" si="11"/>
        <v>0.15540800141862138</v>
      </c>
      <c r="S10" s="7">
        <f t="shared" si="12"/>
        <v>1.0837016618512685E-2</v>
      </c>
      <c r="T10" s="81">
        <f t="shared" si="13"/>
        <v>7.7704000709310689E-2</v>
      </c>
    </row>
    <row r="11" spans="1:20" x14ac:dyDescent="0.25">
      <c r="A11" s="96" t="s">
        <v>24</v>
      </c>
      <c r="B11" s="73">
        <v>0</v>
      </c>
      <c r="C11" s="84">
        <f t="shared" si="2"/>
        <v>0</v>
      </c>
      <c r="D11" s="65">
        <f t="shared" si="3"/>
        <v>0</v>
      </c>
      <c r="E11" s="74"/>
      <c r="F11" s="68">
        <f t="shared" si="0"/>
        <v>0</v>
      </c>
      <c r="G11" s="69">
        <f t="shared" si="4"/>
        <v>0</v>
      </c>
      <c r="H11" s="82">
        <f t="shared" si="5"/>
        <v>0</v>
      </c>
      <c r="I11" s="75"/>
      <c r="J11" s="68">
        <f t="shared" si="1"/>
        <v>0</v>
      </c>
      <c r="K11" s="69">
        <f t="shared" si="6"/>
        <v>0</v>
      </c>
      <c r="L11" s="82">
        <f t="shared" si="7"/>
        <v>0</v>
      </c>
      <c r="M11" s="75"/>
      <c r="N11" s="68">
        <f t="shared" si="8"/>
        <v>0</v>
      </c>
      <c r="O11" s="69">
        <f t="shared" si="9"/>
        <v>0</v>
      </c>
      <c r="P11" s="82">
        <f t="shared" si="10"/>
        <v>0</v>
      </c>
      <c r="Q11" s="73">
        <v>0</v>
      </c>
      <c r="R11" s="73">
        <f t="shared" si="11"/>
        <v>0</v>
      </c>
      <c r="S11" s="69">
        <f t="shared" si="12"/>
        <v>0</v>
      </c>
      <c r="T11" s="82">
        <f t="shared" si="13"/>
        <v>0</v>
      </c>
    </row>
    <row r="12" spans="1:20" x14ac:dyDescent="0.25">
      <c r="A12" s="57" t="s">
        <v>25</v>
      </c>
      <c r="B12" s="58">
        <v>423</v>
      </c>
      <c r="C12" s="83">
        <f t="shared" si="2"/>
        <v>1.0418000729013762E-3</v>
      </c>
      <c r="D12" s="6">
        <f t="shared" si="3"/>
        <v>1041.8000729013761</v>
      </c>
      <c r="E12" s="59">
        <v>3.0696748347842027E-5</v>
      </c>
      <c r="F12" s="5">
        <f t="shared" si="0"/>
        <v>3.1979874666617017E-2</v>
      </c>
      <c r="G12" s="7">
        <f t="shared" si="4"/>
        <v>2.2300424048729509E-3</v>
      </c>
      <c r="H12" s="81">
        <f t="shared" si="5"/>
        <v>1.5989937333308508E-2</v>
      </c>
      <c r="I12" s="60">
        <v>3.0696748347842027E-5</v>
      </c>
      <c r="J12" s="5">
        <f t="shared" si="1"/>
        <v>3.1979874666617017E-2</v>
      </c>
      <c r="K12" s="7">
        <f t="shared" si="6"/>
        <v>2.2300424048729509E-3</v>
      </c>
      <c r="L12" s="81">
        <f t="shared" si="7"/>
        <v>1.5989937333308508E-2</v>
      </c>
      <c r="M12" s="60">
        <v>3.0696748347842027E-5</v>
      </c>
      <c r="N12" s="5">
        <f t="shared" si="8"/>
        <v>3.1979874666617017E-2</v>
      </c>
      <c r="O12" s="7">
        <f t="shared" si="9"/>
        <v>2.2300424048729509E-3</v>
      </c>
      <c r="P12" s="81">
        <f t="shared" si="10"/>
        <v>1.5989937333308508E-2</v>
      </c>
      <c r="Q12" s="58">
        <v>4.7830870043526083E-5</v>
      </c>
      <c r="R12" s="58">
        <f t="shared" si="11"/>
        <v>4.9830203898281716E-2</v>
      </c>
      <c r="S12" s="7">
        <f t="shared" si="12"/>
        <v>3.4747937224604772E-3</v>
      </c>
      <c r="T12" s="81">
        <f t="shared" si="13"/>
        <v>2.4915101949140858E-2</v>
      </c>
    </row>
    <row r="13" spans="1:20" x14ac:dyDescent="0.25">
      <c r="A13" s="57" t="s">
        <v>26</v>
      </c>
      <c r="B13" s="58">
        <v>671</v>
      </c>
      <c r="C13" s="83">
        <f t="shared" si="2"/>
        <v>1.6525953875102209E-3</v>
      </c>
      <c r="D13" s="6">
        <f t="shared" si="3"/>
        <v>1652.5953875102209</v>
      </c>
      <c r="E13" s="59">
        <v>8.2981604472574897E-4</v>
      </c>
      <c r="F13" s="5">
        <f t="shared" si="0"/>
        <v>1.3713501679957478</v>
      </c>
      <c r="G13" s="7">
        <f t="shared" si="4"/>
        <v>9.5627924075403214E-2</v>
      </c>
      <c r="H13" s="81">
        <f t="shared" si="5"/>
        <v>0.68567508399787391</v>
      </c>
      <c r="I13" s="60">
        <v>8.2981604472574897E-4</v>
      </c>
      <c r="J13" s="5">
        <f t="shared" si="1"/>
        <v>1.3713501679957478</v>
      </c>
      <c r="K13" s="7">
        <f t="shared" si="6"/>
        <v>9.5627924075403214E-2</v>
      </c>
      <c r="L13" s="81">
        <f t="shared" si="7"/>
        <v>0.68567508399787391</v>
      </c>
      <c r="M13" s="60">
        <v>8.2981604472574897E-4</v>
      </c>
      <c r="N13" s="5">
        <f t="shared" si="8"/>
        <v>1.3713501679957478</v>
      </c>
      <c r="O13" s="7">
        <f t="shared" si="9"/>
        <v>9.5627924075403214E-2</v>
      </c>
      <c r="P13" s="81">
        <f t="shared" si="10"/>
        <v>0.68567508399787391</v>
      </c>
      <c r="Q13" s="58">
        <v>2.9585798816568051E-3</v>
      </c>
      <c r="R13" s="58">
        <f t="shared" si="11"/>
        <v>4.8893354660065711</v>
      </c>
      <c r="S13" s="7">
        <f t="shared" si="12"/>
        <v>0.34094647132015549</v>
      </c>
      <c r="T13" s="81">
        <f t="shared" si="13"/>
        <v>2.4446677330032855</v>
      </c>
    </row>
    <row r="14" spans="1:20" x14ac:dyDescent="0.25">
      <c r="A14" s="57" t="s">
        <v>27</v>
      </c>
      <c r="B14" s="58">
        <v>1914</v>
      </c>
      <c r="C14" s="83">
        <f t="shared" si="2"/>
        <v>4.7139606135537448E-3</v>
      </c>
      <c r="D14" s="6">
        <f t="shared" si="3"/>
        <v>4713.9606135537451</v>
      </c>
      <c r="E14" s="59">
        <v>4.8441285045733371E-6</v>
      </c>
      <c r="F14" s="5">
        <f t="shared" si="0"/>
        <v>2.2835030977551712E-2</v>
      </c>
      <c r="G14" s="7">
        <f t="shared" si="4"/>
        <v>1.5923479352996052E-3</v>
      </c>
      <c r="H14" s="81">
        <f t="shared" si="5"/>
        <v>1.1417515488775856E-2</v>
      </c>
      <c r="I14" s="60">
        <v>4.8441285045733371E-6</v>
      </c>
      <c r="J14" s="5">
        <f t="shared" si="1"/>
        <v>2.2835030977551712E-2</v>
      </c>
      <c r="K14" s="7">
        <f t="shared" si="6"/>
        <v>1.5923479352996052E-3</v>
      </c>
      <c r="L14" s="81">
        <f t="shared" si="7"/>
        <v>1.1417515488775856E-2</v>
      </c>
      <c r="M14" s="60">
        <v>4.8441285045733371E-6</v>
      </c>
      <c r="N14" s="5">
        <f t="shared" si="8"/>
        <v>2.2835030977551712E-2</v>
      </c>
      <c r="O14" s="7">
        <f t="shared" si="9"/>
        <v>1.5923479352996052E-3</v>
      </c>
      <c r="P14" s="81">
        <f t="shared" si="10"/>
        <v>1.1417515488775856E-2</v>
      </c>
      <c r="Q14" s="58">
        <v>1.2602739726027396E-5</v>
      </c>
      <c r="R14" s="58">
        <f t="shared" si="11"/>
        <v>5.9408818691362261E-2</v>
      </c>
      <c r="S14" s="7">
        <f t="shared" si="12"/>
        <v>4.1427362141429379E-3</v>
      </c>
      <c r="T14" s="81">
        <f t="shared" si="13"/>
        <v>2.9704409345681131E-2</v>
      </c>
    </row>
    <row r="15" spans="1:20" x14ac:dyDescent="0.25">
      <c r="A15" s="57" t="s">
        <v>28</v>
      </c>
      <c r="B15" s="58">
        <v>2068</v>
      </c>
      <c r="C15" s="83">
        <f t="shared" si="2"/>
        <v>5.0932448008511729E-3</v>
      </c>
      <c r="D15" s="6">
        <f t="shared" si="3"/>
        <v>5093.2448008511728</v>
      </c>
      <c r="E15" s="59">
        <v>6.3411324978883613E-5</v>
      </c>
      <c r="F15" s="5">
        <f t="shared" si="0"/>
        <v>0.3229694012637831</v>
      </c>
      <c r="G15" s="7">
        <f t="shared" si="4"/>
        <v>2.2521522294973208E-2</v>
      </c>
      <c r="H15" s="81">
        <f t="shared" si="5"/>
        <v>0.16148470063189155</v>
      </c>
      <c r="I15" s="60">
        <v>6.3411324978883613E-5</v>
      </c>
      <c r="J15" s="5">
        <f t="shared" si="1"/>
        <v>0.3229694012637831</v>
      </c>
      <c r="K15" s="7">
        <f t="shared" si="6"/>
        <v>2.2521522294973208E-2</v>
      </c>
      <c r="L15" s="81">
        <f t="shared" si="7"/>
        <v>0.16148470063189155</v>
      </c>
      <c r="M15" s="60">
        <v>6.3411324978883613E-5</v>
      </c>
      <c r="N15" s="5">
        <f t="shared" si="8"/>
        <v>0.3229694012637831</v>
      </c>
      <c r="O15" s="7">
        <f t="shared" si="9"/>
        <v>2.2521522294973208E-2</v>
      </c>
      <c r="P15" s="81">
        <f t="shared" si="10"/>
        <v>0.16148470063189155</v>
      </c>
      <c r="Q15" s="58">
        <v>2.2153846153846152E-4</v>
      </c>
      <c r="R15" s="58">
        <f t="shared" si="11"/>
        <v>1.1283496174193366</v>
      </c>
      <c r="S15" s="7">
        <f t="shared" si="12"/>
        <v>7.8682844151167358E-2</v>
      </c>
      <c r="T15" s="81">
        <f t="shared" si="13"/>
        <v>0.5641748087096683</v>
      </c>
    </row>
    <row r="16" spans="1:20" x14ac:dyDescent="0.25">
      <c r="A16" s="57" t="s">
        <v>29</v>
      </c>
      <c r="B16" s="58">
        <v>506</v>
      </c>
      <c r="C16" s="83">
        <f t="shared" si="2"/>
        <v>1.2462194725486912E-3</v>
      </c>
      <c r="D16" s="6">
        <f t="shared" si="3"/>
        <v>1246.2194725486911</v>
      </c>
      <c r="E16" s="59">
        <v>4.2490118577075101E-5</v>
      </c>
      <c r="F16" s="5">
        <f t="shared" si="0"/>
        <v>5.2952013161653877E-2</v>
      </c>
      <c r="G16" s="7">
        <f t="shared" si="4"/>
        <v>3.6924858525835612E-3</v>
      </c>
      <c r="H16" s="81">
        <f t="shared" si="5"/>
        <v>2.6476006580826938E-2</v>
      </c>
      <c r="I16" s="60">
        <v>4.2490118577075101E-5</v>
      </c>
      <c r="J16" s="5">
        <f t="shared" si="1"/>
        <v>5.2952013161653877E-2</v>
      </c>
      <c r="K16" s="7">
        <f t="shared" si="6"/>
        <v>3.6924858525835612E-3</v>
      </c>
      <c r="L16" s="81">
        <f t="shared" si="7"/>
        <v>2.6476006580826938E-2</v>
      </c>
      <c r="M16" s="60">
        <v>4.2490118577075101E-5</v>
      </c>
      <c r="N16" s="5">
        <f t="shared" si="8"/>
        <v>5.2952013161653877E-2</v>
      </c>
      <c r="O16" s="7">
        <f t="shared" si="9"/>
        <v>3.6924858525835612E-3</v>
      </c>
      <c r="P16" s="81">
        <f t="shared" si="10"/>
        <v>2.6476006580826938E-2</v>
      </c>
      <c r="Q16" s="58">
        <v>4.2490118577075101E-5</v>
      </c>
      <c r="R16" s="58">
        <f t="shared" si="11"/>
        <v>5.2952013161653877E-2</v>
      </c>
      <c r="S16" s="7">
        <f t="shared" si="12"/>
        <v>3.6924858525835612E-3</v>
      </c>
      <c r="T16" s="81">
        <f t="shared" si="13"/>
        <v>2.6476006580826938E-2</v>
      </c>
    </row>
    <row r="17" spans="1:20" x14ac:dyDescent="0.25">
      <c r="A17" s="57" t="s">
        <v>30</v>
      </c>
      <c r="B17" s="58">
        <v>252</v>
      </c>
      <c r="C17" s="83">
        <f t="shared" si="2"/>
        <v>6.2064685194124539E-4</v>
      </c>
      <c r="D17" s="6">
        <f t="shared" si="3"/>
        <v>620.64685194124536</v>
      </c>
      <c r="E17" s="59">
        <v>4.3174603174603174E-4</v>
      </c>
      <c r="F17" s="5">
        <f t="shared" si="0"/>
        <v>0.2679618154412996</v>
      </c>
      <c r="G17" s="7">
        <f t="shared" si="4"/>
        <v>1.868569584935309E-2</v>
      </c>
      <c r="H17" s="81">
        <f t="shared" si="5"/>
        <v>0.1339809077206498</v>
      </c>
      <c r="I17" s="60">
        <v>4.3174603174603174E-4</v>
      </c>
      <c r="J17" s="5">
        <f t="shared" si="1"/>
        <v>0.2679618154412996</v>
      </c>
      <c r="K17" s="7">
        <f t="shared" si="6"/>
        <v>1.868569584935309E-2</v>
      </c>
      <c r="L17" s="81">
        <f t="shared" si="7"/>
        <v>0.1339809077206498</v>
      </c>
      <c r="M17" s="60">
        <v>4.3174603174603174E-4</v>
      </c>
      <c r="N17" s="5">
        <f t="shared" si="8"/>
        <v>0.2679618154412996</v>
      </c>
      <c r="O17" s="7">
        <f t="shared" si="9"/>
        <v>1.868569584935309E-2</v>
      </c>
      <c r="P17" s="81">
        <f t="shared" si="10"/>
        <v>0.1339809077206498</v>
      </c>
      <c r="Q17" s="58">
        <v>4.3174603174603174E-4</v>
      </c>
      <c r="R17" s="58">
        <f t="shared" si="11"/>
        <v>0.2679618154412996</v>
      </c>
      <c r="S17" s="7">
        <f t="shared" si="12"/>
        <v>1.868569584935309E-2</v>
      </c>
      <c r="T17" s="81">
        <f t="shared" si="13"/>
        <v>0.1339809077206498</v>
      </c>
    </row>
    <row r="18" spans="1:20" x14ac:dyDescent="0.25">
      <c r="A18" s="96" t="s">
        <v>31</v>
      </c>
      <c r="B18" s="73">
        <v>0</v>
      </c>
      <c r="C18" s="84">
        <f t="shared" si="2"/>
        <v>0</v>
      </c>
      <c r="D18" s="65">
        <f t="shared" si="3"/>
        <v>0</v>
      </c>
      <c r="E18" s="74"/>
      <c r="F18" s="68">
        <f t="shared" si="0"/>
        <v>0</v>
      </c>
      <c r="G18" s="69">
        <f t="shared" si="4"/>
        <v>0</v>
      </c>
      <c r="H18" s="82">
        <f t="shared" si="5"/>
        <v>0</v>
      </c>
      <c r="I18" s="75"/>
      <c r="J18" s="68">
        <f t="shared" si="1"/>
        <v>0</v>
      </c>
      <c r="K18" s="69">
        <f t="shared" si="6"/>
        <v>0</v>
      </c>
      <c r="L18" s="82">
        <f t="shared" si="7"/>
        <v>0</v>
      </c>
      <c r="M18" s="75"/>
      <c r="N18" s="68">
        <f t="shared" si="8"/>
        <v>0</v>
      </c>
      <c r="O18" s="69">
        <f t="shared" si="9"/>
        <v>0</v>
      </c>
      <c r="P18" s="82">
        <f t="shared" si="10"/>
        <v>0</v>
      </c>
      <c r="Q18" s="73">
        <v>0</v>
      </c>
      <c r="R18" s="73">
        <f t="shared" si="11"/>
        <v>0</v>
      </c>
      <c r="S18" s="69">
        <f t="shared" si="12"/>
        <v>0</v>
      </c>
      <c r="T18" s="82">
        <f t="shared" si="13"/>
        <v>0</v>
      </c>
    </row>
    <row r="19" spans="1:20" x14ac:dyDescent="0.25">
      <c r="A19" s="96" t="s">
        <v>32</v>
      </c>
      <c r="B19" s="73">
        <v>0</v>
      </c>
      <c r="C19" s="84">
        <f t="shared" si="2"/>
        <v>0</v>
      </c>
      <c r="D19" s="65">
        <f t="shared" si="3"/>
        <v>0</v>
      </c>
      <c r="E19" s="74"/>
      <c r="F19" s="68">
        <f t="shared" si="0"/>
        <v>0</v>
      </c>
      <c r="G19" s="69">
        <f t="shared" si="4"/>
        <v>0</v>
      </c>
      <c r="H19" s="82">
        <f t="shared" si="5"/>
        <v>0</v>
      </c>
      <c r="I19" s="75"/>
      <c r="J19" s="68">
        <f t="shared" si="1"/>
        <v>0</v>
      </c>
      <c r="K19" s="69">
        <f t="shared" si="6"/>
        <v>0</v>
      </c>
      <c r="L19" s="82">
        <f t="shared" si="7"/>
        <v>0</v>
      </c>
      <c r="M19" s="75"/>
      <c r="N19" s="68">
        <f t="shared" si="8"/>
        <v>0</v>
      </c>
      <c r="O19" s="69">
        <f t="shared" si="9"/>
        <v>0</v>
      </c>
      <c r="P19" s="82">
        <f t="shared" si="10"/>
        <v>0</v>
      </c>
      <c r="Q19" s="73">
        <v>0</v>
      </c>
      <c r="R19" s="73">
        <f t="shared" si="11"/>
        <v>0</v>
      </c>
      <c r="S19" s="69">
        <f t="shared" si="12"/>
        <v>0</v>
      </c>
      <c r="T19" s="82">
        <f t="shared" si="13"/>
        <v>0</v>
      </c>
    </row>
    <row r="20" spans="1:20" ht="15.75" thickBot="1" x14ac:dyDescent="0.3">
      <c r="A20" s="61" t="s">
        <v>33</v>
      </c>
      <c r="B20" s="62">
        <v>163</v>
      </c>
      <c r="C20" s="85">
        <f t="shared" si="2"/>
        <v>4.0145014629532939E-4</v>
      </c>
      <c r="D20" s="86">
        <f t="shared" si="3"/>
        <v>401.45014629532938</v>
      </c>
      <c r="E20" s="63">
        <v>3.3361963190184046E-3</v>
      </c>
      <c r="F20" s="87">
        <f t="shared" si="0"/>
        <v>1.3393165003398779</v>
      </c>
      <c r="G20" s="88">
        <f t="shared" si="4"/>
        <v>9.3394130541160025E-2</v>
      </c>
      <c r="H20" s="89">
        <f t="shared" si="5"/>
        <v>0.66965825016993896</v>
      </c>
      <c r="I20" s="64">
        <v>3.3361963190184046E-3</v>
      </c>
      <c r="J20" s="87">
        <f t="shared" si="1"/>
        <v>1.3393165003398779</v>
      </c>
      <c r="K20" s="88">
        <f t="shared" si="6"/>
        <v>9.3394130541160025E-2</v>
      </c>
      <c r="L20" s="89">
        <f t="shared" si="7"/>
        <v>0.66965825016993896</v>
      </c>
      <c r="M20" s="64">
        <v>3.3361963190184046E-3</v>
      </c>
      <c r="N20" s="87">
        <f t="shared" si="8"/>
        <v>1.3393165003398779</v>
      </c>
      <c r="O20" s="88">
        <f t="shared" si="9"/>
        <v>9.3394130541160025E-2</v>
      </c>
      <c r="P20" s="89">
        <f t="shared" si="10"/>
        <v>0.66965825016993896</v>
      </c>
      <c r="Q20" s="62">
        <v>3.3361963190184046E-3</v>
      </c>
      <c r="R20" s="62">
        <f t="shared" si="11"/>
        <v>1.3393165003398779</v>
      </c>
      <c r="S20" s="88">
        <f t="shared" si="12"/>
        <v>9.3394130541160025E-2</v>
      </c>
      <c r="T20" s="89">
        <f t="shared" si="13"/>
        <v>0.66965825016993896</v>
      </c>
    </row>
    <row r="21" spans="1:20" ht="15.75" thickTop="1" x14ac:dyDescent="0.25">
      <c r="A21" s="90" t="s">
        <v>8</v>
      </c>
      <c r="B21" s="91">
        <f>SUM(B2:B20)</f>
        <v>406028</v>
      </c>
      <c r="C21" s="91"/>
      <c r="D21" s="91">
        <v>1000000</v>
      </c>
      <c r="E21" s="90"/>
      <c r="F21" s="92">
        <f>SUM(F2:F20)</f>
        <v>14.340478278232094</v>
      </c>
      <c r="G21" s="90">
        <f t="shared" ref="G21:H21" si="14">SUM(G2:G20)</f>
        <v>0.99999999999999978</v>
      </c>
      <c r="H21" s="93">
        <f t="shared" si="14"/>
        <v>7.1702391391160472</v>
      </c>
      <c r="I21" s="93"/>
      <c r="J21" s="92">
        <f>SUM(J2:J20)</f>
        <v>14.340478278232094</v>
      </c>
      <c r="K21" s="90">
        <f t="shared" ref="K21" si="15">SUM(K2:K20)</f>
        <v>0.99999999999999978</v>
      </c>
      <c r="L21" s="92">
        <f t="shared" ref="L21" si="16">SUM(L2:L20)</f>
        <v>7.1702391391160472</v>
      </c>
      <c r="M21" s="93"/>
      <c r="N21" s="92">
        <f>SUM(N2:N20)</f>
        <v>14.340478278232094</v>
      </c>
      <c r="O21" s="90">
        <f t="shared" ref="O21:P21" si="17">SUM(O2:O20)</f>
        <v>0.99999999999999978</v>
      </c>
      <c r="P21" s="92">
        <f t="shared" si="17"/>
        <v>7.1702391391160472</v>
      </c>
      <c r="R21" s="92">
        <f>SUM(R2:R20)</f>
        <v>76.660088169116321</v>
      </c>
      <c r="T21" s="92">
        <f>SUM(T2:T20)</f>
        <v>38.33004408455816</v>
      </c>
    </row>
    <row r="23" spans="1:20" s="78" customFormat="1" x14ac:dyDescent="0.25">
      <c r="A23" s="76" t="s">
        <v>9</v>
      </c>
      <c r="B23" s="77"/>
      <c r="C23" s="77"/>
      <c r="D23" s="77"/>
    </row>
    <row r="24" spans="1:20" s="78" customFormat="1" x14ac:dyDescent="0.25">
      <c r="A24" s="78" t="s">
        <v>10</v>
      </c>
      <c r="B24" s="77"/>
      <c r="C24" s="77"/>
      <c r="D24" s="77"/>
    </row>
    <row r="25" spans="1:20" s="78" customFormat="1" x14ac:dyDescent="0.25">
      <c r="A25" s="78" t="s">
        <v>12</v>
      </c>
      <c r="B25" s="77"/>
      <c r="C25" s="77"/>
      <c r="D25" s="77"/>
    </row>
    <row r="26" spans="1:20" s="80" customFormat="1" x14ac:dyDescent="0.25">
      <c r="A26" s="97" t="s">
        <v>98</v>
      </c>
      <c r="B26" s="79"/>
      <c r="C26" s="79"/>
      <c r="D26" s="79"/>
    </row>
    <row r="27" spans="1:20" x14ac:dyDescent="0.25">
      <c r="A27" s="78" t="s">
        <v>110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Concept</vt:lpstr>
      <vt:lpstr>Rates</vt:lpstr>
      <vt:lpstr>Combination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Song, Minkyo (NIH/NCI) [F]</dc:creator>
  <cp:keywords/>
  <dc:description/>
  <cp:lastModifiedBy>Camargo, M. Constanza (NIH/NCI) [E]</cp:lastModifiedBy>
  <cp:revision/>
  <dcterms:created xsi:type="dcterms:W3CDTF">2021-08-20T19:44:12Z</dcterms:created>
  <dcterms:modified xsi:type="dcterms:W3CDTF">2022-07-12T16:09:17Z</dcterms:modified>
  <cp:category/>
  <cp:contentStatus/>
</cp:coreProperties>
</file>