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ack_CC\IM_modelling study\"/>
    </mc:Choice>
  </mc:AlternateContent>
  <xr:revisionPtr revIDLastSave="0" documentId="13_ncr:1_{01BE21E5-FC7D-4999-AAA3-9A1F4A042C29}" xr6:coauthVersionLast="47" xr6:coauthVersionMax="47" xr10:uidLastSave="{00000000-0000-0000-0000-000000000000}"/>
  <bookViews>
    <workbookView xWindow="-110" yWindow="-110" windowWidth="19420" windowHeight="10420" activeTab="2" xr2:uid="{9CF10BAD-C865-4FB7-AC4E-DE39D3270722}"/>
  </bookViews>
  <sheets>
    <sheet name="Concept" sheetId="1" r:id="rId1"/>
    <sheet name="Rates" sheetId="2" r:id="rId2"/>
    <sheet name="Combinatio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9" i="3" l="1"/>
  <c r="B41" i="3"/>
  <c r="B43" i="3"/>
  <c r="B49" i="3"/>
  <c r="BU9" i="2"/>
  <c r="BV9" i="2"/>
  <c r="BU10" i="2"/>
  <c r="BV10" i="2"/>
  <c r="BV11" i="2"/>
  <c r="BU14" i="2"/>
  <c r="BV14" i="2"/>
  <c r="BU21" i="2"/>
  <c r="BV21" i="2"/>
  <c r="BU22" i="2"/>
  <c r="BV22" i="2"/>
  <c r="F7" i="1"/>
  <c r="BW8" i="2"/>
  <c r="BW9" i="2"/>
  <c r="BW10" i="2"/>
  <c r="BW12" i="2"/>
  <c r="BW13" i="2"/>
  <c r="BW14" i="2"/>
  <c r="BW15" i="2"/>
  <c r="BW16" i="2"/>
  <c r="BW19" i="2"/>
  <c r="BW20" i="2"/>
  <c r="BW21" i="2"/>
  <c r="BW22" i="2"/>
  <c r="BW23" i="2"/>
  <c r="BW5" i="2"/>
  <c r="AU17" i="2"/>
  <c r="AV17" i="2" s="1"/>
  <c r="AU18" i="2"/>
  <c r="AV18" i="2" s="1"/>
  <c r="AV7" i="2"/>
  <c r="AV6" i="2"/>
  <c r="V6" i="2"/>
  <c r="U6" i="2" s="1"/>
  <c r="X6" i="2"/>
  <c r="AA6" i="2"/>
  <c r="AD6" i="2"/>
  <c r="AG6" i="2"/>
  <c r="BA7" i="2"/>
  <c r="BB7" i="2" s="1"/>
  <c r="BD7" i="2"/>
  <c r="BE7" i="2" s="1"/>
  <c r="R6" i="2"/>
  <c r="R7" i="2"/>
  <c r="R5" i="2"/>
  <c r="BQ6" i="2"/>
  <c r="AJ6" i="2"/>
  <c r="AL11" i="2"/>
  <c r="AM11" i="2" s="1"/>
  <c r="BS11" i="2" s="1"/>
  <c r="AM12" i="2"/>
  <c r="BS12" i="2" s="1"/>
  <c r="AM13" i="2"/>
  <c r="BS13" i="2" s="1"/>
  <c r="O7" i="2"/>
  <c r="AS17" i="2"/>
  <c r="AR18" i="2"/>
  <c r="AS18" i="2" s="1"/>
  <c r="AS16" i="2"/>
  <c r="AS15" i="2"/>
  <c r="AS7" i="2"/>
  <c r="AP16" i="2"/>
  <c r="AP7" i="2"/>
  <c r="BN16" i="2"/>
  <c r="BN15" i="2"/>
  <c r="BN7" i="2"/>
  <c r="BM6" i="2"/>
  <c r="BN6" i="2" s="1"/>
  <c r="L7" i="2"/>
  <c r="D23" i="2"/>
  <c r="BS23" i="2" s="1"/>
  <c r="D20" i="2"/>
  <c r="BT20" i="2" s="1"/>
  <c r="D19" i="2"/>
  <c r="BS19" i="2" s="1"/>
  <c r="D8" i="2"/>
  <c r="BT8" i="2" s="1"/>
  <c r="D7" i="2"/>
  <c r="BL16" i="2"/>
  <c r="BK16" i="2" s="1"/>
  <c r="BL15" i="2"/>
  <c r="BK15" i="2" s="1"/>
  <c r="BL7" i="2"/>
  <c r="BK7" i="2" s="1"/>
  <c r="BH7" i="2"/>
  <c r="BH5" i="2"/>
  <c r="H6" i="2"/>
  <c r="H18" i="2"/>
  <c r="BV18" i="2" s="1"/>
  <c r="H17" i="2"/>
  <c r="AY17" i="2"/>
  <c r="AX18" i="2"/>
  <c r="AY18" i="2" s="1"/>
  <c r="AX7" i="2"/>
  <c r="AZ7" i="2"/>
  <c r="D6" i="1"/>
  <c r="D3" i="1"/>
  <c r="D7" i="1" s="1"/>
  <c r="D4" i="1"/>
  <c r="D5" i="1"/>
  <c r="F4" i="1"/>
  <c r="F5" i="1"/>
  <c r="F6" i="1"/>
  <c r="F2" i="1"/>
  <c r="B7" i="1"/>
  <c r="E4" i="1"/>
  <c r="E5" i="1"/>
  <c r="E6" i="1"/>
  <c r="E2" i="1"/>
  <c r="D2" i="1"/>
  <c r="BV15" i="2" l="1"/>
  <c r="BV17" i="2"/>
  <c r="BV5" i="2"/>
  <c r="BV19" i="2"/>
  <c r="BV6" i="2"/>
  <c r="BU18" i="2"/>
  <c r="BU16" i="2"/>
  <c r="BU6" i="2"/>
  <c r="BV23" i="2"/>
  <c r="BU15" i="2"/>
  <c r="BU13" i="2"/>
  <c r="BU5" i="2"/>
  <c r="BV20" i="2"/>
  <c r="BV16" i="2"/>
  <c r="BV12" i="2"/>
  <c r="BV8" i="2"/>
  <c r="BU17" i="2"/>
  <c r="BW7" i="2"/>
  <c r="BU20" i="2"/>
  <c r="BU12" i="2"/>
  <c r="BU8" i="2"/>
  <c r="BU23" i="2"/>
  <c r="BU19" i="2"/>
  <c r="BU11" i="2"/>
  <c r="BV13" i="2"/>
  <c r="BW18" i="2"/>
  <c r="AY7" i="2"/>
  <c r="BV7" i="2" s="1"/>
  <c r="BW11" i="2"/>
  <c r="BW17" i="2"/>
  <c r="BW6" i="2"/>
  <c r="B21" i="3"/>
  <c r="BT12" i="2"/>
  <c r="BT5" i="2"/>
  <c r="BS18" i="2"/>
  <c r="BT7" i="2"/>
  <c r="BS5" i="2"/>
  <c r="BS15" i="2"/>
  <c r="BT6" i="2"/>
  <c r="BS16" i="2"/>
  <c r="BT15" i="2"/>
  <c r="BS20" i="2"/>
  <c r="BS8" i="2"/>
  <c r="BS6" i="2"/>
  <c r="BT19" i="2"/>
  <c r="BT13" i="2"/>
  <c r="BT18" i="2"/>
  <c r="BT23" i="2"/>
  <c r="BT11" i="2"/>
  <c r="BT16" i="2"/>
  <c r="BT17" i="2"/>
  <c r="BS17" i="2"/>
  <c r="F3" i="1"/>
  <c r="E3" i="1"/>
  <c r="E7" i="1" s="1"/>
  <c r="C88" i="3" l="1"/>
  <c r="D88" i="3" s="1"/>
  <c r="C66" i="3"/>
  <c r="D66" i="3" s="1"/>
  <c r="C60" i="3"/>
  <c r="D60" i="3" s="1"/>
  <c r="C87" i="3"/>
  <c r="D87" i="3" s="1"/>
  <c r="C75" i="3"/>
  <c r="D75" i="3" s="1"/>
  <c r="C65" i="3"/>
  <c r="D65" i="3" s="1"/>
  <c r="C86" i="3"/>
  <c r="D86" i="3" s="1"/>
  <c r="C74" i="3"/>
  <c r="D74" i="3" s="1"/>
  <c r="C69" i="3"/>
  <c r="D69" i="3" s="1"/>
  <c r="C67" i="3"/>
  <c r="D67" i="3" s="1"/>
  <c r="C70" i="3"/>
  <c r="D70" i="3" s="1"/>
  <c r="C61" i="3"/>
  <c r="D61" i="3" s="1"/>
  <c r="C85" i="3"/>
  <c r="D85" i="3" s="1"/>
  <c r="C79" i="3"/>
  <c r="D79" i="3" s="1"/>
  <c r="C84" i="3"/>
  <c r="D84" i="3" s="1"/>
  <c r="C59" i="3"/>
  <c r="D59" i="3" s="1"/>
  <c r="C80" i="3"/>
  <c r="D80" i="3" s="1"/>
  <c r="C68" i="3"/>
  <c r="D68" i="3" s="1"/>
  <c r="C58" i="3"/>
  <c r="D58" i="3" s="1"/>
  <c r="C47" i="3"/>
  <c r="C44" i="3"/>
  <c r="B35" i="3"/>
  <c r="C35" i="3" s="1"/>
  <c r="C49" i="3"/>
  <c r="B31" i="3"/>
  <c r="C31" i="3" s="1"/>
  <c r="C41" i="3"/>
  <c r="C46" i="3"/>
  <c r="C43" i="3"/>
  <c r="B40" i="3"/>
  <c r="C40" i="3" s="1"/>
  <c r="B37" i="3"/>
  <c r="C37" i="3" s="1"/>
  <c r="B34" i="3"/>
  <c r="C34" i="3" s="1"/>
  <c r="B39" i="3"/>
  <c r="C39" i="3" s="1"/>
  <c r="C45" i="3"/>
  <c r="C33" i="3"/>
  <c r="C42" i="3"/>
  <c r="B36" i="3"/>
  <c r="C36" i="3" s="1"/>
  <c r="B32" i="3"/>
  <c r="C32" i="3" s="1"/>
  <c r="B38" i="3"/>
  <c r="C38" i="3" s="1"/>
  <c r="C48" i="3"/>
  <c r="BS7" i="2"/>
  <c r="BU7" i="2"/>
  <c r="C3" i="3"/>
  <c r="D3" i="3" s="1"/>
  <c r="C11" i="3"/>
  <c r="D11" i="3" s="1"/>
  <c r="C19" i="3"/>
  <c r="D19" i="3" s="1"/>
  <c r="C13" i="3"/>
  <c r="D13" i="3" s="1"/>
  <c r="C2" i="3"/>
  <c r="D2" i="3" s="1"/>
  <c r="C14" i="3"/>
  <c r="D14" i="3" s="1"/>
  <c r="C4" i="3"/>
  <c r="D4" i="3" s="1"/>
  <c r="C12" i="3"/>
  <c r="D12" i="3" s="1"/>
  <c r="C20" i="3"/>
  <c r="D20" i="3" s="1"/>
  <c r="C6" i="3"/>
  <c r="D6" i="3" s="1"/>
  <c r="C18" i="3"/>
  <c r="D18" i="3" s="1"/>
  <c r="C5" i="3"/>
  <c r="D5" i="3" s="1"/>
  <c r="C10" i="3"/>
  <c r="D10" i="3" s="1"/>
  <c r="C7" i="3"/>
  <c r="D7" i="3" s="1"/>
  <c r="C15" i="3"/>
  <c r="D15" i="3" s="1"/>
  <c r="C8" i="3"/>
  <c r="D8" i="3" s="1"/>
  <c r="C9" i="3"/>
  <c r="D9" i="3" s="1"/>
  <c r="C16" i="3"/>
  <c r="D16" i="3" s="1"/>
  <c r="C17" i="3"/>
  <c r="D17" i="3" s="1"/>
  <c r="R59" i="3" l="1"/>
  <c r="F59" i="3"/>
  <c r="N59" i="3"/>
  <c r="J59" i="3"/>
  <c r="J74" i="3"/>
  <c r="R74" i="3"/>
  <c r="F74" i="3"/>
  <c r="N74" i="3"/>
  <c r="F84" i="3"/>
  <c r="N84" i="3"/>
  <c r="R84" i="3"/>
  <c r="J84" i="3"/>
  <c r="J86" i="3"/>
  <c r="R86" i="3"/>
  <c r="F86" i="3"/>
  <c r="N86" i="3"/>
  <c r="F79" i="3"/>
  <c r="N79" i="3"/>
  <c r="J79" i="3"/>
  <c r="R79" i="3"/>
  <c r="J65" i="3"/>
  <c r="F65" i="3"/>
  <c r="N65" i="3"/>
  <c r="R65" i="3"/>
  <c r="N85" i="3"/>
  <c r="R85" i="3"/>
  <c r="F85" i="3"/>
  <c r="J85" i="3"/>
  <c r="N75" i="3"/>
  <c r="F75" i="3"/>
  <c r="R75" i="3"/>
  <c r="J75" i="3"/>
  <c r="N61" i="3"/>
  <c r="R61" i="3"/>
  <c r="F61" i="3"/>
  <c r="J61" i="3"/>
  <c r="R87" i="3"/>
  <c r="F87" i="3"/>
  <c r="J87" i="3"/>
  <c r="N87" i="3"/>
  <c r="N58" i="3"/>
  <c r="J58" i="3"/>
  <c r="F58" i="3"/>
  <c r="R58" i="3"/>
  <c r="J70" i="3"/>
  <c r="R70" i="3"/>
  <c r="F70" i="3"/>
  <c r="N70" i="3"/>
  <c r="J60" i="3"/>
  <c r="R60" i="3"/>
  <c r="F60" i="3"/>
  <c r="N60" i="3"/>
  <c r="N68" i="3"/>
  <c r="R68" i="3"/>
  <c r="F68" i="3"/>
  <c r="J68" i="3"/>
  <c r="J67" i="3"/>
  <c r="R67" i="3"/>
  <c r="F67" i="3"/>
  <c r="N67" i="3"/>
  <c r="R66" i="3"/>
  <c r="F66" i="3"/>
  <c r="J66" i="3"/>
  <c r="N66" i="3"/>
  <c r="R80" i="3"/>
  <c r="F80" i="3"/>
  <c r="N80" i="3"/>
  <c r="J80" i="3"/>
  <c r="F69" i="3"/>
  <c r="R69" i="3"/>
  <c r="N69" i="3"/>
  <c r="J69" i="3"/>
  <c r="F88" i="3"/>
  <c r="N88" i="3"/>
  <c r="R88" i="3"/>
  <c r="J88" i="3"/>
  <c r="R16" i="3"/>
  <c r="N16" i="3"/>
  <c r="R8" i="3"/>
  <c r="N8" i="3"/>
  <c r="N12" i="3"/>
  <c r="R12" i="3"/>
  <c r="E36" i="3"/>
  <c r="Q36" i="3"/>
  <c r="I36" i="3"/>
  <c r="M36" i="3"/>
  <c r="M43" i="3"/>
  <c r="E43" i="3"/>
  <c r="I43" i="3"/>
  <c r="Q43" i="3"/>
  <c r="R15" i="3"/>
  <c r="N15" i="3"/>
  <c r="N4" i="3"/>
  <c r="R4" i="3"/>
  <c r="I42" i="3"/>
  <c r="Q42" i="3"/>
  <c r="E42" i="3"/>
  <c r="M42" i="3"/>
  <c r="Q46" i="3"/>
  <c r="E46" i="3"/>
  <c r="I46" i="3"/>
  <c r="M46" i="3"/>
  <c r="R7" i="3"/>
  <c r="N7" i="3"/>
  <c r="R14" i="3"/>
  <c r="N14" i="3"/>
  <c r="E33" i="3"/>
  <c r="M33" i="3"/>
  <c r="I33" i="3"/>
  <c r="Q33" i="3"/>
  <c r="Q41" i="3"/>
  <c r="E41" i="3"/>
  <c r="I41" i="3"/>
  <c r="M41" i="3"/>
  <c r="N13" i="3"/>
  <c r="R13" i="3"/>
  <c r="R10" i="3"/>
  <c r="N10" i="3"/>
  <c r="N2" i="3"/>
  <c r="R2" i="3"/>
  <c r="I45" i="3"/>
  <c r="Q45" i="3"/>
  <c r="E45" i="3"/>
  <c r="M45" i="3"/>
  <c r="Q31" i="3"/>
  <c r="M31" i="3"/>
  <c r="I31" i="3"/>
  <c r="E31" i="3"/>
  <c r="I49" i="3"/>
  <c r="M49" i="3"/>
  <c r="Q49" i="3"/>
  <c r="E49" i="3"/>
  <c r="Q39" i="3"/>
  <c r="E39" i="3"/>
  <c r="M39" i="3"/>
  <c r="I39" i="3"/>
  <c r="R17" i="3"/>
  <c r="N17" i="3"/>
  <c r="R18" i="3"/>
  <c r="N18" i="3"/>
  <c r="N19" i="3"/>
  <c r="R19" i="3"/>
  <c r="E48" i="3"/>
  <c r="Q48" i="3"/>
  <c r="I48" i="3"/>
  <c r="M48" i="3"/>
  <c r="E34" i="3"/>
  <c r="I34" i="3"/>
  <c r="M34" i="3"/>
  <c r="Q34" i="3"/>
  <c r="E35" i="3"/>
  <c r="Q35" i="3"/>
  <c r="M35" i="3"/>
  <c r="I35" i="3"/>
  <c r="N5" i="3"/>
  <c r="R5" i="3"/>
  <c r="R6" i="3"/>
  <c r="N6" i="3"/>
  <c r="Q38" i="3"/>
  <c r="M38" i="3"/>
  <c r="I38" i="3"/>
  <c r="E38" i="3"/>
  <c r="I37" i="3"/>
  <c r="Q37" i="3"/>
  <c r="E37" i="3"/>
  <c r="M37" i="3"/>
  <c r="E44" i="3"/>
  <c r="I44" i="3"/>
  <c r="Q44" i="3"/>
  <c r="M44" i="3"/>
  <c r="N11" i="3"/>
  <c r="R11" i="3"/>
  <c r="R9" i="3"/>
  <c r="N9" i="3"/>
  <c r="N20" i="3"/>
  <c r="R20" i="3"/>
  <c r="N3" i="3"/>
  <c r="R3" i="3"/>
  <c r="I32" i="3"/>
  <c r="Q32" i="3"/>
  <c r="E32" i="3"/>
  <c r="M32" i="3"/>
  <c r="E40" i="3"/>
  <c r="I40" i="3"/>
  <c r="Q40" i="3"/>
  <c r="M40" i="3"/>
  <c r="Q47" i="3"/>
  <c r="E47" i="3"/>
  <c r="M47" i="3"/>
  <c r="I47" i="3"/>
  <c r="F12" i="3"/>
  <c r="J12" i="3"/>
  <c r="F4" i="3"/>
  <c r="J4" i="3"/>
  <c r="F10" i="3"/>
  <c r="J10" i="3"/>
  <c r="F2" i="3"/>
  <c r="J2" i="3"/>
  <c r="F7" i="3"/>
  <c r="H7" i="3" s="1"/>
  <c r="J7" i="3"/>
  <c r="F5" i="3"/>
  <c r="J5" i="3"/>
  <c r="F18" i="3"/>
  <c r="J18" i="3"/>
  <c r="J19" i="3"/>
  <c r="F19" i="3"/>
  <c r="F15" i="3"/>
  <c r="J15" i="3"/>
  <c r="F6" i="3"/>
  <c r="J6" i="3"/>
  <c r="F11" i="3"/>
  <c r="J11" i="3"/>
  <c r="J8" i="3"/>
  <c r="F8" i="3"/>
  <c r="J14" i="3"/>
  <c r="F14" i="3"/>
  <c r="F13" i="3"/>
  <c r="J13" i="3"/>
  <c r="F17" i="3"/>
  <c r="J17" i="3"/>
  <c r="J16" i="3"/>
  <c r="F16" i="3"/>
  <c r="F9" i="3"/>
  <c r="J9" i="3"/>
  <c r="F20" i="3"/>
  <c r="J20" i="3"/>
  <c r="F3" i="3"/>
  <c r="J3" i="3"/>
  <c r="L68" i="3" l="1"/>
  <c r="P69" i="3"/>
  <c r="L66" i="3"/>
  <c r="H68" i="3"/>
  <c r="H70" i="3"/>
  <c r="L87" i="3"/>
  <c r="T75" i="3"/>
  <c r="P65" i="3"/>
  <c r="H86" i="3"/>
  <c r="H74" i="3"/>
  <c r="P66" i="3"/>
  <c r="P86" i="3"/>
  <c r="T69" i="3"/>
  <c r="H66" i="3"/>
  <c r="T68" i="3"/>
  <c r="T70" i="3"/>
  <c r="H87" i="3"/>
  <c r="H75" i="3"/>
  <c r="H65" i="3"/>
  <c r="T86" i="3"/>
  <c r="T74" i="3"/>
  <c r="L75" i="3"/>
  <c r="H69" i="3"/>
  <c r="T66" i="3"/>
  <c r="P68" i="3"/>
  <c r="L70" i="3"/>
  <c r="T87" i="3"/>
  <c r="P75" i="3"/>
  <c r="L65" i="3"/>
  <c r="L86" i="3"/>
  <c r="L74" i="3"/>
  <c r="T65" i="3"/>
  <c r="L88" i="3"/>
  <c r="L80" i="3"/>
  <c r="P67" i="3"/>
  <c r="P60" i="3"/>
  <c r="R89" i="3"/>
  <c r="T58" i="3"/>
  <c r="L61" i="3"/>
  <c r="L85" i="3"/>
  <c r="T79" i="3"/>
  <c r="L84" i="3"/>
  <c r="L59" i="3"/>
  <c r="P70" i="3"/>
  <c r="T88" i="3"/>
  <c r="P80" i="3"/>
  <c r="H67" i="3"/>
  <c r="H60" i="3"/>
  <c r="F89" i="3"/>
  <c r="H58" i="3"/>
  <c r="H61" i="3"/>
  <c r="H85" i="3"/>
  <c r="L79" i="3"/>
  <c r="T84" i="3"/>
  <c r="P59" i="3"/>
  <c r="L69" i="3"/>
  <c r="P74" i="3"/>
  <c r="P88" i="3"/>
  <c r="H80" i="3"/>
  <c r="T67" i="3"/>
  <c r="T60" i="3"/>
  <c r="J89" i="3"/>
  <c r="L58" i="3"/>
  <c r="T61" i="3"/>
  <c r="T85" i="3"/>
  <c r="P79" i="3"/>
  <c r="P84" i="3"/>
  <c r="H59" i="3"/>
  <c r="P87" i="3"/>
  <c r="H88" i="3"/>
  <c r="T80" i="3"/>
  <c r="L67" i="3"/>
  <c r="L60" i="3"/>
  <c r="P58" i="3"/>
  <c r="N89" i="3"/>
  <c r="P61" i="3"/>
  <c r="P85" i="3"/>
  <c r="H79" i="3"/>
  <c r="H84" i="3"/>
  <c r="T59" i="3"/>
  <c r="G47" i="3"/>
  <c r="S32" i="3"/>
  <c r="T11" i="3"/>
  <c r="S37" i="3"/>
  <c r="T5" i="3"/>
  <c r="K34" i="3"/>
  <c r="P18" i="3"/>
  <c r="G49" i="3"/>
  <c r="O45" i="3"/>
  <c r="T13" i="3"/>
  <c r="O33" i="3"/>
  <c r="G46" i="3"/>
  <c r="P15" i="3"/>
  <c r="S36" i="3"/>
  <c r="S47" i="3"/>
  <c r="K32" i="3"/>
  <c r="P11" i="3"/>
  <c r="K37" i="3"/>
  <c r="P5" i="3"/>
  <c r="G34" i="3"/>
  <c r="T18" i="3"/>
  <c r="S49" i="3"/>
  <c r="G45" i="3"/>
  <c r="P13" i="3"/>
  <c r="G33" i="3"/>
  <c r="S46" i="3"/>
  <c r="T15" i="3"/>
  <c r="G36" i="3"/>
  <c r="G38" i="3"/>
  <c r="O41" i="3"/>
  <c r="S40" i="3"/>
  <c r="P3" i="3"/>
  <c r="S44" i="3"/>
  <c r="K38" i="3"/>
  <c r="O35" i="3"/>
  <c r="K48" i="3"/>
  <c r="T17" i="3"/>
  <c r="K49" i="3"/>
  <c r="K45" i="3"/>
  <c r="K41" i="3"/>
  <c r="T14" i="3"/>
  <c r="G42" i="3"/>
  <c r="K43" i="3"/>
  <c r="P12" i="3"/>
  <c r="K35" i="3"/>
  <c r="O49" i="3"/>
  <c r="P14" i="3"/>
  <c r="K40" i="3"/>
  <c r="T20" i="3"/>
  <c r="K44" i="3"/>
  <c r="O38" i="3"/>
  <c r="S35" i="3"/>
  <c r="S48" i="3"/>
  <c r="K39" i="3"/>
  <c r="G31" i="3"/>
  <c r="G50" i="3" s="1"/>
  <c r="E50" i="3"/>
  <c r="T2" i="3"/>
  <c r="R21" i="3"/>
  <c r="S18" i="3" s="1"/>
  <c r="G41" i="3"/>
  <c r="P7" i="3"/>
  <c r="S42" i="3"/>
  <c r="G43" i="3"/>
  <c r="P8" i="3"/>
  <c r="T3" i="3"/>
  <c r="P17" i="3"/>
  <c r="O42" i="3"/>
  <c r="G40" i="3"/>
  <c r="P20" i="3"/>
  <c r="G44" i="3"/>
  <c r="S38" i="3"/>
  <c r="G35" i="3"/>
  <c r="G48" i="3"/>
  <c r="O39" i="3"/>
  <c r="K31" i="3"/>
  <c r="K50" i="3" s="1"/>
  <c r="I50" i="3"/>
  <c r="P2" i="3"/>
  <c r="N21" i="3"/>
  <c r="N45" i="3" s="1"/>
  <c r="S41" i="3"/>
  <c r="T7" i="3"/>
  <c r="K42" i="3"/>
  <c r="O43" i="3"/>
  <c r="T8" i="3"/>
  <c r="O44" i="3"/>
  <c r="S45" i="3"/>
  <c r="T12" i="3"/>
  <c r="K47" i="3"/>
  <c r="O32" i="3"/>
  <c r="P9" i="3"/>
  <c r="O37" i="3"/>
  <c r="P6" i="3"/>
  <c r="S34" i="3"/>
  <c r="T19" i="3"/>
  <c r="G39" i="3"/>
  <c r="M50" i="3"/>
  <c r="O31" i="3"/>
  <c r="O50" i="3" s="1"/>
  <c r="P10" i="3"/>
  <c r="Q50" i="3"/>
  <c r="S33" i="3"/>
  <c r="O46" i="3"/>
  <c r="S4" i="3"/>
  <c r="T4" i="3"/>
  <c r="O36" i="3"/>
  <c r="P16" i="3"/>
  <c r="O40" i="3"/>
  <c r="O48" i="3"/>
  <c r="S43" i="3"/>
  <c r="O47" i="3"/>
  <c r="G32" i="3"/>
  <c r="T9" i="3"/>
  <c r="G37" i="3"/>
  <c r="T6" i="3"/>
  <c r="O34" i="3"/>
  <c r="P19" i="3"/>
  <c r="S39" i="3"/>
  <c r="S31" i="3"/>
  <c r="S50" i="3" s="1"/>
  <c r="T10" i="3"/>
  <c r="K33" i="3"/>
  <c r="K46" i="3"/>
  <c r="P4" i="3"/>
  <c r="K36" i="3"/>
  <c r="T16" i="3"/>
  <c r="L8" i="3"/>
  <c r="L17" i="3"/>
  <c r="L10" i="3"/>
  <c r="H3" i="3"/>
  <c r="H17" i="3"/>
  <c r="H11" i="3"/>
  <c r="H18" i="3"/>
  <c r="H10" i="3"/>
  <c r="H19" i="3"/>
  <c r="H16" i="3"/>
  <c r="L19" i="3"/>
  <c r="L3" i="3"/>
  <c r="L5" i="3"/>
  <c r="H20" i="3"/>
  <c r="H13" i="3"/>
  <c r="H6" i="3"/>
  <c r="H5" i="3"/>
  <c r="H4" i="3"/>
  <c r="H8" i="3"/>
  <c r="H2" i="3"/>
  <c r="F21" i="3"/>
  <c r="G7" i="3" s="1"/>
  <c r="L11" i="3"/>
  <c r="L20" i="3"/>
  <c r="L6" i="3"/>
  <c r="L4" i="3"/>
  <c r="L9" i="3"/>
  <c r="H14" i="3"/>
  <c r="L15" i="3"/>
  <c r="L7" i="3"/>
  <c r="L12" i="3"/>
  <c r="L2" i="3"/>
  <c r="J21" i="3"/>
  <c r="K5" i="3" s="1"/>
  <c r="L16" i="3"/>
  <c r="L18" i="3"/>
  <c r="L13" i="3"/>
  <c r="H9" i="3"/>
  <c r="L14" i="3"/>
  <c r="H15" i="3"/>
  <c r="H12" i="3"/>
  <c r="S60" i="3" l="1"/>
  <c r="K85" i="3"/>
  <c r="O60" i="3"/>
  <c r="P89" i="3"/>
  <c r="S65" i="3"/>
  <c r="O86" i="3"/>
  <c r="N39" i="3"/>
  <c r="K79" i="3"/>
  <c r="O87" i="3"/>
  <c r="O75" i="3"/>
  <c r="O74" i="3"/>
  <c r="O65" i="3"/>
  <c r="G68" i="3"/>
  <c r="G79" i="3"/>
  <c r="S86" i="3"/>
  <c r="R43" i="3"/>
  <c r="O85" i="3"/>
  <c r="K60" i="3"/>
  <c r="K69" i="3"/>
  <c r="O70" i="3"/>
  <c r="O67" i="3"/>
  <c r="S87" i="3"/>
  <c r="G69" i="3"/>
  <c r="S68" i="3"/>
  <c r="O66" i="3"/>
  <c r="S85" i="3"/>
  <c r="S66" i="3"/>
  <c r="S19" i="3"/>
  <c r="S61" i="3"/>
  <c r="S67" i="3"/>
  <c r="G85" i="3"/>
  <c r="G67" i="3"/>
  <c r="K59" i="3"/>
  <c r="K61" i="3"/>
  <c r="K74" i="3"/>
  <c r="G65" i="3"/>
  <c r="S75" i="3"/>
  <c r="K66" i="3"/>
  <c r="R33" i="3"/>
  <c r="S12" i="3"/>
  <c r="R41" i="3"/>
  <c r="O61" i="3"/>
  <c r="K67" i="3"/>
  <c r="G59" i="3"/>
  <c r="G80" i="3"/>
  <c r="O59" i="3"/>
  <c r="G61" i="3"/>
  <c r="K80" i="3"/>
  <c r="K86" i="3"/>
  <c r="K70" i="3"/>
  <c r="K75" i="3"/>
  <c r="G66" i="3"/>
  <c r="G74" i="3"/>
  <c r="K87" i="3"/>
  <c r="O69" i="3"/>
  <c r="G60" i="3"/>
  <c r="S6" i="3"/>
  <c r="S16" i="3"/>
  <c r="R31" i="3"/>
  <c r="R34" i="3"/>
  <c r="S59" i="3"/>
  <c r="O84" i="3"/>
  <c r="L89" i="3"/>
  <c r="O80" i="3"/>
  <c r="S58" i="3"/>
  <c r="G75" i="3"/>
  <c r="G88" i="3"/>
  <c r="S70" i="3"/>
  <c r="S9" i="3"/>
  <c r="G84" i="3"/>
  <c r="S80" i="3"/>
  <c r="O88" i="3"/>
  <c r="S84" i="3"/>
  <c r="H89" i="3"/>
  <c r="K84" i="3"/>
  <c r="T89" i="3"/>
  <c r="K65" i="3"/>
  <c r="S74" i="3"/>
  <c r="G87" i="3"/>
  <c r="S69" i="3"/>
  <c r="G86" i="3"/>
  <c r="G70" i="3"/>
  <c r="K68" i="3"/>
  <c r="S10" i="3"/>
  <c r="R39" i="3"/>
  <c r="R35" i="3"/>
  <c r="O58" i="3"/>
  <c r="O79" i="3"/>
  <c r="K58" i="3"/>
  <c r="G58" i="3"/>
  <c r="S88" i="3"/>
  <c r="S79" i="3"/>
  <c r="K88" i="3"/>
  <c r="O68" i="3"/>
  <c r="S15" i="3"/>
  <c r="S3" i="3"/>
  <c r="S8" i="3"/>
  <c r="R38" i="3"/>
  <c r="R46" i="3"/>
  <c r="O17" i="3"/>
  <c r="O2" i="3"/>
  <c r="S2" i="3"/>
  <c r="R40" i="3"/>
  <c r="R37" i="3"/>
  <c r="J45" i="3"/>
  <c r="O4" i="3"/>
  <c r="J43" i="3"/>
  <c r="O16" i="3"/>
  <c r="J42" i="3"/>
  <c r="S11" i="3"/>
  <c r="N43" i="3"/>
  <c r="J46" i="3"/>
  <c r="N47" i="3"/>
  <c r="N37" i="3"/>
  <c r="R45" i="3"/>
  <c r="S7" i="3"/>
  <c r="R47" i="3"/>
  <c r="R42" i="3"/>
  <c r="R49" i="3"/>
  <c r="F37" i="3"/>
  <c r="N36" i="3"/>
  <c r="O10" i="3"/>
  <c r="O9" i="3"/>
  <c r="O19" i="3"/>
  <c r="N48" i="3"/>
  <c r="N32" i="3"/>
  <c r="N44" i="3"/>
  <c r="J33" i="3"/>
  <c r="J36" i="3"/>
  <c r="N34" i="3"/>
  <c r="F32" i="3"/>
  <c r="N40" i="3"/>
  <c r="N46" i="3"/>
  <c r="N31" i="3"/>
  <c r="O6" i="3"/>
  <c r="J47" i="3"/>
  <c r="F44" i="3"/>
  <c r="T21" i="3"/>
  <c r="J40" i="3"/>
  <c r="O12" i="3"/>
  <c r="J48" i="3"/>
  <c r="O3" i="3"/>
  <c r="F36" i="3"/>
  <c r="J32" i="3"/>
  <c r="F49" i="3"/>
  <c r="J41" i="3"/>
  <c r="O13" i="3"/>
  <c r="F34" i="3"/>
  <c r="F46" i="3"/>
  <c r="F39" i="3"/>
  <c r="F48" i="3"/>
  <c r="O20" i="3"/>
  <c r="O7" i="3"/>
  <c r="F31" i="3"/>
  <c r="N38" i="3"/>
  <c r="N35" i="3"/>
  <c r="F45" i="3"/>
  <c r="O14" i="3"/>
  <c r="O5" i="3"/>
  <c r="N33" i="3"/>
  <c r="O18" i="3"/>
  <c r="P21" i="3"/>
  <c r="F40" i="3"/>
  <c r="O8" i="3"/>
  <c r="F41" i="3"/>
  <c r="J39" i="3"/>
  <c r="J44" i="3"/>
  <c r="N49" i="3"/>
  <c r="F42" i="3"/>
  <c r="J49" i="3"/>
  <c r="N41" i="3"/>
  <c r="J34" i="3"/>
  <c r="F35" i="3"/>
  <c r="J38" i="3"/>
  <c r="J37" i="3"/>
  <c r="R36" i="3"/>
  <c r="S13" i="3"/>
  <c r="R32" i="3"/>
  <c r="N42" i="3"/>
  <c r="F43" i="3"/>
  <c r="S17" i="3"/>
  <c r="F38" i="3"/>
  <c r="F33" i="3"/>
  <c r="O11" i="3"/>
  <c r="O15" i="3"/>
  <c r="S5" i="3"/>
  <c r="F47" i="3"/>
  <c r="J31" i="3"/>
  <c r="R48" i="3"/>
  <c r="S20" i="3"/>
  <c r="J35" i="3"/>
  <c r="S14" i="3"/>
  <c r="R44" i="3"/>
  <c r="H21" i="3"/>
  <c r="K15" i="3"/>
  <c r="K16" i="3"/>
  <c r="K7" i="3"/>
  <c r="K14" i="3"/>
  <c r="K4" i="3"/>
  <c r="G6" i="3"/>
  <c r="G3" i="3"/>
  <c r="G13" i="3"/>
  <c r="G14" i="3"/>
  <c r="K19" i="3"/>
  <c r="L21" i="3"/>
  <c r="G18" i="3"/>
  <c r="K2" i="3"/>
  <c r="K13" i="3"/>
  <c r="K20" i="3"/>
  <c r="G16" i="3"/>
  <c r="G10" i="3"/>
  <c r="K3" i="3"/>
  <c r="K6" i="3"/>
  <c r="K10" i="3"/>
  <c r="G4" i="3"/>
  <c r="K17" i="3"/>
  <c r="K12" i="3"/>
  <c r="K11" i="3"/>
  <c r="G5" i="3"/>
  <c r="G19" i="3"/>
  <c r="G17" i="3"/>
  <c r="K8" i="3"/>
  <c r="G9" i="3"/>
  <c r="G8" i="3"/>
  <c r="G12" i="3"/>
  <c r="G20" i="3"/>
  <c r="G11" i="3"/>
  <c r="K9" i="3"/>
  <c r="G15" i="3"/>
  <c r="K18" i="3"/>
  <c r="G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tc={49410604-BCDF-49DD-9D7D-88CB416B613E}</author>
    <author>tc={A3B63C48-547D-4E3E-B8AF-FA180177B624}</author>
    <author>tc={B0CC9B6A-4369-43AE-B529-C6C0821E88D9}</author>
    <author>tc={4F7C67F7-9BD1-4B12-ADA7-042F359CAA58}</author>
    <author>tc={042C2CD6-7816-4B67-B510-7E31CEDC0760}</author>
    <author>Murphy, Jack (NIH/NCI) [F]</author>
    <author>tc={FFD7956B-5B23-461A-8CE3-07753835F36B}</author>
    <author>tc={2F26D0A8-701B-4725-B9DC-4D3E0E40BD5E}</author>
    <author>tc={D387AF84-8CA1-4AA6-9F80-4ECD52D03732}</author>
    <author>tc={A8632F28-3C2E-421A-BA78-DF1C31FD7EA5}</author>
    <author>tc={FB25DE26-55B9-4983-B46B-0D2264B152F6}</author>
    <author>tc={93C50AE0-826F-4EA8-9E03-566A76C13E02}</author>
    <author>tc={983E6376-9303-4355-B12B-543C57686057}</author>
    <author>tc={6F1766E2-E10C-420E-96FC-680457EA03BB}</author>
    <author>tc={281CD1A5-C2A7-4E1A-BDAC-0F3A3F0C09FC}</author>
    <author>tc={630C1CE4-0A55-4FB4-85B0-89F378652F69}</author>
    <author>tc={AF7D87AC-EE20-45E6-ADD9-EF46A5F0ED43}</author>
    <author>tc={922B9969-27F8-4476-82A4-4587AF1A9008}</author>
    <author>tc={B9644881-7898-466E-9038-051FDED7F6CD}</author>
    <author>tc={826F424E-883B-4A4E-9F33-928DD86F3D5A}</author>
    <author>tc={0F54D992-E5A4-4D38-847F-910B3932B890}</author>
    <author>tc={41291639-6FDD-4C1C-B02E-276AD364509E}</author>
    <author>tc={87D99383-0E24-4D73-B465-8B660478C183}</author>
    <author>tc={CA813033-A24E-4ED0-8B7D-610164076746}</author>
    <author>tc={3E62C3CF-82BA-4257-BE18-E8218270E5BF}</author>
    <author>tc={446E0B0E-D58F-4903-A3D9-80EA3E15B400}</author>
    <author>tc={056DA768-FFB5-4585-AD41-4880E47A4308}</author>
    <author>tc={FB9EDB73-2A36-4D9D-8AFF-D76ED694DC09}</author>
    <author>tc={1BCB4073-CB9F-4947-8B5B-DC2F47A7FB7F}</author>
    <author>tc={72CC0D45-886F-48BE-9941-191CF78B4A45}</author>
  </authors>
  <commentList>
    <comment ref="BA1" authorId="0" shapeId="0" xr:uid="{49410604-BCDF-49DD-9D7D-88CB416B61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paper (2020) as Gawron Global to the right; US-specific results also presented</t>
      </text>
    </comment>
    <comment ref="BG1" authorId="1" shapeId="0" xr:uid="{A3B63C48-547D-4E3E-B8AF-FA180177B624}">
      <text>
        <t>[Threaded comment]
Your version of Excel allows you to read this threaded comment; however, any edits to it will get removed if the file is opened in a newer version of Excel. Learn more: https://go.microsoft.com/fwlink/?linkid=870924
Comment:
    Gastric cardia cancer only</t>
      </text>
    </comment>
    <comment ref="BJ1" authorId="2" shapeId="0" xr:uid="{B0CC9B6A-4369-43AE-B529-C6C0821E88D9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presence of IM by ethnicity</t>
      </text>
    </comment>
    <comment ref="A3" authorId="3" shapeId="0" xr:uid="{4F7C67F7-9BD1-4B12-ADA7-042F359CAA58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patients over 40 years old</t>
      </text>
    </comment>
    <comment ref="AU3" authorId="4" shapeId="0" xr:uid="{042C2CD6-7816-4B67-B510-7E31CEDC0760}">
      <text>
        <t>[Threaded comment]
Your version of Excel allows you to read this threaded comment; however, any edits to it will get removed if the file is opened in a newer version of Excel. Learn more: https://go.microsoft.com/fwlink/?linkid=870924
Comment:
    Spence 2017, another systematic review on this subject, chose not to meta-analyze data because of substantial heterogeneity among studies and poor study quality.</t>
      </text>
    </comment>
    <comment ref="S5" authorId="5" shapeId="0" xr:uid="{33D588C2-F514-4320-B714-8938A3237A37}">
      <text>
        <r>
          <rPr>
            <b/>
            <sz val="9"/>
            <color indexed="81"/>
            <rFont val="Tahoma"/>
            <charset val="1"/>
          </rPr>
          <t>Murphy, Jack (NIH/NCI) [F]:</t>
        </r>
        <r>
          <rPr>
            <sz val="9"/>
            <color indexed="81"/>
            <rFont val="Tahoma"/>
            <charset val="1"/>
          </rPr>
          <t xml:space="preserve">
Non-cardia only: 0.508/1000</t>
        </r>
      </text>
    </comment>
    <comment ref="I6" authorId="6" shapeId="0" xr:uid="{FFD7956B-5B23-461A-8CE3-07753835F36B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Spence 2017 Review</t>
      </text>
    </comment>
    <comment ref="S6" authorId="7" shapeId="0" xr:uid="{2F26D0A8-701B-4725-B9DC-4D3E0E40BD5E}">
      <text>
        <t>[Threaded comment]
Your version of Excel allows you to read this threaded comment; however, any edits to it will get removed if the file is opened in a newer version of Excel. Learn more: https://go.microsoft.com/fwlink/?linkid=870924
Comment:
    Non-cardia only: 0.90/1000</t>
      </text>
    </comment>
    <comment ref="V6" authorId="8" shapeId="0" xr:uid="{D387AF84-8CA1-4AA6-9F80-4ECD52D0373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Table 1</t>
      </text>
    </comment>
    <comment ref="Y6" authorId="9" shapeId="0" xr:uid="{A8632F28-3C2E-421A-BA78-DF1C31FD7EA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Spence 2017 Review</t>
      </text>
    </comment>
    <comment ref="AE6" authorId="10" shapeId="0" xr:uid="{FB25DE26-55B9-4983-B46B-0D2264B152F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Spence 2017 Review</t>
      </text>
    </comment>
    <comment ref="AH6" authorId="11" shapeId="0" xr:uid="{93C50AE0-826F-4EA8-9E03-566A76C1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Spence 2017 Review</t>
      </text>
    </comment>
    <comment ref="AU6" authorId="12" shapeId="0" xr:uid="{983E6376-9303-4355-B12B-543C57686057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supplementary materials</t>
      </text>
    </comment>
    <comment ref="BM6" authorId="13" shapeId="0" xr:uid="{6F1766E2-E10C-420E-96FC-680457EA03BB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Table 3</t>
      </text>
    </comment>
    <comment ref="BO6" authorId="14" shapeId="0" xr:uid="{281CD1A5-C2A7-4E1A-BDAC-0F3A3F0C09F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text (p.5); I can't replicate this value from their tables.</t>
      </text>
    </comment>
    <comment ref="N7" authorId="15" shapeId="0" xr:uid="{630C1CE4-0A55-4FB4-85B0-89F378652F6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Figure 1</t>
      </text>
    </comment>
    <comment ref="S7" authorId="16" shapeId="0" xr:uid="{AF7D87AC-EE20-45E6-ADD9-EF46A5F0ED43}">
      <text>
        <t>[Threaded comment]
Your version of Excel allows you to read this threaded comment; however, any edits to it will get removed if the file is opened in a newer version of Excel. Learn more: https://go.microsoft.com/fwlink/?linkid=870924
Comment:
    Non-cardia only: 1.116/1000</t>
      </text>
    </comment>
    <comment ref="AO7" authorId="17" shapeId="0" xr:uid="{922B9969-27F8-4476-82A4-4587AF1A900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Table 2</t>
      </text>
    </comment>
    <comment ref="AX7" authorId="18" shapeId="0" xr:uid="{B9644881-7898-466E-9038-051FDED7F6CD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Table I. Excluded "Unconfirmed"</t>
      </text>
    </comment>
    <comment ref="AZ7" authorId="19" shapeId="0" xr:uid="{826F424E-883B-4A4E-9F33-928DD86F3D5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Table III: second row ("Stomach cancer" endpoint); excluding "Unconfirmed"</t>
      </text>
    </comment>
    <comment ref="BA7" authorId="20" shapeId="0" xr:uid="{0F54D992-E5A4-4D38-847F-910B3932B89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Figure 5D</t>
      </text>
    </comment>
    <comment ref="BD7" authorId="21" shapeId="0" xr:uid="{41291639-6FDD-4C1C-B02E-276AD364509E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Figure 5C</t>
      </text>
    </comment>
    <comment ref="BL7" authorId="22" shapeId="0" xr:uid="{87D99383-0E24-4D73-B465-8B660478C18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Table 4</t>
      </text>
    </comment>
    <comment ref="BO7" authorId="23" shapeId="0" xr:uid="{CA813033-A24E-4ED0-8B7D-61016407674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text (p.5); I can't replicate this value from their tables.</t>
      </text>
    </comment>
    <comment ref="BL15" authorId="24" shapeId="0" xr:uid="{3E62C3CF-82BA-4257-BE18-E8218270E5B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Table 4</t>
      </text>
    </comment>
    <comment ref="BM15" authorId="25" shapeId="0" xr:uid="{446E0B0E-D58F-4903-A3D9-80EA3E15B4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text (p.3)</t>
      </text>
    </comment>
    <comment ref="AO16" authorId="26" shapeId="0" xr:uid="{056DA768-FFB5-4585-AD41-4880E47A430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Table 2</t>
      </text>
    </comment>
    <comment ref="BL16" authorId="27" shapeId="0" xr:uid="{FB9EDB73-2A36-4D9D-8AFF-D76ED694DC0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Table 4</t>
      </text>
    </comment>
    <comment ref="AX17" authorId="28" shapeId="0" xr:uid="{1BCB4073-CB9F-4947-8B5B-DC2F47A7FB7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Table I, "IM type I" column</t>
      </text>
    </comment>
    <comment ref="AX18" authorId="29" shapeId="0" xr:uid="{72CC0D45-886F-48BE-9941-191CF78B4A4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Table I, "IM type II" and "IM type III" columns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tc={C5FBE8E5-246D-4567-AAF5-97BAB7B6FC06}</author>
    <author>tc={0AE5022A-9565-4752-A3AF-8C2A53AA09A4}</author>
    <author>tc={A20BCB7D-C206-45EE-97A7-A76A8BD3CCA5}</author>
  </authors>
  <commentList>
    <comment ref="B33" authorId="0" shapeId="0" xr:uid="{C5FBE8E5-246D-4567-AAF5-97BAB7B6FC06}">
      <text>
        <t>[Threaded comment]
Your version of Excel allows you to read this threaded comment; however, any edits to it will get removed if the file is opened in a newer version of Excel. Learn more: https://go.microsoft.com/fwlink/?linkid=870924
Comment:
    South America estimate from Ref 1</t>
      </text>
    </comment>
    <comment ref="B42" authorId="1" shapeId="0" xr:uid="{0AE5022A-9565-4752-A3AF-8C2A53AA09A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Ref 1 (Prevalence of Gastric Intestinal Metaplasia Subcategories)</t>
      </text>
    </comment>
    <comment ref="B44" authorId="2" shapeId="0" xr:uid="{A20BCB7D-C206-45EE-97A7-A76A8BD3CCA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Ref 1 (Prevalence of Gastric Intestinal Metaplasia Subcategories)</t>
      </text>
    </comment>
  </commentList>
</comments>
</file>

<file path=xl/sharedStrings.xml><?xml version="1.0" encoding="utf-8"?>
<sst xmlns="http://schemas.openxmlformats.org/spreadsheetml/2006/main" count="300" uniqueCount="128">
  <si>
    <t>Type</t>
  </si>
  <si>
    <t>No. people</t>
  </si>
  <si>
    <t>Rate to GC per year</t>
  </si>
  <si>
    <t>GC in one year (N)</t>
  </si>
  <si>
    <t>Attributable proportion</t>
  </si>
  <si>
    <t>Preventable GC (N)</t>
  </si>
  <si>
    <t>Other</t>
  </si>
  <si>
    <t>IM A</t>
  </si>
  <si>
    <t>IM B</t>
  </si>
  <si>
    <t>IM C</t>
  </si>
  <si>
    <t>DYS</t>
  </si>
  <si>
    <t>Total</t>
  </si>
  <si>
    <t>*Assumptions</t>
  </si>
  <si>
    <t>prevent 1/2 cancers</t>
  </si>
  <si>
    <t>f/u on 5,000 ppl</t>
  </si>
  <si>
    <t>mutually exclusive categories for the endoscopy/pathology types</t>
  </si>
  <si>
    <t>Author</t>
  </si>
  <si>
    <t>Lee</t>
  </si>
  <si>
    <t>Singapore</t>
  </si>
  <si>
    <t>Non-atrophic gastritis</t>
  </si>
  <si>
    <t>Atrophic gastritis with intestinal metaplasia (IM)</t>
  </si>
  <si>
    <t>No intestinal metaplasia</t>
  </si>
  <si>
    <t>OLGA I</t>
  </si>
  <si>
    <t>OLGA II</t>
  </si>
  <si>
    <t>OLGA I/II</t>
  </si>
  <si>
    <t>OLGA III</t>
  </si>
  <si>
    <t>OLGA IV</t>
  </si>
  <si>
    <t>OLGA III/IV</t>
  </si>
  <si>
    <t>Antral IM</t>
  </si>
  <si>
    <t>Corpus extension IM</t>
  </si>
  <si>
    <t>Complete-type IM</t>
  </si>
  <si>
    <t>Incomplete-type IM</t>
  </si>
  <si>
    <t>OLGIM I</t>
  </si>
  <si>
    <t>OLGIM II</t>
  </si>
  <si>
    <t>OLGIM III</t>
  </si>
  <si>
    <t>OLGIM IV</t>
  </si>
  <si>
    <t>OLGIM III/IV</t>
  </si>
  <si>
    <t>Gonzalez</t>
  </si>
  <si>
    <t>Spain</t>
  </si>
  <si>
    <t>Li</t>
  </si>
  <si>
    <t>USA (NoCal)</t>
  </si>
  <si>
    <t>Notes</t>
  </si>
  <si>
    <t>Useful subgroup data (age, race/ethnicity)</t>
  </si>
  <si>
    <t>Reddy</t>
  </si>
  <si>
    <t>Incidence rate is adjusted for age and sex</t>
  </si>
  <si>
    <t>Song</t>
  </si>
  <si>
    <t>Sweden</t>
  </si>
  <si>
    <t>Inoue</t>
  </si>
  <si>
    <t>Lahner</t>
  </si>
  <si>
    <t>Siurala</t>
  </si>
  <si>
    <t>Takata</t>
  </si>
  <si>
    <t>Tatsuta</t>
  </si>
  <si>
    <t>Vannella</t>
  </si>
  <si>
    <t>Rugge</t>
  </si>
  <si>
    <t>O'Connor</t>
  </si>
  <si>
    <t>Piazuelo</t>
  </si>
  <si>
    <t>Colombia</t>
  </si>
  <si>
    <t>Akbari</t>
  </si>
  <si>
    <t>Slovenia</t>
  </si>
  <si>
    <t>Filipe</t>
  </si>
  <si>
    <t>Gawron</t>
  </si>
  <si>
    <t>US</t>
  </si>
  <si>
    <t>Global</t>
  </si>
  <si>
    <t>Gu</t>
  </si>
  <si>
    <t>China</t>
  </si>
  <si>
    <t>China (Linzhou)</t>
  </si>
  <si>
    <t>Laszkowska</t>
  </si>
  <si>
    <t>US (NYC)</t>
  </si>
  <si>
    <t>Nieminen</t>
  </si>
  <si>
    <t>Finland</t>
  </si>
  <si>
    <t>Zhang</t>
  </si>
  <si>
    <t>Ireland</t>
  </si>
  <si>
    <t>Italy</t>
  </si>
  <si>
    <t>Annual</t>
  </si>
  <si>
    <t>Per 1000 person-years</t>
  </si>
  <si>
    <t>Country/region</t>
  </si>
  <si>
    <t>Sample characteristics</t>
  </si>
  <si>
    <t>General</t>
  </si>
  <si>
    <t>Sample Size</t>
  </si>
  <si>
    <t>Rate (Annual is per 1000 persons)</t>
  </si>
  <si>
    <t>Has rates by ethnicity</t>
  </si>
  <si>
    <t>Only male smokers</t>
  </si>
  <si>
    <t>Japan</t>
  </si>
  <si>
    <t>Male smokers</t>
  </si>
  <si>
    <t>Annual Mean</t>
  </si>
  <si>
    <t>Annual Median</t>
  </si>
  <si>
    <t>Hospital-based</t>
  </si>
  <si>
    <t>Meta-analysis</t>
  </si>
  <si>
    <t>Multifocal atrophic gastritis (no IM)</t>
  </si>
  <si>
    <t>Median Rate to GC per year</t>
  </si>
  <si>
    <t>Mean Rate to GC per year</t>
  </si>
  <si>
    <t>Total Sample Size</t>
  </si>
  <si>
    <t>Type of Precancerous Lesion</t>
  </si>
  <si>
    <t>No. people (1 million total)</t>
  </si>
  <si>
    <t>Median GC in one year (N)</t>
  </si>
  <si>
    <t>No. people (from lit review)</t>
  </si>
  <si>
    <t>Median Attributable proportion</t>
  </si>
  <si>
    <t>Median Preventable GC (N)</t>
  </si>
  <si>
    <t>Mean GC in one year (N)</t>
  </si>
  <si>
    <t>Mean Attributable proportion</t>
  </si>
  <si>
    <t>Mean Preventable GC (N)</t>
  </si>
  <si>
    <t>No rate estimate available</t>
  </si>
  <si>
    <t>Minimum Annual Rate</t>
  </si>
  <si>
    <t>Maximum Annual Rate</t>
  </si>
  <si>
    <t>Minimum Rate to GC per year</t>
  </si>
  <si>
    <t>Minimum GC in one year (N)</t>
  </si>
  <si>
    <t>Minimum Attributable proportion</t>
  </si>
  <si>
    <t>Minimum Preventable GC (N)</t>
  </si>
  <si>
    <t>Maximum Rate to GC per year</t>
  </si>
  <si>
    <t>Maximum GC in one year (N)</t>
  </si>
  <si>
    <t>Maximum Attributable proportion</t>
  </si>
  <si>
    <t>Maximum Preventable GC (N)</t>
  </si>
  <si>
    <t>Proportion**</t>
  </si>
  <si>
    <t>**I doubt these are accurate estimates of the proportion of each of these conditions in the general population. IM and AG were categorized differently in different studies. I will need to do some more thinking to get accurate proportions.</t>
  </si>
  <si>
    <r>
      <t xml:space="preserve">mutually exclusive categories for the endoscopy/pathology types. </t>
    </r>
    <r>
      <rPr>
        <b/>
        <sz val="11"/>
        <color theme="1"/>
        <rFont val="Calibri"/>
        <family val="2"/>
        <scheme val="minor"/>
      </rPr>
      <t>I am concerned this is not true.</t>
    </r>
  </si>
  <si>
    <t>Proportion</t>
  </si>
  <si>
    <t>Assumptions</t>
  </si>
  <si>
    <t>Proportion from literature</t>
  </si>
  <si>
    <r>
      <t>Proportion</t>
    </r>
    <r>
      <rPr>
        <b/>
        <sz val="11"/>
        <color theme="1"/>
        <rFont val="Calibri"/>
        <family val="2"/>
      </rPr>
      <t>†</t>
    </r>
  </si>
  <si>
    <t> †From the following papers</t>
  </si>
  <si>
    <t>USA</t>
  </si>
  <si>
    <t>Country/Region</t>
  </si>
  <si>
    <t>1. AGA Technical Review on Gastric Intestinal Metaplasia—Epidemiology and Risk Factors - Gastroenterology (gastrojournal.org)</t>
  </si>
  <si>
    <t>Splitting rows into mutually exclusive groups</t>
  </si>
  <si>
    <t>OLGA Stages</t>
  </si>
  <si>
    <t>Extension of IM</t>
  </si>
  <si>
    <t>Complete vs. Incomplete IM</t>
  </si>
  <si>
    <t>OLGIM Staging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</si>
</sst>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00"/>
    <numFmt numFmtId="165" formatCode="0.0000%"/>
    <numFmt numFmtId="166" formatCode="0.000000%"/>
    <numFmt numFmtId="167" formatCode="0.000"/>
    <numFmt numFmtId="168" formatCode="#,##0.000000"/>
    <numFmt numFmtId="169" formatCode="0.0000000000000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color rgb="FF666666"/>
      <name val="Roboto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DD7F5"/>
        <bgColor indexed="64"/>
      </patternFill>
    </fill>
    <fill>
      <patternFill patternType="solid">
        <fgColor rgb="FFB457D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7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3" borderId="1" xfId="0" applyFill="1" applyBorder="1" applyAlignment="1">
      <alignment vertical="center" wrapText="1"/>
    </xf>
    <xf numFmtId="3" fontId="0" fillId="3" borderId="1" xfId="0" applyNumberFormat="1" applyFill="1" applyBorder="1" applyAlignment="1">
      <alignment vertical="center" wrapText="1"/>
    </xf>
    <xf numFmtId="10" fontId="0" fillId="3" borderId="1" xfId="0" applyNumberFormat="1" applyFill="1" applyBorder="1" applyAlignment="1">
      <alignment vertical="center" wrapText="1"/>
    </xf>
    <xf numFmtId="2" fontId="0" fillId="3" borderId="1" xfId="0" applyNumberFormat="1" applyFill="1" applyBorder="1" applyAlignment="1">
      <alignment vertical="center" wrapText="1"/>
    </xf>
    <xf numFmtId="0" fontId="0" fillId="3" borderId="1" xfId="0" applyFill="1" applyBorder="1" applyAlignment="1">
      <alignment wrapText="1"/>
    </xf>
    <xf numFmtId="0" fontId="3" fillId="3" borderId="0" xfId="0" applyFont="1" applyFill="1" applyAlignment="1">
      <alignment horizontal="left" wrapText="1" indent="1"/>
    </xf>
    <xf numFmtId="3" fontId="3" fillId="3" borderId="0" xfId="0" applyNumberFormat="1" applyFont="1" applyFill="1" applyAlignment="1">
      <alignment wrapText="1"/>
    </xf>
    <xf numFmtId="0" fontId="3" fillId="3" borderId="0" xfId="0" applyFont="1" applyFill="1" applyAlignment="1">
      <alignment wrapText="1"/>
    </xf>
    <xf numFmtId="0" fontId="3" fillId="3" borderId="0" xfId="0" applyFont="1" applyFill="1" applyBorder="1" applyAlignment="1">
      <alignment vertical="center" wrapText="1"/>
    </xf>
    <xf numFmtId="0" fontId="0" fillId="3" borderId="0" xfId="0" applyFill="1" applyBorder="1" applyAlignment="1">
      <alignment vertical="center"/>
    </xf>
    <xf numFmtId="3" fontId="0" fillId="3" borderId="0" xfId="0" applyNumberFormat="1" applyFill="1" applyAlignment="1"/>
    <xf numFmtId="0" fontId="0" fillId="3" borderId="0" xfId="0" applyFill="1" applyAlignment="1"/>
    <xf numFmtId="0" fontId="2" fillId="3" borderId="0" xfId="0" applyFont="1" applyFill="1" applyAlignment="1"/>
    <xf numFmtId="3" fontId="0" fillId="3" borderId="0" xfId="0" applyNumberFormat="1" applyFill="1" applyAlignment="1">
      <alignment wrapText="1"/>
    </xf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NumberFormat="1"/>
    <xf numFmtId="0" fontId="0" fillId="0" borderId="3" xfId="0" applyBorder="1"/>
    <xf numFmtId="0" fontId="0" fillId="0" borderId="3" xfId="0" applyNumberFormat="1" applyBorder="1"/>
    <xf numFmtId="0" fontId="1" fillId="0" borderId="0" xfId="0" applyFont="1" applyAlignment="1">
      <alignment horizontal="center"/>
    </xf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5" borderId="3" xfId="0" applyFill="1" applyBorder="1"/>
    <xf numFmtId="0" fontId="0" fillId="5" borderId="4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4" xfId="0" applyNumberFormat="1" applyBorder="1"/>
    <xf numFmtId="0" fontId="0" fillId="0" borderId="0" xfId="0" applyNumberFormat="1" applyBorder="1"/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4" xfId="0" applyBorder="1"/>
    <xf numFmtId="0" fontId="0" fillId="0" borderId="0" xfId="0" applyBorder="1"/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1" fillId="0" borderId="4" xfId="0" applyFont="1" applyBorder="1"/>
    <xf numFmtId="0" fontId="0" fillId="0" borderId="4" xfId="0" applyFont="1" applyBorder="1"/>
    <xf numFmtId="0" fontId="1" fillId="0" borderId="0" xfId="0" applyFont="1" applyBorder="1"/>
    <xf numFmtId="0" fontId="0" fillId="0" borderId="0" xfId="0" applyFont="1" applyBorder="1"/>
    <xf numFmtId="0" fontId="1" fillId="0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" fontId="0" fillId="0" borderId="0" xfId="0" applyNumberFormat="1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/>
    <xf numFmtId="164" fontId="0" fillId="6" borderId="0" xfId="0" applyNumberFormat="1" applyFill="1"/>
    <xf numFmtId="165" fontId="0" fillId="3" borderId="1" xfId="1" applyNumberFormat="1" applyFont="1" applyFill="1" applyBorder="1" applyAlignment="1">
      <alignment vertical="center" wrapText="1"/>
    </xf>
    <xf numFmtId="166" fontId="0" fillId="3" borderId="1" xfId="1" applyNumberFormat="1" applyFont="1" applyFill="1" applyBorder="1" applyAlignment="1">
      <alignment vertical="center" wrapText="1"/>
    </xf>
    <xf numFmtId="0" fontId="0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166" fontId="0" fillId="0" borderId="1" xfId="1" applyNumberFormat="1" applyFont="1" applyBorder="1"/>
    <xf numFmtId="0" fontId="0" fillId="0" borderId="5" xfId="0" applyFont="1" applyBorder="1"/>
    <xf numFmtId="0" fontId="0" fillId="0" borderId="5" xfId="0" applyBorder="1"/>
    <xf numFmtId="165" fontId="0" fillId="0" borderId="5" xfId="1" applyNumberFormat="1" applyFont="1" applyBorder="1"/>
    <xf numFmtId="166" fontId="0" fillId="0" borderId="5" xfId="1" applyNumberFormat="1" applyFont="1" applyBorder="1"/>
    <xf numFmtId="3" fontId="0" fillId="6" borderId="1" xfId="0" applyNumberFormat="1" applyFill="1" applyBorder="1" applyAlignment="1">
      <alignment vertical="center" wrapText="1"/>
    </xf>
    <xf numFmtId="165" fontId="0" fillId="6" borderId="1" xfId="1" applyNumberFormat="1" applyFont="1" applyFill="1" applyBorder="1" applyAlignment="1">
      <alignment vertical="center" wrapText="1"/>
    </xf>
    <xf numFmtId="166" fontId="0" fillId="6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2" fontId="0" fillId="6" borderId="1" xfId="0" applyNumberFormat="1" applyFill="1" applyBorder="1" applyAlignment="1">
      <alignment vertical="center" wrapText="1"/>
    </xf>
    <xf numFmtId="3" fontId="0" fillId="6" borderId="1" xfId="0" applyNumberFormat="1" applyFont="1" applyFill="1" applyBorder="1" applyAlignment="1">
      <alignment wrapText="1"/>
    </xf>
    <xf numFmtId="165" fontId="3" fillId="6" borderId="1" xfId="1" applyNumberFormat="1" applyFont="1" applyFill="1" applyBorder="1" applyAlignment="1">
      <alignment wrapText="1"/>
    </xf>
    <xf numFmtId="166" fontId="3" fillId="6" borderId="1" xfId="1" applyNumberFormat="1" applyFont="1" applyFill="1" applyBorder="1" applyAlignment="1">
      <alignment wrapText="1"/>
    </xf>
    <xf numFmtId="0" fontId="0" fillId="6" borderId="1" xfId="0" applyFill="1" applyBorder="1"/>
    <xf numFmtId="165" fontId="0" fillId="6" borderId="1" xfId="1" applyNumberFormat="1" applyFont="1" applyFill="1" applyBorder="1"/>
    <xf numFmtId="166" fontId="0" fillId="6" borderId="1" xfId="1" applyNumberFormat="1" applyFont="1" applyFill="1" applyBorder="1"/>
    <xf numFmtId="3" fontId="0" fillId="0" borderId="0" xfId="0" applyNumberFormat="1" applyFill="1" applyAlignment="1"/>
    <xf numFmtId="0" fontId="0" fillId="0" borderId="0" xfId="0" applyFill="1" applyAlignment="1"/>
    <xf numFmtId="3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167" fontId="0" fillId="3" borderId="1" xfId="0" applyNumberFormat="1" applyFill="1" applyBorder="1" applyAlignment="1">
      <alignment wrapText="1"/>
    </xf>
    <xf numFmtId="167" fontId="0" fillId="6" borderId="1" xfId="0" applyNumberFormat="1" applyFill="1" applyBorder="1" applyAlignment="1">
      <alignment wrapText="1"/>
    </xf>
    <xf numFmtId="168" fontId="0" fillId="3" borderId="1" xfId="0" applyNumberFormat="1" applyFill="1" applyBorder="1" applyAlignment="1">
      <alignment vertical="center" wrapText="1"/>
    </xf>
    <xf numFmtId="168" fontId="0" fillId="6" borderId="1" xfId="0" applyNumberFormat="1" applyFill="1" applyBorder="1" applyAlignment="1">
      <alignment vertical="center" wrapText="1"/>
    </xf>
    <xf numFmtId="168" fontId="0" fillId="3" borderId="5" xfId="0" applyNumberFormat="1" applyFill="1" applyBorder="1" applyAlignment="1">
      <alignment vertical="center" wrapText="1"/>
    </xf>
    <xf numFmtId="3" fontId="0" fillId="3" borderId="5" xfId="0" applyNumberFormat="1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2" fontId="0" fillId="3" borderId="5" xfId="0" applyNumberFormat="1" applyFill="1" applyBorder="1" applyAlignment="1">
      <alignment vertical="center" wrapText="1"/>
    </xf>
    <xf numFmtId="167" fontId="0" fillId="3" borderId="5" xfId="0" applyNumberFormat="1" applyFill="1" applyBorder="1" applyAlignment="1">
      <alignment wrapText="1"/>
    </xf>
    <xf numFmtId="0" fontId="3" fillId="0" borderId="0" xfId="0" applyFont="1" applyFill="1"/>
    <xf numFmtId="3" fontId="3" fillId="0" borderId="0" xfId="0" applyNumberFormat="1" applyFont="1" applyFill="1" applyAlignment="1">
      <alignment wrapText="1"/>
    </xf>
    <xf numFmtId="1" fontId="3" fillId="0" borderId="0" xfId="0" applyNumberFormat="1" applyFont="1" applyFill="1"/>
    <xf numFmtId="1" fontId="7" fillId="0" borderId="0" xfId="0" applyNumberFormat="1" applyFont="1" applyFill="1"/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0" fillId="6" borderId="1" xfId="0" applyFont="1" applyFill="1" applyBorder="1"/>
    <xf numFmtId="0" fontId="0" fillId="6" borderId="0" xfId="0" applyFill="1" applyAlignment="1">
      <alignment wrapText="1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69" fontId="0" fillId="0" borderId="0" xfId="0" applyNumberFormat="1"/>
    <xf numFmtId="0" fontId="1" fillId="6" borderId="0" xfId="0" applyFont="1" applyFill="1"/>
    <xf numFmtId="0" fontId="0" fillId="6" borderId="0" xfId="0" applyFill="1"/>
    <xf numFmtId="0" fontId="0" fillId="6" borderId="0" xfId="0" applyFont="1" applyFill="1" applyBorder="1"/>
    <xf numFmtId="0" fontId="0" fillId="6" borderId="3" xfId="0" applyNumberFormat="1" applyFill="1" applyBorder="1"/>
    <xf numFmtId="0" fontId="0" fillId="6" borderId="4" xfId="0" applyNumberFormat="1" applyFill="1" applyBorder="1"/>
    <xf numFmtId="0" fontId="0" fillId="6" borderId="0" xfId="0" applyNumberFormat="1" applyFill="1" applyBorder="1"/>
    <xf numFmtId="0" fontId="0" fillId="6" borderId="0" xfId="0" applyNumberFormat="1" applyFill="1"/>
    <xf numFmtId="169" fontId="0" fillId="6" borderId="0" xfId="0" applyNumberFormat="1" applyFill="1"/>
    <xf numFmtId="1" fontId="0" fillId="6" borderId="0" xfId="0" applyNumberFormat="1" applyFill="1"/>
    <xf numFmtId="0" fontId="0" fillId="6" borderId="4" xfId="0" applyFont="1" applyFill="1" applyBorder="1"/>
    <xf numFmtId="0" fontId="1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6" borderId="0" xfId="0" applyFont="1" applyFill="1" applyBorder="1"/>
    <xf numFmtId="0" fontId="1" fillId="5" borderId="4" xfId="0" applyFont="1" applyFill="1" applyBorder="1"/>
    <xf numFmtId="0" fontId="1" fillId="4" borderId="4" xfId="0" applyFont="1" applyFill="1" applyBorder="1"/>
    <xf numFmtId="0" fontId="10" fillId="0" borderId="0" xfId="0" applyFont="1" applyFill="1" applyBorder="1" applyAlignment="1">
      <alignment vertical="center"/>
    </xf>
    <xf numFmtId="0" fontId="12" fillId="0" borderId="0" xfId="0" applyFont="1"/>
    <xf numFmtId="0" fontId="13" fillId="0" borderId="0" xfId="2"/>
    <xf numFmtId="0" fontId="9" fillId="0" borderId="0" xfId="0" applyFont="1"/>
    <xf numFmtId="3" fontId="0" fillId="3" borderId="6" xfId="0" applyNumberFormat="1" applyFill="1" applyBorder="1" applyAlignment="1">
      <alignment vertical="center" wrapText="1"/>
    </xf>
    <xf numFmtId="168" fontId="0" fillId="3" borderId="6" xfId="0" applyNumberFormat="1" applyFill="1" applyBorder="1" applyAlignment="1">
      <alignment vertical="center" wrapText="1"/>
    </xf>
    <xf numFmtId="165" fontId="0" fillId="3" borderId="6" xfId="1" applyNumberFormat="1" applyFont="1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2" fontId="0" fillId="3" borderId="6" xfId="0" applyNumberFormat="1" applyFill="1" applyBorder="1" applyAlignment="1">
      <alignment vertical="center" wrapText="1"/>
    </xf>
    <xf numFmtId="167" fontId="0" fillId="3" borderId="6" xfId="0" applyNumberFormat="1" applyFill="1" applyBorder="1" applyAlignment="1">
      <alignment wrapText="1"/>
    </xf>
    <xf numFmtId="166" fontId="0" fillId="3" borderId="6" xfId="1" applyNumberFormat="1" applyFont="1" applyFill="1" applyBorder="1" applyAlignment="1">
      <alignment vertical="center" wrapText="1"/>
    </xf>
    <xf numFmtId="0" fontId="0" fillId="0" borderId="6" xfId="0" applyBorder="1"/>
    <xf numFmtId="165" fontId="0" fillId="3" borderId="5" xfId="1" applyNumberFormat="1" applyFont="1" applyFill="1" applyBorder="1" applyAlignment="1">
      <alignment vertical="center" wrapText="1"/>
    </xf>
    <xf numFmtId="166" fontId="0" fillId="3" borderId="5" xfId="1" applyNumberFormat="1" applyFont="1" applyFill="1" applyBorder="1" applyAlignment="1">
      <alignment vertical="center" wrapText="1"/>
    </xf>
    <xf numFmtId="0" fontId="3" fillId="0" borderId="6" xfId="0" applyFont="1" applyBorder="1"/>
    <xf numFmtId="0" fontId="9" fillId="0" borderId="1" xfId="0" applyFont="1" applyBorder="1"/>
    <xf numFmtId="0" fontId="0" fillId="6" borderId="5" xfId="0" applyFont="1" applyFill="1" applyBorder="1"/>
    <xf numFmtId="0" fontId="0" fillId="6" borderId="5" xfId="0" applyFill="1" applyBorder="1"/>
    <xf numFmtId="168" fontId="0" fillId="6" borderId="5" xfId="0" applyNumberFormat="1" applyFill="1" applyBorder="1" applyAlignment="1">
      <alignment vertical="center" wrapText="1"/>
    </xf>
    <xf numFmtId="3" fontId="0" fillId="6" borderId="5" xfId="0" applyNumberFormat="1" applyFill="1" applyBorder="1" applyAlignment="1">
      <alignment vertical="center" wrapText="1"/>
    </xf>
    <xf numFmtId="165" fontId="0" fillId="6" borderId="5" xfId="1" applyNumberFormat="1" applyFont="1" applyFill="1" applyBorder="1"/>
    <xf numFmtId="0" fontId="0" fillId="6" borderId="5" xfId="0" applyFill="1" applyBorder="1" applyAlignment="1">
      <alignment vertical="center" wrapText="1"/>
    </xf>
    <xf numFmtId="2" fontId="0" fillId="6" borderId="5" xfId="0" applyNumberFormat="1" applyFill="1" applyBorder="1" applyAlignment="1">
      <alignment vertical="center" wrapText="1"/>
    </xf>
    <xf numFmtId="167" fontId="0" fillId="6" borderId="5" xfId="0" applyNumberFormat="1" applyFill="1" applyBorder="1" applyAlignment="1">
      <alignment wrapText="1"/>
    </xf>
    <xf numFmtId="166" fontId="0" fillId="6" borderId="5" xfId="1" applyNumberFormat="1" applyFont="1" applyFill="1" applyBorder="1"/>
    <xf numFmtId="0" fontId="3" fillId="0" borderId="6" xfId="0" applyFont="1" applyFill="1" applyBorder="1"/>
    <xf numFmtId="0" fontId="0" fillId="0" borderId="6" xfId="0" applyFill="1" applyBorder="1"/>
    <xf numFmtId="168" fontId="0" fillId="0" borderId="6" xfId="0" applyNumberFormat="1" applyFill="1" applyBorder="1" applyAlignment="1">
      <alignment vertical="center" wrapText="1"/>
    </xf>
    <xf numFmtId="3" fontId="0" fillId="0" borderId="6" xfId="0" applyNumberFormat="1" applyFill="1" applyBorder="1" applyAlignment="1">
      <alignment vertical="center" wrapText="1"/>
    </xf>
    <xf numFmtId="165" fontId="0" fillId="0" borderId="6" xfId="1" applyNumberFormat="1" applyFont="1" applyFill="1" applyBorder="1"/>
    <xf numFmtId="0" fontId="0" fillId="0" borderId="6" xfId="0" applyFill="1" applyBorder="1" applyAlignment="1">
      <alignment vertical="center" wrapText="1"/>
    </xf>
    <xf numFmtId="2" fontId="0" fillId="0" borderId="6" xfId="0" applyNumberFormat="1" applyFill="1" applyBorder="1" applyAlignment="1">
      <alignment vertical="center" wrapText="1"/>
    </xf>
    <xf numFmtId="167" fontId="0" fillId="0" borderId="6" xfId="0" applyNumberFormat="1" applyFill="1" applyBorder="1" applyAlignment="1">
      <alignment wrapText="1"/>
    </xf>
    <xf numFmtId="166" fontId="0" fillId="0" borderId="6" xfId="1" applyNumberFormat="1" applyFont="1" applyFill="1" applyBorder="1"/>
    <xf numFmtId="0" fontId="0" fillId="0" borderId="1" xfId="0" applyFont="1" applyFill="1" applyBorder="1"/>
    <xf numFmtId="0" fontId="0" fillId="0" borderId="1" xfId="0" applyFill="1" applyBorder="1"/>
    <xf numFmtId="168" fontId="0" fillId="0" borderId="1" xfId="0" applyNumberFormat="1" applyFill="1" applyBorder="1" applyAlignment="1">
      <alignment vertical="center" wrapText="1"/>
    </xf>
    <xf numFmtId="3" fontId="0" fillId="0" borderId="1" xfId="0" applyNumberFormat="1" applyFill="1" applyBorder="1" applyAlignment="1">
      <alignment vertical="center" wrapText="1"/>
    </xf>
    <xf numFmtId="165" fontId="0" fillId="0" borderId="1" xfId="1" applyNumberFormat="1" applyFont="1" applyFill="1" applyBorder="1"/>
    <xf numFmtId="0" fontId="0" fillId="0" borderId="1" xfId="0" applyFill="1" applyBorder="1" applyAlignment="1">
      <alignment vertical="center" wrapText="1"/>
    </xf>
    <xf numFmtId="2" fontId="0" fillId="0" borderId="1" xfId="0" applyNumberFormat="1" applyFill="1" applyBorder="1" applyAlignment="1">
      <alignment vertical="center" wrapText="1"/>
    </xf>
    <xf numFmtId="167" fontId="0" fillId="0" borderId="1" xfId="0" applyNumberFormat="1" applyFill="1" applyBorder="1" applyAlignment="1">
      <alignment wrapText="1"/>
    </xf>
    <xf numFmtId="166" fontId="0" fillId="0" borderId="1" xfId="1" applyNumberFormat="1" applyFont="1" applyFill="1" applyBorder="1"/>
    <xf numFmtId="0" fontId="9" fillId="0" borderId="1" xfId="0" applyFont="1" applyFill="1" applyBorder="1"/>
    <xf numFmtId="165" fontId="0" fillId="0" borderId="6" xfId="1" applyNumberFormat="1" applyFont="1" applyBorder="1"/>
    <xf numFmtId="166" fontId="0" fillId="0" borderId="6" xfId="1" applyNumberFormat="1" applyFon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B457D5"/>
      <color rgb="FFEDD7F5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urphy, Jack (NIH/NCI) [F]" id="{B7578D57-66A4-4317-87FC-A800F9AC3E70}" userId="S::murphyjd@nih.gov::36eacde2-45d2-41a9-be56-b44d0ebd663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A1" dT="2022-01-31T19:45:55.15" personId="{B7578D57-66A4-4317-87FC-A800F9AC3E70}" id="{49410604-BCDF-49DD-9D7D-88CB416B613E}">
    <text>Same paper (2020) as Gawron Global to the right; US-specific results also presented</text>
  </threadedComment>
  <threadedComment ref="BG1" dT="2022-01-31T15:36:04.01" personId="{B7578D57-66A4-4317-87FC-A800F9AC3E70}" id="{A3B63C48-547D-4E3E-B8AF-FA180177B624}">
    <text>Gastric cardia cancer only</text>
  </threadedComment>
  <threadedComment ref="BJ1" dT="2022-01-31T15:40:05.92" personId="{B7578D57-66A4-4317-87FC-A800F9AC3E70}" id="{B0CC9B6A-4369-43AE-B529-C6C0821E88D9}">
    <text>Has presence of IM by ethnicity</text>
  </threadedComment>
  <threadedComment ref="A3" dT="2022-02-01T16:26:27.33" personId="{B7578D57-66A4-4317-87FC-A800F9AC3E70}" id="{4F7C67F7-9BD1-4B12-ADA7-042F359CAA58}">
    <text>Confirm patients over 40 years old</text>
  </threadedComment>
  <threadedComment ref="AU3" dT="2022-01-31T21:34:55.59" personId="{B7578D57-66A4-4317-87FC-A800F9AC3E70}" id="{042C2CD6-7816-4B67-B510-7E31CEDC0760}">
    <text>Spence 2017, another systematic review on this subject, chose not to meta-analyze data because of substantial heterogeneity among studies and poor study quality.</text>
  </threadedComment>
  <threadedComment ref="I6" dT="2021-12-07T00:01:21.34" personId="{B7578D57-66A4-4317-87FC-A800F9AC3E70}" id="{FFD7956B-5B23-461A-8CE3-07753835F36B}">
    <text>From Spence 2017 Review</text>
  </threadedComment>
  <threadedComment ref="S6" dT="2022-01-20T23:07:32.01" personId="{B7578D57-66A4-4317-87FC-A800F9AC3E70}" id="{2F26D0A8-701B-4725-B9DC-4D3E0E40BD5E}">
    <text>Non-cardia only: 0.90/1000</text>
  </threadedComment>
  <threadedComment ref="V6" dT="2022-01-31T20:15:35.70" personId="{B7578D57-66A4-4317-87FC-A800F9AC3E70}" id="{D387AF84-8CA1-4AA6-9F80-4ECD52D03732}">
    <text>From Table 1</text>
  </threadedComment>
  <threadedComment ref="Y6" dT="2021-12-07T00:03:02.85" personId="{B7578D57-66A4-4317-87FC-A800F9AC3E70}" id="{A8632F28-3C2E-421A-BA78-DF1C31FD7EA5}">
    <text>From Spence 2017 Review</text>
  </threadedComment>
  <threadedComment ref="AE6" dT="2021-12-07T00:04:39.41" personId="{B7578D57-66A4-4317-87FC-A800F9AC3E70}" id="{FB25DE26-55B9-4983-B46B-0D2264B152F6}">
    <text>From Spence 2017 Review</text>
  </threadedComment>
  <threadedComment ref="AH6" dT="2021-12-07T00:05:03.54" personId="{B7578D57-66A4-4317-87FC-A800F9AC3E70}" id="{93C50AE0-826F-4EA8-9E03-566A76C13E02}">
    <text>From Spence 2017 Review</text>
  </threadedComment>
  <threadedComment ref="AU6" dT="2022-01-31T22:03:13.80" personId="{B7578D57-66A4-4317-87FC-A800F9AC3E70}" id="{983E6376-9303-4355-B12B-543C57686057}">
    <text>From supplementary materials</text>
  </threadedComment>
  <threadedComment ref="BM6" dT="2022-01-31T16:22:26.83" personId="{B7578D57-66A4-4317-87FC-A800F9AC3E70}" id="{6F1766E2-E10C-420E-96FC-680457EA03BB}">
    <text>From Table 3</text>
  </threadedComment>
  <threadedComment ref="BO6" dT="2022-01-31T16:21:34.20" personId="{B7578D57-66A4-4317-87FC-A800F9AC3E70}" id="{281CD1A5-C2A7-4E1A-BDAC-0F3A3F0C09FC}">
    <text>From text (p.5); I can't replicate this value from their tables.</text>
  </threadedComment>
  <threadedComment ref="N7" dT="2022-01-31T18:10:44.46" personId="{B7578D57-66A4-4317-87FC-A800F9AC3E70}" id="{630C1CE4-0A55-4FB4-85B0-89F378652F69}">
    <text>From Figure 1</text>
  </threadedComment>
  <threadedComment ref="S7" dT="2022-01-20T23:07:49.64" personId="{B7578D57-66A4-4317-87FC-A800F9AC3E70}" id="{AF7D87AC-EE20-45E6-ADD9-EF46A5F0ED43}">
    <text>Non-cardia only: 1.116/1000</text>
  </threadedComment>
  <threadedComment ref="AO7" dT="2022-01-31T16:45:21.81" personId="{B7578D57-66A4-4317-87FC-A800F9AC3E70}" id="{922B9969-27F8-4476-82A4-4587AF1A9008}">
    <text>From Table 2</text>
  </threadedComment>
  <threadedComment ref="AX7" dT="2022-01-31T15:16:21.82" personId="{B7578D57-66A4-4317-87FC-A800F9AC3E70}" id="{B9644881-7898-466E-9038-051FDED7F6CD}">
    <text>From Table I. Excluded "Unconfirmed"</text>
  </threadedComment>
  <threadedComment ref="AZ7" dT="2022-01-31T15:12:13.49" personId="{B7578D57-66A4-4317-87FC-A800F9AC3E70}" id="{826F424E-883B-4A4E-9F33-928DD86F3D5A}">
    <text>From Table III: second row ("Stomach cancer" endpoint); excluding "Unconfirmed"</text>
  </threadedComment>
  <threadedComment ref="BA7" dT="2022-01-31T19:46:23.23" personId="{B7578D57-66A4-4317-87FC-A800F9AC3E70}" id="{0F54D992-E5A4-4D38-847F-910B3932B890}">
    <text>From Figure 5D</text>
  </threadedComment>
  <threadedComment ref="BD7" dT="2022-01-31T19:46:04.80" personId="{B7578D57-66A4-4317-87FC-A800F9AC3E70}" id="{41291639-6FDD-4C1C-B02E-276AD364509E}">
    <text>From Figure 5C</text>
  </threadedComment>
  <threadedComment ref="BL7" dT="2022-01-31T15:44:34.69" personId="{B7578D57-66A4-4317-87FC-A800F9AC3E70}" id="{87D99383-0E24-4D73-B465-8B660478C183}">
    <text>From Table 4</text>
  </threadedComment>
  <threadedComment ref="BO7" dT="2022-01-31T16:21:42.79" personId="{B7578D57-66A4-4317-87FC-A800F9AC3E70}" id="{CA813033-A24E-4ED0-8B7D-610164076746}">
    <text>From text (p.5); I can't replicate this value from their tables.</text>
  </threadedComment>
  <threadedComment ref="BL15" dT="2022-01-31T15:46:29.22" personId="{B7578D57-66A4-4317-87FC-A800F9AC3E70}" id="{3E62C3CF-82BA-4257-BE18-E8218270E5BF}">
    <text>From Table 4</text>
  </threadedComment>
  <threadedComment ref="BM15" dT="2022-01-31T16:25:25.86" personId="{B7578D57-66A4-4317-87FC-A800F9AC3E70}" id="{446E0B0E-D58F-4903-A3D9-80EA3E15B400}">
    <text>From text (p.3)</text>
  </threadedComment>
  <threadedComment ref="AO16" dT="2022-01-31T16:47:04.20" personId="{B7578D57-66A4-4317-87FC-A800F9AC3E70}" id="{056DA768-FFB5-4585-AD41-4880E47A4308}">
    <text>From Table 2</text>
  </threadedComment>
  <threadedComment ref="BL16" dT="2022-01-31T15:46:36.45" personId="{B7578D57-66A4-4317-87FC-A800F9AC3E70}" id="{FB9EDB73-2A36-4D9D-8AFF-D76ED694DC09}">
    <text>From Table 4</text>
  </threadedComment>
  <threadedComment ref="AX17" dT="2022-01-31T15:18:13.36" personId="{B7578D57-66A4-4317-87FC-A800F9AC3E70}" id="{1BCB4073-CB9F-4947-8B5B-DC2F47A7FB7F}">
    <text>From Table I, "IM type I" column</text>
  </threadedComment>
  <threadedComment ref="AX18" dT="2022-01-31T15:18:37.59" personId="{B7578D57-66A4-4317-87FC-A800F9AC3E70}" id="{72CC0D45-886F-48BE-9941-191CF78B4A45}">
    <text>From Table I, "IM type II" and "IM type III" columns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33" dT="2022-02-02T15:16:17.93" personId="{B7578D57-66A4-4317-87FC-A800F9AC3E70}" id="{C5FBE8E5-246D-4567-AAF5-97BAB7B6FC06}">
    <text>South America estimate from Ref 1</text>
  </threadedComment>
  <threadedComment ref="B42" dT="2022-02-02T15:17:52.49" personId="{B7578D57-66A4-4317-87FC-A800F9AC3E70}" id="{0AE5022A-9565-4752-A3AF-8C2A53AA09A4}">
    <text>From Ref 1 (Prevalence of Gastric Intestinal Metaplasia Subcategories)</text>
  </threadedComment>
  <threadedComment ref="B44" dT="2022-02-02T15:18:48.32" personId="{B7578D57-66A4-4317-87FC-A800F9AC3E70}" id="{A20BCB7D-C206-45EE-97A7-A76A8BD3CCA5}">
    <text>From Ref 1 (Prevalence of Gastric Intestinal Metaplasia Subcategories)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astrojournal.org/article/S0016-5085(19)41887-8/fulltext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8EDBF-B4AE-4AD3-8FD1-5B12AF2E67C0}">
  <dimension ref="A1:F12"/>
  <sheetViews>
    <sheetView zoomScale="170" zoomScaleNormal="170" workbookViewId="0">
      <selection activeCell="G7" sqref="G7"/>
    </sheetView>
  </sheetViews>
  <sheetFormatPr defaultColWidth="8.81640625" defaultRowHeight="14.5" x14ac:dyDescent="0.35"/>
  <cols>
    <col min="1" max="1" width="12.81640625" style="4" customWidth="1"/>
    <col min="2" max="2" width="12.81640625" style="18" customWidth="1"/>
    <col min="3" max="6" width="12.81640625" style="4" customWidth="1"/>
    <col min="7" max="16384" width="8.81640625" style="4"/>
  </cols>
  <sheetData>
    <row r="1" spans="1:6" ht="29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spans="1:6" x14ac:dyDescent="0.35">
      <c r="A2" s="5" t="s">
        <v>6</v>
      </c>
      <c r="B2" s="6">
        <v>70000</v>
      </c>
      <c r="C2" s="7">
        <v>1E-4</v>
      </c>
      <c r="D2" s="5">
        <f>B2*C2</f>
        <v>7</v>
      </c>
      <c r="E2" s="8">
        <f>D2/87</f>
        <v>8.0459770114942528E-2</v>
      </c>
      <c r="F2" s="9">
        <f>D2/2</f>
        <v>3.5</v>
      </c>
    </row>
    <row r="3" spans="1:6" x14ac:dyDescent="0.35">
      <c r="A3" s="5" t="s">
        <v>7</v>
      </c>
      <c r="B3" s="6">
        <v>5000</v>
      </c>
      <c r="C3" s="7">
        <v>3.0000000000000001E-3</v>
      </c>
      <c r="D3" s="5">
        <f>B3*C3</f>
        <v>15</v>
      </c>
      <c r="E3" s="8">
        <f>D3/87</f>
        <v>0.17241379310344829</v>
      </c>
      <c r="F3" s="9">
        <f>D3/2</f>
        <v>7.5</v>
      </c>
    </row>
    <row r="4" spans="1:6" x14ac:dyDescent="0.35">
      <c r="A4" s="5" t="s">
        <v>8</v>
      </c>
      <c r="B4" s="6">
        <v>5000</v>
      </c>
      <c r="C4" s="7">
        <v>2E-3</v>
      </c>
      <c r="D4" s="5">
        <f>B4*C4</f>
        <v>10</v>
      </c>
      <c r="E4" s="8">
        <f>D4/87</f>
        <v>0.11494252873563218</v>
      </c>
      <c r="F4" s="9">
        <f>D4/2</f>
        <v>5</v>
      </c>
    </row>
    <row r="5" spans="1:6" x14ac:dyDescent="0.35">
      <c r="A5" s="5" t="s">
        <v>9</v>
      </c>
      <c r="B5" s="6">
        <v>10000</v>
      </c>
      <c r="C5" s="7">
        <v>5.0000000000000001E-4</v>
      </c>
      <c r="D5" s="5">
        <f>B5*C5</f>
        <v>5</v>
      </c>
      <c r="E5" s="8">
        <f>D5/87</f>
        <v>5.7471264367816091E-2</v>
      </c>
      <c r="F5" s="9">
        <f>D5/2</f>
        <v>2.5</v>
      </c>
    </row>
    <row r="6" spans="1:6" x14ac:dyDescent="0.35">
      <c r="A6" s="5" t="s">
        <v>10</v>
      </c>
      <c r="B6" s="6">
        <v>10000</v>
      </c>
      <c r="C6" s="7">
        <v>5.0000000000000001E-3</v>
      </c>
      <c r="D6" s="5">
        <f>B6*C6</f>
        <v>50</v>
      </c>
      <c r="E6" s="8">
        <f>D6/87</f>
        <v>0.57471264367816088</v>
      </c>
      <c r="F6" s="9">
        <f>D6/2</f>
        <v>25</v>
      </c>
    </row>
    <row r="7" spans="1:6" s="12" customFormat="1" x14ac:dyDescent="0.35">
      <c r="A7" s="10" t="s">
        <v>11</v>
      </c>
      <c r="B7" s="11">
        <f>SUM(B2:B6)</f>
        <v>100000</v>
      </c>
      <c r="D7" s="12">
        <f>SUM(D2:D6)</f>
        <v>87</v>
      </c>
      <c r="E7" s="13">
        <f>SUM(E2:E6)</f>
        <v>1</v>
      </c>
      <c r="F7" s="13">
        <f>SUM(F2:F6)</f>
        <v>43.5</v>
      </c>
    </row>
    <row r="9" spans="1:6" s="16" customFormat="1" x14ac:dyDescent="0.35">
      <c r="A9" s="14" t="s">
        <v>12</v>
      </c>
      <c r="B9" s="15"/>
    </row>
    <row r="10" spans="1:6" s="16" customFormat="1" x14ac:dyDescent="0.35">
      <c r="A10" s="16" t="s">
        <v>13</v>
      </c>
      <c r="B10" s="15"/>
    </row>
    <row r="11" spans="1:6" s="16" customFormat="1" x14ac:dyDescent="0.35">
      <c r="A11" s="17" t="s">
        <v>14</v>
      </c>
      <c r="B11" s="15"/>
    </row>
    <row r="12" spans="1:6" x14ac:dyDescent="0.35">
      <c r="A12" s="16" t="s">
        <v>15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FA2F3-10D0-4D21-8983-F899C2DCE0F0}">
  <dimension ref="A1:BW27"/>
  <sheetViews>
    <sheetView workbookViewId="0">
      <pane xSplit="1" topLeftCell="B1" activePane="topRight" state="frozen"/>
      <selection pane="topRight" activeCell="J7" sqref="J7"/>
    </sheetView>
  </sheetViews>
  <sheetFormatPr defaultRowHeight="14.5" x14ac:dyDescent="0.35"/>
  <cols>
    <col min="1" max="1" width="41.90625" bestFit="1" customWidth="1"/>
    <col min="2" max="2" width="10.08984375" bestFit="1" customWidth="1"/>
    <col min="3" max="3" width="10.54296875" bestFit="1" customWidth="1"/>
    <col min="4" max="4" width="11.81640625" bestFit="1" customWidth="1"/>
    <col min="5" max="5" width="19.6328125" bestFit="1" customWidth="1"/>
    <col min="6" max="6" width="10" bestFit="1" customWidth="1"/>
    <col min="7" max="7" width="10.54296875" bestFit="1" customWidth="1"/>
    <col min="8" max="8" width="11.81640625" bestFit="1" customWidth="1"/>
    <col min="9" max="9" width="19.6328125" bestFit="1" customWidth="1"/>
    <col min="10" max="10" width="10" bestFit="1" customWidth="1"/>
    <col min="11" max="11" width="10.54296875" bestFit="1" customWidth="1"/>
    <col min="12" max="12" width="11.81640625" bestFit="1" customWidth="1"/>
    <col min="13" max="13" width="19.6328125" bestFit="1" customWidth="1"/>
    <col min="14" max="14" width="10.54296875" bestFit="1" customWidth="1"/>
    <col min="15" max="15" width="11.81640625" bestFit="1" customWidth="1"/>
    <col min="16" max="16" width="22.1796875" bestFit="1" customWidth="1"/>
    <col min="17" max="17" width="10.54296875" bestFit="1" customWidth="1"/>
    <col min="18" max="18" width="11.81640625" bestFit="1" customWidth="1"/>
    <col min="19" max="19" width="19.6328125" bestFit="1" customWidth="1"/>
    <col min="20" max="20" width="10.54296875" bestFit="1" customWidth="1"/>
    <col min="21" max="21" width="11.81640625" bestFit="1" customWidth="1"/>
    <col min="22" max="22" width="19.6328125" bestFit="1" customWidth="1"/>
    <col min="23" max="23" width="10.54296875" bestFit="1" customWidth="1"/>
    <col min="24" max="24" width="10.81640625" bestFit="1" customWidth="1"/>
    <col min="25" max="25" width="19.6328125" bestFit="1" customWidth="1"/>
    <col min="26" max="26" width="10.54296875" bestFit="1" customWidth="1"/>
    <col min="27" max="27" width="11.81640625" bestFit="1" customWidth="1"/>
    <col min="28" max="28" width="19.6328125" bestFit="1" customWidth="1"/>
    <col min="29" max="29" width="10.54296875" bestFit="1" customWidth="1"/>
    <col min="30" max="30" width="11.81640625" bestFit="1" customWidth="1"/>
    <col min="31" max="31" width="19.6328125" bestFit="1" customWidth="1"/>
    <col min="32" max="32" width="10.54296875" bestFit="1" customWidth="1"/>
    <col min="33" max="33" width="11.81640625" bestFit="1" customWidth="1"/>
    <col min="34" max="34" width="19.6328125" bestFit="1" customWidth="1"/>
    <col min="35" max="35" width="10.54296875" bestFit="1" customWidth="1"/>
    <col min="36" max="36" width="11.81640625" bestFit="1" customWidth="1"/>
    <col min="37" max="37" width="19.6328125" bestFit="1" customWidth="1"/>
    <col min="38" max="38" width="10.54296875" bestFit="1" customWidth="1"/>
    <col min="39" max="39" width="11.81640625" bestFit="1" customWidth="1"/>
    <col min="40" max="40" width="19.6328125" bestFit="1" customWidth="1"/>
    <col min="41" max="41" width="10.54296875" bestFit="1" customWidth="1"/>
    <col min="42" max="42" width="11.81640625" bestFit="1" customWidth="1"/>
    <col min="43" max="43" width="19.6328125" bestFit="1" customWidth="1"/>
    <col min="44" max="44" width="10.54296875" bestFit="1" customWidth="1"/>
    <col min="45" max="45" width="11.81640625" bestFit="1" customWidth="1"/>
    <col min="46" max="46" width="19.6328125" bestFit="1" customWidth="1"/>
    <col min="47" max="47" width="10.54296875" bestFit="1" customWidth="1"/>
    <col min="48" max="48" width="9.81640625" bestFit="1" customWidth="1"/>
    <col min="49" max="49" width="19.6328125" bestFit="1" customWidth="1"/>
    <col min="50" max="50" width="10.54296875" bestFit="1" customWidth="1"/>
    <col min="51" max="51" width="11.81640625" bestFit="1" customWidth="1"/>
    <col min="52" max="52" width="19.6328125" bestFit="1" customWidth="1"/>
    <col min="53" max="53" width="10.54296875" bestFit="1" customWidth="1"/>
    <col min="54" max="54" width="11.81640625" bestFit="1" customWidth="1"/>
    <col min="55" max="55" width="19.6328125" bestFit="1" customWidth="1"/>
    <col min="56" max="56" width="10.54296875" bestFit="1" customWidth="1"/>
    <col min="57" max="57" width="11.81640625" bestFit="1" customWidth="1"/>
    <col min="58" max="58" width="19.6328125" bestFit="1" customWidth="1"/>
    <col min="59" max="59" width="10.54296875" bestFit="1" customWidth="1"/>
    <col min="60" max="60" width="11.81640625" bestFit="1" customWidth="1"/>
    <col min="61" max="61" width="19.6328125" bestFit="1" customWidth="1"/>
    <col min="62" max="62" width="10.54296875" bestFit="1" customWidth="1"/>
    <col min="63" max="63" width="11.81640625" bestFit="1" customWidth="1"/>
    <col min="64" max="64" width="19.6328125" bestFit="1" customWidth="1"/>
    <col min="65" max="65" width="10.54296875" bestFit="1" customWidth="1"/>
    <col min="66" max="66" width="11.81640625" bestFit="1" customWidth="1"/>
    <col min="67" max="67" width="19.6328125" bestFit="1" customWidth="1"/>
    <col min="68" max="68" width="10.54296875" bestFit="1" customWidth="1"/>
    <col min="69" max="69" width="11.81640625" bestFit="1" customWidth="1"/>
    <col min="70" max="70" width="19.6328125" bestFit="1" customWidth="1"/>
    <col min="71" max="71" width="12" bestFit="1" customWidth="1"/>
    <col min="72" max="72" width="13.6328125" bestFit="1" customWidth="1"/>
    <col min="73" max="73" width="20.1796875" bestFit="1" customWidth="1"/>
    <col min="74" max="74" width="20.54296875" bestFit="1" customWidth="1"/>
  </cols>
  <sheetData>
    <row r="1" spans="1:75" x14ac:dyDescent="0.35">
      <c r="A1" s="19" t="s">
        <v>16</v>
      </c>
      <c r="B1" s="42"/>
      <c r="C1" s="116" t="s">
        <v>17</v>
      </c>
      <c r="D1" s="116"/>
      <c r="E1" s="116"/>
      <c r="F1" s="98"/>
      <c r="G1" s="116" t="s">
        <v>37</v>
      </c>
      <c r="H1" s="116"/>
      <c r="I1" s="116"/>
      <c r="J1" s="98"/>
      <c r="K1" s="116" t="s">
        <v>39</v>
      </c>
      <c r="L1" s="116"/>
      <c r="M1" s="121"/>
      <c r="N1" s="115" t="s">
        <v>43</v>
      </c>
      <c r="O1" s="116"/>
      <c r="P1" s="121"/>
      <c r="Q1" s="127" t="s">
        <v>45</v>
      </c>
      <c r="R1" s="127"/>
      <c r="S1" s="127"/>
      <c r="T1" s="115" t="s">
        <v>47</v>
      </c>
      <c r="U1" s="116"/>
      <c r="V1" s="116"/>
      <c r="W1" s="115" t="s">
        <v>48</v>
      </c>
      <c r="X1" s="116"/>
      <c r="Y1" s="116"/>
      <c r="Z1" s="115" t="s">
        <v>49</v>
      </c>
      <c r="AA1" s="116"/>
      <c r="AB1" s="116"/>
      <c r="AC1" s="115" t="s">
        <v>50</v>
      </c>
      <c r="AD1" s="116"/>
      <c r="AE1" s="116"/>
      <c r="AF1" s="115" t="s">
        <v>51</v>
      </c>
      <c r="AG1" s="116"/>
      <c r="AH1" s="116"/>
      <c r="AI1" s="115" t="s">
        <v>52</v>
      </c>
      <c r="AJ1" s="116"/>
      <c r="AK1" s="116"/>
      <c r="AL1" s="115" t="s">
        <v>53</v>
      </c>
      <c r="AM1" s="116"/>
      <c r="AN1" s="116"/>
      <c r="AO1" s="115" t="s">
        <v>54</v>
      </c>
      <c r="AP1" s="116"/>
      <c r="AQ1" s="116"/>
      <c r="AR1" s="115" t="s">
        <v>55</v>
      </c>
      <c r="AS1" s="116"/>
      <c r="AT1" s="116"/>
      <c r="AU1" s="115" t="s">
        <v>57</v>
      </c>
      <c r="AV1" s="116"/>
      <c r="AW1" s="116"/>
      <c r="AX1" s="115" t="s">
        <v>59</v>
      </c>
      <c r="AY1" s="116"/>
      <c r="AZ1" s="116"/>
      <c r="BA1" s="115" t="s">
        <v>60</v>
      </c>
      <c r="BB1" s="116"/>
      <c r="BC1" s="116"/>
      <c r="BD1" s="115" t="s">
        <v>60</v>
      </c>
      <c r="BE1" s="116"/>
      <c r="BF1" s="116"/>
      <c r="BG1" s="115" t="s">
        <v>63</v>
      </c>
      <c r="BH1" s="116"/>
      <c r="BI1" s="116"/>
      <c r="BJ1" s="115" t="s">
        <v>66</v>
      </c>
      <c r="BK1" s="116"/>
      <c r="BL1" s="116"/>
      <c r="BM1" s="115" t="s">
        <v>68</v>
      </c>
      <c r="BN1" s="116"/>
      <c r="BO1" s="116"/>
      <c r="BP1" s="115" t="s">
        <v>70</v>
      </c>
      <c r="BQ1" s="116"/>
      <c r="BR1" s="121"/>
      <c r="BS1" s="19" t="s">
        <v>84</v>
      </c>
      <c r="BT1" s="19" t="s">
        <v>85</v>
      </c>
      <c r="BU1" s="19" t="s">
        <v>102</v>
      </c>
      <c r="BV1" s="19" t="s">
        <v>103</v>
      </c>
      <c r="BW1" s="19" t="s">
        <v>91</v>
      </c>
    </row>
    <row r="2" spans="1:75" s="29" customFormat="1" x14ac:dyDescent="0.35">
      <c r="A2" s="28" t="s">
        <v>75</v>
      </c>
      <c r="B2" s="131"/>
      <c r="C2" s="118" t="s">
        <v>18</v>
      </c>
      <c r="D2" s="118"/>
      <c r="E2" s="118"/>
      <c r="F2" s="100"/>
      <c r="G2" s="118" t="s">
        <v>38</v>
      </c>
      <c r="H2" s="118"/>
      <c r="I2" s="118"/>
      <c r="J2" s="100"/>
      <c r="K2" s="118" t="s">
        <v>40</v>
      </c>
      <c r="L2" s="118"/>
      <c r="M2" s="122"/>
      <c r="N2" s="31"/>
      <c r="O2" s="47"/>
      <c r="P2" s="30" t="s">
        <v>40</v>
      </c>
      <c r="Q2" s="128" t="s">
        <v>46</v>
      </c>
      <c r="R2" s="128"/>
      <c r="S2" s="128"/>
      <c r="T2" s="117" t="s">
        <v>82</v>
      </c>
      <c r="U2" s="118"/>
      <c r="V2" s="118"/>
      <c r="W2" s="117"/>
      <c r="X2" s="118"/>
      <c r="Y2" s="118"/>
      <c r="Z2" s="117"/>
      <c r="AA2" s="118"/>
      <c r="AB2" s="118"/>
      <c r="AC2" s="117"/>
      <c r="AD2" s="118"/>
      <c r="AE2" s="118"/>
      <c r="AF2" s="117"/>
      <c r="AG2" s="118"/>
      <c r="AH2" s="118"/>
      <c r="AI2" s="117"/>
      <c r="AJ2" s="118"/>
      <c r="AK2" s="118"/>
      <c r="AL2" s="117" t="s">
        <v>72</v>
      </c>
      <c r="AM2" s="118"/>
      <c r="AN2" s="118"/>
      <c r="AO2" s="117" t="s">
        <v>71</v>
      </c>
      <c r="AP2" s="118"/>
      <c r="AQ2" s="118"/>
      <c r="AR2" s="117" t="s">
        <v>56</v>
      </c>
      <c r="AS2" s="118"/>
      <c r="AT2" s="118"/>
      <c r="AU2" s="117" t="s">
        <v>62</v>
      </c>
      <c r="AV2" s="118"/>
      <c r="AW2" s="118"/>
      <c r="AX2" s="117" t="s">
        <v>58</v>
      </c>
      <c r="AY2" s="118"/>
      <c r="AZ2" s="118"/>
      <c r="BA2" s="117" t="s">
        <v>61</v>
      </c>
      <c r="BB2" s="118"/>
      <c r="BC2" s="118"/>
      <c r="BD2" s="117" t="s">
        <v>62</v>
      </c>
      <c r="BE2" s="118"/>
      <c r="BF2" s="118"/>
      <c r="BG2" s="117" t="s">
        <v>65</v>
      </c>
      <c r="BH2" s="118"/>
      <c r="BI2" s="118"/>
      <c r="BJ2" s="117" t="s">
        <v>67</v>
      </c>
      <c r="BK2" s="118"/>
      <c r="BL2" s="118"/>
      <c r="BM2" s="117" t="s">
        <v>69</v>
      </c>
      <c r="BN2" s="118"/>
      <c r="BO2" s="118"/>
      <c r="BP2" s="117" t="s">
        <v>64</v>
      </c>
      <c r="BQ2" s="118"/>
      <c r="BR2" s="122"/>
    </row>
    <row r="3" spans="1:75" s="27" customFormat="1" x14ac:dyDescent="0.35">
      <c r="A3" s="26" t="s">
        <v>76</v>
      </c>
      <c r="B3" s="132"/>
      <c r="C3" s="120" t="s">
        <v>77</v>
      </c>
      <c r="D3" s="120"/>
      <c r="E3" s="120"/>
      <c r="F3" s="101"/>
      <c r="G3" s="120"/>
      <c r="H3" s="120"/>
      <c r="I3" s="120"/>
      <c r="J3" s="101"/>
      <c r="K3" s="120"/>
      <c r="L3" s="120"/>
      <c r="M3" s="123"/>
      <c r="N3" s="119" t="s">
        <v>44</v>
      </c>
      <c r="O3" s="120"/>
      <c r="P3" s="123"/>
      <c r="Q3" s="129"/>
      <c r="R3" s="129"/>
      <c r="S3" s="129"/>
      <c r="T3" s="119" t="s">
        <v>86</v>
      </c>
      <c r="U3" s="120"/>
      <c r="V3" s="120"/>
      <c r="W3" s="119"/>
      <c r="X3" s="120"/>
      <c r="Y3" s="120"/>
      <c r="Z3" s="119"/>
      <c r="AA3" s="120"/>
      <c r="AB3" s="120"/>
      <c r="AC3" s="119"/>
      <c r="AD3" s="120"/>
      <c r="AE3" s="120"/>
      <c r="AF3" s="119"/>
      <c r="AG3" s="120"/>
      <c r="AH3" s="120"/>
      <c r="AI3" s="119"/>
      <c r="AJ3" s="120"/>
      <c r="AK3" s="120"/>
      <c r="AL3" s="119"/>
      <c r="AM3" s="120"/>
      <c r="AN3" s="120"/>
      <c r="AO3" s="119"/>
      <c r="AP3" s="120"/>
      <c r="AQ3" s="120"/>
      <c r="AR3" s="119"/>
      <c r="AS3" s="120"/>
      <c r="AT3" s="120"/>
      <c r="AU3" s="119" t="s">
        <v>87</v>
      </c>
      <c r="AV3" s="120"/>
      <c r="AW3" s="120"/>
      <c r="AX3" s="119"/>
      <c r="AY3" s="120"/>
      <c r="AZ3" s="120"/>
      <c r="BA3" s="119"/>
      <c r="BB3" s="120"/>
      <c r="BC3" s="120"/>
      <c r="BD3" s="119"/>
      <c r="BE3" s="120"/>
      <c r="BF3" s="120"/>
      <c r="BG3" s="119"/>
      <c r="BH3" s="120"/>
      <c r="BI3" s="120"/>
      <c r="BJ3" s="119"/>
      <c r="BK3" s="120"/>
      <c r="BL3" s="120"/>
      <c r="BM3" s="119" t="s">
        <v>83</v>
      </c>
      <c r="BN3" s="120"/>
      <c r="BO3" s="120"/>
      <c r="BP3" s="119"/>
      <c r="BQ3" s="120"/>
      <c r="BR3" s="123"/>
    </row>
    <row r="4" spans="1:75" x14ac:dyDescent="0.35">
      <c r="A4" s="19" t="s">
        <v>79</v>
      </c>
      <c r="B4" s="42" t="s">
        <v>115</v>
      </c>
      <c r="C4" s="99" t="s">
        <v>78</v>
      </c>
      <c r="D4" s="33" t="s">
        <v>73</v>
      </c>
      <c r="E4" s="51" t="s">
        <v>74</v>
      </c>
      <c r="F4" s="42" t="s">
        <v>115</v>
      </c>
      <c r="G4" s="46" t="s">
        <v>78</v>
      </c>
      <c r="H4" s="51" t="s">
        <v>73</v>
      </c>
      <c r="I4" s="99" t="s">
        <v>74</v>
      </c>
      <c r="J4" s="42" t="s">
        <v>115</v>
      </c>
      <c r="K4" s="99" t="s">
        <v>78</v>
      </c>
      <c r="L4" s="32" t="s">
        <v>73</v>
      </c>
      <c r="M4" s="40" t="s">
        <v>74</v>
      </c>
      <c r="N4" s="46" t="s">
        <v>78</v>
      </c>
      <c r="O4" s="32" t="s">
        <v>73</v>
      </c>
      <c r="P4" s="40" t="s">
        <v>74</v>
      </c>
      <c r="Q4" s="46" t="s">
        <v>78</v>
      </c>
      <c r="R4" s="25" t="s">
        <v>73</v>
      </c>
      <c r="S4" s="25" t="s">
        <v>74</v>
      </c>
      <c r="T4" s="46" t="s">
        <v>78</v>
      </c>
      <c r="U4" s="32" t="s">
        <v>73</v>
      </c>
      <c r="V4" s="33" t="s">
        <v>74</v>
      </c>
      <c r="W4" s="46" t="s">
        <v>78</v>
      </c>
      <c r="X4" s="32" t="s">
        <v>73</v>
      </c>
      <c r="Y4" s="33" t="s">
        <v>74</v>
      </c>
      <c r="Z4" s="48" t="s">
        <v>78</v>
      </c>
      <c r="AA4" s="32" t="s">
        <v>73</v>
      </c>
      <c r="AB4" s="33" t="s">
        <v>74</v>
      </c>
      <c r="AC4" s="46" t="s">
        <v>78</v>
      </c>
      <c r="AD4" s="32" t="s">
        <v>73</v>
      </c>
      <c r="AE4" s="33" t="s">
        <v>74</v>
      </c>
      <c r="AF4" s="46" t="s">
        <v>78</v>
      </c>
      <c r="AG4" s="32" t="s">
        <v>73</v>
      </c>
      <c r="AH4" s="33" t="s">
        <v>74</v>
      </c>
      <c r="AI4" s="46" t="s">
        <v>78</v>
      </c>
      <c r="AJ4" s="32" t="s">
        <v>73</v>
      </c>
      <c r="AK4" s="33" t="s">
        <v>74</v>
      </c>
      <c r="AL4" s="46" t="s">
        <v>78</v>
      </c>
      <c r="AM4" s="32" t="s">
        <v>73</v>
      </c>
      <c r="AN4" s="33" t="s">
        <v>74</v>
      </c>
      <c r="AO4" s="46" t="s">
        <v>78</v>
      </c>
      <c r="AP4" s="32" t="s">
        <v>73</v>
      </c>
      <c r="AQ4" s="33" t="s">
        <v>74</v>
      </c>
      <c r="AR4" s="32" t="s">
        <v>78</v>
      </c>
      <c r="AS4" s="32" t="s">
        <v>73</v>
      </c>
      <c r="AT4" s="33" t="s">
        <v>74</v>
      </c>
      <c r="AU4" s="32" t="s">
        <v>78</v>
      </c>
      <c r="AV4" s="32" t="s">
        <v>73</v>
      </c>
      <c r="AW4" s="33" t="s">
        <v>74</v>
      </c>
      <c r="AX4" s="46" t="s">
        <v>78</v>
      </c>
      <c r="AY4" s="32" t="s">
        <v>73</v>
      </c>
      <c r="AZ4" s="33" t="s">
        <v>74</v>
      </c>
      <c r="BA4" s="32" t="s">
        <v>78</v>
      </c>
      <c r="BB4" s="32" t="s">
        <v>73</v>
      </c>
      <c r="BC4" s="33" t="s">
        <v>74</v>
      </c>
      <c r="BD4" s="32" t="s">
        <v>78</v>
      </c>
      <c r="BE4" s="32" t="s">
        <v>73</v>
      </c>
      <c r="BF4" s="33" t="s">
        <v>74</v>
      </c>
      <c r="BG4" s="32" t="s">
        <v>78</v>
      </c>
      <c r="BH4" s="32" t="s">
        <v>73</v>
      </c>
      <c r="BI4" s="33" t="s">
        <v>74</v>
      </c>
      <c r="BJ4" s="32" t="s">
        <v>78</v>
      </c>
      <c r="BK4" s="32" t="s">
        <v>73</v>
      </c>
      <c r="BL4" s="33" t="s">
        <v>74</v>
      </c>
      <c r="BM4" s="32" t="s">
        <v>78</v>
      </c>
      <c r="BN4" s="32" t="s">
        <v>73</v>
      </c>
      <c r="BO4" s="33" t="s">
        <v>74</v>
      </c>
      <c r="BP4" s="50" t="s">
        <v>78</v>
      </c>
      <c r="BQ4" s="50" t="s">
        <v>73</v>
      </c>
      <c r="BR4" s="52" t="s">
        <v>74</v>
      </c>
    </row>
    <row r="5" spans="1:75" x14ac:dyDescent="0.35">
      <c r="A5" s="19" t="s">
        <v>19</v>
      </c>
      <c r="B5" s="43"/>
      <c r="C5" s="45"/>
      <c r="D5" s="44"/>
      <c r="E5" s="35"/>
      <c r="F5" s="34"/>
      <c r="G5" s="35"/>
      <c r="H5" s="35"/>
      <c r="I5" s="35"/>
      <c r="J5" s="34"/>
      <c r="K5" s="35"/>
      <c r="L5" s="35"/>
      <c r="M5" s="24"/>
      <c r="N5" s="34"/>
      <c r="P5" s="24"/>
      <c r="Q5" s="49">
        <v>167521</v>
      </c>
      <c r="R5" s="22">
        <f>S5/(Q5*1000)</f>
        <v>3.521946502229571E-9</v>
      </c>
      <c r="S5" s="24">
        <v>0.59</v>
      </c>
      <c r="T5" s="34"/>
      <c r="U5" s="35"/>
      <c r="V5" s="35"/>
      <c r="W5" s="34"/>
      <c r="X5" s="35"/>
      <c r="Y5" s="35"/>
      <c r="Z5" s="34"/>
      <c r="AA5" s="35"/>
      <c r="AB5" s="35"/>
      <c r="AC5" s="34"/>
      <c r="AD5" s="35"/>
      <c r="AE5" s="35"/>
      <c r="AF5" s="34"/>
      <c r="AG5" s="35"/>
      <c r="AH5" s="35"/>
      <c r="AI5" s="34"/>
      <c r="AJ5" s="35"/>
      <c r="AK5" s="35"/>
      <c r="AL5" s="34"/>
      <c r="AM5" s="35"/>
      <c r="AN5" s="35"/>
      <c r="AO5" s="34"/>
      <c r="AP5" s="35"/>
      <c r="AQ5" s="35"/>
      <c r="AR5" s="34"/>
      <c r="AS5" s="35"/>
      <c r="AT5" s="35"/>
      <c r="AU5" s="34"/>
      <c r="AV5" s="35"/>
      <c r="AW5" s="35"/>
      <c r="AX5" s="34"/>
      <c r="AY5" s="35"/>
      <c r="AZ5" s="35"/>
      <c r="BA5" s="34"/>
      <c r="BB5" s="35"/>
      <c r="BC5" s="35"/>
      <c r="BD5" s="34"/>
      <c r="BE5" s="35"/>
      <c r="BF5" s="35"/>
      <c r="BG5" s="34">
        <v>3099</v>
      </c>
      <c r="BH5" s="35">
        <f>BI5/(BG5*1000)</f>
        <v>2.2910616327847694E-6</v>
      </c>
      <c r="BI5" s="35">
        <v>7.1</v>
      </c>
      <c r="BJ5" s="34"/>
      <c r="BK5" s="35"/>
      <c r="BL5" s="35"/>
      <c r="BM5" s="34">
        <v>6</v>
      </c>
      <c r="BN5" s="35">
        <v>0</v>
      </c>
      <c r="BO5" s="35">
        <v>0</v>
      </c>
      <c r="BP5" s="34"/>
      <c r="BQ5" s="35"/>
      <c r="BR5" s="24"/>
      <c r="BS5" s="54">
        <f>AVERAGE(D5,H5,L5,O5,R5,U5,X5,AA5,AD5,AG5,AJ5,AM5,AP5,AS5,AV5,AY5,BB5,BE5,BH5,BK5,BN5,BQ5)</f>
        <v>7.6486119309566625E-7</v>
      </c>
      <c r="BT5" s="54">
        <f>MEDIAN(D5,H5,L5,O5,R5,U5,X5,AA5,AD5,AG5,AJ5,AM5,AP5,AS5,AV5,AY5,BB5,BE5,BH5,BK5,BN5,BQ5)</f>
        <v>3.521946502229571E-9</v>
      </c>
      <c r="BU5" s="102">
        <f>MIN(D5,H5,L5,O5,R5,U5,X5,AA5,AD5,AG5,AJ5,AM5,AP5,AS5,AV5,AY5,BB5,BE5,BH5,BK5,BN5,BQ5)</f>
        <v>0</v>
      </c>
      <c r="BV5" s="102">
        <f>MAX(D5,H5,L5,O5,R5,U5,X5,AA5,AD5,AG5,AJ5,AM5,AP5,AS5,AV5,AY5,BB5,BE5,BH5,BK5,BN5,BQ5)</f>
        <v>2.2910616327847694E-6</v>
      </c>
      <c r="BW5" s="49">
        <f>SUM(C5, G5, K5, N5, Q5, T5, W5, Z5, AC5, AF5, AI5, AL5, AO5, AR5, AU5, AX5, BA5, BD5, BG5, BJ5, BM5, BP5)</f>
        <v>170626</v>
      </c>
    </row>
    <row r="6" spans="1:75" x14ac:dyDescent="0.35">
      <c r="A6" s="19" t="s">
        <v>88</v>
      </c>
      <c r="B6" s="43"/>
      <c r="C6" s="45"/>
      <c r="D6" s="44"/>
      <c r="E6" s="35"/>
      <c r="F6" s="34">
        <v>0.2404</v>
      </c>
      <c r="G6" s="35">
        <v>156</v>
      </c>
      <c r="H6" s="35">
        <f>I6/(G6*1000)</f>
        <v>3.3974358974358975E-6</v>
      </c>
      <c r="I6" s="35">
        <v>0.53</v>
      </c>
      <c r="J6" s="34"/>
      <c r="K6" s="35"/>
      <c r="L6" s="35"/>
      <c r="M6" s="24"/>
      <c r="N6" s="34"/>
      <c r="O6" s="35"/>
      <c r="P6" s="24"/>
      <c r="Q6" s="22">
        <v>14285</v>
      </c>
      <c r="R6" s="22">
        <f t="shared" ref="R6:R7" si="0">S6/(Q6*1000)</f>
        <v>7.0283514175708786E-8</v>
      </c>
      <c r="S6" s="24">
        <v>1.004</v>
      </c>
      <c r="T6" s="34">
        <v>4397</v>
      </c>
      <c r="U6" s="22">
        <f>V6/(T6*1000)</f>
        <v>5.5622186872491281E-7</v>
      </c>
      <c r="V6" s="53">
        <f>(108/44159)*1000</f>
        <v>2.4457075567834416</v>
      </c>
      <c r="W6" s="34">
        <v>200</v>
      </c>
      <c r="X6" s="22">
        <f t="shared" ref="X6" si="1">Y6/(W6*1000)</f>
        <v>1.235E-5</v>
      </c>
      <c r="Y6" s="35">
        <v>2.4700000000000002</v>
      </c>
      <c r="Z6" s="34">
        <v>116</v>
      </c>
      <c r="AA6" s="22">
        <f t="shared" ref="AA6" si="2">AB6/(Z6*1000)</f>
        <v>3.5344827586206893E-5</v>
      </c>
      <c r="AB6" s="35">
        <v>4.0999999999999996</v>
      </c>
      <c r="AC6" s="34">
        <v>101</v>
      </c>
      <c r="AD6" s="22">
        <f t="shared" ref="AD6" si="3">AE6/(AC6*1000)</f>
        <v>1.508910891089109E-4</v>
      </c>
      <c r="AE6" s="35">
        <v>15.24</v>
      </c>
      <c r="AF6" s="34">
        <v>194</v>
      </c>
      <c r="AG6" s="22">
        <f t="shared" ref="AG6" si="4">AH6/(AF6*1000)</f>
        <v>2.6597938144329897E-5</v>
      </c>
      <c r="AH6" s="35">
        <v>5.16</v>
      </c>
      <c r="AI6" s="34">
        <v>300</v>
      </c>
      <c r="AJ6" s="22">
        <f t="shared" ref="AJ6" si="5">AK6/(AI6*1000)</f>
        <v>7.7666666666666663E-6</v>
      </c>
      <c r="AK6" s="35">
        <v>2.33</v>
      </c>
      <c r="AL6" s="34"/>
      <c r="AM6" s="35"/>
      <c r="AN6" s="35"/>
      <c r="AO6" s="34"/>
      <c r="AP6" s="35"/>
      <c r="AQ6" s="35"/>
      <c r="AR6" s="34"/>
      <c r="AS6" s="35"/>
      <c r="AT6" s="35"/>
      <c r="AU6" s="34">
        <v>68893</v>
      </c>
      <c r="AV6" s="35">
        <f>AW6/(AU6*1000)</f>
        <v>1.7998925870552885E-8</v>
      </c>
      <c r="AW6" s="35">
        <v>1.24</v>
      </c>
      <c r="AX6" s="34"/>
      <c r="AY6" s="35"/>
      <c r="AZ6" s="35"/>
      <c r="BA6" s="34"/>
      <c r="BB6" s="35"/>
      <c r="BC6" s="35"/>
      <c r="BD6" s="34"/>
      <c r="BE6" s="35"/>
      <c r="BF6" s="35"/>
      <c r="BG6" s="34"/>
      <c r="BH6" s="35"/>
      <c r="BI6" s="35"/>
      <c r="BJ6" s="34"/>
      <c r="BK6" s="35"/>
      <c r="BL6" s="35"/>
      <c r="BM6" s="34">
        <f>SUM(23, 63, 83)</f>
        <v>169</v>
      </c>
      <c r="BN6" s="35">
        <f>BO6/(BM6*1000)</f>
        <v>1.0828402366863907E-5</v>
      </c>
      <c r="BO6" s="53">
        <v>1.83</v>
      </c>
      <c r="BP6" s="34">
        <v>332</v>
      </c>
      <c r="BQ6" s="35">
        <f>BR6/(BP6*1000)</f>
        <v>1.5963855421686745E-5</v>
      </c>
      <c r="BR6" s="24">
        <v>5.3</v>
      </c>
      <c r="BS6" s="54">
        <f>AVERAGE(D6,H6,L6,O6,R6,U6,X6,AA6,AD6,AG6,AJ6,AM6,AP6,AS6,AV6,AY6,BB6,BE6,BH6,BK6,BN6,BQ6)</f>
        <v>2.3980429045533829E-5</v>
      </c>
      <c r="BT6" s="54">
        <f>MEDIAN(D6,H6,L6,O6,R6,U6,X6,AA6,AD6,AG6,AJ6,AM6,AP6,AS6,AV6,AY6,BB6,BE6,BH6,BK6,BN6,BQ6)</f>
        <v>1.0828402366863907E-5</v>
      </c>
      <c r="BU6" s="102">
        <f t="shared" ref="BU6:BU23" si="6">MIN(D6,H6,L6,O6,R6,U6,X6,AA6,AD6,AG6,AJ6,AM6,AP6,AS6,AV6,AY6,BB6,BE6,BH6,BK6,BN6,BQ6)</f>
        <v>1.7998925870552885E-8</v>
      </c>
      <c r="BV6" s="102">
        <f t="shared" ref="BV6:BV23" si="7">MAX(D6,H6,L6,O6,R6,U6,X6,AA6,AD6,AG6,AJ6,AM6,AP6,AS6,AV6,AY6,BB6,BE6,BH6,BK6,BN6,BQ6)</f>
        <v>1.508910891089109E-4</v>
      </c>
      <c r="BW6" s="49">
        <f t="shared" ref="BW6:BW23" si="8">SUM(C6, G6, K6, N6, Q6, T6, W6, Z6, AC6, AF6, AI6, AL6, AO6, AR6, AU6, AX6, BA6, BD6, BG6, BJ6, BM6, BP6)</f>
        <v>89143</v>
      </c>
    </row>
    <row r="7" spans="1:75" x14ac:dyDescent="0.35">
      <c r="A7" s="19" t="s">
        <v>20</v>
      </c>
      <c r="B7" s="43">
        <v>0.443</v>
      </c>
      <c r="C7" s="45">
        <v>1321</v>
      </c>
      <c r="D7" s="35">
        <f>E7/(C7*1000)</f>
        <v>1.0136260408781227E-4</v>
      </c>
      <c r="E7" s="35">
        <v>133.9</v>
      </c>
      <c r="F7" s="34"/>
      <c r="G7" s="35"/>
      <c r="H7" s="35"/>
      <c r="I7" s="35"/>
      <c r="J7" s="34"/>
      <c r="K7" s="35">
        <v>4146</v>
      </c>
      <c r="L7" s="35">
        <f>M7/(K7*1000)</f>
        <v>1.736613603473227E-7</v>
      </c>
      <c r="M7" s="24">
        <v>0.72</v>
      </c>
      <c r="N7" s="34">
        <v>923</v>
      </c>
      <c r="O7" s="35">
        <f>P7/(N7*1000)</f>
        <v>1.8634886240520043E-6</v>
      </c>
      <c r="P7" s="24">
        <v>1.72</v>
      </c>
      <c r="Q7" s="22">
        <v>11530</v>
      </c>
      <c r="R7" s="22">
        <f t="shared" si="0"/>
        <v>1.1205550737207286E-7</v>
      </c>
      <c r="S7" s="24">
        <v>1.292</v>
      </c>
      <c r="T7" s="34"/>
      <c r="U7" s="35"/>
      <c r="V7" s="35"/>
      <c r="W7" s="34"/>
      <c r="X7" s="35"/>
      <c r="Y7" s="35"/>
      <c r="Z7" s="34"/>
      <c r="AA7" s="35"/>
      <c r="AB7" s="35"/>
      <c r="AC7" s="34"/>
      <c r="AD7" s="35"/>
      <c r="AE7" s="35"/>
      <c r="AF7" s="34"/>
      <c r="AG7" s="35"/>
      <c r="AH7" s="35"/>
      <c r="AI7" s="34"/>
      <c r="AJ7" s="35"/>
      <c r="AK7" s="35"/>
      <c r="AL7" s="34"/>
      <c r="AM7" s="35"/>
      <c r="AN7" s="35"/>
      <c r="AO7" s="34">
        <v>848</v>
      </c>
      <c r="AP7" s="22">
        <f t="shared" ref="AP7" si="9">AQ7/(AO7*1000)</f>
        <v>4.1273584905660379E-6</v>
      </c>
      <c r="AQ7" s="35">
        <v>3.5</v>
      </c>
      <c r="AR7" s="34">
        <v>171</v>
      </c>
      <c r="AS7" s="22">
        <f t="shared" ref="AS7" si="10">AT7/(AR7*1000)</f>
        <v>8.1871345029239757E-6</v>
      </c>
      <c r="AT7" s="35">
        <v>1.4</v>
      </c>
      <c r="AU7" s="34">
        <v>85149</v>
      </c>
      <c r="AV7" s="35">
        <f>AW7/(AU7*1000)</f>
        <v>3.9695122667324338E-8</v>
      </c>
      <c r="AW7" s="35">
        <v>3.38</v>
      </c>
      <c r="AX7" s="34">
        <f>SUM(518, 197, 275)</f>
        <v>990</v>
      </c>
      <c r="AY7" s="35">
        <f>AZ7/(AX7*1000)</f>
        <v>2.4457423811126978E-6</v>
      </c>
      <c r="AZ7" s="53">
        <f>SUM(6, 5, 15)/SUM(2900.4, 2179.8, 5657.9)*1000</f>
        <v>2.4212849573015709</v>
      </c>
      <c r="BA7" s="34">
        <f>SUM(906, 4146)</f>
        <v>5052</v>
      </c>
      <c r="BB7" s="35">
        <f>BC7/(BA7*1000)</f>
        <v>1.623119556611243E-7</v>
      </c>
      <c r="BC7" s="35">
        <v>0.82</v>
      </c>
      <c r="BD7" s="34">
        <f>SUM(419, 298, 6778, 906, 4146, 11530, 249, 990, 129, 467)</f>
        <v>25912</v>
      </c>
      <c r="BE7" s="35">
        <f>BF7/(BD7*1000)</f>
        <v>4.7854276011114543E-8</v>
      </c>
      <c r="BF7" s="35">
        <v>1.24</v>
      </c>
      <c r="BG7" s="34">
        <v>921</v>
      </c>
      <c r="BH7" s="35">
        <f>BI7/(BG7*1000)</f>
        <v>1.7155266015200869E-5</v>
      </c>
      <c r="BI7" s="35">
        <v>15.8</v>
      </c>
      <c r="BJ7" s="34">
        <v>118</v>
      </c>
      <c r="BK7" s="35">
        <f>BL7/(BJ7*1000)</f>
        <v>5.6132315093137546E-5</v>
      </c>
      <c r="BL7" s="53">
        <f>(4/603.9)*1000</f>
        <v>6.6236131809902306</v>
      </c>
      <c r="BM7" s="34">
        <v>1140</v>
      </c>
      <c r="BN7" s="35">
        <f>BO7/(BM7*1000)</f>
        <v>1.7543859649122807E-6</v>
      </c>
      <c r="BO7" s="35">
        <v>2</v>
      </c>
      <c r="BP7" s="34"/>
      <c r="BQ7" s="35"/>
      <c r="BR7" s="24"/>
      <c r="BS7" s="54">
        <f t="shared" ref="BS7:BS23" si="11">AVERAGE(D7,H7,L7,O7,R7,U7,X7,AA7,AD7,AG7,AJ7,AM7,AP7,AS7,AV7,AY7,BB7,BE7,BH7,BK7,BN7,BQ7)</f>
        <v>1.4889528721675126E-5</v>
      </c>
      <c r="BT7" s="54">
        <f t="shared" ref="BT7:BT23" si="12">MEDIAN(D7,H7,L7,O7,R7,U7,X7,AA7,AD7,AG7,AJ7,AM7,AP7,AS7,AV7,AY7,BB7,BE7,BH7,BK7,BN7,BQ7)</f>
        <v>1.8634886240520043E-6</v>
      </c>
      <c r="BU7" s="102">
        <f t="shared" si="6"/>
        <v>3.9695122667324338E-8</v>
      </c>
      <c r="BV7" s="102">
        <f t="shared" si="7"/>
        <v>1.0136260408781227E-4</v>
      </c>
      <c r="BW7" s="49">
        <f t="shared" si="8"/>
        <v>138221</v>
      </c>
    </row>
    <row r="8" spans="1:75" x14ac:dyDescent="0.35">
      <c r="A8" s="19" t="s">
        <v>21</v>
      </c>
      <c r="B8" s="43">
        <v>0.55700000000000005</v>
      </c>
      <c r="C8" s="45">
        <v>1659</v>
      </c>
      <c r="D8" s="35">
        <f>E8/(C8*1000)</f>
        <v>7.5346594333936109E-6</v>
      </c>
      <c r="E8" s="35">
        <v>12.5</v>
      </c>
      <c r="F8" s="34"/>
      <c r="G8" s="35"/>
      <c r="H8" s="35"/>
      <c r="I8" s="35"/>
      <c r="J8" s="34"/>
      <c r="K8" s="35"/>
      <c r="L8" s="35"/>
      <c r="M8" s="24"/>
      <c r="N8" s="34"/>
      <c r="O8" s="35"/>
      <c r="P8" s="24"/>
      <c r="Q8" s="22"/>
      <c r="R8" s="22"/>
      <c r="S8" s="22"/>
      <c r="T8" s="34"/>
      <c r="U8" s="35"/>
      <c r="W8" s="34"/>
      <c r="X8" s="35"/>
      <c r="Y8" s="35"/>
      <c r="Z8" s="34"/>
      <c r="AA8" s="35"/>
      <c r="AB8" s="35"/>
      <c r="AC8" s="34"/>
      <c r="AD8" s="35"/>
      <c r="AE8" s="35"/>
      <c r="AF8" s="34"/>
      <c r="AG8" s="35"/>
      <c r="AH8" s="35"/>
      <c r="AI8" s="34"/>
      <c r="AJ8" s="35"/>
      <c r="AK8" s="35"/>
      <c r="AL8" s="34"/>
      <c r="AM8" s="35"/>
      <c r="AN8" s="35"/>
      <c r="AO8" s="34"/>
      <c r="AP8" s="35"/>
      <c r="AQ8" s="35"/>
      <c r="AR8" s="34"/>
      <c r="AS8" s="35"/>
      <c r="AT8" s="35"/>
      <c r="AU8" s="34"/>
      <c r="AV8" s="35"/>
      <c r="AW8" s="35"/>
      <c r="AX8" s="34"/>
      <c r="AY8" s="35"/>
      <c r="BA8" s="34"/>
      <c r="BB8" s="35"/>
      <c r="BC8" s="35"/>
      <c r="BD8" s="34"/>
      <c r="BE8" s="35"/>
      <c r="BF8" s="35"/>
      <c r="BG8" s="34"/>
      <c r="BH8" s="35"/>
      <c r="BI8" s="35"/>
      <c r="BJ8" s="34"/>
      <c r="BK8" s="35"/>
      <c r="BL8" s="35"/>
      <c r="BM8" s="34"/>
      <c r="BN8" s="35"/>
      <c r="BO8" s="35"/>
      <c r="BP8" s="34"/>
      <c r="BQ8" s="35"/>
      <c r="BR8" s="24"/>
      <c r="BS8" s="54">
        <f t="shared" si="11"/>
        <v>7.5346594333936109E-6</v>
      </c>
      <c r="BT8" s="54">
        <f t="shared" si="12"/>
        <v>7.5346594333936109E-6</v>
      </c>
      <c r="BU8" s="102">
        <f t="shared" si="6"/>
        <v>7.5346594333936109E-6</v>
      </c>
      <c r="BV8" s="102">
        <f t="shared" si="7"/>
        <v>7.5346594333936109E-6</v>
      </c>
      <c r="BW8" s="49">
        <f t="shared" si="8"/>
        <v>1659</v>
      </c>
    </row>
    <row r="9" spans="1:75" x14ac:dyDescent="0.35">
      <c r="A9" s="103" t="s">
        <v>22</v>
      </c>
      <c r="B9" s="112"/>
      <c r="C9" s="104"/>
      <c r="D9" s="105"/>
      <c r="E9" s="108"/>
      <c r="F9" s="107"/>
      <c r="G9" s="108"/>
      <c r="H9" s="108"/>
      <c r="I9" s="108"/>
      <c r="J9" s="107"/>
      <c r="K9" s="108"/>
      <c r="L9" s="108"/>
      <c r="M9" s="106"/>
      <c r="N9" s="107"/>
      <c r="O9" s="108"/>
      <c r="P9" s="106"/>
      <c r="Q9" s="109"/>
      <c r="R9" s="109"/>
      <c r="S9" s="109"/>
      <c r="T9" s="107"/>
      <c r="U9" s="108"/>
      <c r="V9" s="108"/>
      <c r="W9" s="107"/>
      <c r="X9" s="108"/>
      <c r="Y9" s="108"/>
      <c r="Z9" s="107"/>
      <c r="AA9" s="108"/>
      <c r="AB9" s="108"/>
      <c r="AC9" s="107"/>
      <c r="AD9" s="108"/>
      <c r="AE9" s="108"/>
      <c r="AF9" s="107"/>
      <c r="AG9" s="108"/>
      <c r="AH9" s="108"/>
      <c r="AI9" s="107"/>
      <c r="AJ9" s="108"/>
      <c r="AK9" s="108"/>
      <c r="AL9" s="107"/>
      <c r="AM9" s="108"/>
      <c r="AN9" s="108"/>
      <c r="AO9" s="107"/>
      <c r="AP9" s="108"/>
      <c r="AQ9" s="108"/>
      <c r="AR9" s="107"/>
      <c r="AS9" s="108"/>
      <c r="AT9" s="108"/>
      <c r="AU9" s="107"/>
      <c r="AV9" s="108"/>
      <c r="AW9" s="108"/>
      <c r="AX9" s="107"/>
      <c r="AY9" s="108"/>
      <c r="AZ9" s="108"/>
      <c r="BA9" s="107"/>
      <c r="BB9" s="108"/>
      <c r="BC9" s="108"/>
      <c r="BD9" s="107"/>
      <c r="BE9" s="108"/>
      <c r="BF9" s="108"/>
      <c r="BG9" s="107"/>
      <c r="BH9" s="108"/>
      <c r="BI9" s="108"/>
      <c r="BJ9" s="107"/>
      <c r="BK9" s="108"/>
      <c r="BL9" s="108"/>
      <c r="BM9" s="107"/>
      <c r="BN9" s="108"/>
      <c r="BO9" s="108"/>
      <c r="BP9" s="107"/>
      <c r="BQ9" s="108"/>
      <c r="BR9" s="106"/>
      <c r="BS9" s="55"/>
      <c r="BT9" s="55"/>
      <c r="BU9" s="110">
        <f t="shared" si="6"/>
        <v>0</v>
      </c>
      <c r="BV9" s="110">
        <f t="shared" si="7"/>
        <v>0</v>
      </c>
      <c r="BW9" s="111">
        <f t="shared" si="8"/>
        <v>0</v>
      </c>
    </row>
    <row r="10" spans="1:75" x14ac:dyDescent="0.35">
      <c r="A10" s="103" t="s">
        <v>23</v>
      </c>
      <c r="B10" s="112"/>
      <c r="C10" s="104"/>
      <c r="D10" s="105"/>
      <c r="E10" s="108"/>
      <c r="F10" s="107"/>
      <c r="G10" s="108"/>
      <c r="H10" s="108"/>
      <c r="I10" s="108"/>
      <c r="J10" s="107"/>
      <c r="K10" s="108"/>
      <c r="L10" s="108"/>
      <c r="M10" s="106"/>
      <c r="N10" s="107"/>
      <c r="O10" s="108"/>
      <c r="P10" s="106"/>
      <c r="Q10" s="109"/>
      <c r="R10" s="109"/>
      <c r="S10" s="104"/>
      <c r="T10" s="107"/>
      <c r="U10" s="108"/>
      <c r="V10" s="108"/>
      <c r="W10" s="107"/>
      <c r="X10" s="108"/>
      <c r="Y10" s="108"/>
      <c r="Z10" s="107"/>
      <c r="AA10" s="108"/>
      <c r="AB10" s="108"/>
      <c r="AC10" s="107"/>
      <c r="AD10" s="108"/>
      <c r="AE10" s="108"/>
      <c r="AF10" s="107"/>
      <c r="AG10" s="108"/>
      <c r="AH10" s="108"/>
      <c r="AI10" s="107"/>
      <c r="AJ10" s="108"/>
      <c r="AK10" s="108"/>
      <c r="AL10" s="107"/>
      <c r="AM10" s="108"/>
      <c r="AN10" s="108"/>
      <c r="AO10" s="107"/>
      <c r="AP10" s="108"/>
      <c r="AQ10" s="108"/>
      <c r="AR10" s="107"/>
      <c r="AS10" s="108"/>
      <c r="AT10" s="108"/>
      <c r="AU10" s="107"/>
      <c r="AV10" s="108"/>
      <c r="AW10" s="108"/>
      <c r="AX10" s="107"/>
      <c r="AY10" s="108"/>
      <c r="AZ10" s="108"/>
      <c r="BA10" s="107"/>
      <c r="BB10" s="108"/>
      <c r="BC10" s="108"/>
      <c r="BD10" s="107"/>
      <c r="BE10" s="108"/>
      <c r="BF10" s="108"/>
      <c r="BG10" s="107"/>
      <c r="BH10" s="108"/>
      <c r="BI10" s="108"/>
      <c r="BJ10" s="107"/>
      <c r="BK10" s="108"/>
      <c r="BL10" s="108"/>
      <c r="BM10" s="107"/>
      <c r="BN10" s="108"/>
      <c r="BO10" s="108"/>
      <c r="BP10" s="107"/>
      <c r="BQ10" s="108"/>
      <c r="BR10" s="106"/>
      <c r="BS10" s="55"/>
      <c r="BT10" s="55"/>
      <c r="BU10" s="110">
        <f t="shared" si="6"/>
        <v>0</v>
      </c>
      <c r="BV10" s="110">
        <f t="shared" si="7"/>
        <v>0</v>
      </c>
      <c r="BW10" s="111">
        <f t="shared" si="8"/>
        <v>0</v>
      </c>
    </row>
    <row r="11" spans="1:75" x14ac:dyDescent="0.35">
      <c r="A11" s="19" t="s">
        <v>24</v>
      </c>
      <c r="B11" s="43"/>
      <c r="D11" s="45"/>
      <c r="E11" s="35"/>
      <c r="F11" s="34"/>
      <c r="G11" s="35"/>
      <c r="H11" s="35"/>
      <c r="I11" s="35"/>
      <c r="J11" s="34"/>
      <c r="K11" s="35"/>
      <c r="L11" s="35"/>
      <c r="M11" s="24"/>
      <c r="N11" s="34"/>
      <c r="O11" s="35"/>
      <c r="P11" s="24"/>
      <c r="Q11" s="22"/>
      <c r="R11" s="22"/>
      <c r="T11" s="34"/>
      <c r="U11" s="35"/>
      <c r="V11" s="35"/>
      <c r="W11" s="34"/>
      <c r="X11" s="35"/>
      <c r="Y11" s="35"/>
      <c r="Z11" s="34"/>
      <c r="AA11" s="35"/>
      <c r="AB11" s="35"/>
      <c r="AC11" s="34"/>
      <c r="AD11" s="35"/>
      <c r="AE11" s="35"/>
      <c r="AF11" s="34"/>
      <c r="AG11" s="35"/>
      <c r="AH11" s="35"/>
      <c r="AI11" s="34"/>
      <c r="AJ11" s="35"/>
      <c r="AK11" s="35"/>
      <c r="AL11" s="34">
        <f>SUM(253, 88)</f>
        <v>341</v>
      </c>
      <c r="AM11" s="22">
        <f t="shared" ref="AM11:AM13" si="13">AN11/(AL11*1000)</f>
        <v>0</v>
      </c>
      <c r="AN11" s="35">
        <v>0</v>
      </c>
      <c r="AO11" s="34"/>
      <c r="AP11" s="35"/>
      <c r="AQ11" s="35"/>
      <c r="AR11" s="34"/>
      <c r="AS11" s="35"/>
      <c r="AT11" s="35"/>
      <c r="AU11" s="34"/>
      <c r="AV11" s="35"/>
      <c r="AW11" s="35"/>
      <c r="AX11" s="34"/>
      <c r="AY11" s="35"/>
      <c r="AZ11" s="35"/>
      <c r="BA11" s="34"/>
      <c r="BB11" s="35"/>
      <c r="BC11" s="35"/>
      <c r="BD11" s="34"/>
      <c r="BE11" s="35"/>
      <c r="BF11" s="35"/>
      <c r="BG11" s="34"/>
      <c r="BH11" s="35"/>
      <c r="BI11" s="35"/>
      <c r="BJ11" s="34"/>
      <c r="BK11" s="35"/>
      <c r="BL11" s="35"/>
      <c r="BM11" s="34"/>
      <c r="BN11" s="35"/>
      <c r="BO11" s="35"/>
      <c r="BP11" s="34"/>
      <c r="BQ11" s="35"/>
      <c r="BR11" s="24"/>
      <c r="BS11" s="49">
        <f t="shared" si="11"/>
        <v>0</v>
      </c>
      <c r="BT11" s="49">
        <f t="shared" si="12"/>
        <v>0</v>
      </c>
      <c r="BU11" s="102">
        <f t="shared" si="6"/>
        <v>0</v>
      </c>
      <c r="BV11" s="102">
        <f t="shared" si="7"/>
        <v>0</v>
      </c>
      <c r="BW11" s="49">
        <f t="shared" si="8"/>
        <v>341</v>
      </c>
    </row>
    <row r="12" spans="1:75" x14ac:dyDescent="0.35">
      <c r="A12" s="19" t="s">
        <v>25</v>
      </c>
      <c r="B12" s="43"/>
      <c r="D12" s="45"/>
      <c r="E12" s="35"/>
      <c r="F12" s="34"/>
      <c r="G12" s="35"/>
      <c r="H12" s="35"/>
      <c r="I12" s="35"/>
      <c r="J12" s="34"/>
      <c r="K12" s="35"/>
      <c r="L12" s="35"/>
      <c r="M12" s="24"/>
      <c r="N12" s="34"/>
      <c r="O12" s="35"/>
      <c r="P12" s="24"/>
      <c r="Q12" s="22"/>
      <c r="R12" s="22"/>
      <c r="T12" s="34"/>
      <c r="U12" s="35"/>
      <c r="V12" s="35"/>
      <c r="W12" s="34"/>
      <c r="X12" s="35"/>
      <c r="Y12" s="35"/>
      <c r="Z12" s="34"/>
      <c r="AA12" s="35"/>
      <c r="AB12" s="35"/>
      <c r="AC12" s="34"/>
      <c r="AD12" s="35"/>
      <c r="AE12" s="35"/>
      <c r="AF12" s="34"/>
      <c r="AG12" s="35"/>
      <c r="AH12" s="35"/>
      <c r="AI12" s="34"/>
      <c r="AJ12" s="35"/>
      <c r="AK12" s="35"/>
      <c r="AL12" s="34">
        <v>32</v>
      </c>
      <c r="AM12" s="22">
        <f t="shared" si="13"/>
        <v>1.1406249999999999E-3</v>
      </c>
      <c r="AN12" s="35">
        <v>36.5</v>
      </c>
      <c r="AO12" s="34"/>
      <c r="AP12" s="35"/>
      <c r="AQ12" s="35"/>
      <c r="AR12" s="34"/>
      <c r="AS12" s="35"/>
      <c r="AT12" s="35"/>
      <c r="AU12" s="34"/>
      <c r="AV12" s="35"/>
      <c r="AW12" s="35"/>
      <c r="AX12" s="34"/>
      <c r="AY12" s="35"/>
      <c r="AZ12" s="35"/>
      <c r="BA12" s="34"/>
      <c r="BB12" s="35"/>
      <c r="BC12" s="35"/>
      <c r="BD12" s="34"/>
      <c r="BE12" s="35"/>
      <c r="BF12" s="35"/>
      <c r="BG12" s="34"/>
      <c r="BH12" s="35"/>
      <c r="BI12" s="35"/>
      <c r="BJ12" s="34"/>
      <c r="BK12" s="35"/>
      <c r="BL12" s="35"/>
      <c r="BM12" s="34"/>
      <c r="BN12" s="35"/>
      <c r="BO12" s="35"/>
      <c r="BP12" s="34"/>
      <c r="BQ12" s="35"/>
      <c r="BR12" s="24"/>
      <c r="BS12" s="54">
        <f t="shared" si="11"/>
        <v>1.1406249999999999E-3</v>
      </c>
      <c r="BT12" s="54">
        <f t="shared" si="12"/>
        <v>1.1406249999999999E-3</v>
      </c>
      <c r="BU12" s="102">
        <f t="shared" si="6"/>
        <v>1.1406249999999999E-3</v>
      </c>
      <c r="BV12" s="102">
        <f t="shared" si="7"/>
        <v>1.1406249999999999E-3</v>
      </c>
      <c r="BW12" s="49">
        <f t="shared" si="8"/>
        <v>32</v>
      </c>
    </row>
    <row r="13" spans="1:75" x14ac:dyDescent="0.35">
      <c r="A13" s="19" t="s">
        <v>26</v>
      </c>
      <c r="B13" s="43"/>
      <c r="C13" s="44"/>
      <c r="D13" s="45"/>
      <c r="E13" s="35"/>
      <c r="F13" s="34"/>
      <c r="G13" s="35"/>
      <c r="H13" s="35"/>
      <c r="I13" s="35"/>
      <c r="J13" s="34"/>
      <c r="K13" s="35"/>
      <c r="L13" s="35"/>
      <c r="M13" s="24"/>
      <c r="N13" s="34"/>
      <c r="O13" s="35"/>
      <c r="P13" s="24"/>
      <c r="Q13" s="22"/>
      <c r="R13" s="22"/>
      <c r="S13" s="22"/>
      <c r="T13" s="34"/>
      <c r="U13" s="35"/>
      <c r="V13" s="35"/>
      <c r="W13" s="34"/>
      <c r="X13" s="35"/>
      <c r="Y13" s="35"/>
      <c r="Z13" s="34"/>
      <c r="AA13" s="35"/>
      <c r="AB13" s="35"/>
      <c r="AC13" s="34"/>
      <c r="AD13" s="35"/>
      <c r="AE13" s="35"/>
      <c r="AF13" s="34"/>
      <c r="AG13" s="35"/>
      <c r="AH13" s="35"/>
      <c r="AI13" s="34"/>
      <c r="AJ13" s="35"/>
      <c r="AK13" s="35"/>
      <c r="AL13" s="34">
        <v>9</v>
      </c>
      <c r="AM13" s="22">
        <f t="shared" si="13"/>
        <v>7.0111111111111112E-3</v>
      </c>
      <c r="AN13" s="35">
        <v>63.1</v>
      </c>
      <c r="AO13" s="34"/>
      <c r="AP13" s="35"/>
      <c r="AQ13" s="35"/>
      <c r="AR13" s="34"/>
      <c r="AS13" s="35"/>
      <c r="AT13" s="35"/>
      <c r="AU13" s="34"/>
      <c r="AV13" s="35"/>
      <c r="AW13" s="35"/>
      <c r="AX13" s="34"/>
      <c r="AY13" s="35"/>
      <c r="AZ13" s="35"/>
      <c r="BA13" s="34"/>
      <c r="BB13" s="35"/>
      <c r="BC13" s="35"/>
      <c r="BD13" s="34"/>
      <c r="BE13" s="35"/>
      <c r="BF13" s="35"/>
      <c r="BG13" s="34"/>
      <c r="BH13" s="35"/>
      <c r="BI13" s="35"/>
      <c r="BJ13" s="34"/>
      <c r="BK13" s="35"/>
      <c r="BL13" s="35"/>
      <c r="BM13" s="34"/>
      <c r="BN13" s="35"/>
      <c r="BO13" s="35"/>
      <c r="BP13" s="34"/>
      <c r="BQ13" s="35"/>
      <c r="BR13" s="24"/>
      <c r="BS13" s="54">
        <f t="shared" si="11"/>
        <v>7.0111111111111112E-3</v>
      </c>
      <c r="BT13" s="54">
        <f t="shared" si="12"/>
        <v>7.0111111111111112E-3</v>
      </c>
      <c r="BU13" s="102">
        <f t="shared" si="6"/>
        <v>7.0111111111111112E-3</v>
      </c>
      <c r="BV13" s="102">
        <f t="shared" si="7"/>
        <v>7.0111111111111112E-3</v>
      </c>
      <c r="BW13" s="49">
        <f t="shared" si="8"/>
        <v>9</v>
      </c>
    </row>
    <row r="14" spans="1:75" x14ac:dyDescent="0.35">
      <c r="A14" s="103" t="s">
        <v>27</v>
      </c>
      <c r="B14" s="112"/>
      <c r="C14" s="130"/>
      <c r="D14" s="105"/>
      <c r="E14" s="108"/>
      <c r="F14" s="107"/>
      <c r="G14" s="108"/>
      <c r="H14" s="108"/>
      <c r="I14" s="108"/>
      <c r="J14" s="107"/>
      <c r="K14" s="108"/>
      <c r="L14" s="108"/>
      <c r="M14" s="106"/>
      <c r="N14" s="107"/>
      <c r="O14" s="108"/>
      <c r="P14" s="106"/>
      <c r="Q14" s="109"/>
      <c r="R14" s="109"/>
      <c r="S14" s="109"/>
      <c r="T14" s="107"/>
      <c r="U14" s="108"/>
      <c r="V14" s="108"/>
      <c r="W14" s="107"/>
      <c r="X14" s="108"/>
      <c r="Y14" s="108"/>
      <c r="Z14" s="107"/>
      <c r="AA14" s="108"/>
      <c r="AB14" s="108"/>
      <c r="AC14" s="107"/>
      <c r="AD14" s="108"/>
      <c r="AE14" s="108"/>
      <c r="AF14" s="107"/>
      <c r="AG14" s="108"/>
      <c r="AH14" s="108"/>
      <c r="AI14" s="107"/>
      <c r="AJ14" s="108"/>
      <c r="AK14" s="108"/>
      <c r="AL14" s="107"/>
      <c r="AM14" s="108"/>
      <c r="AN14" s="108"/>
      <c r="AO14" s="107"/>
      <c r="AP14" s="108"/>
      <c r="AQ14" s="108"/>
      <c r="AR14" s="107"/>
      <c r="AS14" s="108"/>
      <c r="AT14" s="108"/>
      <c r="AU14" s="107"/>
      <c r="AV14" s="108"/>
      <c r="AW14" s="108"/>
      <c r="AX14" s="107"/>
      <c r="AY14" s="108"/>
      <c r="AZ14" s="108"/>
      <c r="BA14" s="107"/>
      <c r="BB14" s="108"/>
      <c r="BC14" s="108"/>
      <c r="BD14" s="107"/>
      <c r="BE14" s="108"/>
      <c r="BF14" s="108"/>
      <c r="BG14" s="107"/>
      <c r="BH14" s="108"/>
      <c r="BI14" s="108"/>
      <c r="BJ14" s="107"/>
      <c r="BK14" s="108"/>
      <c r="BL14" s="108"/>
      <c r="BM14" s="107"/>
      <c r="BN14" s="108"/>
      <c r="BO14" s="108"/>
      <c r="BP14" s="107"/>
      <c r="BQ14" s="108"/>
      <c r="BR14" s="106"/>
      <c r="BS14" s="55"/>
      <c r="BT14" s="55"/>
      <c r="BU14" s="110">
        <f t="shared" si="6"/>
        <v>0</v>
      </c>
      <c r="BV14" s="110">
        <f t="shared" si="7"/>
        <v>0</v>
      </c>
      <c r="BW14" s="111">
        <f t="shared" si="8"/>
        <v>0</v>
      </c>
    </row>
    <row r="15" spans="1:75" x14ac:dyDescent="0.35">
      <c r="A15" s="19" t="s">
        <v>28</v>
      </c>
      <c r="B15" s="43"/>
      <c r="C15" s="44"/>
      <c r="D15" s="45"/>
      <c r="E15" s="35"/>
      <c r="F15" s="34"/>
      <c r="G15" s="35"/>
      <c r="H15" s="35"/>
      <c r="I15" s="35"/>
      <c r="J15" s="34"/>
      <c r="K15" s="35"/>
      <c r="L15" s="35"/>
      <c r="M15" s="24"/>
      <c r="N15" s="34"/>
      <c r="O15" s="35"/>
      <c r="P15" s="24"/>
      <c r="Q15" s="22"/>
      <c r="R15" s="22"/>
      <c r="S15" s="22"/>
      <c r="T15" s="34"/>
      <c r="U15" s="35"/>
      <c r="V15" s="35"/>
      <c r="W15" s="34"/>
      <c r="X15" s="35"/>
      <c r="Y15" s="35"/>
      <c r="Z15" s="34"/>
      <c r="AA15" s="35"/>
      <c r="AB15" s="35"/>
      <c r="AC15" s="34"/>
      <c r="AD15" s="35"/>
      <c r="AE15" s="35"/>
      <c r="AF15" s="34"/>
      <c r="AG15" s="35"/>
      <c r="AH15" s="35"/>
      <c r="AI15" s="34"/>
      <c r="AJ15" s="35"/>
      <c r="AK15" s="35"/>
      <c r="AL15" s="34"/>
      <c r="AM15" s="35"/>
      <c r="AN15" s="35"/>
      <c r="AO15" s="34"/>
      <c r="AP15" s="35"/>
      <c r="AQ15" s="35"/>
      <c r="AR15" s="34">
        <v>256</v>
      </c>
      <c r="AS15" s="22">
        <f t="shared" ref="AS15:AS18" si="14">AT15/(AR15*1000)</f>
        <v>5.8593750000000001E-6</v>
      </c>
      <c r="AT15" s="35">
        <v>1.5</v>
      </c>
      <c r="AU15" s="34"/>
      <c r="AV15" s="35"/>
      <c r="AW15" s="35"/>
      <c r="AX15" s="34"/>
      <c r="AY15" s="35"/>
      <c r="AZ15" s="35"/>
      <c r="BA15" s="34"/>
      <c r="BB15" s="35"/>
      <c r="BC15" s="35"/>
      <c r="BD15" s="34"/>
      <c r="BE15" s="35"/>
      <c r="BF15" s="35"/>
      <c r="BG15" s="34"/>
      <c r="BH15" s="35"/>
      <c r="BI15" s="35"/>
      <c r="BJ15" s="34">
        <v>92</v>
      </c>
      <c r="BK15" s="35">
        <f>BL15/(BJ15*1000)</f>
        <v>4.7830870043526083E-5</v>
      </c>
      <c r="BL15" s="53">
        <f>(2/454.5)*1000</f>
        <v>4.4004400440043998</v>
      </c>
      <c r="BM15" s="34">
        <v>75</v>
      </c>
      <c r="BN15" s="35">
        <f>BO15/(BM15*1000)</f>
        <v>3.8399999999999998E-5</v>
      </c>
      <c r="BO15" s="35">
        <v>2.88</v>
      </c>
      <c r="BP15" s="34"/>
      <c r="BQ15" s="35"/>
      <c r="BR15" s="24"/>
      <c r="BS15" s="54">
        <f t="shared" si="11"/>
        <v>3.0696748347842027E-5</v>
      </c>
      <c r="BT15" s="54">
        <f t="shared" si="12"/>
        <v>3.8399999999999998E-5</v>
      </c>
      <c r="BU15" s="102">
        <f t="shared" si="6"/>
        <v>5.8593750000000001E-6</v>
      </c>
      <c r="BV15" s="102">
        <f t="shared" si="7"/>
        <v>4.7830870043526083E-5</v>
      </c>
      <c r="BW15" s="49">
        <f t="shared" si="8"/>
        <v>423</v>
      </c>
    </row>
    <row r="16" spans="1:75" x14ac:dyDescent="0.35">
      <c r="A16" s="19" t="s">
        <v>29</v>
      </c>
      <c r="B16" s="43"/>
      <c r="C16" s="44"/>
      <c r="D16" s="45"/>
      <c r="E16" s="35"/>
      <c r="F16" s="34"/>
      <c r="G16" s="35"/>
      <c r="H16" s="35"/>
      <c r="I16" s="35"/>
      <c r="J16" s="34"/>
      <c r="K16" s="35"/>
      <c r="L16" s="35"/>
      <c r="M16" s="24"/>
      <c r="N16" s="34"/>
      <c r="O16" s="35"/>
      <c r="P16" s="24"/>
      <c r="Q16" s="22"/>
      <c r="R16" s="22"/>
      <c r="S16" s="22"/>
      <c r="T16" s="34"/>
      <c r="U16" s="35"/>
      <c r="V16" s="35"/>
      <c r="W16" s="34"/>
      <c r="X16" s="35"/>
      <c r="Y16" s="35"/>
      <c r="Z16" s="34"/>
      <c r="AA16" s="35"/>
      <c r="AB16" s="35"/>
      <c r="AC16" s="34"/>
      <c r="AD16" s="35"/>
      <c r="AE16" s="35"/>
      <c r="AF16" s="34"/>
      <c r="AG16" s="35"/>
      <c r="AH16" s="35"/>
      <c r="AI16" s="34"/>
      <c r="AJ16" s="35"/>
      <c r="AK16" s="35"/>
      <c r="AL16" s="34"/>
      <c r="AM16" s="35"/>
      <c r="AN16" s="35"/>
      <c r="AO16" s="34">
        <v>97</v>
      </c>
      <c r="AP16" s="22">
        <f t="shared" ref="AP16" si="15">AQ16/(AO16*1000)</f>
        <v>3.1958762886597939E-4</v>
      </c>
      <c r="AQ16" s="35">
        <v>31</v>
      </c>
      <c r="AR16" s="34">
        <v>89</v>
      </c>
      <c r="AS16" s="22">
        <f t="shared" si="14"/>
        <v>3.5955056179775286E-5</v>
      </c>
      <c r="AT16" s="35">
        <v>3.2</v>
      </c>
      <c r="AU16" s="34"/>
      <c r="AV16" s="35"/>
      <c r="AW16" s="35"/>
      <c r="AX16" s="34"/>
      <c r="AY16" s="35"/>
      <c r="AZ16" s="35"/>
      <c r="BA16" s="34"/>
      <c r="BB16" s="35"/>
      <c r="BC16" s="35"/>
      <c r="BD16" s="34"/>
      <c r="BE16" s="35"/>
      <c r="BF16" s="35"/>
      <c r="BG16" s="34"/>
      <c r="BH16" s="35"/>
      <c r="BI16" s="35"/>
      <c r="BJ16" s="34">
        <v>26</v>
      </c>
      <c r="BK16" s="35">
        <f>BL16/(BJ16*1000)</f>
        <v>2.9585798816568051E-3</v>
      </c>
      <c r="BL16" s="53">
        <f>(2/26)*1000</f>
        <v>76.923076923076934</v>
      </c>
      <c r="BM16" s="34">
        <v>459</v>
      </c>
      <c r="BN16" s="35">
        <f>BO16/(BM16*1000)</f>
        <v>5.1416122004357292E-6</v>
      </c>
      <c r="BO16" s="35">
        <v>2.36</v>
      </c>
      <c r="BP16" s="34"/>
      <c r="BQ16" s="35"/>
      <c r="BR16" s="24"/>
      <c r="BS16" s="54">
        <f t="shared" si="11"/>
        <v>8.2981604472574897E-4</v>
      </c>
      <c r="BT16" s="54">
        <f t="shared" si="12"/>
        <v>1.7777134252287732E-4</v>
      </c>
      <c r="BU16" s="102">
        <f t="shared" si="6"/>
        <v>5.1416122004357292E-6</v>
      </c>
      <c r="BV16" s="102">
        <f t="shared" si="7"/>
        <v>2.9585798816568051E-3</v>
      </c>
      <c r="BW16" s="49">
        <f t="shared" si="8"/>
        <v>671</v>
      </c>
    </row>
    <row r="17" spans="1:75" x14ac:dyDescent="0.35">
      <c r="A17" s="19" t="s">
        <v>30</v>
      </c>
      <c r="B17" s="43"/>
      <c r="C17" s="44"/>
      <c r="D17" s="45"/>
      <c r="E17" s="35"/>
      <c r="F17" s="34">
        <v>0.3821</v>
      </c>
      <c r="G17" s="35">
        <v>219</v>
      </c>
      <c r="H17" s="35">
        <f>I17/(G17*1000)</f>
        <v>1.2602739726027396E-5</v>
      </c>
      <c r="I17" s="35">
        <v>2.76</v>
      </c>
      <c r="J17" s="34"/>
      <c r="K17" s="35"/>
      <c r="L17" s="35"/>
      <c r="M17" s="24"/>
      <c r="N17" s="34"/>
      <c r="O17" s="35"/>
      <c r="P17" s="24"/>
      <c r="Q17" s="22"/>
      <c r="R17" s="22"/>
      <c r="S17" s="22"/>
      <c r="T17" s="34"/>
      <c r="U17" s="35"/>
      <c r="V17" s="35"/>
      <c r="W17" s="34"/>
      <c r="X17" s="35"/>
      <c r="Y17" s="35"/>
      <c r="Z17" s="34"/>
      <c r="AA17" s="35"/>
      <c r="AB17" s="35"/>
      <c r="AC17" s="34"/>
      <c r="AD17" s="35"/>
      <c r="AE17" s="35"/>
      <c r="AF17" s="34"/>
      <c r="AG17" s="35"/>
      <c r="AH17" s="35"/>
      <c r="AI17" s="34"/>
      <c r="AJ17" s="35"/>
      <c r="AK17" s="35"/>
      <c r="AL17" s="34"/>
      <c r="AM17" s="35"/>
      <c r="AN17" s="35"/>
      <c r="AO17" s="34"/>
      <c r="AP17" s="35"/>
      <c r="AQ17" s="35"/>
      <c r="AR17" s="34">
        <v>197</v>
      </c>
      <c r="AS17" s="22">
        <f t="shared" si="14"/>
        <v>1.4213197969543148E-6</v>
      </c>
      <c r="AT17" s="35">
        <v>0.28000000000000003</v>
      </c>
      <c r="AU17" s="34">
        <f>SUM(15, 34, 117, 145, 275, 18, 14, 104, 10, 248)</f>
        <v>980</v>
      </c>
      <c r="AV17" s="35">
        <f>AW17/(AU17*1000)</f>
        <v>3.306122448979592E-6</v>
      </c>
      <c r="AW17" s="35">
        <v>3.24</v>
      </c>
      <c r="AX17" s="34">
        <v>518</v>
      </c>
      <c r="AY17" s="35">
        <f>AZ17/(AX17*1000)</f>
        <v>2.0463320463320464E-6</v>
      </c>
      <c r="AZ17" s="35">
        <v>1.06</v>
      </c>
      <c r="BA17" s="34"/>
      <c r="BB17" s="35"/>
      <c r="BC17" s="35"/>
      <c r="BD17" s="34"/>
      <c r="BE17" s="35"/>
      <c r="BF17" s="35"/>
      <c r="BG17" s="34"/>
      <c r="BH17" s="35"/>
      <c r="BI17" s="35"/>
      <c r="BJ17" s="34"/>
      <c r="BK17" s="35"/>
      <c r="BL17" s="35"/>
      <c r="BM17" s="34"/>
      <c r="BN17" s="35"/>
      <c r="BO17" s="35"/>
      <c r="BP17" s="34"/>
      <c r="BQ17" s="35"/>
      <c r="BR17" s="24"/>
      <c r="BS17" s="54">
        <f t="shared" si="11"/>
        <v>4.8441285045733371E-6</v>
      </c>
      <c r="BT17" s="54">
        <f t="shared" si="12"/>
        <v>2.6762272476558192E-6</v>
      </c>
      <c r="BU17" s="102">
        <f t="shared" si="6"/>
        <v>1.4213197969543148E-6</v>
      </c>
      <c r="BV17" s="102">
        <f t="shared" si="7"/>
        <v>1.2602739726027396E-5</v>
      </c>
      <c r="BW17" s="49">
        <f t="shared" si="8"/>
        <v>1914</v>
      </c>
    </row>
    <row r="18" spans="1:75" x14ac:dyDescent="0.35">
      <c r="A18" s="19" t="s">
        <v>31</v>
      </c>
      <c r="B18" s="43"/>
      <c r="C18" s="44"/>
      <c r="D18" s="45"/>
      <c r="E18" s="35"/>
      <c r="F18" s="34">
        <v>0.33739999999999998</v>
      </c>
      <c r="G18" s="35">
        <v>26</v>
      </c>
      <c r="H18" s="35">
        <f>I18/(G18*1000)</f>
        <v>2.2153846153846152E-4</v>
      </c>
      <c r="I18" s="35">
        <v>5.76</v>
      </c>
      <c r="J18" s="34"/>
      <c r="K18" s="35"/>
      <c r="L18" s="35"/>
      <c r="M18" s="24"/>
      <c r="N18" s="34"/>
      <c r="O18" s="35"/>
      <c r="P18" s="24"/>
      <c r="Q18" s="22"/>
      <c r="R18" s="22"/>
      <c r="S18" s="22"/>
      <c r="T18" s="34"/>
      <c r="U18" s="35"/>
      <c r="V18" s="35"/>
      <c r="W18" s="34"/>
      <c r="X18" s="35"/>
      <c r="Y18" s="35"/>
      <c r="Z18" s="34"/>
      <c r="AA18" s="35"/>
      <c r="AB18" s="35"/>
      <c r="AC18" s="34"/>
      <c r="AD18" s="35"/>
      <c r="AE18" s="35"/>
      <c r="AF18" s="34"/>
      <c r="AG18" s="35"/>
      <c r="AH18" s="35"/>
      <c r="AI18" s="34"/>
      <c r="AJ18" s="35"/>
      <c r="AK18" s="35"/>
      <c r="AL18" s="34"/>
      <c r="AM18" s="35"/>
      <c r="AN18" s="35"/>
      <c r="AO18" s="34"/>
      <c r="AP18" s="35"/>
      <c r="AQ18" s="35"/>
      <c r="AR18" s="34">
        <f>361-AR17</f>
        <v>164</v>
      </c>
      <c r="AS18" s="22">
        <f t="shared" si="14"/>
        <v>2.2560975609756099E-5</v>
      </c>
      <c r="AT18" s="35">
        <v>3.7</v>
      </c>
      <c r="AU18" s="34">
        <f>SUM(36, 18, 33, 57, 87, 197, 518, 232, 16, 14, 88, 62, 48)</f>
        <v>1406</v>
      </c>
      <c r="AV18" s="35">
        <f>AW18/(AU18*1000)</f>
        <v>4.6941678520625887E-6</v>
      </c>
      <c r="AW18" s="35">
        <v>6.6</v>
      </c>
      <c r="AX18" s="34">
        <f>SUM(197, 275)</f>
        <v>472</v>
      </c>
      <c r="AY18" s="35">
        <f>AZ18/(AX18*1000)</f>
        <v>4.8516949152542377E-6</v>
      </c>
      <c r="AZ18" s="35">
        <v>2.29</v>
      </c>
      <c r="BA18" s="34"/>
      <c r="BB18" s="35"/>
      <c r="BC18" s="35"/>
      <c r="BD18" s="34"/>
      <c r="BE18" s="35"/>
      <c r="BF18" s="35"/>
      <c r="BG18" s="34"/>
      <c r="BH18" s="35"/>
      <c r="BI18" s="35"/>
      <c r="BJ18" s="34"/>
      <c r="BK18" s="35"/>
      <c r="BL18" s="35"/>
      <c r="BM18" s="34"/>
      <c r="BN18" s="35"/>
      <c r="BO18" s="35"/>
      <c r="BP18" s="34"/>
      <c r="BQ18" s="35"/>
      <c r="BR18" s="24"/>
      <c r="BS18" s="54">
        <f t="shared" si="11"/>
        <v>6.3411324978883613E-5</v>
      </c>
      <c r="BT18" s="54">
        <f t="shared" si="12"/>
        <v>1.3706335262505169E-5</v>
      </c>
      <c r="BU18" s="102">
        <f t="shared" si="6"/>
        <v>4.6941678520625887E-6</v>
      </c>
      <c r="BV18" s="102">
        <f t="shared" si="7"/>
        <v>2.2153846153846152E-4</v>
      </c>
      <c r="BW18" s="49">
        <f t="shared" si="8"/>
        <v>2068</v>
      </c>
    </row>
    <row r="19" spans="1:75" x14ac:dyDescent="0.35">
      <c r="A19" s="19" t="s">
        <v>32</v>
      </c>
      <c r="B19" s="43">
        <v>0.30399999999999999</v>
      </c>
      <c r="C19" s="45">
        <v>506</v>
      </c>
      <c r="D19" s="35">
        <f>E19/(C19*1000)</f>
        <v>4.2490118577075101E-5</v>
      </c>
      <c r="E19" s="35">
        <v>21.5</v>
      </c>
      <c r="F19" s="34"/>
      <c r="G19" s="35"/>
      <c r="H19" s="35"/>
      <c r="I19" s="35"/>
      <c r="J19" s="34"/>
      <c r="K19" s="35"/>
      <c r="L19" s="35"/>
      <c r="M19" s="24"/>
      <c r="N19" s="34"/>
      <c r="O19" s="35"/>
      <c r="P19" s="24"/>
      <c r="Q19" s="22"/>
      <c r="R19" s="22"/>
      <c r="S19" s="22"/>
      <c r="T19" s="34"/>
      <c r="U19" s="35"/>
      <c r="V19" s="35"/>
      <c r="W19" s="34"/>
      <c r="X19" s="35"/>
      <c r="Y19" s="35"/>
      <c r="Z19" s="34"/>
      <c r="AA19" s="35"/>
      <c r="AB19" s="35"/>
      <c r="AC19" s="34"/>
      <c r="AD19" s="35"/>
      <c r="AE19" s="35"/>
      <c r="AF19" s="34"/>
      <c r="AG19" s="35"/>
      <c r="AH19" s="35"/>
      <c r="AI19" s="34"/>
      <c r="AJ19" s="35"/>
      <c r="AK19" s="35"/>
      <c r="AL19" s="34"/>
      <c r="AM19" s="35"/>
      <c r="AN19" s="35"/>
      <c r="AO19" s="34"/>
      <c r="AP19" s="35"/>
      <c r="AQ19" s="35"/>
      <c r="AR19" s="34"/>
      <c r="AS19" s="35"/>
      <c r="AT19" s="35"/>
      <c r="AU19" s="34"/>
      <c r="AV19" s="35"/>
      <c r="AW19" s="35"/>
      <c r="AX19" s="34"/>
      <c r="AY19" s="35"/>
      <c r="AZ19" s="35"/>
      <c r="BA19" s="34"/>
      <c r="BB19" s="35"/>
      <c r="BC19" s="35"/>
      <c r="BD19" s="34"/>
      <c r="BE19" s="35"/>
      <c r="BF19" s="35"/>
      <c r="BG19" s="34"/>
      <c r="BH19" s="35"/>
      <c r="BI19" s="35"/>
      <c r="BJ19" s="34"/>
      <c r="BK19" s="35"/>
      <c r="BL19" s="35"/>
      <c r="BM19" s="34"/>
      <c r="BN19" s="35"/>
      <c r="BO19" s="35"/>
      <c r="BP19" s="34"/>
      <c r="BQ19" s="35"/>
      <c r="BR19" s="24"/>
      <c r="BS19" s="54">
        <f t="shared" si="11"/>
        <v>4.2490118577075101E-5</v>
      </c>
      <c r="BT19" s="54">
        <f t="shared" si="12"/>
        <v>4.2490118577075101E-5</v>
      </c>
      <c r="BU19" s="102">
        <f t="shared" si="6"/>
        <v>4.2490118577075101E-5</v>
      </c>
      <c r="BV19" s="102">
        <f t="shared" si="7"/>
        <v>4.2490118577075101E-5</v>
      </c>
      <c r="BW19" s="49">
        <f t="shared" si="8"/>
        <v>506</v>
      </c>
    </row>
    <row r="20" spans="1:75" x14ac:dyDescent="0.35">
      <c r="A20" s="19" t="s">
        <v>33</v>
      </c>
      <c r="B20" s="43">
        <v>8.5000000000000006E-2</v>
      </c>
      <c r="C20" s="45">
        <v>252</v>
      </c>
      <c r="D20" s="35">
        <f>E20/(C20*1000)</f>
        <v>4.3174603174603174E-4</v>
      </c>
      <c r="E20" s="35">
        <v>108.8</v>
      </c>
      <c r="F20" s="34"/>
      <c r="G20" s="35"/>
      <c r="H20" s="35"/>
      <c r="I20" s="35"/>
      <c r="J20" s="34"/>
      <c r="K20" s="35"/>
      <c r="L20" s="35"/>
      <c r="M20" s="24"/>
      <c r="N20" s="34"/>
      <c r="O20" s="35"/>
      <c r="P20" s="24"/>
      <c r="Q20" s="22"/>
      <c r="R20" s="22"/>
      <c r="S20" s="22"/>
      <c r="T20" s="34"/>
      <c r="U20" s="35"/>
      <c r="V20" s="35"/>
      <c r="W20" s="34"/>
      <c r="X20" s="35"/>
      <c r="Y20" s="35"/>
      <c r="Z20" s="34"/>
      <c r="AA20" s="35"/>
      <c r="AB20" s="35"/>
      <c r="AC20" s="34"/>
      <c r="AD20" s="35"/>
      <c r="AE20" s="35"/>
      <c r="AF20" s="34"/>
      <c r="AG20" s="35"/>
      <c r="AH20" s="35"/>
      <c r="AI20" s="34"/>
      <c r="AJ20" s="35"/>
      <c r="AK20" s="35"/>
      <c r="AL20" s="34"/>
      <c r="AM20" s="35"/>
      <c r="AN20" s="35"/>
      <c r="AO20" s="34"/>
      <c r="AP20" s="35"/>
      <c r="AQ20" s="35"/>
      <c r="AR20" s="34"/>
      <c r="AS20" s="35"/>
      <c r="AT20" s="35"/>
      <c r="AU20" s="34"/>
      <c r="AV20" s="35"/>
      <c r="AW20" s="35"/>
      <c r="AX20" s="34"/>
      <c r="AY20" s="35"/>
      <c r="AZ20" s="35"/>
      <c r="BA20" s="34"/>
      <c r="BB20" s="35"/>
      <c r="BC20" s="35"/>
      <c r="BD20" s="34"/>
      <c r="BE20" s="35"/>
      <c r="BF20" s="35"/>
      <c r="BG20" s="34"/>
      <c r="BH20" s="35"/>
      <c r="BI20" s="35"/>
      <c r="BJ20" s="34"/>
      <c r="BK20" s="35"/>
      <c r="BL20" s="35"/>
      <c r="BM20" s="34"/>
      <c r="BN20" s="35"/>
      <c r="BO20" s="35"/>
      <c r="BP20" s="34"/>
      <c r="BQ20" s="35"/>
      <c r="BR20" s="24"/>
      <c r="BS20" s="54">
        <f>AVERAGE(D20,H20,L20,O20,R20,U20,X20,AA20,AD20,AG20,AJ20,AM20,AP20,AS20,AV20,AY20,BB20,BE20,BH20,BK20,BN20,BQ20)</f>
        <v>4.3174603174603174E-4</v>
      </c>
      <c r="BT20" s="54">
        <f>MEDIAN(D20,H20,L20,O20,R20,U20,X20,AA20,AD20,AG20,AJ20,AM20,AP20,AS20,AV20,AY20,BB20,BE20,BH20,BK20,BN20,BQ20)</f>
        <v>4.3174603174603174E-4</v>
      </c>
      <c r="BU20" s="102">
        <f t="shared" si="6"/>
        <v>4.3174603174603174E-4</v>
      </c>
      <c r="BV20" s="102">
        <f t="shared" si="7"/>
        <v>4.3174603174603174E-4</v>
      </c>
      <c r="BW20" s="49">
        <f t="shared" si="8"/>
        <v>252</v>
      </c>
    </row>
    <row r="21" spans="1:75" x14ac:dyDescent="0.35">
      <c r="A21" s="103" t="s">
        <v>34</v>
      </c>
      <c r="B21" s="112"/>
      <c r="C21" s="105"/>
      <c r="D21" s="105"/>
      <c r="E21" s="108"/>
      <c r="F21" s="107"/>
      <c r="G21" s="108"/>
      <c r="H21" s="108"/>
      <c r="I21" s="108"/>
      <c r="J21" s="107"/>
      <c r="K21" s="108"/>
      <c r="L21" s="108"/>
      <c r="M21" s="106"/>
      <c r="N21" s="107"/>
      <c r="O21" s="108"/>
      <c r="P21" s="106"/>
      <c r="Q21" s="109"/>
      <c r="R21" s="109"/>
      <c r="S21" s="109"/>
      <c r="T21" s="107"/>
      <c r="U21" s="108"/>
      <c r="V21" s="108"/>
      <c r="W21" s="107"/>
      <c r="X21" s="108"/>
      <c r="Y21" s="108"/>
      <c r="Z21" s="107"/>
      <c r="AA21" s="108"/>
      <c r="AB21" s="108"/>
      <c r="AC21" s="107"/>
      <c r="AD21" s="108"/>
      <c r="AE21" s="108"/>
      <c r="AF21" s="107"/>
      <c r="AG21" s="108"/>
      <c r="AH21" s="108"/>
      <c r="AI21" s="107"/>
      <c r="AJ21" s="108"/>
      <c r="AK21" s="108"/>
      <c r="AL21" s="107"/>
      <c r="AM21" s="108"/>
      <c r="AN21" s="108"/>
      <c r="AO21" s="107"/>
      <c r="AP21" s="108"/>
      <c r="AQ21" s="108"/>
      <c r="AR21" s="107"/>
      <c r="AS21" s="108"/>
      <c r="AT21" s="108"/>
      <c r="AU21" s="107"/>
      <c r="AV21" s="108"/>
      <c r="AW21" s="108"/>
      <c r="AX21" s="107"/>
      <c r="AY21" s="108"/>
      <c r="AZ21" s="108"/>
      <c r="BA21" s="107"/>
      <c r="BB21" s="108"/>
      <c r="BC21" s="108"/>
      <c r="BD21" s="107"/>
      <c r="BE21" s="108"/>
      <c r="BF21" s="108"/>
      <c r="BG21" s="107"/>
      <c r="BH21" s="108"/>
      <c r="BI21" s="108"/>
      <c r="BJ21" s="107"/>
      <c r="BK21" s="108"/>
      <c r="BL21" s="108"/>
      <c r="BM21" s="107"/>
      <c r="BN21" s="108"/>
      <c r="BO21" s="108"/>
      <c r="BP21" s="107"/>
      <c r="BQ21" s="108"/>
      <c r="BR21" s="106"/>
      <c r="BS21" s="55"/>
      <c r="BT21" s="55"/>
      <c r="BU21" s="110">
        <f t="shared" si="6"/>
        <v>0</v>
      </c>
      <c r="BV21" s="110">
        <f t="shared" si="7"/>
        <v>0</v>
      </c>
      <c r="BW21" s="111">
        <f t="shared" si="8"/>
        <v>0</v>
      </c>
    </row>
    <row r="22" spans="1:75" x14ac:dyDescent="0.35">
      <c r="A22" s="103" t="s">
        <v>35</v>
      </c>
      <c r="B22" s="112"/>
      <c r="C22" s="105"/>
      <c r="D22" s="105"/>
      <c r="E22" s="108"/>
      <c r="F22" s="107"/>
      <c r="G22" s="108"/>
      <c r="H22" s="108"/>
      <c r="I22" s="108"/>
      <c r="J22" s="107"/>
      <c r="K22" s="108"/>
      <c r="L22" s="108"/>
      <c r="M22" s="106"/>
      <c r="N22" s="107"/>
      <c r="O22" s="108"/>
      <c r="P22" s="106"/>
      <c r="Q22" s="109"/>
      <c r="R22" s="109"/>
      <c r="S22" s="109"/>
      <c r="T22" s="107"/>
      <c r="U22" s="108"/>
      <c r="V22" s="108"/>
      <c r="W22" s="107"/>
      <c r="X22" s="108"/>
      <c r="Y22" s="108"/>
      <c r="Z22" s="107"/>
      <c r="AA22" s="108"/>
      <c r="AB22" s="108"/>
      <c r="AC22" s="107"/>
      <c r="AD22" s="108"/>
      <c r="AE22" s="108"/>
      <c r="AF22" s="107"/>
      <c r="AG22" s="108"/>
      <c r="AH22" s="108"/>
      <c r="AI22" s="107"/>
      <c r="AJ22" s="108"/>
      <c r="AK22" s="108"/>
      <c r="AL22" s="107"/>
      <c r="AM22" s="108"/>
      <c r="AN22" s="108"/>
      <c r="AO22" s="107"/>
      <c r="AP22" s="108"/>
      <c r="AQ22" s="108"/>
      <c r="AR22" s="107"/>
      <c r="AS22" s="108"/>
      <c r="AT22" s="108"/>
      <c r="AU22" s="107"/>
      <c r="AV22" s="108"/>
      <c r="AW22" s="108"/>
      <c r="AX22" s="107"/>
      <c r="AY22" s="108"/>
      <c r="AZ22" s="108"/>
      <c r="BA22" s="107"/>
      <c r="BB22" s="108"/>
      <c r="BC22" s="108"/>
      <c r="BD22" s="107"/>
      <c r="BE22" s="108"/>
      <c r="BF22" s="108"/>
      <c r="BG22" s="107"/>
      <c r="BH22" s="108"/>
      <c r="BI22" s="108"/>
      <c r="BJ22" s="107"/>
      <c r="BK22" s="108"/>
      <c r="BL22" s="108"/>
      <c r="BM22" s="107"/>
      <c r="BN22" s="108"/>
      <c r="BO22" s="108"/>
      <c r="BP22" s="107"/>
      <c r="BQ22" s="108"/>
      <c r="BR22" s="106"/>
      <c r="BS22" s="55"/>
      <c r="BT22" s="55"/>
      <c r="BU22" s="110">
        <f t="shared" si="6"/>
        <v>0</v>
      </c>
      <c r="BV22" s="110">
        <f t="shared" si="7"/>
        <v>0</v>
      </c>
      <c r="BW22" s="111">
        <f t="shared" si="8"/>
        <v>0</v>
      </c>
    </row>
    <row r="23" spans="1:75" x14ac:dyDescent="0.35">
      <c r="A23" s="19" t="s">
        <v>36</v>
      </c>
      <c r="B23" s="43">
        <v>5.3999999999999999E-2</v>
      </c>
      <c r="C23" s="45">
        <v>163</v>
      </c>
      <c r="D23" s="35">
        <f>E23/(C23*1000)</f>
        <v>3.3361963190184046E-3</v>
      </c>
      <c r="E23" s="35">
        <v>543.79999999999995</v>
      </c>
      <c r="F23" s="34"/>
      <c r="G23" s="35"/>
      <c r="H23" s="35"/>
      <c r="I23" s="35"/>
      <c r="J23" s="34"/>
      <c r="K23" s="35"/>
      <c r="L23" s="35"/>
      <c r="M23" s="24"/>
      <c r="N23" s="34"/>
      <c r="O23" s="35"/>
      <c r="P23" s="24"/>
      <c r="Q23" s="22"/>
      <c r="R23" s="22"/>
      <c r="S23" s="22"/>
      <c r="T23" s="34"/>
      <c r="U23" s="35"/>
      <c r="V23" s="35"/>
      <c r="W23" s="34"/>
      <c r="X23" s="35"/>
      <c r="Y23" s="35"/>
      <c r="Z23" s="34"/>
      <c r="AA23" s="35"/>
      <c r="AB23" s="35"/>
      <c r="AC23" s="34"/>
      <c r="AD23" s="35"/>
      <c r="AE23" s="35"/>
      <c r="AF23" s="34"/>
      <c r="AG23" s="35"/>
      <c r="AH23" s="35"/>
      <c r="AI23" s="34"/>
      <c r="AJ23" s="35"/>
      <c r="AK23" s="35"/>
      <c r="AL23" s="34"/>
      <c r="AM23" s="35"/>
      <c r="AN23" s="35"/>
      <c r="AO23" s="34"/>
      <c r="AP23" s="35"/>
      <c r="AQ23" s="35"/>
      <c r="AR23" s="34"/>
      <c r="AS23" s="35"/>
      <c r="AT23" s="35"/>
      <c r="AU23" s="34"/>
      <c r="AV23" s="35"/>
      <c r="AW23" s="35"/>
      <c r="AX23" s="34"/>
      <c r="AY23" s="35"/>
      <c r="AZ23" s="35"/>
      <c r="BA23" s="34"/>
      <c r="BB23" s="35"/>
      <c r="BC23" s="35"/>
      <c r="BD23" s="34"/>
      <c r="BE23" s="35"/>
      <c r="BF23" s="35"/>
      <c r="BG23" s="34"/>
      <c r="BH23" s="35"/>
      <c r="BI23" s="35"/>
      <c r="BJ23" s="34"/>
      <c r="BK23" s="35"/>
      <c r="BL23" s="35"/>
      <c r="BM23" s="34"/>
      <c r="BN23" s="35"/>
      <c r="BO23" s="35"/>
      <c r="BP23" s="34"/>
      <c r="BQ23" s="35"/>
      <c r="BR23" s="24"/>
      <c r="BS23" s="54">
        <f t="shared" si="11"/>
        <v>3.3361963190184046E-3</v>
      </c>
      <c r="BT23" s="54">
        <f t="shared" si="12"/>
        <v>3.3361963190184046E-3</v>
      </c>
      <c r="BU23" s="102">
        <f t="shared" si="6"/>
        <v>3.3361963190184046E-3</v>
      </c>
      <c r="BV23" s="102">
        <f t="shared" si="7"/>
        <v>3.3361963190184046E-3</v>
      </c>
      <c r="BW23" s="49">
        <f t="shared" si="8"/>
        <v>163</v>
      </c>
    </row>
    <row r="24" spans="1:75" x14ac:dyDescent="0.35">
      <c r="B24" s="43"/>
      <c r="C24" s="39"/>
      <c r="D24" s="45"/>
      <c r="E24" s="35"/>
      <c r="F24" s="34"/>
      <c r="G24" s="35"/>
      <c r="H24" s="35"/>
      <c r="I24" s="35"/>
      <c r="J24" s="34"/>
      <c r="K24" s="35"/>
      <c r="L24" s="35"/>
      <c r="M24" s="24"/>
      <c r="N24" s="34"/>
      <c r="O24" s="35"/>
      <c r="P24" s="24"/>
      <c r="Q24" s="22"/>
      <c r="R24" s="22"/>
      <c r="S24" s="22"/>
      <c r="T24" s="34"/>
      <c r="U24" s="35"/>
      <c r="V24" s="35"/>
      <c r="W24" s="34"/>
      <c r="X24" s="35"/>
      <c r="Y24" s="35"/>
      <c r="Z24" s="34"/>
      <c r="AA24" s="35"/>
      <c r="AB24" s="35"/>
      <c r="AC24" s="34"/>
      <c r="AD24" s="35"/>
      <c r="AE24" s="35"/>
      <c r="AF24" s="34"/>
      <c r="AG24" s="35"/>
      <c r="AH24" s="35"/>
      <c r="AI24" s="34"/>
      <c r="AJ24" s="35"/>
      <c r="AK24" s="35"/>
      <c r="AL24" s="34"/>
      <c r="AM24" s="35"/>
      <c r="AN24" s="35"/>
      <c r="AO24" s="34"/>
      <c r="AP24" s="35"/>
      <c r="AQ24" s="35"/>
      <c r="AR24" s="34"/>
      <c r="AS24" s="35"/>
      <c r="AT24" s="35"/>
      <c r="AU24" s="34"/>
      <c r="AV24" s="35"/>
      <c r="AW24" s="35"/>
      <c r="AX24" s="34"/>
      <c r="AY24" s="35"/>
      <c r="AZ24" s="35"/>
      <c r="BA24" s="34"/>
      <c r="BB24" s="35"/>
      <c r="BC24" s="35"/>
      <c r="BD24" s="34"/>
      <c r="BE24" s="35"/>
      <c r="BF24" s="35"/>
      <c r="BG24" s="34"/>
      <c r="BH24" s="35"/>
      <c r="BI24" s="35"/>
      <c r="BJ24" s="34"/>
      <c r="BK24" s="35"/>
      <c r="BL24" s="35"/>
      <c r="BM24" s="34"/>
      <c r="BN24" s="35"/>
      <c r="BO24" s="35"/>
      <c r="BP24" s="34"/>
      <c r="BQ24" s="35"/>
      <c r="BR24" s="24"/>
      <c r="BS24" s="22"/>
      <c r="BT24" s="22"/>
      <c r="BU24" s="22"/>
      <c r="BV24" s="22"/>
    </row>
    <row r="25" spans="1:75" ht="29" x14ac:dyDescent="0.35">
      <c r="A25" s="19" t="s">
        <v>41</v>
      </c>
      <c r="B25" s="43"/>
      <c r="C25" s="44"/>
      <c r="D25" s="45"/>
      <c r="E25" s="39"/>
      <c r="F25" s="38"/>
      <c r="G25" s="39"/>
      <c r="H25" s="39"/>
      <c r="I25" s="39"/>
      <c r="J25" s="38"/>
      <c r="K25" s="39"/>
      <c r="L25" s="39"/>
      <c r="M25" s="41" t="s">
        <v>42</v>
      </c>
      <c r="N25" s="36"/>
      <c r="O25" s="37"/>
      <c r="P25" s="41" t="s">
        <v>44</v>
      </c>
      <c r="Q25" s="21"/>
      <c r="R25" s="21"/>
      <c r="T25" s="38"/>
      <c r="U25" s="39"/>
      <c r="V25" s="39"/>
      <c r="W25" s="38"/>
      <c r="X25" s="39"/>
      <c r="Y25" s="39"/>
      <c r="Z25" s="38"/>
      <c r="AA25" s="39"/>
      <c r="AB25" s="39"/>
      <c r="AC25" s="38"/>
      <c r="AD25" s="39"/>
      <c r="AE25" s="39"/>
      <c r="AF25" s="38"/>
      <c r="AG25" s="39"/>
      <c r="AH25" s="39"/>
      <c r="AI25" s="38"/>
      <c r="AJ25" s="39"/>
      <c r="AK25" s="39"/>
      <c r="AL25" s="38"/>
      <c r="AM25" s="39"/>
      <c r="AN25" s="39"/>
      <c r="AO25" s="38"/>
      <c r="AP25" s="39"/>
      <c r="AQ25" s="39"/>
      <c r="AR25" s="38"/>
      <c r="AS25" s="39"/>
      <c r="AT25" s="39"/>
      <c r="AU25" s="38"/>
      <c r="AV25" s="39"/>
      <c r="AW25" s="39"/>
      <c r="AX25" s="38"/>
      <c r="AY25" s="39"/>
      <c r="AZ25" s="39"/>
      <c r="BA25" s="38"/>
      <c r="BB25" s="39"/>
      <c r="BC25" s="39"/>
      <c r="BD25" s="38"/>
      <c r="BE25" s="39"/>
      <c r="BF25" s="39"/>
      <c r="BG25" s="38"/>
      <c r="BH25" s="39"/>
      <c r="BI25" s="39"/>
      <c r="BJ25" s="124" t="s">
        <v>80</v>
      </c>
      <c r="BK25" s="125"/>
      <c r="BL25" s="126"/>
      <c r="BM25" s="124" t="s">
        <v>81</v>
      </c>
      <c r="BN25" s="125"/>
      <c r="BO25" s="126"/>
      <c r="BP25" s="38"/>
      <c r="BQ25" s="39"/>
      <c r="BR25" s="23"/>
    </row>
    <row r="26" spans="1:75" x14ac:dyDescent="0.35">
      <c r="B26" s="43"/>
      <c r="C26" s="39"/>
      <c r="D26" s="45"/>
      <c r="E26" s="39"/>
      <c r="F26" s="38"/>
      <c r="G26" s="39"/>
      <c r="H26" s="39"/>
      <c r="I26" s="39"/>
      <c r="J26" s="38"/>
      <c r="K26" s="39"/>
      <c r="L26" s="39"/>
      <c r="M26" s="23"/>
      <c r="N26" s="38"/>
      <c r="O26" s="39"/>
      <c r="P26" s="23"/>
      <c r="T26" s="38"/>
      <c r="U26" s="39"/>
      <c r="V26" s="39"/>
      <c r="W26" s="38"/>
      <c r="X26" s="39"/>
      <c r="Y26" s="39"/>
      <c r="Z26" s="38"/>
      <c r="AA26" s="39"/>
      <c r="AB26" s="39"/>
      <c r="AC26" s="38"/>
      <c r="AD26" s="39"/>
      <c r="AE26" s="39"/>
      <c r="AF26" s="38"/>
      <c r="AG26" s="39"/>
      <c r="AH26" s="39"/>
      <c r="AI26" s="38"/>
      <c r="AJ26" s="39"/>
      <c r="AK26" s="39"/>
      <c r="AL26" s="38"/>
      <c r="AM26" s="39"/>
      <c r="AN26" s="39"/>
      <c r="AO26" s="38"/>
      <c r="AP26" s="39"/>
      <c r="AQ26" s="39"/>
      <c r="AR26" s="38"/>
      <c r="AS26" s="39"/>
      <c r="AT26" s="39"/>
      <c r="AU26" s="38"/>
      <c r="AV26" s="39"/>
      <c r="AW26" s="39"/>
      <c r="AX26" s="38"/>
      <c r="AY26" s="39"/>
      <c r="AZ26" s="39"/>
      <c r="BA26" s="38"/>
      <c r="BB26" s="39"/>
      <c r="BC26" s="39"/>
      <c r="BD26" s="38"/>
      <c r="BE26" s="39"/>
      <c r="BF26" s="39"/>
      <c r="BG26" s="38"/>
      <c r="BH26" s="39"/>
      <c r="BI26" s="39"/>
      <c r="BJ26" s="38"/>
      <c r="BK26" s="39"/>
      <c r="BL26" s="39"/>
      <c r="BM26" s="38"/>
      <c r="BN26" s="39"/>
      <c r="BO26" s="39"/>
      <c r="BP26" s="38"/>
      <c r="BQ26" s="39"/>
      <c r="BR26" s="23"/>
    </row>
    <row r="27" spans="1:75" x14ac:dyDescent="0.35">
      <c r="A27" s="20"/>
      <c r="B27" s="43"/>
      <c r="C27" s="45"/>
      <c r="D27" s="45"/>
      <c r="E27" s="39"/>
      <c r="F27" s="38"/>
      <c r="G27" s="39"/>
      <c r="H27" s="39"/>
      <c r="I27" s="39"/>
      <c r="J27" s="38"/>
      <c r="K27" s="39"/>
      <c r="L27" s="39"/>
      <c r="M27" s="23"/>
      <c r="N27" s="38"/>
      <c r="O27" s="39"/>
      <c r="P27" s="23"/>
      <c r="T27" s="38"/>
      <c r="U27" s="39"/>
      <c r="V27" s="39"/>
      <c r="W27" s="38"/>
      <c r="X27" s="39"/>
      <c r="Y27" s="39"/>
      <c r="Z27" s="38"/>
      <c r="AA27" s="39"/>
      <c r="AB27" s="39"/>
      <c r="AC27" s="38"/>
      <c r="AD27" s="39"/>
      <c r="AE27" s="39"/>
      <c r="AF27" s="38"/>
      <c r="AG27" s="39"/>
      <c r="AH27" s="39"/>
      <c r="AI27" s="38"/>
      <c r="AJ27" s="39"/>
      <c r="AK27" s="39"/>
      <c r="AL27" s="38"/>
      <c r="AM27" s="39"/>
      <c r="AN27" s="39"/>
      <c r="AO27" s="38"/>
      <c r="AP27" s="39"/>
      <c r="AQ27" s="39"/>
      <c r="AR27" s="38"/>
      <c r="AS27" s="39"/>
      <c r="AT27" s="39"/>
      <c r="AU27" s="38"/>
      <c r="AV27" s="39"/>
      <c r="AW27" s="39"/>
      <c r="AX27" s="38"/>
      <c r="AY27" s="39"/>
      <c r="AZ27" s="39"/>
      <c r="BA27" s="38"/>
      <c r="BB27" s="39"/>
      <c r="BC27" s="39"/>
      <c r="BD27" s="38"/>
      <c r="BE27" s="39"/>
      <c r="BF27" s="39"/>
      <c r="BG27" s="38"/>
      <c r="BH27" s="39"/>
      <c r="BI27" s="39"/>
      <c r="BJ27" s="38"/>
      <c r="BK27" s="39"/>
      <c r="BL27" s="39"/>
      <c r="BM27" s="38"/>
      <c r="BN27" s="39"/>
      <c r="BO27" s="39"/>
      <c r="BP27" s="38"/>
      <c r="BQ27" s="39"/>
      <c r="BR27" s="23"/>
    </row>
  </sheetData>
  <mergeCells count="67">
    <mergeCell ref="BM25:BO25"/>
    <mergeCell ref="BJ25:BL25"/>
    <mergeCell ref="C1:E1"/>
    <mergeCell ref="C2:E2"/>
    <mergeCell ref="C3:E3"/>
    <mergeCell ref="G1:I1"/>
    <mergeCell ref="G2:I2"/>
    <mergeCell ref="G3:I3"/>
    <mergeCell ref="K1:M1"/>
    <mergeCell ref="K2:M2"/>
    <mergeCell ref="K3:M3"/>
    <mergeCell ref="N1:P1"/>
    <mergeCell ref="N3:P3"/>
    <mergeCell ref="Q1:S1"/>
    <mergeCell ref="Q2:S2"/>
    <mergeCell ref="Q3:S3"/>
    <mergeCell ref="Z1:AB1"/>
    <mergeCell ref="Z2:AB2"/>
    <mergeCell ref="Z3:AB3"/>
    <mergeCell ref="T1:V1"/>
    <mergeCell ref="T2:V2"/>
    <mergeCell ref="T3:V3"/>
    <mergeCell ref="W1:Y1"/>
    <mergeCell ref="W2:Y2"/>
    <mergeCell ref="W3:Y3"/>
    <mergeCell ref="AC1:AE1"/>
    <mergeCell ref="AC2:AE2"/>
    <mergeCell ref="AC3:AE3"/>
    <mergeCell ref="AF1:AH1"/>
    <mergeCell ref="AF2:AH2"/>
    <mergeCell ref="AF3:AH3"/>
    <mergeCell ref="AI1:AK1"/>
    <mergeCell ref="AI2:AK2"/>
    <mergeCell ref="AI3:AK3"/>
    <mergeCell ref="AL1:AN1"/>
    <mergeCell ref="AL2:AN2"/>
    <mergeCell ref="AL3:AN3"/>
    <mergeCell ref="AO1:AQ1"/>
    <mergeCell ref="AO2:AQ2"/>
    <mergeCell ref="AO3:AQ3"/>
    <mergeCell ref="AR1:AT1"/>
    <mergeCell ref="AR2:AT2"/>
    <mergeCell ref="AR3:AT3"/>
    <mergeCell ref="AU1:AW1"/>
    <mergeCell ref="AU2:AW2"/>
    <mergeCell ref="AU3:AW3"/>
    <mergeCell ref="AX1:AZ1"/>
    <mergeCell ref="AX2:AZ2"/>
    <mergeCell ref="AX3:AZ3"/>
    <mergeCell ref="BA1:BC1"/>
    <mergeCell ref="BA2:BC2"/>
    <mergeCell ref="BA3:BC3"/>
    <mergeCell ref="BD1:BF1"/>
    <mergeCell ref="BD2:BF2"/>
    <mergeCell ref="BD3:BF3"/>
    <mergeCell ref="BG1:BI1"/>
    <mergeCell ref="BG2:BI2"/>
    <mergeCell ref="BG3:BI3"/>
    <mergeCell ref="BJ1:BL1"/>
    <mergeCell ref="BJ2:BL2"/>
    <mergeCell ref="BJ3:BL3"/>
    <mergeCell ref="BM1:BO1"/>
    <mergeCell ref="BM2:BO2"/>
    <mergeCell ref="BM3:BO3"/>
    <mergeCell ref="BP1:BR1"/>
    <mergeCell ref="BP2:BR2"/>
    <mergeCell ref="BP3:BR3"/>
  </mergeCells>
  <pageMargins left="0.7" right="0.7" top="0.75" bottom="0.75" header="0.3" footer="0.3"/>
  <pageSetup orientation="portrait" horizontalDpi="90" verticalDpi="9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131D-0E50-4924-A865-27112A306F73}">
  <dimension ref="A1:T89"/>
  <sheetViews>
    <sheetView tabSelected="1" topLeftCell="A82" zoomScale="145" workbookViewId="0">
      <pane xSplit="1" topLeftCell="Q1" activePane="topRight" state="frozen"/>
      <selection pane="topRight" activeCell="A84" sqref="A84"/>
    </sheetView>
  </sheetViews>
  <sheetFormatPr defaultRowHeight="14.5" x14ac:dyDescent="0.35"/>
  <cols>
    <col min="1" max="1" width="55.453125" bestFit="1" customWidth="1"/>
    <col min="2" max="2" width="8.36328125" bestFit="1" customWidth="1"/>
    <col min="3" max="3" width="11.54296875" customWidth="1"/>
    <col min="4" max="4" width="9.90625" bestFit="1" customWidth="1"/>
    <col min="5" max="5" width="7.81640625" bestFit="1" customWidth="1"/>
    <col min="6" max="6" width="11.81640625" bestFit="1" customWidth="1"/>
    <col min="7" max="7" width="11.08984375" bestFit="1" customWidth="1"/>
    <col min="8" max="8" width="10.90625" bestFit="1" customWidth="1"/>
    <col min="9" max="9" width="10.90625" customWidth="1"/>
    <col min="10" max="10" width="11.36328125" bestFit="1" customWidth="1"/>
    <col min="11" max="11" width="11.26953125" customWidth="1"/>
    <col min="12" max="12" width="11.08984375" customWidth="1"/>
    <col min="13" max="13" width="9.90625" bestFit="1" customWidth="1"/>
    <col min="14" max="14" width="11.7265625" bestFit="1" customWidth="1"/>
    <col min="17" max="17" width="11.08984375" customWidth="1"/>
    <col min="18" max="18" width="10.6328125" customWidth="1"/>
    <col min="19" max="19" width="10.54296875" customWidth="1"/>
    <col min="20" max="20" width="12.1796875" customWidth="1"/>
  </cols>
  <sheetData>
    <row r="1" spans="1:20" ht="87" x14ac:dyDescent="0.35">
      <c r="A1" s="1" t="s">
        <v>92</v>
      </c>
      <c r="B1" s="2" t="s">
        <v>95</v>
      </c>
      <c r="C1" s="2" t="s">
        <v>112</v>
      </c>
      <c r="D1" s="2" t="s">
        <v>93</v>
      </c>
      <c r="E1" s="94" t="s">
        <v>89</v>
      </c>
      <c r="F1" s="94" t="s">
        <v>94</v>
      </c>
      <c r="G1" s="94" t="s">
        <v>96</v>
      </c>
      <c r="H1" s="94" t="s">
        <v>97</v>
      </c>
      <c r="I1" s="95" t="s">
        <v>90</v>
      </c>
      <c r="J1" s="95" t="s">
        <v>98</v>
      </c>
      <c r="K1" s="95" t="s">
        <v>99</v>
      </c>
      <c r="L1" s="95" t="s">
        <v>100</v>
      </c>
      <c r="M1" s="113" t="s">
        <v>104</v>
      </c>
      <c r="N1" s="113" t="s">
        <v>105</v>
      </c>
      <c r="O1" s="113" t="s">
        <v>106</v>
      </c>
      <c r="P1" s="113" t="s">
        <v>107</v>
      </c>
      <c r="Q1" s="114" t="s">
        <v>108</v>
      </c>
      <c r="R1" s="114" t="s">
        <v>109</v>
      </c>
      <c r="S1" s="114" t="s">
        <v>110</v>
      </c>
      <c r="T1" s="114" t="s">
        <v>111</v>
      </c>
    </row>
    <row r="2" spans="1:20" x14ac:dyDescent="0.35">
      <c r="A2" s="58" t="s">
        <v>19</v>
      </c>
      <c r="B2" s="6">
        <v>170626</v>
      </c>
      <c r="C2" s="83">
        <f>B2/$B$21</f>
        <v>0.42023210221955137</v>
      </c>
      <c r="D2" s="6">
        <f>$D$21*C2</f>
        <v>420232.10221955139</v>
      </c>
      <c r="E2" s="56">
        <v>7.6486119309566625E-7</v>
      </c>
      <c r="F2" s="5">
        <f t="shared" ref="F2:F20" si="0">D2*E2</f>
        <v>0.32141922708074605</v>
      </c>
      <c r="G2" s="8">
        <f>F2/$F$21</f>
        <v>2.2413424492866416E-2</v>
      </c>
      <c r="H2" s="81">
        <f>F2/2</f>
        <v>0.16070961354037303</v>
      </c>
      <c r="I2" s="57">
        <v>7.6486119309566625E-7</v>
      </c>
      <c r="J2" s="5">
        <f t="shared" ref="J2:J20" si="1">I2*D2</f>
        <v>0.32141922708074605</v>
      </c>
      <c r="K2" s="8">
        <f>J2/$J$21</f>
        <v>2.2413424492866416E-2</v>
      </c>
      <c r="L2" s="81">
        <f>J2/2</f>
        <v>0.16070961354037303</v>
      </c>
      <c r="M2" s="57">
        <v>7.6486119309566625E-7</v>
      </c>
      <c r="N2" s="5">
        <f>D2*M2</f>
        <v>0.32141922708074605</v>
      </c>
      <c r="O2" s="8">
        <f>N2/$N$21</f>
        <v>2.2413424492866416E-2</v>
      </c>
      <c r="P2" s="81">
        <f>N2/2</f>
        <v>0.16070961354037303</v>
      </c>
      <c r="Q2" s="59">
        <v>2.2910616327847694E-6</v>
      </c>
      <c r="R2" s="59">
        <f>Q2*D2</f>
        <v>0.96277764625970153</v>
      </c>
      <c r="S2" s="8">
        <f>R2/$R$21</f>
        <v>1.2559046946773159E-2</v>
      </c>
      <c r="T2" s="81">
        <f>R2/2</f>
        <v>0.48138882312985076</v>
      </c>
    </row>
    <row r="3" spans="1:20" x14ac:dyDescent="0.35">
      <c r="A3" s="58" t="s">
        <v>88</v>
      </c>
      <c r="B3" s="6">
        <v>89143</v>
      </c>
      <c r="C3" s="83">
        <f t="shared" ref="C3:C20" si="2">B3/$B$21</f>
        <v>0.21954889810554937</v>
      </c>
      <c r="D3" s="6">
        <f t="shared" ref="D3:D20" si="3">$D$21*C3</f>
        <v>219548.89810554936</v>
      </c>
      <c r="E3" s="56">
        <v>2.3980429045533829E-5</v>
      </c>
      <c r="F3" s="5">
        <f t="shared" si="0"/>
        <v>5.2648767730452635</v>
      </c>
      <c r="G3" s="8">
        <f t="shared" ref="G3:G20" si="4">F3/$F$21</f>
        <v>0.36713397356049143</v>
      </c>
      <c r="H3" s="81">
        <f t="shared" ref="H3:H20" si="5">F3/2</f>
        <v>2.6324383865226317</v>
      </c>
      <c r="I3" s="57">
        <v>2.3980429045533829E-5</v>
      </c>
      <c r="J3" s="5">
        <f t="shared" si="1"/>
        <v>5.2648767730452635</v>
      </c>
      <c r="K3" s="8">
        <f t="shared" ref="K3:K20" si="6">J3/$J$21</f>
        <v>0.36713397356049143</v>
      </c>
      <c r="L3" s="81">
        <f t="shared" ref="L3:L20" si="7">J3/2</f>
        <v>2.6324383865226317</v>
      </c>
      <c r="M3" s="57">
        <v>2.3980429045533829E-5</v>
      </c>
      <c r="N3" s="5">
        <f t="shared" ref="N3:N20" si="8">D3*M3</f>
        <v>5.2648767730452635</v>
      </c>
      <c r="O3" s="8">
        <f t="shared" ref="O3:O20" si="9">N3/$N$21</f>
        <v>0.36713397356049143</v>
      </c>
      <c r="P3" s="81">
        <f t="shared" ref="P3:P20" si="10">N3/2</f>
        <v>2.6324383865226317</v>
      </c>
      <c r="Q3" s="59">
        <v>1.508910891089109E-4</v>
      </c>
      <c r="R3" s="59">
        <f t="shared" ref="R3:R20" si="11">Q3*D3</f>
        <v>33.127972347807649</v>
      </c>
      <c r="S3" s="8">
        <f>R3/$R$21</f>
        <v>0.43214106765342536</v>
      </c>
      <c r="T3" s="81">
        <f t="shared" ref="T3:T20" si="12">R3/2</f>
        <v>16.563986173903825</v>
      </c>
    </row>
    <row r="4" spans="1:20" x14ac:dyDescent="0.35">
      <c r="A4" s="58" t="s">
        <v>20</v>
      </c>
      <c r="B4" s="6">
        <v>138221</v>
      </c>
      <c r="C4" s="83">
        <f t="shared" si="2"/>
        <v>0.34042233540544004</v>
      </c>
      <c r="D4" s="6">
        <f t="shared" si="3"/>
        <v>340422.33540544001</v>
      </c>
      <c r="E4" s="56">
        <v>1.4889528721675126E-5</v>
      </c>
      <c r="F4" s="5">
        <f t="shared" si="0"/>
        <v>5.0687281405190223</v>
      </c>
      <c r="G4" s="8">
        <f t="shared" si="4"/>
        <v>0.35345600350115375</v>
      </c>
      <c r="H4" s="81">
        <f t="shared" si="5"/>
        <v>2.5343640702595112</v>
      </c>
      <c r="I4" s="57">
        <v>1.4889528721675126E-5</v>
      </c>
      <c r="J4" s="5">
        <f t="shared" si="1"/>
        <v>5.0687281405190223</v>
      </c>
      <c r="K4" s="8">
        <f t="shared" si="6"/>
        <v>0.35345600350115375</v>
      </c>
      <c r="L4" s="81">
        <f t="shared" si="7"/>
        <v>2.5343640702595112</v>
      </c>
      <c r="M4" s="57">
        <v>1.4889528721675126E-5</v>
      </c>
      <c r="N4" s="5">
        <f t="shared" si="8"/>
        <v>5.0687281405190223</v>
      </c>
      <c r="O4" s="8">
        <f t="shared" si="9"/>
        <v>0.35345600350115375</v>
      </c>
      <c r="P4" s="81">
        <f t="shared" si="10"/>
        <v>2.5343640702595112</v>
      </c>
      <c r="Q4" s="59">
        <v>1.0136260408781227E-4</v>
      </c>
      <c r="R4" s="59">
        <f t="shared" si="11"/>
        <v>34.506094406350051</v>
      </c>
      <c r="S4" s="8">
        <f t="shared" ref="S4:S20" si="13">R4/$R$21</f>
        <v>0.45011811531220436</v>
      </c>
      <c r="T4" s="81">
        <f t="shared" si="12"/>
        <v>17.253047203175026</v>
      </c>
    </row>
    <row r="5" spans="1:20" x14ac:dyDescent="0.35">
      <c r="A5" s="58" t="s">
        <v>21</v>
      </c>
      <c r="B5" s="6">
        <v>1659</v>
      </c>
      <c r="C5" s="83">
        <f t="shared" si="2"/>
        <v>4.085925108613199E-3</v>
      </c>
      <c r="D5" s="6">
        <f t="shared" si="3"/>
        <v>4085.925108613199</v>
      </c>
      <c r="E5" s="56">
        <v>7.5346594333936109E-6</v>
      </c>
      <c r="F5" s="5">
        <f t="shared" si="0"/>
        <v>3.0786054163752255E-2</v>
      </c>
      <c r="G5" s="8">
        <f t="shared" si="4"/>
        <v>2.1467941003392799E-3</v>
      </c>
      <c r="H5" s="81">
        <f t="shared" si="5"/>
        <v>1.5393027081876128E-2</v>
      </c>
      <c r="I5" s="57">
        <v>7.5346594333936109E-6</v>
      </c>
      <c r="J5" s="5">
        <f t="shared" si="1"/>
        <v>3.0786054163752255E-2</v>
      </c>
      <c r="K5" s="8">
        <f t="shared" si="6"/>
        <v>2.1467941003392799E-3</v>
      </c>
      <c r="L5" s="81">
        <f t="shared" si="7"/>
        <v>1.5393027081876128E-2</v>
      </c>
      <c r="M5" s="57">
        <v>7.5346594333936109E-6</v>
      </c>
      <c r="N5" s="5">
        <f t="shared" si="8"/>
        <v>3.0786054163752255E-2</v>
      </c>
      <c r="O5" s="8">
        <f t="shared" si="9"/>
        <v>2.1467941003392799E-3</v>
      </c>
      <c r="P5" s="81">
        <f t="shared" si="10"/>
        <v>1.5393027081876128E-2</v>
      </c>
      <c r="Q5" s="59">
        <v>7.5346594333936109E-6</v>
      </c>
      <c r="R5" s="59">
        <f t="shared" si="11"/>
        <v>3.0786054163752255E-2</v>
      </c>
      <c r="S5" s="8">
        <f t="shared" si="13"/>
        <v>4.0159168739587863E-4</v>
      </c>
      <c r="T5" s="81">
        <f t="shared" si="12"/>
        <v>1.5393027081876128E-2</v>
      </c>
    </row>
    <row r="6" spans="1:20" x14ac:dyDescent="0.35">
      <c r="A6" s="96" t="s">
        <v>22</v>
      </c>
      <c r="B6" s="66">
        <v>0</v>
      </c>
      <c r="C6" s="84">
        <f t="shared" si="2"/>
        <v>0</v>
      </c>
      <c r="D6" s="66">
        <f t="shared" si="3"/>
        <v>0</v>
      </c>
      <c r="E6" s="67"/>
      <c r="F6" s="69">
        <f t="shared" si="0"/>
        <v>0</v>
      </c>
      <c r="G6" s="70">
        <f t="shared" si="4"/>
        <v>0</v>
      </c>
      <c r="H6" s="82">
        <f t="shared" si="5"/>
        <v>0</v>
      </c>
      <c r="I6" s="68"/>
      <c r="J6" s="69">
        <f t="shared" si="1"/>
        <v>0</v>
      </c>
      <c r="K6" s="70">
        <f t="shared" si="6"/>
        <v>0</v>
      </c>
      <c r="L6" s="82">
        <f t="shared" si="7"/>
        <v>0</v>
      </c>
      <c r="M6" s="68"/>
      <c r="N6" s="69">
        <f t="shared" si="8"/>
        <v>0</v>
      </c>
      <c r="O6" s="70">
        <f t="shared" si="9"/>
        <v>0</v>
      </c>
      <c r="P6" s="82">
        <f t="shared" si="10"/>
        <v>0</v>
      </c>
      <c r="Q6" s="74">
        <v>0</v>
      </c>
      <c r="R6" s="74">
        <f t="shared" si="11"/>
        <v>0</v>
      </c>
      <c r="S6" s="8">
        <f t="shared" si="13"/>
        <v>0</v>
      </c>
      <c r="T6" s="82">
        <f t="shared" si="12"/>
        <v>0</v>
      </c>
    </row>
    <row r="7" spans="1:20" x14ac:dyDescent="0.35">
      <c r="A7" s="96" t="s">
        <v>23</v>
      </c>
      <c r="B7" s="71">
        <v>0</v>
      </c>
      <c r="C7" s="84">
        <f t="shared" si="2"/>
        <v>0</v>
      </c>
      <c r="D7" s="66">
        <f t="shared" si="3"/>
        <v>0</v>
      </c>
      <c r="E7" s="72"/>
      <c r="F7" s="69">
        <f t="shared" si="0"/>
        <v>0</v>
      </c>
      <c r="G7" s="70">
        <f t="shared" si="4"/>
        <v>0</v>
      </c>
      <c r="H7" s="82">
        <f t="shared" si="5"/>
        <v>0</v>
      </c>
      <c r="I7" s="73"/>
      <c r="J7" s="69">
        <f t="shared" si="1"/>
        <v>0</v>
      </c>
      <c r="K7" s="70">
        <f t="shared" si="6"/>
        <v>0</v>
      </c>
      <c r="L7" s="82">
        <f t="shared" si="7"/>
        <v>0</v>
      </c>
      <c r="M7" s="73"/>
      <c r="N7" s="69">
        <f t="shared" si="8"/>
        <v>0</v>
      </c>
      <c r="O7" s="70">
        <f t="shared" si="9"/>
        <v>0</v>
      </c>
      <c r="P7" s="82">
        <f t="shared" si="10"/>
        <v>0</v>
      </c>
      <c r="Q7" s="74">
        <v>0</v>
      </c>
      <c r="R7" s="74">
        <f t="shared" si="11"/>
        <v>0</v>
      </c>
      <c r="S7" s="8">
        <f t="shared" si="13"/>
        <v>0</v>
      </c>
      <c r="T7" s="82">
        <f t="shared" si="12"/>
        <v>0</v>
      </c>
    </row>
    <row r="8" spans="1:20" x14ac:dyDescent="0.35">
      <c r="A8" s="58" t="s">
        <v>24</v>
      </c>
      <c r="B8" s="59">
        <v>341</v>
      </c>
      <c r="C8" s="83">
        <f t="shared" si="2"/>
        <v>8.398435575871615E-4</v>
      </c>
      <c r="D8" s="6">
        <f t="shared" si="3"/>
        <v>839.84355758716151</v>
      </c>
      <c r="E8" s="60">
        <v>0</v>
      </c>
      <c r="F8" s="5">
        <f t="shared" si="0"/>
        <v>0</v>
      </c>
      <c r="G8" s="8">
        <f t="shared" si="4"/>
        <v>0</v>
      </c>
      <c r="H8" s="81">
        <f t="shared" si="5"/>
        <v>0</v>
      </c>
      <c r="I8" s="61">
        <v>0</v>
      </c>
      <c r="J8" s="5">
        <f t="shared" si="1"/>
        <v>0</v>
      </c>
      <c r="K8" s="8">
        <f t="shared" si="6"/>
        <v>0</v>
      </c>
      <c r="L8" s="81">
        <f t="shared" si="7"/>
        <v>0</v>
      </c>
      <c r="M8" s="61">
        <v>0</v>
      </c>
      <c r="N8" s="5">
        <f t="shared" si="8"/>
        <v>0</v>
      </c>
      <c r="O8" s="8">
        <f t="shared" si="9"/>
        <v>0</v>
      </c>
      <c r="P8" s="81">
        <f t="shared" si="10"/>
        <v>0</v>
      </c>
      <c r="Q8" s="59">
        <v>0</v>
      </c>
      <c r="R8" s="59">
        <f t="shared" si="11"/>
        <v>0</v>
      </c>
      <c r="S8" s="8">
        <f t="shared" si="13"/>
        <v>0</v>
      </c>
      <c r="T8" s="81">
        <f t="shared" si="12"/>
        <v>0</v>
      </c>
    </row>
    <row r="9" spans="1:20" x14ac:dyDescent="0.35">
      <c r="A9" s="58" t="s">
        <v>25</v>
      </c>
      <c r="B9" s="59">
        <v>32</v>
      </c>
      <c r="C9" s="83">
        <f t="shared" si="2"/>
        <v>7.8812298659205768E-5</v>
      </c>
      <c r="D9" s="6">
        <f t="shared" si="3"/>
        <v>78.812298659205766</v>
      </c>
      <c r="E9" s="60">
        <v>1.1406249999999999E-3</v>
      </c>
      <c r="F9" s="5">
        <f t="shared" si="0"/>
        <v>8.9895278158156566E-2</v>
      </c>
      <c r="G9" s="8">
        <f t="shared" si="4"/>
        <v>6.2686387729906957E-3</v>
      </c>
      <c r="H9" s="81">
        <f t="shared" si="5"/>
        <v>4.4947639079078283E-2</v>
      </c>
      <c r="I9" s="61">
        <v>1.1406249999999999E-3</v>
      </c>
      <c r="J9" s="5">
        <f t="shared" si="1"/>
        <v>8.9895278158156566E-2</v>
      </c>
      <c r="K9" s="8">
        <f t="shared" si="6"/>
        <v>6.2686387729906957E-3</v>
      </c>
      <c r="L9" s="81">
        <f t="shared" si="7"/>
        <v>4.4947639079078283E-2</v>
      </c>
      <c r="M9" s="61">
        <v>1.1406249999999999E-3</v>
      </c>
      <c r="N9" s="5">
        <f t="shared" si="8"/>
        <v>8.9895278158156566E-2</v>
      </c>
      <c r="O9" s="8">
        <f t="shared" si="9"/>
        <v>6.2686387729906957E-3</v>
      </c>
      <c r="P9" s="81">
        <f t="shared" si="10"/>
        <v>4.4947639079078283E-2</v>
      </c>
      <c r="Q9" s="59">
        <v>1.1406249999999999E-3</v>
      </c>
      <c r="R9" s="59">
        <f t="shared" si="11"/>
        <v>8.9895278158156566E-2</v>
      </c>
      <c r="S9" s="8">
        <f t="shared" si="13"/>
        <v>1.1726477271959653E-3</v>
      </c>
      <c r="T9" s="81">
        <f t="shared" si="12"/>
        <v>4.4947639079078283E-2</v>
      </c>
    </row>
    <row r="10" spans="1:20" x14ac:dyDescent="0.35">
      <c r="A10" s="58" t="s">
        <v>26</v>
      </c>
      <c r="B10" s="59">
        <v>9</v>
      </c>
      <c r="C10" s="83">
        <f t="shared" si="2"/>
        <v>2.2165958997901624E-5</v>
      </c>
      <c r="D10" s="6">
        <f t="shared" si="3"/>
        <v>22.165958997901622</v>
      </c>
      <c r="E10" s="60">
        <v>7.0111111111111112E-3</v>
      </c>
      <c r="F10" s="5">
        <f t="shared" si="0"/>
        <v>0.15540800141862138</v>
      </c>
      <c r="G10" s="8">
        <f t="shared" si="4"/>
        <v>1.0837016618512685E-2</v>
      </c>
      <c r="H10" s="81">
        <f t="shared" si="5"/>
        <v>7.7704000709310689E-2</v>
      </c>
      <c r="I10" s="61">
        <v>7.0111111111111112E-3</v>
      </c>
      <c r="J10" s="5">
        <f t="shared" si="1"/>
        <v>0.15540800141862138</v>
      </c>
      <c r="K10" s="8">
        <f t="shared" si="6"/>
        <v>1.0837016618512685E-2</v>
      </c>
      <c r="L10" s="81">
        <f t="shared" si="7"/>
        <v>7.7704000709310689E-2</v>
      </c>
      <c r="M10" s="61">
        <v>7.0111111111111112E-3</v>
      </c>
      <c r="N10" s="5">
        <f t="shared" si="8"/>
        <v>0.15540800141862138</v>
      </c>
      <c r="O10" s="8">
        <f t="shared" si="9"/>
        <v>1.0837016618512685E-2</v>
      </c>
      <c r="P10" s="81">
        <f t="shared" si="10"/>
        <v>7.7704000709310689E-2</v>
      </c>
      <c r="Q10" s="59">
        <v>7.0111111111111112E-3</v>
      </c>
      <c r="R10" s="59">
        <f t="shared" si="11"/>
        <v>0.15540800141862138</v>
      </c>
      <c r="S10" s="8">
        <f t="shared" si="13"/>
        <v>2.0272348379743953E-3</v>
      </c>
      <c r="T10" s="81">
        <f t="shared" si="12"/>
        <v>7.7704000709310689E-2</v>
      </c>
    </row>
    <row r="11" spans="1:20" x14ac:dyDescent="0.35">
      <c r="A11" s="96" t="s">
        <v>27</v>
      </c>
      <c r="B11" s="74">
        <v>0</v>
      </c>
      <c r="C11" s="84">
        <f t="shared" si="2"/>
        <v>0</v>
      </c>
      <c r="D11" s="66">
        <f t="shared" si="3"/>
        <v>0</v>
      </c>
      <c r="E11" s="75"/>
      <c r="F11" s="69">
        <f t="shared" si="0"/>
        <v>0</v>
      </c>
      <c r="G11" s="70">
        <f t="shared" si="4"/>
        <v>0</v>
      </c>
      <c r="H11" s="82">
        <f t="shared" si="5"/>
        <v>0</v>
      </c>
      <c r="I11" s="76"/>
      <c r="J11" s="69">
        <f t="shared" si="1"/>
        <v>0</v>
      </c>
      <c r="K11" s="70">
        <f t="shared" si="6"/>
        <v>0</v>
      </c>
      <c r="L11" s="82">
        <f t="shared" si="7"/>
        <v>0</v>
      </c>
      <c r="M11" s="76"/>
      <c r="N11" s="69">
        <f t="shared" si="8"/>
        <v>0</v>
      </c>
      <c r="O11" s="70">
        <f t="shared" si="9"/>
        <v>0</v>
      </c>
      <c r="P11" s="82">
        <f t="shared" si="10"/>
        <v>0</v>
      </c>
      <c r="Q11" s="74">
        <v>0</v>
      </c>
      <c r="R11" s="74">
        <f t="shared" si="11"/>
        <v>0</v>
      </c>
      <c r="S11" s="8">
        <f t="shared" si="13"/>
        <v>0</v>
      </c>
      <c r="T11" s="82">
        <f t="shared" si="12"/>
        <v>0</v>
      </c>
    </row>
    <row r="12" spans="1:20" x14ac:dyDescent="0.35">
      <c r="A12" s="58" t="s">
        <v>28</v>
      </c>
      <c r="B12" s="59">
        <v>423</v>
      </c>
      <c r="C12" s="83">
        <f t="shared" si="2"/>
        <v>1.0418000729013762E-3</v>
      </c>
      <c r="D12" s="6">
        <f t="shared" si="3"/>
        <v>1041.8000729013761</v>
      </c>
      <c r="E12" s="60">
        <v>3.0696748347842027E-5</v>
      </c>
      <c r="F12" s="5">
        <f t="shared" si="0"/>
        <v>3.1979874666617017E-2</v>
      </c>
      <c r="G12" s="8">
        <f t="shared" si="4"/>
        <v>2.2300424048729509E-3</v>
      </c>
      <c r="H12" s="81">
        <f t="shared" si="5"/>
        <v>1.5989937333308508E-2</v>
      </c>
      <c r="I12" s="61">
        <v>3.0696748347842027E-5</v>
      </c>
      <c r="J12" s="5">
        <f t="shared" si="1"/>
        <v>3.1979874666617017E-2</v>
      </c>
      <c r="K12" s="8">
        <f t="shared" si="6"/>
        <v>2.2300424048729509E-3</v>
      </c>
      <c r="L12" s="81">
        <f t="shared" si="7"/>
        <v>1.5989937333308508E-2</v>
      </c>
      <c r="M12" s="61">
        <v>3.0696748347842027E-5</v>
      </c>
      <c r="N12" s="5">
        <f t="shared" si="8"/>
        <v>3.1979874666617017E-2</v>
      </c>
      <c r="O12" s="8">
        <f t="shared" si="9"/>
        <v>2.2300424048729509E-3</v>
      </c>
      <c r="P12" s="81">
        <f t="shared" si="10"/>
        <v>1.5989937333308508E-2</v>
      </c>
      <c r="Q12" s="59">
        <v>4.7830870043526083E-5</v>
      </c>
      <c r="R12" s="59">
        <f t="shared" si="11"/>
        <v>4.9830203898281716E-2</v>
      </c>
      <c r="S12" s="8">
        <f t="shared" si="13"/>
        <v>6.5001495678368622E-4</v>
      </c>
      <c r="T12" s="81">
        <f t="shared" si="12"/>
        <v>2.4915101949140858E-2</v>
      </c>
    </row>
    <row r="13" spans="1:20" x14ac:dyDescent="0.35">
      <c r="A13" s="58" t="s">
        <v>29</v>
      </c>
      <c r="B13" s="59">
        <v>671</v>
      </c>
      <c r="C13" s="83">
        <f t="shared" si="2"/>
        <v>1.6525953875102209E-3</v>
      </c>
      <c r="D13" s="6">
        <f t="shared" si="3"/>
        <v>1652.5953875102209</v>
      </c>
      <c r="E13" s="60">
        <v>8.2981604472574897E-4</v>
      </c>
      <c r="F13" s="5">
        <f t="shared" si="0"/>
        <v>1.3713501679957478</v>
      </c>
      <c r="G13" s="8">
        <f t="shared" si="4"/>
        <v>9.5627924075403214E-2</v>
      </c>
      <c r="H13" s="81">
        <f t="shared" si="5"/>
        <v>0.68567508399787391</v>
      </c>
      <c r="I13" s="61">
        <v>8.2981604472574897E-4</v>
      </c>
      <c r="J13" s="5">
        <f t="shared" si="1"/>
        <v>1.3713501679957478</v>
      </c>
      <c r="K13" s="8">
        <f t="shared" si="6"/>
        <v>9.5627924075403214E-2</v>
      </c>
      <c r="L13" s="81">
        <f t="shared" si="7"/>
        <v>0.68567508399787391</v>
      </c>
      <c r="M13" s="61">
        <v>8.2981604472574897E-4</v>
      </c>
      <c r="N13" s="5">
        <f t="shared" si="8"/>
        <v>1.3713501679957478</v>
      </c>
      <c r="O13" s="8">
        <f t="shared" si="9"/>
        <v>9.5627924075403214E-2</v>
      </c>
      <c r="P13" s="81">
        <f t="shared" si="10"/>
        <v>0.68567508399787391</v>
      </c>
      <c r="Q13" s="59">
        <v>2.9585798816568051E-3</v>
      </c>
      <c r="R13" s="59">
        <f t="shared" si="11"/>
        <v>4.8893354660065711</v>
      </c>
      <c r="S13" s="8">
        <f t="shared" si="13"/>
        <v>6.3779413548552558E-2</v>
      </c>
      <c r="T13" s="81">
        <f t="shared" si="12"/>
        <v>2.4446677330032855</v>
      </c>
    </row>
    <row r="14" spans="1:20" x14ac:dyDescent="0.35">
      <c r="A14" s="58" t="s">
        <v>30</v>
      </c>
      <c r="B14" s="59">
        <v>1914</v>
      </c>
      <c r="C14" s="83">
        <f t="shared" si="2"/>
        <v>4.7139606135537448E-3</v>
      </c>
      <c r="D14" s="6">
        <f t="shared" si="3"/>
        <v>4713.9606135537451</v>
      </c>
      <c r="E14" s="60">
        <v>4.8441285045733371E-6</v>
      </c>
      <c r="F14" s="5">
        <f t="shared" si="0"/>
        <v>2.2835030977551712E-2</v>
      </c>
      <c r="G14" s="8">
        <f t="shared" si="4"/>
        <v>1.5923479352996052E-3</v>
      </c>
      <c r="H14" s="81">
        <f t="shared" si="5"/>
        <v>1.1417515488775856E-2</v>
      </c>
      <c r="I14" s="61">
        <v>4.8441285045733371E-6</v>
      </c>
      <c r="J14" s="5">
        <f t="shared" si="1"/>
        <v>2.2835030977551712E-2</v>
      </c>
      <c r="K14" s="8">
        <f t="shared" si="6"/>
        <v>1.5923479352996052E-3</v>
      </c>
      <c r="L14" s="81">
        <f t="shared" si="7"/>
        <v>1.1417515488775856E-2</v>
      </c>
      <c r="M14" s="61">
        <v>4.8441285045733371E-6</v>
      </c>
      <c r="N14" s="5">
        <f t="shared" si="8"/>
        <v>2.2835030977551712E-2</v>
      </c>
      <c r="O14" s="8">
        <f t="shared" si="9"/>
        <v>1.5923479352996052E-3</v>
      </c>
      <c r="P14" s="81">
        <f t="shared" si="10"/>
        <v>1.1417515488775856E-2</v>
      </c>
      <c r="Q14" s="59">
        <v>1.2602739726027396E-5</v>
      </c>
      <c r="R14" s="59">
        <f t="shared" si="11"/>
        <v>5.9408818691362261E-2</v>
      </c>
      <c r="S14" s="8">
        <f t="shared" si="13"/>
        <v>7.7496413205660789E-4</v>
      </c>
      <c r="T14" s="81">
        <f t="shared" si="12"/>
        <v>2.9704409345681131E-2</v>
      </c>
    </row>
    <row r="15" spans="1:20" x14ac:dyDescent="0.35">
      <c r="A15" s="58" t="s">
        <v>31</v>
      </c>
      <c r="B15" s="59">
        <v>2068</v>
      </c>
      <c r="C15" s="83">
        <f t="shared" si="2"/>
        <v>5.0932448008511729E-3</v>
      </c>
      <c r="D15" s="6">
        <f t="shared" si="3"/>
        <v>5093.2448008511728</v>
      </c>
      <c r="E15" s="60">
        <v>6.3411324978883613E-5</v>
      </c>
      <c r="F15" s="5">
        <f t="shared" si="0"/>
        <v>0.3229694012637831</v>
      </c>
      <c r="G15" s="8">
        <f t="shared" si="4"/>
        <v>2.2521522294973208E-2</v>
      </c>
      <c r="H15" s="81">
        <f t="shared" si="5"/>
        <v>0.16148470063189155</v>
      </c>
      <c r="I15" s="61">
        <v>6.3411324978883613E-5</v>
      </c>
      <c r="J15" s="5">
        <f t="shared" si="1"/>
        <v>0.3229694012637831</v>
      </c>
      <c r="K15" s="8">
        <f t="shared" si="6"/>
        <v>2.2521522294973208E-2</v>
      </c>
      <c r="L15" s="81">
        <f t="shared" si="7"/>
        <v>0.16148470063189155</v>
      </c>
      <c r="M15" s="61">
        <v>6.3411324978883613E-5</v>
      </c>
      <c r="N15" s="5">
        <f t="shared" si="8"/>
        <v>0.3229694012637831</v>
      </c>
      <c r="O15" s="8">
        <f t="shared" si="9"/>
        <v>2.2521522294973208E-2</v>
      </c>
      <c r="P15" s="81">
        <f t="shared" si="10"/>
        <v>0.16148470063189155</v>
      </c>
      <c r="Q15" s="59">
        <v>2.2153846153846152E-4</v>
      </c>
      <c r="R15" s="59">
        <f t="shared" si="11"/>
        <v>1.1283496174193366</v>
      </c>
      <c r="S15" s="8">
        <f t="shared" si="13"/>
        <v>1.4718866679753043E-2</v>
      </c>
      <c r="T15" s="81">
        <f t="shared" si="12"/>
        <v>0.5641748087096683</v>
      </c>
    </row>
    <row r="16" spans="1:20" x14ac:dyDescent="0.35">
      <c r="A16" s="58" t="s">
        <v>32</v>
      </c>
      <c r="B16" s="59">
        <v>506</v>
      </c>
      <c r="C16" s="83">
        <f t="shared" si="2"/>
        <v>1.2462194725486912E-3</v>
      </c>
      <c r="D16" s="6">
        <f t="shared" si="3"/>
        <v>1246.2194725486911</v>
      </c>
      <c r="E16" s="60">
        <v>4.2490118577075101E-5</v>
      </c>
      <c r="F16" s="5">
        <f t="shared" si="0"/>
        <v>5.2952013161653877E-2</v>
      </c>
      <c r="G16" s="8">
        <f t="shared" si="4"/>
        <v>3.6924858525835612E-3</v>
      </c>
      <c r="H16" s="81">
        <f t="shared" si="5"/>
        <v>2.6476006580826938E-2</v>
      </c>
      <c r="I16" s="61">
        <v>4.2490118577075101E-5</v>
      </c>
      <c r="J16" s="5">
        <f t="shared" si="1"/>
        <v>5.2952013161653877E-2</v>
      </c>
      <c r="K16" s="8">
        <f t="shared" si="6"/>
        <v>3.6924858525835612E-3</v>
      </c>
      <c r="L16" s="81">
        <f t="shared" si="7"/>
        <v>2.6476006580826938E-2</v>
      </c>
      <c r="M16" s="61">
        <v>4.2490118577075101E-5</v>
      </c>
      <c r="N16" s="5">
        <f t="shared" si="8"/>
        <v>5.2952013161653877E-2</v>
      </c>
      <c r="O16" s="8">
        <f t="shared" si="9"/>
        <v>3.6924858525835612E-3</v>
      </c>
      <c r="P16" s="81">
        <f t="shared" si="10"/>
        <v>2.6476006580826938E-2</v>
      </c>
      <c r="Q16" s="59">
        <v>4.2490118577075101E-5</v>
      </c>
      <c r="R16" s="59">
        <f t="shared" si="11"/>
        <v>5.2952013161653877E-2</v>
      </c>
      <c r="S16" s="8">
        <f t="shared" si="13"/>
        <v>6.9073770232091125E-4</v>
      </c>
      <c r="T16" s="81">
        <f t="shared" si="12"/>
        <v>2.6476006580826938E-2</v>
      </c>
    </row>
    <row r="17" spans="1:20" x14ac:dyDescent="0.35">
      <c r="A17" s="58" t="s">
        <v>33</v>
      </c>
      <c r="B17" s="59">
        <v>252</v>
      </c>
      <c r="C17" s="83">
        <f t="shared" si="2"/>
        <v>6.2064685194124539E-4</v>
      </c>
      <c r="D17" s="6">
        <f t="shared" si="3"/>
        <v>620.64685194124536</v>
      </c>
      <c r="E17" s="60">
        <v>4.3174603174603174E-4</v>
      </c>
      <c r="F17" s="5">
        <f t="shared" si="0"/>
        <v>0.2679618154412996</v>
      </c>
      <c r="G17" s="8">
        <f t="shared" si="4"/>
        <v>1.868569584935309E-2</v>
      </c>
      <c r="H17" s="81">
        <f t="shared" si="5"/>
        <v>0.1339809077206498</v>
      </c>
      <c r="I17" s="61">
        <v>4.3174603174603174E-4</v>
      </c>
      <c r="J17" s="5">
        <f t="shared" si="1"/>
        <v>0.2679618154412996</v>
      </c>
      <c r="K17" s="8">
        <f t="shared" si="6"/>
        <v>1.868569584935309E-2</v>
      </c>
      <c r="L17" s="81">
        <f t="shared" si="7"/>
        <v>0.1339809077206498</v>
      </c>
      <c r="M17" s="61">
        <v>4.3174603174603174E-4</v>
      </c>
      <c r="N17" s="5">
        <f t="shared" si="8"/>
        <v>0.2679618154412996</v>
      </c>
      <c r="O17" s="8">
        <f t="shared" si="9"/>
        <v>1.868569584935309E-2</v>
      </c>
      <c r="P17" s="81">
        <f t="shared" si="10"/>
        <v>0.1339809077206498</v>
      </c>
      <c r="Q17" s="59">
        <v>4.3174603174603174E-4</v>
      </c>
      <c r="R17" s="59">
        <f t="shared" si="11"/>
        <v>0.2679618154412996</v>
      </c>
      <c r="S17" s="8">
        <f t="shared" si="13"/>
        <v>3.4954540470937272E-3</v>
      </c>
      <c r="T17" s="81">
        <f t="shared" si="12"/>
        <v>0.1339809077206498</v>
      </c>
    </row>
    <row r="18" spans="1:20" x14ac:dyDescent="0.35">
      <c r="A18" s="96" t="s">
        <v>34</v>
      </c>
      <c r="B18" s="74">
        <v>0</v>
      </c>
      <c r="C18" s="84">
        <f t="shared" si="2"/>
        <v>0</v>
      </c>
      <c r="D18" s="66">
        <f t="shared" si="3"/>
        <v>0</v>
      </c>
      <c r="E18" s="75"/>
      <c r="F18" s="69">
        <f t="shared" si="0"/>
        <v>0</v>
      </c>
      <c r="G18" s="70">
        <f t="shared" si="4"/>
        <v>0</v>
      </c>
      <c r="H18" s="82">
        <f t="shared" si="5"/>
        <v>0</v>
      </c>
      <c r="I18" s="76"/>
      <c r="J18" s="69">
        <f t="shared" si="1"/>
        <v>0</v>
      </c>
      <c r="K18" s="70">
        <f t="shared" si="6"/>
        <v>0</v>
      </c>
      <c r="L18" s="82">
        <f t="shared" si="7"/>
        <v>0</v>
      </c>
      <c r="M18" s="76"/>
      <c r="N18" s="69">
        <f t="shared" si="8"/>
        <v>0</v>
      </c>
      <c r="O18" s="70">
        <f t="shared" si="9"/>
        <v>0</v>
      </c>
      <c r="P18" s="82">
        <f t="shared" si="10"/>
        <v>0</v>
      </c>
      <c r="Q18" s="74">
        <v>0</v>
      </c>
      <c r="R18" s="74">
        <f t="shared" si="11"/>
        <v>0</v>
      </c>
      <c r="S18" s="8">
        <f t="shared" si="13"/>
        <v>0</v>
      </c>
      <c r="T18" s="82">
        <f t="shared" si="12"/>
        <v>0</v>
      </c>
    </row>
    <row r="19" spans="1:20" x14ac:dyDescent="0.35">
      <c r="A19" s="96" t="s">
        <v>35</v>
      </c>
      <c r="B19" s="74">
        <v>0</v>
      </c>
      <c r="C19" s="84">
        <f t="shared" si="2"/>
        <v>0</v>
      </c>
      <c r="D19" s="66">
        <f t="shared" si="3"/>
        <v>0</v>
      </c>
      <c r="E19" s="75"/>
      <c r="F19" s="69">
        <f t="shared" si="0"/>
        <v>0</v>
      </c>
      <c r="G19" s="70">
        <f t="shared" si="4"/>
        <v>0</v>
      </c>
      <c r="H19" s="82">
        <f t="shared" si="5"/>
        <v>0</v>
      </c>
      <c r="I19" s="76"/>
      <c r="J19" s="69">
        <f t="shared" si="1"/>
        <v>0</v>
      </c>
      <c r="K19" s="70">
        <f t="shared" si="6"/>
        <v>0</v>
      </c>
      <c r="L19" s="82">
        <f t="shared" si="7"/>
        <v>0</v>
      </c>
      <c r="M19" s="76"/>
      <c r="N19" s="69">
        <f t="shared" si="8"/>
        <v>0</v>
      </c>
      <c r="O19" s="70">
        <f t="shared" si="9"/>
        <v>0</v>
      </c>
      <c r="P19" s="82">
        <f t="shared" si="10"/>
        <v>0</v>
      </c>
      <c r="Q19" s="74">
        <v>0</v>
      </c>
      <c r="R19" s="74">
        <f t="shared" si="11"/>
        <v>0</v>
      </c>
      <c r="S19" s="8">
        <f t="shared" si="13"/>
        <v>0</v>
      </c>
      <c r="T19" s="82">
        <f t="shared" si="12"/>
        <v>0</v>
      </c>
    </row>
    <row r="20" spans="1:20" ht="15" thickBot="1" x14ac:dyDescent="0.4">
      <c r="A20" s="62" t="s">
        <v>36</v>
      </c>
      <c r="B20" s="63">
        <v>163</v>
      </c>
      <c r="C20" s="85">
        <f t="shared" si="2"/>
        <v>4.0145014629532939E-4</v>
      </c>
      <c r="D20" s="86">
        <f t="shared" si="3"/>
        <v>401.45014629532938</v>
      </c>
      <c r="E20" s="64">
        <v>3.3361963190184046E-3</v>
      </c>
      <c r="F20" s="87">
        <f t="shared" si="0"/>
        <v>1.3393165003398779</v>
      </c>
      <c r="G20" s="88">
        <f t="shared" si="4"/>
        <v>9.3394130541160025E-2</v>
      </c>
      <c r="H20" s="89">
        <f t="shared" si="5"/>
        <v>0.66965825016993896</v>
      </c>
      <c r="I20" s="65">
        <v>3.3361963190184046E-3</v>
      </c>
      <c r="J20" s="87">
        <f t="shared" si="1"/>
        <v>1.3393165003398779</v>
      </c>
      <c r="K20" s="88">
        <f t="shared" si="6"/>
        <v>9.3394130541160025E-2</v>
      </c>
      <c r="L20" s="89">
        <f t="shared" si="7"/>
        <v>0.66965825016993896</v>
      </c>
      <c r="M20" s="65">
        <v>3.3361963190184046E-3</v>
      </c>
      <c r="N20" s="87">
        <f t="shared" si="8"/>
        <v>1.3393165003398779</v>
      </c>
      <c r="O20" s="88">
        <f t="shared" si="9"/>
        <v>9.3394130541160025E-2</v>
      </c>
      <c r="P20" s="89">
        <f t="shared" si="10"/>
        <v>0.66965825016993896</v>
      </c>
      <c r="Q20" s="63">
        <v>3.3361963190184046E-3</v>
      </c>
      <c r="R20" s="63">
        <f t="shared" si="11"/>
        <v>1.3393165003398779</v>
      </c>
      <c r="S20" s="8">
        <f t="shared" si="13"/>
        <v>1.7470844768470301E-2</v>
      </c>
      <c r="T20" s="89">
        <f t="shared" si="12"/>
        <v>0.66965825016993896</v>
      </c>
    </row>
    <row r="21" spans="1:20" ht="15" thickTop="1" x14ac:dyDescent="0.35">
      <c r="A21" s="90" t="s">
        <v>11</v>
      </c>
      <c r="B21" s="91">
        <f>SUM(B2:B20)</f>
        <v>406028</v>
      </c>
      <c r="C21" s="91"/>
      <c r="D21" s="91">
        <v>1000000</v>
      </c>
      <c r="E21" s="90"/>
      <c r="F21" s="92">
        <f>SUM(F2:F20)</f>
        <v>14.340478278232094</v>
      </c>
      <c r="G21" s="90"/>
      <c r="H21" s="93">
        <f t="shared" ref="H21" si="14">SUM(H2:H20)</f>
        <v>7.1702391391160472</v>
      </c>
      <c r="I21" s="93"/>
      <c r="J21" s="92">
        <f>SUM(J2:J20)</f>
        <v>14.340478278232094</v>
      </c>
      <c r="K21" s="90"/>
      <c r="L21" s="92">
        <f t="shared" ref="L21" si="15">SUM(L2:L20)</f>
        <v>7.1702391391160472</v>
      </c>
      <c r="M21" s="93"/>
      <c r="N21" s="92">
        <f>SUM(N2:N20)</f>
        <v>14.340478278232094</v>
      </c>
      <c r="O21" s="90"/>
      <c r="P21" s="92">
        <f t="shared" ref="P21" si="16">SUM(P2:P20)</f>
        <v>7.1702391391160472</v>
      </c>
      <c r="R21" s="92">
        <f>SUM(R2:R20)</f>
        <v>76.660088169116321</v>
      </c>
      <c r="T21" s="92">
        <f>SUM(T2:T20)</f>
        <v>38.33004408455816</v>
      </c>
    </row>
    <row r="23" spans="1:20" s="78" customFormat="1" x14ac:dyDescent="0.35">
      <c r="A23" s="133" t="s">
        <v>116</v>
      </c>
      <c r="B23" s="77"/>
      <c r="C23" s="77"/>
      <c r="D23" s="77"/>
    </row>
    <row r="24" spans="1:20" s="78" customFormat="1" x14ac:dyDescent="0.35">
      <c r="A24" s="78" t="s">
        <v>13</v>
      </c>
      <c r="B24" s="77"/>
      <c r="C24" s="77"/>
      <c r="D24" s="77"/>
    </row>
    <row r="25" spans="1:20" s="78" customFormat="1" x14ac:dyDescent="0.35">
      <c r="A25" s="78" t="s">
        <v>114</v>
      </c>
      <c r="B25" s="77"/>
      <c r="C25" s="77"/>
      <c r="D25" s="77"/>
    </row>
    <row r="26" spans="1:20" s="80" customFormat="1" x14ac:dyDescent="0.35">
      <c r="A26" s="97" t="s">
        <v>101</v>
      </c>
      <c r="B26" s="79"/>
      <c r="C26" s="79"/>
      <c r="D26" s="79"/>
    </row>
    <row r="27" spans="1:20" x14ac:dyDescent="0.35">
      <c r="A27" s="78" t="s">
        <v>113</v>
      </c>
    </row>
    <row r="29" spans="1:20" x14ac:dyDescent="0.35">
      <c r="A29" t="s">
        <v>117</v>
      </c>
    </row>
    <row r="30" spans="1:20" ht="72.5" x14ac:dyDescent="0.35">
      <c r="A30" s="1" t="s">
        <v>92</v>
      </c>
      <c r="B30" s="2" t="s">
        <v>118</v>
      </c>
      <c r="C30" s="2" t="s">
        <v>93</v>
      </c>
      <c r="D30" s="94" t="s">
        <v>89</v>
      </c>
      <c r="E30" s="94" t="s">
        <v>94</v>
      </c>
      <c r="F30" s="94" t="s">
        <v>96</v>
      </c>
      <c r="G30" s="94" t="s">
        <v>97</v>
      </c>
      <c r="H30" s="95" t="s">
        <v>90</v>
      </c>
      <c r="I30" s="95" t="s">
        <v>98</v>
      </c>
      <c r="J30" s="95" t="s">
        <v>99</v>
      </c>
      <c r="K30" s="95" t="s">
        <v>100</v>
      </c>
      <c r="L30" s="113" t="s">
        <v>104</v>
      </c>
      <c r="M30" s="113" t="s">
        <v>105</v>
      </c>
      <c r="N30" s="113" t="s">
        <v>106</v>
      </c>
      <c r="O30" s="113" t="s">
        <v>107</v>
      </c>
      <c r="P30" s="114" t="s">
        <v>108</v>
      </c>
      <c r="Q30" s="114" t="s">
        <v>109</v>
      </c>
      <c r="R30" s="114" t="s">
        <v>110</v>
      </c>
      <c r="S30" s="114" t="s">
        <v>111</v>
      </c>
    </row>
    <row r="31" spans="1:20" x14ac:dyDescent="0.35">
      <c r="A31" s="58" t="s">
        <v>19</v>
      </c>
      <c r="B31" s="83" t="e">
        <f>#REF!/$B$21</f>
        <v>#REF!</v>
      </c>
      <c r="C31" s="6" t="e">
        <f>$D$21*B31</f>
        <v>#REF!</v>
      </c>
      <c r="D31" s="56">
        <v>7.6486119309566625E-7</v>
      </c>
      <c r="E31" s="5" t="e">
        <f t="shared" ref="E31:E49" si="17">C31*D31</f>
        <v>#REF!</v>
      </c>
      <c r="F31" s="8" t="e">
        <f>E31/$F$21</f>
        <v>#REF!</v>
      </c>
      <c r="G31" s="81" t="e">
        <f>E31/2</f>
        <v>#REF!</v>
      </c>
      <c r="H31" s="57">
        <v>7.6486119309566625E-7</v>
      </c>
      <c r="I31" s="5" t="e">
        <f t="shared" ref="I31:I49" si="18">H31*C31</f>
        <v>#REF!</v>
      </c>
      <c r="J31" s="8" t="e">
        <f>I31/$J$21</f>
        <v>#REF!</v>
      </c>
      <c r="K31" s="81" t="e">
        <f>I31/2</f>
        <v>#REF!</v>
      </c>
      <c r="L31" s="57">
        <v>7.6486119309566625E-7</v>
      </c>
      <c r="M31" s="5" t="e">
        <f>C31*L31</f>
        <v>#REF!</v>
      </c>
      <c r="N31" s="8" t="e">
        <f>M31/$N$21</f>
        <v>#REF!</v>
      </c>
      <c r="O31" s="81" t="e">
        <f>M31/2</f>
        <v>#REF!</v>
      </c>
      <c r="P31" s="59">
        <v>2.2910616327847694E-6</v>
      </c>
      <c r="Q31" s="59" t="e">
        <f>P31*C31</f>
        <v>#REF!</v>
      </c>
      <c r="R31" s="8" t="e">
        <f>Q31/$R$21</f>
        <v>#REF!</v>
      </c>
      <c r="S31" s="81" t="e">
        <f>Q31/2</f>
        <v>#REF!</v>
      </c>
    </row>
    <row r="32" spans="1:20" x14ac:dyDescent="0.35">
      <c r="A32" s="58" t="s">
        <v>88</v>
      </c>
      <c r="B32" s="83" t="e">
        <f>#REF!/$B$21</f>
        <v>#REF!</v>
      </c>
      <c r="C32" s="6" t="e">
        <f t="shared" ref="C32:C49" si="19">$D$21*B32</f>
        <v>#REF!</v>
      </c>
      <c r="D32" s="56">
        <v>2.3980429045533829E-5</v>
      </c>
      <c r="E32" s="5" t="e">
        <f t="shared" si="17"/>
        <v>#REF!</v>
      </c>
      <c r="F32" s="8" t="e">
        <f t="shared" ref="F32:F49" si="20">E32/$F$21</f>
        <v>#REF!</v>
      </c>
      <c r="G32" s="81" t="e">
        <f t="shared" ref="G32:G49" si="21">E32/2</f>
        <v>#REF!</v>
      </c>
      <c r="H32" s="57">
        <v>2.3980429045533829E-5</v>
      </c>
      <c r="I32" s="5" t="e">
        <f t="shared" si="18"/>
        <v>#REF!</v>
      </c>
      <c r="J32" s="8" t="e">
        <f t="shared" ref="J32:J49" si="22">I32/$J$21</f>
        <v>#REF!</v>
      </c>
      <c r="K32" s="81" t="e">
        <f t="shared" ref="K32:K49" si="23">I32/2</f>
        <v>#REF!</v>
      </c>
      <c r="L32" s="57">
        <v>2.3980429045533829E-5</v>
      </c>
      <c r="M32" s="5" t="e">
        <f t="shared" ref="M32:M49" si="24">C32*L32</f>
        <v>#REF!</v>
      </c>
      <c r="N32" s="8" t="e">
        <f t="shared" ref="N32:N49" si="25">M32/$N$21</f>
        <v>#REF!</v>
      </c>
      <c r="O32" s="81" t="e">
        <f t="shared" ref="O32:O49" si="26">M32/2</f>
        <v>#REF!</v>
      </c>
      <c r="P32" s="59">
        <v>1.508910891089109E-4</v>
      </c>
      <c r="Q32" s="59" t="e">
        <f t="shared" ref="Q32:Q49" si="27">P32*C32</f>
        <v>#REF!</v>
      </c>
      <c r="R32" s="8" t="e">
        <f>Q32/$R$21</f>
        <v>#REF!</v>
      </c>
      <c r="S32" s="81" t="e">
        <f t="shared" ref="S32:S49" si="28">Q32/2</f>
        <v>#REF!</v>
      </c>
    </row>
    <row r="33" spans="1:19" x14ac:dyDescent="0.35">
      <c r="A33" s="58" t="s">
        <v>20</v>
      </c>
      <c r="B33" s="83">
        <v>0.23899999999999999</v>
      </c>
      <c r="C33" s="6">
        <f t="shared" si="19"/>
        <v>239000</v>
      </c>
      <c r="D33" s="56">
        <v>1.4889528721675126E-5</v>
      </c>
      <c r="E33" s="5">
        <f t="shared" si="17"/>
        <v>3.558597364480355</v>
      </c>
      <c r="F33" s="8">
        <f t="shared" si="20"/>
        <v>0.24815053552865615</v>
      </c>
      <c r="G33" s="81">
        <f t="shared" si="21"/>
        <v>1.7792986822401775</v>
      </c>
      <c r="H33" s="57">
        <v>1.4889528721675126E-5</v>
      </c>
      <c r="I33" s="5">
        <f t="shared" si="18"/>
        <v>3.558597364480355</v>
      </c>
      <c r="J33" s="8">
        <f t="shared" si="22"/>
        <v>0.24815053552865615</v>
      </c>
      <c r="K33" s="81">
        <f t="shared" si="23"/>
        <v>1.7792986822401775</v>
      </c>
      <c r="L33" s="57">
        <v>1.4889528721675126E-5</v>
      </c>
      <c r="M33" s="5">
        <f t="shared" si="24"/>
        <v>3.558597364480355</v>
      </c>
      <c r="N33" s="8">
        <f t="shared" si="25"/>
        <v>0.24815053552865615</v>
      </c>
      <c r="O33" s="81">
        <f t="shared" si="26"/>
        <v>1.7792986822401775</v>
      </c>
      <c r="P33" s="59">
        <v>1.0136260408781227E-4</v>
      </c>
      <c r="Q33" s="59">
        <f t="shared" si="27"/>
        <v>24.225662376987131</v>
      </c>
      <c r="R33" s="8">
        <f t="shared" ref="R33:R49" si="29">Q33/$R$21</f>
        <v>0.31601401662288731</v>
      </c>
      <c r="S33" s="81">
        <f t="shared" si="28"/>
        <v>12.112831188493566</v>
      </c>
    </row>
    <row r="34" spans="1:19" x14ac:dyDescent="0.35">
      <c r="A34" s="58" t="s">
        <v>21</v>
      </c>
      <c r="B34" s="83" t="e">
        <f>#REF!/$B$21</f>
        <v>#REF!</v>
      </c>
      <c r="C34" s="6" t="e">
        <f t="shared" si="19"/>
        <v>#REF!</v>
      </c>
      <c r="D34" s="56">
        <v>7.5346594333936109E-6</v>
      </c>
      <c r="E34" s="5" t="e">
        <f t="shared" si="17"/>
        <v>#REF!</v>
      </c>
      <c r="F34" s="8" t="e">
        <f t="shared" si="20"/>
        <v>#REF!</v>
      </c>
      <c r="G34" s="81" t="e">
        <f t="shared" si="21"/>
        <v>#REF!</v>
      </c>
      <c r="H34" s="57">
        <v>7.5346594333936109E-6</v>
      </c>
      <c r="I34" s="5" t="e">
        <f t="shared" si="18"/>
        <v>#REF!</v>
      </c>
      <c r="J34" s="8" t="e">
        <f t="shared" si="22"/>
        <v>#REF!</v>
      </c>
      <c r="K34" s="81" t="e">
        <f t="shared" si="23"/>
        <v>#REF!</v>
      </c>
      <c r="L34" s="57">
        <v>7.5346594333936109E-6</v>
      </c>
      <c r="M34" s="5" t="e">
        <f t="shared" si="24"/>
        <v>#REF!</v>
      </c>
      <c r="N34" s="8" t="e">
        <f t="shared" si="25"/>
        <v>#REF!</v>
      </c>
      <c r="O34" s="81" t="e">
        <f t="shared" si="26"/>
        <v>#REF!</v>
      </c>
      <c r="P34" s="59">
        <v>7.5346594333936109E-6</v>
      </c>
      <c r="Q34" s="59" t="e">
        <f t="shared" si="27"/>
        <v>#REF!</v>
      </c>
      <c r="R34" s="8" t="e">
        <f t="shared" si="29"/>
        <v>#REF!</v>
      </c>
      <c r="S34" s="81" t="e">
        <f t="shared" si="28"/>
        <v>#REF!</v>
      </c>
    </row>
    <row r="35" spans="1:19" x14ac:dyDescent="0.35">
      <c r="A35" s="96" t="s">
        <v>22</v>
      </c>
      <c r="B35" s="84" t="e">
        <f>#REF!/$B$21</f>
        <v>#REF!</v>
      </c>
      <c r="C35" s="66" t="e">
        <f t="shared" si="19"/>
        <v>#REF!</v>
      </c>
      <c r="D35" s="67"/>
      <c r="E35" s="69" t="e">
        <f t="shared" si="17"/>
        <v>#REF!</v>
      </c>
      <c r="F35" s="70" t="e">
        <f t="shared" si="20"/>
        <v>#REF!</v>
      </c>
      <c r="G35" s="82" t="e">
        <f t="shared" si="21"/>
        <v>#REF!</v>
      </c>
      <c r="H35" s="68"/>
      <c r="I35" s="69" t="e">
        <f t="shared" si="18"/>
        <v>#REF!</v>
      </c>
      <c r="J35" s="70" t="e">
        <f t="shared" si="22"/>
        <v>#REF!</v>
      </c>
      <c r="K35" s="82" t="e">
        <f t="shared" si="23"/>
        <v>#REF!</v>
      </c>
      <c r="L35" s="68"/>
      <c r="M35" s="69" t="e">
        <f t="shared" si="24"/>
        <v>#REF!</v>
      </c>
      <c r="N35" s="70" t="e">
        <f t="shared" si="25"/>
        <v>#REF!</v>
      </c>
      <c r="O35" s="82" t="e">
        <f t="shared" si="26"/>
        <v>#REF!</v>
      </c>
      <c r="P35" s="74">
        <v>0</v>
      </c>
      <c r="Q35" s="74" t="e">
        <f t="shared" si="27"/>
        <v>#REF!</v>
      </c>
      <c r="R35" s="8" t="e">
        <f t="shared" si="29"/>
        <v>#REF!</v>
      </c>
      <c r="S35" s="82" t="e">
        <f t="shared" si="28"/>
        <v>#REF!</v>
      </c>
    </row>
    <row r="36" spans="1:19" x14ac:dyDescent="0.35">
      <c r="A36" s="96" t="s">
        <v>23</v>
      </c>
      <c r="B36" s="84" t="e">
        <f>#REF!/$B$21</f>
        <v>#REF!</v>
      </c>
      <c r="C36" s="66" t="e">
        <f t="shared" si="19"/>
        <v>#REF!</v>
      </c>
      <c r="D36" s="72"/>
      <c r="E36" s="69" t="e">
        <f t="shared" si="17"/>
        <v>#REF!</v>
      </c>
      <c r="F36" s="70" t="e">
        <f t="shared" si="20"/>
        <v>#REF!</v>
      </c>
      <c r="G36" s="82" t="e">
        <f t="shared" si="21"/>
        <v>#REF!</v>
      </c>
      <c r="H36" s="73"/>
      <c r="I36" s="69" t="e">
        <f t="shared" si="18"/>
        <v>#REF!</v>
      </c>
      <c r="J36" s="70" t="e">
        <f t="shared" si="22"/>
        <v>#REF!</v>
      </c>
      <c r="K36" s="82" t="e">
        <f t="shared" si="23"/>
        <v>#REF!</v>
      </c>
      <c r="L36" s="73"/>
      <c r="M36" s="69" t="e">
        <f t="shared" si="24"/>
        <v>#REF!</v>
      </c>
      <c r="N36" s="70" t="e">
        <f t="shared" si="25"/>
        <v>#REF!</v>
      </c>
      <c r="O36" s="82" t="e">
        <f t="shared" si="26"/>
        <v>#REF!</v>
      </c>
      <c r="P36" s="74">
        <v>0</v>
      </c>
      <c r="Q36" s="74" t="e">
        <f t="shared" si="27"/>
        <v>#REF!</v>
      </c>
      <c r="R36" s="8" t="e">
        <f t="shared" si="29"/>
        <v>#REF!</v>
      </c>
      <c r="S36" s="82" t="e">
        <f t="shared" si="28"/>
        <v>#REF!</v>
      </c>
    </row>
    <row r="37" spans="1:19" x14ac:dyDescent="0.35">
      <c r="A37" s="58" t="s">
        <v>24</v>
      </c>
      <c r="B37" s="83" t="e">
        <f>#REF!/$B$21</f>
        <v>#REF!</v>
      </c>
      <c r="C37" s="6" t="e">
        <f t="shared" si="19"/>
        <v>#REF!</v>
      </c>
      <c r="D37" s="60">
        <v>0</v>
      </c>
      <c r="E37" s="5" t="e">
        <f t="shared" si="17"/>
        <v>#REF!</v>
      </c>
      <c r="F37" s="8" t="e">
        <f t="shared" si="20"/>
        <v>#REF!</v>
      </c>
      <c r="G37" s="81" t="e">
        <f t="shared" si="21"/>
        <v>#REF!</v>
      </c>
      <c r="H37" s="61">
        <v>0</v>
      </c>
      <c r="I37" s="5" t="e">
        <f t="shared" si="18"/>
        <v>#REF!</v>
      </c>
      <c r="J37" s="8" t="e">
        <f t="shared" si="22"/>
        <v>#REF!</v>
      </c>
      <c r="K37" s="81" t="e">
        <f t="shared" si="23"/>
        <v>#REF!</v>
      </c>
      <c r="L37" s="61">
        <v>0</v>
      </c>
      <c r="M37" s="5" t="e">
        <f t="shared" si="24"/>
        <v>#REF!</v>
      </c>
      <c r="N37" s="8" t="e">
        <f t="shared" si="25"/>
        <v>#REF!</v>
      </c>
      <c r="O37" s="81" t="e">
        <f t="shared" si="26"/>
        <v>#REF!</v>
      </c>
      <c r="P37" s="59">
        <v>0</v>
      </c>
      <c r="Q37" s="59" t="e">
        <f t="shared" si="27"/>
        <v>#REF!</v>
      </c>
      <c r="R37" s="8" t="e">
        <f t="shared" si="29"/>
        <v>#REF!</v>
      </c>
      <c r="S37" s="81" t="e">
        <f t="shared" si="28"/>
        <v>#REF!</v>
      </c>
    </row>
    <row r="38" spans="1:19" x14ac:dyDescent="0.35">
      <c r="A38" s="58" t="s">
        <v>25</v>
      </c>
      <c r="B38" s="83" t="e">
        <f>#REF!/$B$21</f>
        <v>#REF!</v>
      </c>
      <c r="C38" s="6" t="e">
        <f t="shared" si="19"/>
        <v>#REF!</v>
      </c>
      <c r="D38" s="60">
        <v>1.1406249999999999E-3</v>
      </c>
      <c r="E38" s="5" t="e">
        <f t="shared" si="17"/>
        <v>#REF!</v>
      </c>
      <c r="F38" s="8" t="e">
        <f t="shared" si="20"/>
        <v>#REF!</v>
      </c>
      <c r="G38" s="81" t="e">
        <f t="shared" si="21"/>
        <v>#REF!</v>
      </c>
      <c r="H38" s="61">
        <v>1.1406249999999999E-3</v>
      </c>
      <c r="I38" s="5" t="e">
        <f t="shared" si="18"/>
        <v>#REF!</v>
      </c>
      <c r="J38" s="8" t="e">
        <f t="shared" si="22"/>
        <v>#REF!</v>
      </c>
      <c r="K38" s="81" t="e">
        <f t="shared" si="23"/>
        <v>#REF!</v>
      </c>
      <c r="L38" s="61">
        <v>1.1406249999999999E-3</v>
      </c>
      <c r="M38" s="5" t="e">
        <f t="shared" si="24"/>
        <v>#REF!</v>
      </c>
      <c r="N38" s="8" t="e">
        <f t="shared" si="25"/>
        <v>#REF!</v>
      </c>
      <c r="O38" s="81" t="e">
        <f t="shared" si="26"/>
        <v>#REF!</v>
      </c>
      <c r="P38" s="59">
        <v>1.1406249999999999E-3</v>
      </c>
      <c r="Q38" s="59" t="e">
        <f t="shared" si="27"/>
        <v>#REF!</v>
      </c>
      <c r="R38" s="8" t="e">
        <f t="shared" si="29"/>
        <v>#REF!</v>
      </c>
      <c r="S38" s="81" t="e">
        <f t="shared" si="28"/>
        <v>#REF!</v>
      </c>
    </row>
    <row r="39" spans="1:19" x14ac:dyDescent="0.35">
      <c r="A39" s="58" t="s">
        <v>26</v>
      </c>
      <c r="B39" s="83" t="e">
        <f>#REF!/$B$21</f>
        <v>#REF!</v>
      </c>
      <c r="C39" s="6" t="e">
        <f t="shared" si="19"/>
        <v>#REF!</v>
      </c>
      <c r="D39" s="60">
        <v>7.0111111111111112E-3</v>
      </c>
      <c r="E39" s="5" t="e">
        <f t="shared" si="17"/>
        <v>#REF!</v>
      </c>
      <c r="F39" s="8" t="e">
        <f t="shared" si="20"/>
        <v>#REF!</v>
      </c>
      <c r="G39" s="81" t="e">
        <f t="shared" si="21"/>
        <v>#REF!</v>
      </c>
      <c r="H39" s="61">
        <v>7.0111111111111112E-3</v>
      </c>
      <c r="I39" s="5" t="e">
        <f t="shared" si="18"/>
        <v>#REF!</v>
      </c>
      <c r="J39" s="8" t="e">
        <f t="shared" si="22"/>
        <v>#REF!</v>
      </c>
      <c r="K39" s="81" t="e">
        <f t="shared" si="23"/>
        <v>#REF!</v>
      </c>
      <c r="L39" s="61">
        <v>7.0111111111111112E-3</v>
      </c>
      <c r="M39" s="5" t="e">
        <f t="shared" si="24"/>
        <v>#REF!</v>
      </c>
      <c r="N39" s="8" t="e">
        <f t="shared" si="25"/>
        <v>#REF!</v>
      </c>
      <c r="O39" s="81" t="e">
        <f t="shared" si="26"/>
        <v>#REF!</v>
      </c>
      <c r="P39" s="59">
        <v>7.0111111111111112E-3</v>
      </c>
      <c r="Q39" s="59" t="e">
        <f t="shared" si="27"/>
        <v>#REF!</v>
      </c>
      <c r="R39" s="8" t="e">
        <f t="shared" si="29"/>
        <v>#REF!</v>
      </c>
      <c r="S39" s="81" t="e">
        <f t="shared" si="28"/>
        <v>#REF!</v>
      </c>
    </row>
    <row r="40" spans="1:19" x14ac:dyDescent="0.35">
      <c r="A40" s="96" t="s">
        <v>27</v>
      </c>
      <c r="B40" s="84" t="e">
        <f>#REF!/$B$21</f>
        <v>#REF!</v>
      </c>
      <c r="C40" s="66" t="e">
        <f t="shared" si="19"/>
        <v>#REF!</v>
      </c>
      <c r="D40" s="75"/>
      <c r="E40" s="69" t="e">
        <f t="shared" si="17"/>
        <v>#REF!</v>
      </c>
      <c r="F40" s="70" t="e">
        <f t="shared" si="20"/>
        <v>#REF!</v>
      </c>
      <c r="G40" s="82" t="e">
        <f t="shared" si="21"/>
        <v>#REF!</v>
      </c>
      <c r="H40" s="76"/>
      <c r="I40" s="69" t="e">
        <f t="shared" si="18"/>
        <v>#REF!</v>
      </c>
      <c r="J40" s="70" t="e">
        <f t="shared" si="22"/>
        <v>#REF!</v>
      </c>
      <c r="K40" s="82" t="e">
        <f t="shared" si="23"/>
        <v>#REF!</v>
      </c>
      <c r="L40" s="76"/>
      <c r="M40" s="69" t="e">
        <f t="shared" si="24"/>
        <v>#REF!</v>
      </c>
      <c r="N40" s="70" t="e">
        <f t="shared" si="25"/>
        <v>#REF!</v>
      </c>
      <c r="O40" s="82" t="e">
        <f t="shared" si="26"/>
        <v>#REF!</v>
      </c>
      <c r="P40" s="74">
        <v>0</v>
      </c>
      <c r="Q40" s="74" t="e">
        <f t="shared" si="27"/>
        <v>#REF!</v>
      </c>
      <c r="R40" s="8" t="e">
        <f t="shared" si="29"/>
        <v>#REF!</v>
      </c>
      <c r="S40" s="82" t="e">
        <f t="shared" si="28"/>
        <v>#REF!</v>
      </c>
    </row>
    <row r="41" spans="1:19" x14ac:dyDescent="0.35">
      <c r="A41" s="58" t="s">
        <v>28</v>
      </c>
      <c r="B41" s="83">
        <f>1-B42</f>
        <v>0.69700000000000006</v>
      </c>
      <c r="C41" s="6">
        <f t="shared" si="19"/>
        <v>697000.00000000012</v>
      </c>
      <c r="D41" s="60">
        <v>3.0696748347842027E-5</v>
      </c>
      <c r="E41" s="5">
        <f t="shared" si="17"/>
        <v>21.395633598445897</v>
      </c>
      <c r="F41" s="8">
        <f t="shared" si="20"/>
        <v>1.491974896745464</v>
      </c>
      <c r="G41" s="81">
        <f t="shared" si="21"/>
        <v>10.697816799222949</v>
      </c>
      <c r="H41" s="61">
        <v>3.0696748347842027E-5</v>
      </c>
      <c r="I41" s="5">
        <f t="shared" si="18"/>
        <v>21.395633598445897</v>
      </c>
      <c r="J41" s="8">
        <f t="shared" si="22"/>
        <v>1.491974896745464</v>
      </c>
      <c r="K41" s="81">
        <f t="shared" si="23"/>
        <v>10.697816799222949</v>
      </c>
      <c r="L41" s="61">
        <v>3.0696748347842027E-5</v>
      </c>
      <c r="M41" s="5">
        <f t="shared" si="24"/>
        <v>21.395633598445897</v>
      </c>
      <c r="N41" s="8">
        <f t="shared" si="25"/>
        <v>1.491974896745464</v>
      </c>
      <c r="O41" s="81">
        <f t="shared" si="26"/>
        <v>10.697816799222949</v>
      </c>
      <c r="P41" s="59">
        <v>4.7830870043526083E-5</v>
      </c>
      <c r="Q41" s="59">
        <f t="shared" si="27"/>
        <v>33.338116420337684</v>
      </c>
      <c r="R41" s="8">
        <f t="shared" si="29"/>
        <v>0.43488231251172038</v>
      </c>
      <c r="S41" s="81">
        <f t="shared" si="28"/>
        <v>16.669058210168842</v>
      </c>
    </row>
    <row r="42" spans="1:19" x14ac:dyDescent="0.35">
      <c r="A42" s="58" t="s">
        <v>29</v>
      </c>
      <c r="B42" s="83">
        <v>0.30299999999999999</v>
      </c>
      <c r="C42" s="6">
        <f t="shared" si="19"/>
        <v>303000</v>
      </c>
      <c r="D42" s="60">
        <v>8.2981604472574897E-4</v>
      </c>
      <c r="E42" s="5">
        <f t="shared" si="17"/>
        <v>251.43426155190193</v>
      </c>
      <c r="F42" s="8">
        <f t="shared" si="20"/>
        <v>17.533185203004187</v>
      </c>
      <c r="G42" s="81">
        <f t="shared" si="21"/>
        <v>125.71713077595096</v>
      </c>
      <c r="H42" s="61">
        <v>8.2981604472574897E-4</v>
      </c>
      <c r="I42" s="5">
        <f t="shared" si="18"/>
        <v>251.43426155190193</v>
      </c>
      <c r="J42" s="8">
        <f t="shared" si="22"/>
        <v>17.533185203004187</v>
      </c>
      <c r="K42" s="81">
        <f t="shared" si="23"/>
        <v>125.71713077595096</v>
      </c>
      <c r="L42" s="61">
        <v>8.2981604472574897E-4</v>
      </c>
      <c r="M42" s="5">
        <f t="shared" si="24"/>
        <v>251.43426155190193</v>
      </c>
      <c r="N42" s="8">
        <f t="shared" si="25"/>
        <v>17.533185203004187</v>
      </c>
      <c r="O42" s="81">
        <f t="shared" si="26"/>
        <v>125.71713077595096</v>
      </c>
      <c r="P42" s="59">
        <v>2.9585798816568051E-3</v>
      </c>
      <c r="Q42" s="59">
        <f t="shared" si="27"/>
        <v>896.44970414201191</v>
      </c>
      <c r="R42" s="8">
        <f t="shared" si="29"/>
        <v>11.693825634069128</v>
      </c>
      <c r="S42" s="81">
        <f t="shared" si="28"/>
        <v>448.22485207100596</v>
      </c>
    </row>
    <row r="43" spans="1:19" x14ac:dyDescent="0.35">
      <c r="A43" s="58" t="s">
        <v>30</v>
      </c>
      <c r="B43" s="83">
        <f>1-B44</f>
        <v>0.52300000000000002</v>
      </c>
      <c r="C43" s="6">
        <f t="shared" si="19"/>
        <v>523000</v>
      </c>
      <c r="D43" s="60">
        <v>4.8441285045733371E-6</v>
      </c>
      <c r="E43" s="5">
        <f t="shared" si="17"/>
        <v>2.5334792078918551</v>
      </c>
      <c r="F43" s="8">
        <f t="shared" si="20"/>
        <v>0.17666629792518918</v>
      </c>
      <c r="G43" s="81">
        <f t="shared" si="21"/>
        <v>1.2667396039459276</v>
      </c>
      <c r="H43" s="61">
        <v>4.8441285045733371E-6</v>
      </c>
      <c r="I43" s="5">
        <f t="shared" si="18"/>
        <v>2.5334792078918551</v>
      </c>
      <c r="J43" s="8">
        <f t="shared" si="22"/>
        <v>0.17666629792518918</v>
      </c>
      <c r="K43" s="81">
        <f t="shared" si="23"/>
        <v>1.2667396039459276</v>
      </c>
      <c r="L43" s="61">
        <v>4.8441285045733371E-6</v>
      </c>
      <c r="M43" s="5">
        <f t="shared" si="24"/>
        <v>2.5334792078918551</v>
      </c>
      <c r="N43" s="8">
        <f t="shared" si="25"/>
        <v>0.17666629792518918</v>
      </c>
      <c r="O43" s="81">
        <f t="shared" si="26"/>
        <v>1.2667396039459276</v>
      </c>
      <c r="P43" s="59">
        <v>1.2602739726027396E-5</v>
      </c>
      <c r="Q43" s="59">
        <f t="shared" si="27"/>
        <v>6.5912328767123283</v>
      </c>
      <c r="R43" s="8">
        <f t="shared" si="29"/>
        <v>8.597998038003439E-2</v>
      </c>
      <c r="S43" s="81">
        <f t="shared" si="28"/>
        <v>3.2956164383561641</v>
      </c>
    </row>
    <row r="44" spans="1:19" x14ac:dyDescent="0.35">
      <c r="A44" s="58" t="s">
        <v>31</v>
      </c>
      <c r="B44" s="83">
        <v>0.47699999999999998</v>
      </c>
      <c r="C44" s="6">
        <f t="shared" si="19"/>
        <v>477000</v>
      </c>
      <c r="D44" s="60">
        <v>6.3411324978883613E-5</v>
      </c>
      <c r="E44" s="5">
        <f t="shared" si="17"/>
        <v>30.247202014927485</v>
      </c>
      <c r="F44" s="8">
        <f t="shared" si="20"/>
        <v>2.1092184952325304</v>
      </c>
      <c r="G44" s="81">
        <f t="shared" si="21"/>
        <v>15.123601007463742</v>
      </c>
      <c r="H44" s="61">
        <v>6.3411324978883613E-5</v>
      </c>
      <c r="I44" s="5">
        <f t="shared" si="18"/>
        <v>30.247202014927485</v>
      </c>
      <c r="J44" s="8">
        <f t="shared" si="22"/>
        <v>2.1092184952325304</v>
      </c>
      <c r="K44" s="81">
        <f t="shared" si="23"/>
        <v>15.123601007463742</v>
      </c>
      <c r="L44" s="61">
        <v>6.3411324978883613E-5</v>
      </c>
      <c r="M44" s="5">
        <f t="shared" si="24"/>
        <v>30.247202014927485</v>
      </c>
      <c r="N44" s="8">
        <f t="shared" si="25"/>
        <v>2.1092184952325304</v>
      </c>
      <c r="O44" s="81">
        <f t="shared" si="26"/>
        <v>15.123601007463742</v>
      </c>
      <c r="P44" s="59">
        <v>2.2153846153846152E-4</v>
      </c>
      <c r="Q44" s="59">
        <f t="shared" si="27"/>
        <v>105.67384615384614</v>
      </c>
      <c r="R44" s="8">
        <f t="shared" si="29"/>
        <v>1.3784727969621415</v>
      </c>
      <c r="S44" s="81">
        <f t="shared" si="28"/>
        <v>52.836923076923071</v>
      </c>
    </row>
    <row r="45" spans="1:19" x14ac:dyDescent="0.35">
      <c r="A45" s="58" t="s">
        <v>32</v>
      </c>
      <c r="B45" s="83">
        <v>0.55500000000000005</v>
      </c>
      <c r="C45" s="6">
        <f t="shared" si="19"/>
        <v>555000</v>
      </c>
      <c r="D45" s="60">
        <v>4.2490118577075101E-5</v>
      </c>
      <c r="E45" s="5">
        <f t="shared" si="17"/>
        <v>23.58201581027668</v>
      </c>
      <c r="F45" s="8">
        <f t="shared" si="20"/>
        <v>1.6444371904996107</v>
      </c>
      <c r="G45" s="81">
        <f t="shared" si="21"/>
        <v>11.79100790513834</v>
      </c>
      <c r="H45" s="61">
        <v>4.2490118577075101E-5</v>
      </c>
      <c r="I45" s="5">
        <f t="shared" si="18"/>
        <v>23.58201581027668</v>
      </c>
      <c r="J45" s="8">
        <f t="shared" si="22"/>
        <v>1.6444371904996107</v>
      </c>
      <c r="K45" s="81">
        <f t="shared" si="23"/>
        <v>11.79100790513834</v>
      </c>
      <c r="L45" s="61">
        <v>4.2490118577075101E-5</v>
      </c>
      <c r="M45" s="5">
        <f t="shared" si="24"/>
        <v>23.58201581027668</v>
      </c>
      <c r="N45" s="8">
        <f t="shared" si="25"/>
        <v>1.6444371904996107</v>
      </c>
      <c r="O45" s="81">
        <f t="shared" si="26"/>
        <v>11.79100790513834</v>
      </c>
      <c r="P45" s="59">
        <v>4.2490118577075101E-5</v>
      </c>
      <c r="Q45" s="59">
        <f t="shared" si="27"/>
        <v>23.58201581027668</v>
      </c>
      <c r="R45" s="8">
        <f t="shared" si="29"/>
        <v>0.30761790618155138</v>
      </c>
      <c r="S45" s="81">
        <f t="shared" si="28"/>
        <v>11.79100790513834</v>
      </c>
    </row>
    <row r="46" spans="1:19" x14ac:dyDescent="0.35">
      <c r="A46" s="58" t="s">
        <v>33</v>
      </c>
      <c r="B46" s="83">
        <v>0.26100000000000001</v>
      </c>
      <c r="C46" s="6">
        <f t="shared" si="19"/>
        <v>261000</v>
      </c>
      <c r="D46" s="60">
        <v>4.3174603174603174E-4</v>
      </c>
      <c r="E46" s="5">
        <f t="shared" si="17"/>
        <v>112.68571428571428</v>
      </c>
      <c r="F46" s="8">
        <f t="shared" si="20"/>
        <v>7.8578769898326062</v>
      </c>
      <c r="G46" s="81">
        <f t="shared" si="21"/>
        <v>56.342857142857142</v>
      </c>
      <c r="H46" s="61">
        <v>4.3174603174603174E-4</v>
      </c>
      <c r="I46" s="5">
        <f t="shared" si="18"/>
        <v>112.68571428571428</v>
      </c>
      <c r="J46" s="8">
        <f t="shared" si="22"/>
        <v>7.8578769898326062</v>
      </c>
      <c r="K46" s="81">
        <f t="shared" si="23"/>
        <v>56.342857142857142</v>
      </c>
      <c r="L46" s="61">
        <v>4.3174603174603174E-4</v>
      </c>
      <c r="M46" s="5">
        <f t="shared" si="24"/>
        <v>112.68571428571428</v>
      </c>
      <c r="N46" s="8">
        <f t="shared" si="25"/>
        <v>7.8578769898326062</v>
      </c>
      <c r="O46" s="81">
        <f t="shared" si="26"/>
        <v>56.342857142857142</v>
      </c>
      <c r="P46" s="59">
        <v>4.3174603174603174E-4</v>
      </c>
      <c r="Q46" s="59">
        <f t="shared" si="27"/>
        <v>112.68571428571428</v>
      </c>
      <c r="R46" s="8">
        <f t="shared" si="29"/>
        <v>1.4699397949702782</v>
      </c>
      <c r="S46" s="81">
        <f t="shared" si="28"/>
        <v>56.342857142857142</v>
      </c>
    </row>
    <row r="47" spans="1:19" x14ac:dyDescent="0.35">
      <c r="A47" s="96" t="s">
        <v>34</v>
      </c>
      <c r="B47" s="84">
        <v>0.108</v>
      </c>
      <c r="C47" s="66">
        <f t="shared" si="19"/>
        <v>108000</v>
      </c>
      <c r="D47" s="75"/>
      <c r="E47" s="69">
        <f t="shared" si="17"/>
        <v>0</v>
      </c>
      <c r="F47" s="70">
        <f t="shared" si="20"/>
        <v>0</v>
      </c>
      <c r="G47" s="82">
        <f t="shared" si="21"/>
        <v>0</v>
      </c>
      <c r="H47" s="76"/>
      <c r="I47" s="69">
        <f t="shared" si="18"/>
        <v>0</v>
      </c>
      <c r="J47" s="70">
        <f t="shared" si="22"/>
        <v>0</v>
      </c>
      <c r="K47" s="82">
        <f t="shared" si="23"/>
        <v>0</v>
      </c>
      <c r="L47" s="76"/>
      <c r="M47" s="69">
        <f t="shared" si="24"/>
        <v>0</v>
      </c>
      <c r="N47" s="70">
        <f t="shared" si="25"/>
        <v>0</v>
      </c>
      <c r="O47" s="82">
        <f t="shared" si="26"/>
        <v>0</v>
      </c>
      <c r="P47" s="74">
        <v>0</v>
      </c>
      <c r="Q47" s="74">
        <f t="shared" si="27"/>
        <v>0</v>
      </c>
      <c r="R47" s="8">
        <f t="shared" si="29"/>
        <v>0</v>
      </c>
      <c r="S47" s="82">
        <f t="shared" si="28"/>
        <v>0</v>
      </c>
    </row>
    <row r="48" spans="1:19" x14ac:dyDescent="0.35">
      <c r="A48" s="96" t="s">
        <v>35</v>
      </c>
      <c r="B48" s="84">
        <v>6.4000000000000001E-2</v>
      </c>
      <c r="C48" s="66">
        <f t="shared" si="19"/>
        <v>64000</v>
      </c>
      <c r="D48" s="75"/>
      <c r="E48" s="69">
        <f t="shared" si="17"/>
        <v>0</v>
      </c>
      <c r="F48" s="70">
        <f t="shared" si="20"/>
        <v>0</v>
      </c>
      <c r="G48" s="82">
        <f t="shared" si="21"/>
        <v>0</v>
      </c>
      <c r="H48" s="76"/>
      <c r="I48" s="69">
        <f t="shared" si="18"/>
        <v>0</v>
      </c>
      <c r="J48" s="70">
        <f t="shared" si="22"/>
        <v>0</v>
      </c>
      <c r="K48" s="82">
        <f t="shared" si="23"/>
        <v>0</v>
      </c>
      <c r="L48" s="76"/>
      <c r="M48" s="69">
        <f t="shared" si="24"/>
        <v>0</v>
      </c>
      <c r="N48" s="70">
        <f t="shared" si="25"/>
        <v>0</v>
      </c>
      <c r="O48" s="82">
        <f t="shared" si="26"/>
        <v>0</v>
      </c>
      <c r="P48" s="74">
        <v>0</v>
      </c>
      <c r="Q48" s="74">
        <f t="shared" si="27"/>
        <v>0</v>
      </c>
      <c r="R48" s="8">
        <f t="shared" si="29"/>
        <v>0</v>
      </c>
      <c r="S48" s="82">
        <f t="shared" si="28"/>
        <v>0</v>
      </c>
    </row>
    <row r="49" spans="1:20" ht="15" thickBot="1" x14ac:dyDescent="0.4">
      <c r="A49" s="62" t="s">
        <v>36</v>
      </c>
      <c r="B49" s="85">
        <f>SUM(B47:B48)</f>
        <v>0.17199999999999999</v>
      </c>
      <c r="C49" s="86">
        <f t="shared" si="19"/>
        <v>172000</v>
      </c>
      <c r="D49" s="64">
        <v>3.3361963190184046E-3</v>
      </c>
      <c r="E49" s="87">
        <f t="shared" si="17"/>
        <v>573.82576687116557</v>
      </c>
      <c r="F49" s="88">
        <f t="shared" si="20"/>
        <v>40.014409264312718</v>
      </c>
      <c r="G49" s="89">
        <f t="shared" si="21"/>
        <v>286.91288343558278</v>
      </c>
      <c r="H49" s="65">
        <v>3.3361963190184046E-3</v>
      </c>
      <c r="I49" s="87">
        <f t="shared" si="18"/>
        <v>573.82576687116557</v>
      </c>
      <c r="J49" s="88">
        <f t="shared" si="22"/>
        <v>40.014409264312718</v>
      </c>
      <c r="K49" s="89">
        <f t="shared" si="23"/>
        <v>286.91288343558278</v>
      </c>
      <c r="L49" s="65">
        <v>3.3361963190184046E-3</v>
      </c>
      <c r="M49" s="87">
        <f t="shared" si="24"/>
        <v>573.82576687116557</v>
      </c>
      <c r="N49" s="88">
        <f t="shared" si="25"/>
        <v>40.014409264312718</v>
      </c>
      <c r="O49" s="89">
        <f t="shared" si="26"/>
        <v>286.91288343558278</v>
      </c>
      <c r="P49" s="63">
        <v>3.3361963190184046E-3</v>
      </c>
      <c r="Q49" s="63">
        <f t="shared" si="27"/>
        <v>573.82576687116557</v>
      </c>
      <c r="R49" s="8">
        <f t="shared" si="29"/>
        <v>7.4853262052774419</v>
      </c>
      <c r="S49" s="89">
        <f t="shared" si="28"/>
        <v>286.91288343558278</v>
      </c>
    </row>
    <row r="50" spans="1:20" ht="15" thickTop="1" x14ac:dyDescent="0.35">
      <c r="A50" s="90" t="s">
        <v>11</v>
      </c>
      <c r="B50" s="91"/>
      <c r="C50" s="91">
        <v>1000000</v>
      </c>
      <c r="D50" s="90"/>
      <c r="E50" s="92" t="e">
        <f>SUM(E31:E49)</f>
        <v>#REF!</v>
      </c>
      <c r="F50" s="90"/>
      <c r="G50" s="93" t="e">
        <f>SUM(G31:G49)</f>
        <v>#REF!</v>
      </c>
      <c r="H50" s="93"/>
      <c r="I50" s="92" t="e">
        <f>SUM(I31:I49)</f>
        <v>#REF!</v>
      </c>
      <c r="J50" s="90"/>
      <c r="K50" s="92" t="e">
        <f>SUM(K31:K49)</f>
        <v>#REF!</v>
      </c>
      <c r="L50" s="93"/>
      <c r="M50" s="92" t="e">
        <f>SUM(M31:M49)</f>
        <v>#REF!</v>
      </c>
      <c r="N50" s="90"/>
      <c r="O50" s="92" t="e">
        <f>SUM(O31:O49)</f>
        <v>#REF!</v>
      </c>
      <c r="Q50" s="92" t="e">
        <f>SUM(Q31:Q49)</f>
        <v>#REF!</v>
      </c>
      <c r="S50" s="92" t="e">
        <f>SUM(S31:S49)</f>
        <v>#REF!</v>
      </c>
    </row>
    <row r="52" spans="1:20" x14ac:dyDescent="0.35">
      <c r="A52" s="134" t="s">
        <v>119</v>
      </c>
      <c r="B52" s="136" t="s">
        <v>121</v>
      </c>
    </row>
    <row r="53" spans="1:20" x14ac:dyDescent="0.35">
      <c r="A53" s="135" t="s">
        <v>122</v>
      </c>
      <c r="B53" t="s">
        <v>120</v>
      </c>
    </row>
    <row r="56" spans="1:20" x14ac:dyDescent="0.35">
      <c r="A56" s="136" t="s">
        <v>123</v>
      </c>
    </row>
    <row r="57" spans="1:20" ht="87" x14ac:dyDescent="0.35">
      <c r="A57" s="1" t="s">
        <v>92</v>
      </c>
      <c r="B57" s="2" t="s">
        <v>95</v>
      </c>
      <c r="C57" s="2" t="s">
        <v>112</v>
      </c>
      <c r="D57" s="2" t="s">
        <v>93</v>
      </c>
      <c r="E57" s="94" t="s">
        <v>89</v>
      </c>
      <c r="F57" s="94" t="s">
        <v>94</v>
      </c>
      <c r="G57" s="94" t="s">
        <v>96</v>
      </c>
      <c r="H57" s="94" t="s">
        <v>97</v>
      </c>
      <c r="I57" s="95" t="s">
        <v>90</v>
      </c>
      <c r="J57" s="95" t="s">
        <v>98</v>
      </c>
      <c r="K57" s="95" t="s">
        <v>99</v>
      </c>
      <c r="L57" s="95" t="s">
        <v>100</v>
      </c>
      <c r="M57" s="113" t="s">
        <v>104</v>
      </c>
      <c r="N57" s="113" t="s">
        <v>105</v>
      </c>
      <c r="O57" s="113" t="s">
        <v>106</v>
      </c>
      <c r="P57" s="113" t="s">
        <v>107</v>
      </c>
      <c r="Q57" s="114" t="s">
        <v>108</v>
      </c>
      <c r="R57" s="114" t="s">
        <v>109</v>
      </c>
      <c r="S57" s="114" t="s">
        <v>110</v>
      </c>
      <c r="T57" s="114" t="s">
        <v>111</v>
      </c>
    </row>
    <row r="58" spans="1:20" x14ac:dyDescent="0.35">
      <c r="A58" s="58" t="s">
        <v>19</v>
      </c>
      <c r="B58" s="6">
        <v>170626</v>
      </c>
      <c r="C58" s="83">
        <f>B58/$B$21</f>
        <v>0.42023210221955137</v>
      </c>
      <c r="D58" s="6">
        <f>$D$21*C58</f>
        <v>420232.10221955139</v>
      </c>
      <c r="E58" s="56">
        <v>7.6486119309566625E-7</v>
      </c>
      <c r="F58" s="5">
        <f t="shared" ref="F58:F88" si="30">D58*E58</f>
        <v>0.32141922708074605</v>
      </c>
      <c r="G58" s="8">
        <f>F58/$F$21</f>
        <v>2.2413424492866416E-2</v>
      </c>
      <c r="H58" s="81">
        <f>F58/2</f>
        <v>0.16070961354037303</v>
      </c>
      <c r="I58" s="57">
        <v>7.6486119309566625E-7</v>
      </c>
      <c r="J58" s="5">
        <f t="shared" ref="J58:J88" si="31">I58*D58</f>
        <v>0.32141922708074605</v>
      </c>
      <c r="K58" s="8">
        <f>J58/$J$21</f>
        <v>2.2413424492866416E-2</v>
      </c>
      <c r="L58" s="81">
        <f>J58/2</f>
        <v>0.16070961354037303</v>
      </c>
      <c r="M58" s="57">
        <v>7.6486119309566625E-7</v>
      </c>
      <c r="N58" s="5">
        <f>D58*M58</f>
        <v>0.32141922708074605</v>
      </c>
      <c r="O58" s="8">
        <f>N58/$N$21</f>
        <v>2.2413424492866416E-2</v>
      </c>
      <c r="P58" s="81">
        <f>N58/2</f>
        <v>0.16070961354037303</v>
      </c>
      <c r="Q58" s="59">
        <v>2.2910616327847694E-6</v>
      </c>
      <c r="R58" s="59">
        <f>Q58*D58</f>
        <v>0.96277764625970153</v>
      </c>
      <c r="S58" s="8">
        <f>R58/$R$21</f>
        <v>1.2559046946773159E-2</v>
      </c>
      <c r="T58" s="81">
        <f>R58/2</f>
        <v>0.48138882312985076</v>
      </c>
    </row>
    <row r="59" spans="1:20" x14ac:dyDescent="0.35">
      <c r="A59" s="58" t="s">
        <v>88</v>
      </c>
      <c r="B59" s="6">
        <v>89143</v>
      </c>
      <c r="C59" s="83">
        <f t="shared" ref="C59:C88" si="32">B59/$B$21</f>
        <v>0.21954889810554937</v>
      </c>
      <c r="D59" s="6">
        <f t="shared" ref="D59:D88" si="33">$D$21*C59</f>
        <v>219548.89810554936</v>
      </c>
      <c r="E59" s="56">
        <v>2.3980429045533829E-5</v>
      </c>
      <c r="F59" s="5">
        <f t="shared" si="30"/>
        <v>5.2648767730452635</v>
      </c>
      <c r="G59" s="8">
        <f t="shared" ref="G59:G88" si="34">F59/$F$21</f>
        <v>0.36713397356049143</v>
      </c>
      <c r="H59" s="81">
        <f t="shared" ref="H59:H88" si="35">F59/2</f>
        <v>2.6324383865226317</v>
      </c>
      <c r="I59" s="57">
        <v>2.3980429045533829E-5</v>
      </c>
      <c r="J59" s="5">
        <f t="shared" si="31"/>
        <v>5.2648767730452635</v>
      </c>
      <c r="K59" s="8">
        <f t="shared" ref="K59:K88" si="36">J59/$J$21</f>
        <v>0.36713397356049143</v>
      </c>
      <c r="L59" s="81">
        <f t="shared" ref="L59:L88" si="37">J59/2</f>
        <v>2.6324383865226317</v>
      </c>
      <c r="M59" s="57">
        <v>2.3980429045533829E-5</v>
      </c>
      <c r="N59" s="5">
        <f t="shared" ref="N59:N88" si="38">D59*M59</f>
        <v>5.2648767730452635</v>
      </c>
      <c r="O59" s="8">
        <f t="shared" ref="O59:O88" si="39">N59/$N$21</f>
        <v>0.36713397356049143</v>
      </c>
      <c r="P59" s="81">
        <f t="shared" ref="P59:P88" si="40">N59/2</f>
        <v>2.6324383865226317</v>
      </c>
      <c r="Q59" s="59">
        <v>1.508910891089109E-4</v>
      </c>
      <c r="R59" s="59">
        <f t="shared" ref="R59:R88" si="41">Q59*D59</f>
        <v>33.127972347807649</v>
      </c>
      <c r="S59" s="8">
        <f>R59/$R$21</f>
        <v>0.43214106765342536</v>
      </c>
      <c r="T59" s="81">
        <f t="shared" ref="T59:T88" si="42">R59/2</f>
        <v>16.563986173903825</v>
      </c>
    </row>
    <row r="60" spans="1:20" x14ac:dyDescent="0.35">
      <c r="A60" s="58" t="s">
        <v>20</v>
      </c>
      <c r="B60" s="6">
        <v>138221</v>
      </c>
      <c r="C60" s="83">
        <f t="shared" si="32"/>
        <v>0.34042233540544004</v>
      </c>
      <c r="D60" s="6">
        <f t="shared" si="33"/>
        <v>340422.33540544001</v>
      </c>
      <c r="E60" s="56">
        <v>1.4889528721675126E-5</v>
      </c>
      <c r="F60" s="5">
        <f t="shared" si="30"/>
        <v>5.0687281405190223</v>
      </c>
      <c r="G60" s="8">
        <f t="shared" si="34"/>
        <v>0.35345600350115375</v>
      </c>
      <c r="H60" s="81">
        <f t="shared" si="35"/>
        <v>2.5343640702595112</v>
      </c>
      <c r="I60" s="57">
        <v>1.4889528721675126E-5</v>
      </c>
      <c r="J60" s="5">
        <f t="shared" si="31"/>
        <v>5.0687281405190223</v>
      </c>
      <c r="K60" s="8">
        <f t="shared" si="36"/>
        <v>0.35345600350115375</v>
      </c>
      <c r="L60" s="81">
        <f t="shared" si="37"/>
        <v>2.5343640702595112</v>
      </c>
      <c r="M60" s="57">
        <v>1.4889528721675126E-5</v>
      </c>
      <c r="N60" s="5">
        <f t="shared" si="38"/>
        <v>5.0687281405190223</v>
      </c>
      <c r="O60" s="8">
        <f t="shared" si="39"/>
        <v>0.35345600350115375</v>
      </c>
      <c r="P60" s="81">
        <f t="shared" si="40"/>
        <v>2.5343640702595112</v>
      </c>
      <c r="Q60" s="59">
        <v>1.0136260408781227E-4</v>
      </c>
      <c r="R60" s="59">
        <f t="shared" si="41"/>
        <v>34.506094406350051</v>
      </c>
      <c r="S60" s="8">
        <f t="shared" ref="S60:S88" si="43">R60/$R$21</f>
        <v>0.45011811531220436</v>
      </c>
      <c r="T60" s="81">
        <f t="shared" si="42"/>
        <v>17.253047203175026</v>
      </c>
    </row>
    <row r="61" spans="1:20" ht="15" thickBot="1" x14ac:dyDescent="0.4">
      <c r="A61" s="62" t="s">
        <v>21</v>
      </c>
      <c r="B61" s="86">
        <v>1659</v>
      </c>
      <c r="C61" s="85">
        <f t="shared" si="32"/>
        <v>4.085925108613199E-3</v>
      </c>
      <c r="D61" s="86">
        <f t="shared" si="33"/>
        <v>4085.925108613199</v>
      </c>
      <c r="E61" s="145">
        <v>7.5346594333936109E-6</v>
      </c>
      <c r="F61" s="87">
        <f t="shared" si="30"/>
        <v>3.0786054163752255E-2</v>
      </c>
      <c r="G61" s="88">
        <f t="shared" si="34"/>
        <v>2.1467941003392799E-3</v>
      </c>
      <c r="H61" s="89">
        <f t="shared" si="35"/>
        <v>1.5393027081876128E-2</v>
      </c>
      <c r="I61" s="146">
        <v>7.5346594333936109E-6</v>
      </c>
      <c r="J61" s="87">
        <f t="shared" si="31"/>
        <v>3.0786054163752255E-2</v>
      </c>
      <c r="K61" s="88">
        <f t="shared" si="36"/>
        <v>2.1467941003392799E-3</v>
      </c>
      <c r="L61" s="89">
        <f t="shared" si="37"/>
        <v>1.5393027081876128E-2</v>
      </c>
      <c r="M61" s="146">
        <v>7.5346594333936109E-6</v>
      </c>
      <c r="N61" s="87">
        <f t="shared" si="38"/>
        <v>3.0786054163752255E-2</v>
      </c>
      <c r="O61" s="88">
        <f t="shared" si="39"/>
        <v>2.1467941003392799E-3</v>
      </c>
      <c r="P61" s="89">
        <f t="shared" si="40"/>
        <v>1.5393027081876128E-2</v>
      </c>
      <c r="Q61" s="63">
        <v>7.5346594333936109E-6</v>
      </c>
      <c r="R61" s="63">
        <f t="shared" si="41"/>
        <v>3.0786054163752255E-2</v>
      </c>
      <c r="S61" s="88">
        <f t="shared" si="43"/>
        <v>4.0159168739587863E-4</v>
      </c>
      <c r="T61" s="89">
        <f t="shared" si="42"/>
        <v>1.5393027081876128E-2</v>
      </c>
    </row>
    <row r="62" spans="1:20" ht="15" thickTop="1" x14ac:dyDescent="0.35">
      <c r="A62" s="147" t="s">
        <v>11</v>
      </c>
      <c r="B62" s="137"/>
      <c r="C62" s="138"/>
      <c r="D62" s="137"/>
      <c r="E62" s="139"/>
      <c r="F62" s="140"/>
      <c r="G62" s="141"/>
      <c r="H62" s="142"/>
      <c r="I62" s="143"/>
      <c r="J62" s="140"/>
      <c r="K62" s="141"/>
      <c r="L62" s="142"/>
      <c r="M62" s="143"/>
      <c r="N62" s="140"/>
      <c r="O62" s="141"/>
      <c r="P62" s="142"/>
      <c r="Q62" s="144"/>
      <c r="R62" s="144"/>
      <c r="S62" s="141"/>
      <c r="T62" s="142"/>
    </row>
    <row r="63" spans="1:20" x14ac:dyDescent="0.35">
      <c r="A63" s="147"/>
      <c r="B63" s="137"/>
      <c r="C63" s="138"/>
      <c r="D63" s="137"/>
      <c r="E63" s="139"/>
      <c r="F63" s="140"/>
      <c r="G63" s="141"/>
      <c r="H63" s="142"/>
      <c r="I63" s="143"/>
      <c r="J63" s="140"/>
      <c r="K63" s="141"/>
      <c r="L63" s="142"/>
      <c r="M63" s="143"/>
      <c r="N63" s="140"/>
      <c r="O63" s="141"/>
      <c r="P63" s="142"/>
      <c r="Q63" s="144"/>
      <c r="R63" s="144"/>
      <c r="S63" s="141"/>
      <c r="T63" s="142"/>
    </row>
    <row r="64" spans="1:20" x14ac:dyDescent="0.35">
      <c r="A64" s="148" t="s">
        <v>124</v>
      </c>
      <c r="B64" s="6"/>
      <c r="C64" s="83"/>
      <c r="D64" s="6"/>
      <c r="E64" s="56"/>
      <c r="F64" s="5"/>
      <c r="G64" s="8"/>
      <c r="H64" s="81"/>
      <c r="I64" s="57"/>
      <c r="J64" s="5"/>
      <c r="K64" s="8"/>
      <c r="L64" s="81"/>
      <c r="M64" s="57"/>
      <c r="N64" s="5"/>
      <c r="O64" s="8"/>
      <c r="P64" s="81"/>
      <c r="Q64" s="59"/>
      <c r="R64" s="59"/>
      <c r="S64" s="8"/>
      <c r="T64" s="81"/>
    </row>
    <row r="65" spans="1:20" x14ac:dyDescent="0.35">
      <c r="A65" s="96" t="s">
        <v>22</v>
      </c>
      <c r="B65" s="66">
        <v>0</v>
      </c>
      <c r="C65" s="84">
        <f t="shared" si="32"/>
        <v>0</v>
      </c>
      <c r="D65" s="66">
        <f t="shared" si="33"/>
        <v>0</v>
      </c>
      <c r="E65" s="67"/>
      <c r="F65" s="69">
        <f t="shared" si="30"/>
        <v>0</v>
      </c>
      <c r="G65" s="70">
        <f t="shared" si="34"/>
        <v>0</v>
      </c>
      <c r="H65" s="82">
        <f t="shared" si="35"/>
        <v>0</v>
      </c>
      <c r="I65" s="68"/>
      <c r="J65" s="69">
        <f t="shared" si="31"/>
        <v>0</v>
      </c>
      <c r="K65" s="70">
        <f t="shared" si="36"/>
        <v>0</v>
      </c>
      <c r="L65" s="82">
        <f t="shared" si="37"/>
        <v>0</v>
      </c>
      <c r="M65" s="68"/>
      <c r="N65" s="69">
        <f t="shared" si="38"/>
        <v>0</v>
      </c>
      <c r="O65" s="70">
        <f t="shared" si="39"/>
        <v>0</v>
      </c>
      <c r="P65" s="82">
        <f t="shared" si="40"/>
        <v>0</v>
      </c>
      <c r="Q65" s="74">
        <v>0</v>
      </c>
      <c r="R65" s="74">
        <f t="shared" si="41"/>
        <v>0</v>
      </c>
      <c r="S65" s="8">
        <f t="shared" si="43"/>
        <v>0</v>
      </c>
      <c r="T65" s="82">
        <f t="shared" si="42"/>
        <v>0</v>
      </c>
    </row>
    <row r="66" spans="1:20" x14ac:dyDescent="0.35">
      <c r="A66" s="96" t="s">
        <v>23</v>
      </c>
      <c r="B66" s="71">
        <v>0</v>
      </c>
      <c r="C66" s="84">
        <f t="shared" si="32"/>
        <v>0</v>
      </c>
      <c r="D66" s="66">
        <f t="shared" si="33"/>
        <v>0</v>
      </c>
      <c r="E66" s="72"/>
      <c r="F66" s="69">
        <f t="shared" si="30"/>
        <v>0</v>
      </c>
      <c r="G66" s="70">
        <f t="shared" si="34"/>
        <v>0</v>
      </c>
      <c r="H66" s="82">
        <f t="shared" si="35"/>
        <v>0</v>
      </c>
      <c r="I66" s="73"/>
      <c r="J66" s="69">
        <f t="shared" si="31"/>
        <v>0</v>
      </c>
      <c r="K66" s="70">
        <f t="shared" si="36"/>
        <v>0</v>
      </c>
      <c r="L66" s="82">
        <f t="shared" si="37"/>
        <v>0</v>
      </c>
      <c r="M66" s="73"/>
      <c r="N66" s="69">
        <f t="shared" si="38"/>
        <v>0</v>
      </c>
      <c r="O66" s="70">
        <f t="shared" si="39"/>
        <v>0</v>
      </c>
      <c r="P66" s="82">
        <f t="shared" si="40"/>
        <v>0</v>
      </c>
      <c r="Q66" s="74">
        <v>0</v>
      </c>
      <c r="R66" s="74">
        <f t="shared" si="41"/>
        <v>0</v>
      </c>
      <c r="S66" s="8">
        <f t="shared" si="43"/>
        <v>0</v>
      </c>
      <c r="T66" s="82">
        <f t="shared" si="42"/>
        <v>0</v>
      </c>
    </row>
    <row r="67" spans="1:20" x14ac:dyDescent="0.35">
      <c r="A67" s="58" t="s">
        <v>24</v>
      </c>
      <c r="B67" s="59">
        <v>341</v>
      </c>
      <c r="C67" s="83">
        <f t="shared" si="32"/>
        <v>8.398435575871615E-4</v>
      </c>
      <c r="D67" s="6">
        <f t="shared" si="33"/>
        <v>839.84355758716151</v>
      </c>
      <c r="E67" s="60">
        <v>0</v>
      </c>
      <c r="F67" s="5">
        <f t="shared" si="30"/>
        <v>0</v>
      </c>
      <c r="G67" s="8">
        <f t="shared" si="34"/>
        <v>0</v>
      </c>
      <c r="H67" s="81">
        <f t="shared" si="35"/>
        <v>0</v>
      </c>
      <c r="I67" s="61">
        <v>0</v>
      </c>
      <c r="J67" s="5">
        <f t="shared" si="31"/>
        <v>0</v>
      </c>
      <c r="K67" s="8">
        <f t="shared" si="36"/>
        <v>0</v>
      </c>
      <c r="L67" s="81">
        <f t="shared" si="37"/>
        <v>0</v>
      </c>
      <c r="M67" s="61">
        <v>0</v>
      </c>
      <c r="N67" s="5">
        <f t="shared" si="38"/>
        <v>0</v>
      </c>
      <c r="O67" s="8">
        <f t="shared" si="39"/>
        <v>0</v>
      </c>
      <c r="P67" s="81">
        <f t="shared" si="40"/>
        <v>0</v>
      </c>
      <c r="Q67" s="59">
        <v>0</v>
      </c>
      <c r="R67" s="59">
        <f t="shared" si="41"/>
        <v>0</v>
      </c>
      <c r="S67" s="8">
        <f t="shared" si="43"/>
        <v>0</v>
      </c>
      <c r="T67" s="81">
        <f t="shared" si="42"/>
        <v>0</v>
      </c>
    </row>
    <row r="68" spans="1:20" x14ac:dyDescent="0.35">
      <c r="A68" s="58" t="s">
        <v>25</v>
      </c>
      <c r="B68" s="59">
        <v>32</v>
      </c>
      <c r="C68" s="83">
        <f t="shared" si="32"/>
        <v>7.8812298659205768E-5</v>
      </c>
      <c r="D68" s="6">
        <f t="shared" si="33"/>
        <v>78.812298659205766</v>
      </c>
      <c r="E68" s="60">
        <v>1.1406249999999999E-3</v>
      </c>
      <c r="F68" s="5">
        <f t="shared" si="30"/>
        <v>8.9895278158156566E-2</v>
      </c>
      <c r="G68" s="8">
        <f t="shared" si="34"/>
        <v>6.2686387729906957E-3</v>
      </c>
      <c r="H68" s="81">
        <f t="shared" si="35"/>
        <v>4.4947639079078283E-2</v>
      </c>
      <c r="I68" s="61">
        <v>1.1406249999999999E-3</v>
      </c>
      <c r="J68" s="5">
        <f t="shared" si="31"/>
        <v>8.9895278158156566E-2</v>
      </c>
      <c r="K68" s="8">
        <f t="shared" si="36"/>
        <v>6.2686387729906957E-3</v>
      </c>
      <c r="L68" s="81">
        <f t="shared" si="37"/>
        <v>4.4947639079078283E-2</v>
      </c>
      <c r="M68" s="61">
        <v>1.1406249999999999E-3</v>
      </c>
      <c r="N68" s="5">
        <f t="shared" si="38"/>
        <v>8.9895278158156566E-2</v>
      </c>
      <c r="O68" s="8">
        <f t="shared" si="39"/>
        <v>6.2686387729906957E-3</v>
      </c>
      <c r="P68" s="81">
        <f t="shared" si="40"/>
        <v>4.4947639079078283E-2</v>
      </c>
      <c r="Q68" s="59">
        <v>1.1406249999999999E-3</v>
      </c>
      <c r="R68" s="59">
        <f t="shared" si="41"/>
        <v>8.9895278158156566E-2</v>
      </c>
      <c r="S68" s="8">
        <f t="shared" si="43"/>
        <v>1.1726477271959653E-3</v>
      </c>
      <c r="T68" s="81">
        <f t="shared" si="42"/>
        <v>4.4947639079078283E-2</v>
      </c>
    </row>
    <row r="69" spans="1:20" x14ac:dyDescent="0.35">
      <c r="A69" s="58" t="s">
        <v>26</v>
      </c>
      <c r="B69" s="59">
        <v>9</v>
      </c>
      <c r="C69" s="83">
        <f t="shared" si="32"/>
        <v>2.2165958997901624E-5</v>
      </c>
      <c r="D69" s="6">
        <f t="shared" si="33"/>
        <v>22.165958997901622</v>
      </c>
      <c r="E69" s="60">
        <v>7.0111111111111112E-3</v>
      </c>
      <c r="F69" s="5">
        <f t="shared" si="30"/>
        <v>0.15540800141862138</v>
      </c>
      <c r="G69" s="8">
        <f t="shared" si="34"/>
        <v>1.0837016618512685E-2</v>
      </c>
      <c r="H69" s="81">
        <f t="shared" si="35"/>
        <v>7.7704000709310689E-2</v>
      </c>
      <c r="I69" s="61">
        <v>7.0111111111111112E-3</v>
      </c>
      <c r="J69" s="5">
        <f t="shared" si="31"/>
        <v>0.15540800141862138</v>
      </c>
      <c r="K69" s="8">
        <f t="shared" si="36"/>
        <v>1.0837016618512685E-2</v>
      </c>
      <c r="L69" s="81">
        <f t="shared" si="37"/>
        <v>7.7704000709310689E-2</v>
      </c>
      <c r="M69" s="61">
        <v>7.0111111111111112E-3</v>
      </c>
      <c r="N69" s="5">
        <f t="shared" si="38"/>
        <v>0.15540800141862138</v>
      </c>
      <c r="O69" s="8">
        <f t="shared" si="39"/>
        <v>1.0837016618512685E-2</v>
      </c>
      <c r="P69" s="81">
        <f t="shared" si="40"/>
        <v>7.7704000709310689E-2</v>
      </c>
      <c r="Q69" s="59">
        <v>7.0111111111111112E-3</v>
      </c>
      <c r="R69" s="59">
        <f t="shared" si="41"/>
        <v>0.15540800141862138</v>
      </c>
      <c r="S69" s="8">
        <f t="shared" si="43"/>
        <v>2.0272348379743953E-3</v>
      </c>
      <c r="T69" s="81">
        <f t="shared" si="42"/>
        <v>7.7704000709310689E-2</v>
      </c>
    </row>
    <row r="70" spans="1:20" ht="15" thickBot="1" x14ac:dyDescent="0.4">
      <c r="A70" s="149" t="s">
        <v>27</v>
      </c>
      <c r="B70" s="150">
        <v>0</v>
      </c>
      <c r="C70" s="151">
        <f t="shared" si="32"/>
        <v>0</v>
      </c>
      <c r="D70" s="152">
        <f t="shared" si="33"/>
        <v>0</v>
      </c>
      <c r="E70" s="153"/>
      <c r="F70" s="154">
        <f t="shared" si="30"/>
        <v>0</v>
      </c>
      <c r="G70" s="155">
        <f t="shared" si="34"/>
        <v>0</v>
      </c>
      <c r="H70" s="156">
        <f t="shared" si="35"/>
        <v>0</v>
      </c>
      <c r="I70" s="157"/>
      <c r="J70" s="154">
        <f t="shared" si="31"/>
        <v>0</v>
      </c>
      <c r="K70" s="155">
        <f t="shared" si="36"/>
        <v>0</v>
      </c>
      <c r="L70" s="156">
        <f t="shared" si="37"/>
        <v>0</v>
      </c>
      <c r="M70" s="157"/>
      <c r="N70" s="154">
        <f t="shared" si="38"/>
        <v>0</v>
      </c>
      <c r="O70" s="155">
        <f t="shared" si="39"/>
        <v>0</v>
      </c>
      <c r="P70" s="156">
        <f t="shared" si="40"/>
        <v>0</v>
      </c>
      <c r="Q70" s="150">
        <v>0</v>
      </c>
      <c r="R70" s="150">
        <f t="shared" si="41"/>
        <v>0</v>
      </c>
      <c r="S70" s="88">
        <f t="shared" si="43"/>
        <v>0</v>
      </c>
      <c r="T70" s="156">
        <f t="shared" si="42"/>
        <v>0</v>
      </c>
    </row>
    <row r="71" spans="1:20" ht="15" thickTop="1" x14ac:dyDescent="0.35">
      <c r="A71" s="158" t="s">
        <v>11</v>
      </c>
      <c r="B71" s="159"/>
      <c r="C71" s="160"/>
      <c r="D71" s="161"/>
      <c r="E71" s="162"/>
      <c r="F71" s="163"/>
      <c r="G71" s="164"/>
      <c r="H71" s="165"/>
      <c r="I71" s="166"/>
      <c r="J71" s="163"/>
      <c r="K71" s="164"/>
      <c r="L71" s="165"/>
      <c r="M71" s="166"/>
      <c r="N71" s="163"/>
      <c r="O71" s="164"/>
      <c r="P71" s="165"/>
      <c r="Q71" s="159"/>
      <c r="R71" s="159"/>
      <c r="S71" s="164"/>
      <c r="T71" s="165"/>
    </row>
    <row r="72" spans="1:20" x14ac:dyDescent="0.35">
      <c r="A72" s="167"/>
      <c r="B72" s="168"/>
      <c r="C72" s="169"/>
      <c r="D72" s="170"/>
      <c r="E72" s="171"/>
      <c r="F72" s="172"/>
      <c r="G72" s="173"/>
      <c r="H72" s="174"/>
      <c r="I72" s="175"/>
      <c r="J72" s="172"/>
      <c r="K72" s="173"/>
      <c r="L72" s="174"/>
      <c r="M72" s="175"/>
      <c r="N72" s="172"/>
      <c r="O72" s="173"/>
      <c r="P72" s="174"/>
      <c r="Q72" s="168"/>
      <c r="R72" s="168"/>
      <c r="S72" s="173"/>
      <c r="T72" s="174"/>
    </row>
    <row r="73" spans="1:20" x14ac:dyDescent="0.35">
      <c r="A73" s="176" t="s">
        <v>125</v>
      </c>
      <c r="B73" s="168"/>
      <c r="C73" s="169"/>
      <c r="D73" s="170"/>
      <c r="E73" s="171"/>
      <c r="F73" s="172"/>
      <c r="G73" s="173"/>
      <c r="H73" s="174"/>
      <c r="I73" s="175"/>
      <c r="J73" s="172"/>
      <c r="K73" s="173"/>
      <c r="L73" s="174"/>
      <c r="M73" s="175"/>
      <c r="N73" s="172"/>
      <c r="O73" s="173"/>
      <c r="P73" s="174"/>
      <c r="Q73" s="168"/>
      <c r="R73" s="168"/>
      <c r="S73" s="173"/>
      <c r="T73" s="174"/>
    </row>
    <row r="74" spans="1:20" x14ac:dyDescent="0.35">
      <c r="A74" s="58" t="s">
        <v>28</v>
      </c>
      <c r="B74" s="59">
        <v>423</v>
      </c>
      <c r="C74" s="83">
        <f t="shared" si="32"/>
        <v>1.0418000729013762E-3</v>
      </c>
      <c r="D74" s="6">
        <f t="shared" si="33"/>
        <v>1041.8000729013761</v>
      </c>
      <c r="E74" s="60">
        <v>3.0696748347842027E-5</v>
      </c>
      <c r="F74" s="5">
        <f t="shared" si="30"/>
        <v>3.1979874666617017E-2</v>
      </c>
      <c r="G74" s="8">
        <f t="shared" si="34"/>
        <v>2.2300424048729509E-3</v>
      </c>
      <c r="H74" s="81">
        <f t="shared" si="35"/>
        <v>1.5989937333308508E-2</v>
      </c>
      <c r="I74" s="61">
        <v>3.0696748347842027E-5</v>
      </c>
      <c r="J74" s="5">
        <f t="shared" si="31"/>
        <v>3.1979874666617017E-2</v>
      </c>
      <c r="K74" s="8">
        <f t="shared" si="36"/>
        <v>2.2300424048729509E-3</v>
      </c>
      <c r="L74" s="81">
        <f t="shared" si="37"/>
        <v>1.5989937333308508E-2</v>
      </c>
      <c r="M74" s="61">
        <v>3.0696748347842027E-5</v>
      </c>
      <c r="N74" s="5">
        <f t="shared" si="38"/>
        <v>3.1979874666617017E-2</v>
      </c>
      <c r="O74" s="8">
        <f t="shared" si="39"/>
        <v>2.2300424048729509E-3</v>
      </c>
      <c r="P74" s="81">
        <f t="shared" si="40"/>
        <v>1.5989937333308508E-2</v>
      </c>
      <c r="Q74" s="59">
        <v>4.7830870043526083E-5</v>
      </c>
      <c r="R74" s="59">
        <f t="shared" si="41"/>
        <v>4.9830203898281716E-2</v>
      </c>
      <c r="S74" s="8">
        <f t="shared" si="43"/>
        <v>6.5001495678368622E-4</v>
      </c>
      <c r="T74" s="81">
        <f t="shared" si="42"/>
        <v>2.4915101949140858E-2</v>
      </c>
    </row>
    <row r="75" spans="1:20" ht="15" thickBot="1" x14ac:dyDescent="0.4">
      <c r="A75" s="62" t="s">
        <v>29</v>
      </c>
      <c r="B75" s="63">
        <v>671</v>
      </c>
      <c r="C75" s="85">
        <f t="shared" si="32"/>
        <v>1.6525953875102209E-3</v>
      </c>
      <c r="D75" s="86">
        <f t="shared" si="33"/>
        <v>1652.5953875102209</v>
      </c>
      <c r="E75" s="64">
        <v>8.2981604472574897E-4</v>
      </c>
      <c r="F75" s="87">
        <f t="shared" si="30"/>
        <v>1.3713501679957478</v>
      </c>
      <c r="G75" s="88">
        <f t="shared" si="34"/>
        <v>9.5627924075403214E-2</v>
      </c>
      <c r="H75" s="89">
        <f t="shared" si="35"/>
        <v>0.68567508399787391</v>
      </c>
      <c r="I75" s="65">
        <v>8.2981604472574897E-4</v>
      </c>
      <c r="J75" s="87">
        <f t="shared" si="31"/>
        <v>1.3713501679957478</v>
      </c>
      <c r="K75" s="88">
        <f t="shared" si="36"/>
        <v>9.5627924075403214E-2</v>
      </c>
      <c r="L75" s="89">
        <f t="shared" si="37"/>
        <v>0.68567508399787391</v>
      </c>
      <c r="M75" s="65">
        <v>8.2981604472574897E-4</v>
      </c>
      <c r="N75" s="87">
        <f t="shared" si="38"/>
        <v>1.3713501679957478</v>
      </c>
      <c r="O75" s="88">
        <f t="shared" si="39"/>
        <v>9.5627924075403214E-2</v>
      </c>
      <c r="P75" s="89">
        <f t="shared" si="40"/>
        <v>0.68567508399787391</v>
      </c>
      <c r="Q75" s="63">
        <v>2.9585798816568051E-3</v>
      </c>
      <c r="R75" s="63">
        <f t="shared" si="41"/>
        <v>4.8893354660065711</v>
      </c>
      <c r="S75" s="88">
        <f t="shared" si="43"/>
        <v>6.3779413548552558E-2</v>
      </c>
      <c r="T75" s="89">
        <f t="shared" si="42"/>
        <v>2.4446677330032855</v>
      </c>
    </row>
    <row r="76" spans="1:20" ht="15" thickTop="1" x14ac:dyDescent="0.35">
      <c r="A76" s="158" t="s">
        <v>11</v>
      </c>
      <c r="B76" s="144"/>
      <c r="C76" s="138"/>
      <c r="D76" s="137"/>
      <c r="E76" s="177"/>
      <c r="F76" s="140"/>
      <c r="G76" s="141"/>
      <c r="H76" s="142"/>
      <c r="I76" s="178"/>
      <c r="J76" s="140"/>
      <c r="K76" s="141"/>
      <c r="L76" s="142"/>
      <c r="M76" s="178"/>
      <c r="N76" s="140"/>
      <c r="O76" s="141"/>
      <c r="P76" s="142"/>
      <c r="Q76" s="144"/>
      <c r="R76" s="144"/>
      <c r="S76" s="141"/>
      <c r="T76" s="142"/>
    </row>
    <row r="77" spans="1:20" x14ac:dyDescent="0.35">
      <c r="A77" s="58"/>
      <c r="B77" s="59"/>
      <c r="C77" s="83"/>
      <c r="D77" s="6"/>
      <c r="E77" s="60"/>
      <c r="F77" s="5"/>
      <c r="G77" s="8"/>
      <c r="H77" s="81"/>
      <c r="I77" s="61"/>
      <c r="J77" s="5"/>
      <c r="K77" s="8"/>
      <c r="L77" s="81"/>
      <c r="M77" s="61"/>
      <c r="N77" s="5"/>
      <c r="O77" s="8"/>
      <c r="P77" s="81"/>
      <c r="Q77" s="59"/>
      <c r="R77" s="59"/>
      <c r="S77" s="8"/>
      <c r="T77" s="81"/>
    </row>
    <row r="78" spans="1:20" x14ac:dyDescent="0.35">
      <c r="A78" s="148" t="s">
        <v>126</v>
      </c>
      <c r="B78" s="59"/>
      <c r="C78" s="83"/>
      <c r="D78" s="6"/>
      <c r="E78" s="60"/>
      <c r="F78" s="5"/>
      <c r="G78" s="8"/>
      <c r="H78" s="81"/>
      <c r="I78" s="61"/>
      <c r="J78" s="5"/>
      <c r="K78" s="8"/>
      <c r="L78" s="81"/>
      <c r="M78" s="61"/>
      <c r="N78" s="5"/>
      <c r="O78" s="8"/>
      <c r="P78" s="81"/>
      <c r="Q78" s="59"/>
      <c r="R78" s="59"/>
      <c r="S78" s="8"/>
      <c r="T78" s="81"/>
    </row>
    <row r="79" spans="1:20" x14ac:dyDescent="0.35">
      <c r="A79" s="58" t="s">
        <v>30</v>
      </c>
      <c r="B79" s="59">
        <v>1914</v>
      </c>
      <c r="C79" s="83">
        <f t="shared" si="32"/>
        <v>4.7139606135537448E-3</v>
      </c>
      <c r="D79" s="6">
        <f t="shared" si="33"/>
        <v>4713.9606135537451</v>
      </c>
      <c r="E79" s="60">
        <v>4.8441285045733371E-6</v>
      </c>
      <c r="F79" s="5">
        <f t="shared" si="30"/>
        <v>2.2835030977551712E-2</v>
      </c>
      <c r="G79" s="8">
        <f t="shared" si="34"/>
        <v>1.5923479352996052E-3</v>
      </c>
      <c r="H79" s="81">
        <f t="shared" si="35"/>
        <v>1.1417515488775856E-2</v>
      </c>
      <c r="I79" s="61">
        <v>4.8441285045733371E-6</v>
      </c>
      <c r="J79" s="5">
        <f t="shared" si="31"/>
        <v>2.2835030977551712E-2</v>
      </c>
      <c r="K79" s="8">
        <f t="shared" si="36"/>
        <v>1.5923479352996052E-3</v>
      </c>
      <c r="L79" s="81">
        <f t="shared" si="37"/>
        <v>1.1417515488775856E-2</v>
      </c>
      <c r="M79" s="61">
        <v>4.8441285045733371E-6</v>
      </c>
      <c r="N79" s="5">
        <f t="shared" si="38"/>
        <v>2.2835030977551712E-2</v>
      </c>
      <c r="O79" s="8">
        <f t="shared" si="39"/>
        <v>1.5923479352996052E-3</v>
      </c>
      <c r="P79" s="81">
        <f t="shared" si="40"/>
        <v>1.1417515488775856E-2</v>
      </c>
      <c r="Q79" s="59">
        <v>1.2602739726027396E-5</v>
      </c>
      <c r="R79" s="59">
        <f t="shared" si="41"/>
        <v>5.9408818691362261E-2</v>
      </c>
      <c r="S79" s="8">
        <f t="shared" si="43"/>
        <v>7.7496413205660789E-4</v>
      </c>
      <c r="T79" s="81">
        <f t="shared" si="42"/>
        <v>2.9704409345681131E-2</v>
      </c>
    </row>
    <row r="80" spans="1:20" ht="15" thickBot="1" x14ac:dyDescent="0.4">
      <c r="A80" s="62" t="s">
        <v>31</v>
      </c>
      <c r="B80" s="63">
        <v>2068</v>
      </c>
      <c r="C80" s="85">
        <f t="shared" si="32"/>
        <v>5.0932448008511729E-3</v>
      </c>
      <c r="D80" s="86">
        <f t="shared" si="33"/>
        <v>5093.2448008511728</v>
      </c>
      <c r="E80" s="64">
        <v>6.3411324978883613E-5</v>
      </c>
      <c r="F80" s="87">
        <f t="shared" si="30"/>
        <v>0.3229694012637831</v>
      </c>
      <c r="G80" s="88">
        <f t="shared" si="34"/>
        <v>2.2521522294973208E-2</v>
      </c>
      <c r="H80" s="89">
        <f t="shared" si="35"/>
        <v>0.16148470063189155</v>
      </c>
      <c r="I80" s="65">
        <v>6.3411324978883613E-5</v>
      </c>
      <c r="J80" s="87">
        <f t="shared" si="31"/>
        <v>0.3229694012637831</v>
      </c>
      <c r="K80" s="88">
        <f t="shared" si="36"/>
        <v>2.2521522294973208E-2</v>
      </c>
      <c r="L80" s="89">
        <f t="shared" si="37"/>
        <v>0.16148470063189155</v>
      </c>
      <c r="M80" s="65">
        <v>6.3411324978883613E-5</v>
      </c>
      <c r="N80" s="87">
        <f t="shared" si="38"/>
        <v>0.3229694012637831</v>
      </c>
      <c r="O80" s="88">
        <f t="shared" si="39"/>
        <v>2.2521522294973208E-2</v>
      </c>
      <c r="P80" s="89">
        <f t="shared" si="40"/>
        <v>0.16148470063189155</v>
      </c>
      <c r="Q80" s="63">
        <v>2.2153846153846152E-4</v>
      </c>
      <c r="R80" s="63">
        <f t="shared" si="41"/>
        <v>1.1283496174193366</v>
      </c>
      <c r="S80" s="88">
        <f t="shared" si="43"/>
        <v>1.4718866679753043E-2</v>
      </c>
      <c r="T80" s="89">
        <f t="shared" si="42"/>
        <v>0.5641748087096683</v>
      </c>
    </row>
    <row r="81" spans="1:20" ht="15" thickTop="1" x14ac:dyDescent="0.35">
      <c r="A81" s="158" t="s">
        <v>11</v>
      </c>
      <c r="B81" s="144"/>
      <c r="C81" s="138"/>
      <c r="D81" s="137"/>
      <c r="E81" s="177"/>
      <c r="F81" s="140"/>
      <c r="G81" s="141"/>
      <c r="H81" s="142"/>
      <c r="I81" s="178"/>
      <c r="J81" s="140"/>
      <c r="K81" s="141"/>
      <c r="L81" s="142"/>
      <c r="M81" s="178"/>
      <c r="N81" s="140"/>
      <c r="O81" s="141"/>
      <c r="P81" s="142"/>
      <c r="Q81" s="144"/>
      <c r="R81" s="144"/>
      <c r="S81" s="141"/>
      <c r="T81" s="142"/>
    </row>
    <row r="82" spans="1:20" x14ac:dyDescent="0.35">
      <c r="A82" s="58"/>
      <c r="B82" s="59"/>
      <c r="C82" s="83"/>
      <c r="D82" s="6"/>
      <c r="E82" s="60"/>
      <c r="F82" s="5"/>
      <c r="G82" s="8"/>
      <c r="H82" s="81"/>
      <c r="I82" s="61"/>
      <c r="J82" s="5"/>
      <c r="K82" s="8"/>
      <c r="L82" s="81"/>
      <c r="M82" s="61"/>
      <c r="N82" s="5"/>
      <c r="O82" s="8"/>
      <c r="P82" s="81"/>
      <c r="Q82" s="59"/>
      <c r="R82" s="59"/>
      <c r="S82" s="8"/>
      <c r="T82" s="81"/>
    </row>
    <row r="83" spans="1:20" x14ac:dyDescent="0.35">
      <c r="A83" s="148" t="s">
        <v>127</v>
      </c>
      <c r="B83" s="59"/>
      <c r="C83" s="83"/>
      <c r="D83" s="6"/>
      <c r="E83" s="60"/>
      <c r="F83" s="5"/>
      <c r="G83" s="8"/>
      <c r="H83" s="81"/>
      <c r="I83" s="61"/>
      <c r="J83" s="5"/>
      <c r="K83" s="8"/>
      <c r="L83" s="81"/>
      <c r="M83" s="61"/>
      <c r="N83" s="5"/>
      <c r="O83" s="8"/>
      <c r="P83" s="81"/>
      <c r="Q83" s="59"/>
      <c r="R83" s="59"/>
      <c r="S83" s="8"/>
      <c r="T83" s="81"/>
    </row>
    <row r="84" spans="1:20" x14ac:dyDescent="0.35">
      <c r="A84" s="58" t="s">
        <v>32</v>
      </c>
      <c r="B84" s="59">
        <v>506</v>
      </c>
      <c r="C84" s="83">
        <f t="shared" si="32"/>
        <v>1.2462194725486912E-3</v>
      </c>
      <c r="D84" s="6">
        <f t="shared" si="33"/>
        <v>1246.2194725486911</v>
      </c>
      <c r="E84" s="60">
        <v>4.2490118577075101E-5</v>
      </c>
      <c r="F84" s="5">
        <f t="shared" si="30"/>
        <v>5.2952013161653877E-2</v>
      </c>
      <c r="G84" s="8">
        <f t="shared" si="34"/>
        <v>3.6924858525835612E-3</v>
      </c>
      <c r="H84" s="81">
        <f t="shared" si="35"/>
        <v>2.6476006580826938E-2</v>
      </c>
      <c r="I84" s="61">
        <v>4.2490118577075101E-5</v>
      </c>
      <c r="J84" s="5">
        <f t="shared" si="31"/>
        <v>5.2952013161653877E-2</v>
      </c>
      <c r="K84" s="8">
        <f t="shared" si="36"/>
        <v>3.6924858525835612E-3</v>
      </c>
      <c r="L84" s="81">
        <f t="shared" si="37"/>
        <v>2.6476006580826938E-2</v>
      </c>
      <c r="M84" s="61">
        <v>4.2490118577075101E-5</v>
      </c>
      <c r="N84" s="5">
        <f t="shared" si="38"/>
        <v>5.2952013161653877E-2</v>
      </c>
      <c r="O84" s="8">
        <f t="shared" si="39"/>
        <v>3.6924858525835612E-3</v>
      </c>
      <c r="P84" s="81">
        <f t="shared" si="40"/>
        <v>2.6476006580826938E-2</v>
      </c>
      <c r="Q84" s="59">
        <v>4.2490118577075101E-5</v>
      </c>
      <c r="R84" s="59">
        <f t="shared" si="41"/>
        <v>5.2952013161653877E-2</v>
      </c>
      <c r="S84" s="8">
        <f t="shared" si="43"/>
        <v>6.9073770232091125E-4</v>
      </c>
      <c r="T84" s="81">
        <f t="shared" si="42"/>
        <v>2.6476006580826938E-2</v>
      </c>
    </row>
    <row r="85" spans="1:20" x14ac:dyDescent="0.35">
      <c r="A85" s="58" t="s">
        <v>33</v>
      </c>
      <c r="B85" s="59">
        <v>252</v>
      </c>
      <c r="C85" s="83">
        <f t="shared" si="32"/>
        <v>6.2064685194124539E-4</v>
      </c>
      <c r="D85" s="6">
        <f t="shared" si="33"/>
        <v>620.64685194124536</v>
      </c>
      <c r="E85" s="60">
        <v>4.3174603174603174E-4</v>
      </c>
      <c r="F85" s="5">
        <f t="shared" si="30"/>
        <v>0.2679618154412996</v>
      </c>
      <c r="G85" s="8">
        <f t="shared" si="34"/>
        <v>1.868569584935309E-2</v>
      </c>
      <c r="H85" s="81">
        <f t="shared" si="35"/>
        <v>0.1339809077206498</v>
      </c>
      <c r="I85" s="61">
        <v>4.3174603174603174E-4</v>
      </c>
      <c r="J85" s="5">
        <f t="shared" si="31"/>
        <v>0.2679618154412996</v>
      </c>
      <c r="K85" s="8">
        <f t="shared" si="36"/>
        <v>1.868569584935309E-2</v>
      </c>
      <c r="L85" s="81">
        <f t="shared" si="37"/>
        <v>0.1339809077206498</v>
      </c>
      <c r="M85" s="61">
        <v>4.3174603174603174E-4</v>
      </c>
      <c r="N85" s="5">
        <f t="shared" si="38"/>
        <v>0.2679618154412996</v>
      </c>
      <c r="O85" s="8">
        <f t="shared" si="39"/>
        <v>1.868569584935309E-2</v>
      </c>
      <c r="P85" s="81">
        <f t="shared" si="40"/>
        <v>0.1339809077206498</v>
      </c>
      <c r="Q85" s="59">
        <v>4.3174603174603174E-4</v>
      </c>
      <c r="R85" s="59">
        <f t="shared" si="41"/>
        <v>0.2679618154412996</v>
      </c>
      <c r="S85" s="8">
        <f t="shared" si="43"/>
        <v>3.4954540470937272E-3</v>
      </c>
      <c r="T85" s="81">
        <f t="shared" si="42"/>
        <v>0.1339809077206498</v>
      </c>
    </row>
    <row r="86" spans="1:20" x14ac:dyDescent="0.35">
      <c r="A86" s="96" t="s">
        <v>34</v>
      </c>
      <c r="B86" s="74">
        <v>0</v>
      </c>
      <c r="C86" s="84">
        <f t="shared" si="32"/>
        <v>0</v>
      </c>
      <c r="D86" s="66">
        <f t="shared" si="33"/>
        <v>0</v>
      </c>
      <c r="E86" s="75"/>
      <c r="F86" s="69">
        <f t="shared" si="30"/>
        <v>0</v>
      </c>
      <c r="G86" s="70">
        <f t="shared" si="34"/>
        <v>0</v>
      </c>
      <c r="H86" s="82">
        <f t="shared" si="35"/>
        <v>0</v>
      </c>
      <c r="I86" s="76"/>
      <c r="J86" s="69">
        <f t="shared" si="31"/>
        <v>0</v>
      </c>
      <c r="K86" s="70">
        <f t="shared" si="36"/>
        <v>0</v>
      </c>
      <c r="L86" s="82">
        <f t="shared" si="37"/>
        <v>0</v>
      </c>
      <c r="M86" s="76"/>
      <c r="N86" s="69">
        <f t="shared" si="38"/>
        <v>0</v>
      </c>
      <c r="O86" s="70">
        <f t="shared" si="39"/>
        <v>0</v>
      </c>
      <c r="P86" s="82">
        <f t="shared" si="40"/>
        <v>0</v>
      </c>
      <c r="Q86" s="74">
        <v>0</v>
      </c>
      <c r="R86" s="74">
        <f t="shared" si="41"/>
        <v>0</v>
      </c>
      <c r="S86" s="8">
        <f t="shared" si="43"/>
        <v>0</v>
      </c>
      <c r="T86" s="82">
        <f t="shared" si="42"/>
        <v>0</v>
      </c>
    </row>
    <row r="87" spans="1:20" x14ac:dyDescent="0.35">
      <c r="A87" s="96" t="s">
        <v>35</v>
      </c>
      <c r="B87" s="74">
        <v>0</v>
      </c>
      <c r="C87" s="84">
        <f t="shared" si="32"/>
        <v>0</v>
      </c>
      <c r="D87" s="66">
        <f t="shared" si="33"/>
        <v>0</v>
      </c>
      <c r="E87" s="75"/>
      <c r="F87" s="69">
        <f t="shared" si="30"/>
        <v>0</v>
      </c>
      <c r="G87" s="70">
        <f t="shared" si="34"/>
        <v>0</v>
      </c>
      <c r="H87" s="82">
        <f t="shared" si="35"/>
        <v>0</v>
      </c>
      <c r="I87" s="76"/>
      <c r="J87" s="69">
        <f t="shared" si="31"/>
        <v>0</v>
      </c>
      <c r="K87" s="70">
        <f t="shared" si="36"/>
        <v>0</v>
      </c>
      <c r="L87" s="82">
        <f t="shared" si="37"/>
        <v>0</v>
      </c>
      <c r="M87" s="76"/>
      <c r="N87" s="69">
        <f t="shared" si="38"/>
        <v>0</v>
      </c>
      <c r="O87" s="70">
        <f t="shared" si="39"/>
        <v>0</v>
      </c>
      <c r="P87" s="82">
        <f t="shared" si="40"/>
        <v>0</v>
      </c>
      <c r="Q87" s="74">
        <v>0</v>
      </c>
      <c r="R87" s="74">
        <f t="shared" si="41"/>
        <v>0</v>
      </c>
      <c r="S87" s="8">
        <f t="shared" si="43"/>
        <v>0</v>
      </c>
      <c r="T87" s="82">
        <f t="shared" si="42"/>
        <v>0</v>
      </c>
    </row>
    <row r="88" spans="1:20" ht="15" thickBot="1" x14ac:dyDescent="0.4">
      <c r="A88" s="62" t="s">
        <v>36</v>
      </c>
      <c r="B88" s="63">
        <v>163</v>
      </c>
      <c r="C88" s="85">
        <f t="shared" si="32"/>
        <v>4.0145014629532939E-4</v>
      </c>
      <c r="D88" s="86">
        <f t="shared" si="33"/>
        <v>401.45014629532938</v>
      </c>
      <c r="E88" s="64">
        <v>3.3361963190184046E-3</v>
      </c>
      <c r="F88" s="87">
        <f t="shared" si="30"/>
        <v>1.3393165003398779</v>
      </c>
      <c r="G88" s="88">
        <f t="shared" si="34"/>
        <v>9.3394130541160025E-2</v>
      </c>
      <c r="H88" s="89">
        <f t="shared" si="35"/>
        <v>0.66965825016993896</v>
      </c>
      <c r="I88" s="65">
        <v>3.3361963190184046E-3</v>
      </c>
      <c r="J88" s="87">
        <f t="shared" si="31"/>
        <v>1.3393165003398779</v>
      </c>
      <c r="K88" s="88">
        <f t="shared" si="36"/>
        <v>9.3394130541160025E-2</v>
      </c>
      <c r="L88" s="89">
        <f t="shared" si="37"/>
        <v>0.66965825016993896</v>
      </c>
      <c r="M88" s="65">
        <v>3.3361963190184046E-3</v>
      </c>
      <c r="N88" s="87">
        <f t="shared" si="38"/>
        <v>1.3393165003398779</v>
      </c>
      <c r="O88" s="88">
        <f t="shared" si="39"/>
        <v>9.3394130541160025E-2</v>
      </c>
      <c r="P88" s="89">
        <f t="shared" si="40"/>
        <v>0.66965825016993896</v>
      </c>
      <c r="Q88" s="63">
        <v>3.3361963190184046E-3</v>
      </c>
      <c r="R88" s="63">
        <f t="shared" si="41"/>
        <v>1.3393165003398779</v>
      </c>
      <c r="S88" s="8">
        <f t="shared" si="43"/>
        <v>1.7470844768470301E-2</v>
      </c>
      <c r="T88" s="89">
        <f t="shared" si="42"/>
        <v>0.66965825016993896</v>
      </c>
    </row>
    <row r="89" spans="1:20" ht="15" thickTop="1" x14ac:dyDescent="0.35">
      <c r="A89" s="90" t="s">
        <v>11</v>
      </c>
      <c r="B89" s="91">
        <f>SUM(B58:B88)</f>
        <v>406028</v>
      </c>
      <c r="C89" s="91"/>
      <c r="D89" s="91">
        <v>1000000</v>
      </c>
      <c r="E89" s="90"/>
      <c r="F89" s="92">
        <f>SUM(F58:F88)</f>
        <v>14.340478278232094</v>
      </c>
      <c r="G89" s="90"/>
      <c r="H89" s="93">
        <f t="shared" ref="H89" si="44">SUM(H58:H88)</f>
        <v>7.1702391391160472</v>
      </c>
      <c r="I89" s="93"/>
      <c r="J89" s="92">
        <f>SUM(J58:J88)</f>
        <v>14.340478278232094</v>
      </c>
      <c r="K89" s="90"/>
      <c r="L89" s="92">
        <f t="shared" ref="L89" si="45">SUM(L58:L88)</f>
        <v>7.1702391391160472</v>
      </c>
      <c r="M89" s="93"/>
      <c r="N89" s="92">
        <f>SUM(N58:N88)</f>
        <v>14.340478278232094</v>
      </c>
      <c r="O89" s="90"/>
      <c r="P89" s="92">
        <f t="shared" ref="P89" si="46">SUM(P58:P88)</f>
        <v>7.1702391391160472</v>
      </c>
      <c r="R89" s="92">
        <f>SUM(R58:R88)</f>
        <v>76.660088169116321</v>
      </c>
      <c r="T89" s="92">
        <f>SUM(T58:T88)</f>
        <v>38.33004408455816</v>
      </c>
    </row>
  </sheetData>
  <hyperlinks>
    <hyperlink ref="A53" r:id="rId1" location="secsectitle0080" display="https://www.gastrojournal.org/article/S0016-5085(19)41887-8/fulltext - secsectitle0080" xr:uid="{6ED401CC-2DB2-4EFF-8201-6B21C70A30E5}"/>
  </hyperlinks>
  <pageMargins left="0.7" right="0.7" top="0.75" bottom="0.75" header="0.3" footer="0.3"/>
  <pageSetup orientation="portrait" horizontalDpi="90" verticalDpi="9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Concept</vt:lpstr>
      <vt:lpstr>Rates</vt:lpstr>
      <vt:lpstr>Combination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Song, Minkyo (NIH/NCI) [F]</dc:creator>
  <cp:keywords/>
  <dc:description/>
  <cp:lastModifiedBy>Murphy, Jack (NIH/NCI) [F]</cp:lastModifiedBy>
  <cp:revision/>
  <dcterms:created xsi:type="dcterms:W3CDTF">2021-08-20T19:44:12Z</dcterms:created>
  <dcterms:modified xsi:type="dcterms:W3CDTF">2022-02-02T19:17:00Z</dcterms:modified>
  <cp:category/>
  <cp:contentStatus/>
</cp:coreProperties>
</file>