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taff\Current\Price\TriExpAlgorithmPaper\"/>
    </mc:Choice>
  </mc:AlternateContent>
  <bookViews>
    <workbookView xWindow="480" yWindow="255" windowWidth="27795" windowHeight="12465"/>
  </bookViews>
  <sheets>
    <sheet name="TriExpAlgorithm" sheetId="1" r:id="rId1"/>
    <sheet name="TriPlotData" sheetId="2" r:id="rId2"/>
  </sheets>
  <calcPr calcId="162913"/>
</workbook>
</file>

<file path=xl/calcChain.xml><?xml version="1.0" encoding="utf-8"?>
<calcChain xmlns="http://schemas.openxmlformats.org/spreadsheetml/2006/main">
  <c r="E9" i="1" l="1"/>
  <c r="E10" i="1"/>
  <c r="E8" i="1"/>
  <c r="J9" i="2" l="1"/>
  <c r="J17" i="2"/>
  <c r="J26" i="2"/>
  <c r="J34" i="2"/>
  <c r="J42" i="2"/>
  <c r="J50" i="2"/>
  <c r="J16" i="2"/>
  <c r="J25" i="2"/>
  <c r="J33" i="2"/>
  <c r="J41" i="2"/>
  <c r="J49" i="2"/>
  <c r="J57" i="2"/>
  <c r="J65" i="2"/>
  <c r="J73" i="2"/>
  <c r="J81" i="2"/>
  <c r="J89" i="2"/>
  <c r="J97" i="2"/>
  <c r="J14" i="2"/>
  <c r="J23" i="2"/>
  <c r="J31" i="2"/>
  <c r="J39" i="2"/>
  <c r="J47" i="2"/>
  <c r="J55" i="2"/>
  <c r="J63" i="2"/>
  <c r="J71" i="2"/>
  <c r="J79" i="2"/>
  <c r="J13" i="2"/>
  <c r="J22" i="2"/>
  <c r="J30" i="2"/>
  <c r="J38" i="2"/>
  <c r="J46" i="2"/>
  <c r="J54" i="2"/>
  <c r="J62" i="2"/>
  <c r="J70" i="2"/>
  <c r="J78" i="2"/>
  <c r="J86" i="2"/>
  <c r="J94" i="2"/>
  <c r="J102" i="2"/>
  <c r="J12" i="2"/>
  <c r="J21" i="2"/>
  <c r="J29" i="2"/>
  <c r="J37" i="2"/>
  <c r="J45" i="2"/>
  <c r="J53" i="2"/>
  <c r="J61" i="2"/>
  <c r="J69" i="2"/>
  <c r="J77" i="2"/>
  <c r="J85" i="2"/>
  <c r="J93" i="2"/>
  <c r="J101" i="2"/>
  <c r="J11" i="2"/>
  <c r="J20" i="2"/>
  <c r="J28" i="2"/>
  <c r="J36" i="2"/>
  <c r="J44" i="2"/>
  <c r="J52" i="2"/>
  <c r="J60" i="2"/>
  <c r="J68" i="2"/>
  <c r="J76" i="2"/>
  <c r="J84" i="2"/>
  <c r="J92" i="2"/>
  <c r="J10" i="2"/>
  <c r="J18" i="2"/>
  <c r="J27" i="2"/>
  <c r="J35" i="2"/>
  <c r="J43" i="2"/>
  <c r="J51" i="2"/>
  <c r="J59" i="2"/>
  <c r="J67" i="2"/>
  <c r="J75" i="2"/>
  <c r="J83" i="2"/>
  <c r="J91" i="2"/>
  <c r="J99" i="2"/>
  <c r="J56" i="2"/>
  <c r="J66" i="2"/>
  <c r="J95" i="2"/>
  <c r="J98" i="2"/>
  <c r="J104" i="2"/>
  <c r="J48" i="2"/>
  <c r="J80" i="2"/>
  <c r="J106" i="2"/>
  <c r="J40" i="2"/>
  <c r="J58" i="2"/>
  <c r="J90" i="2"/>
  <c r="J96" i="2"/>
  <c r="J15" i="2"/>
  <c r="J32" i="2"/>
  <c r="J72" i="2"/>
  <c r="J87" i="2"/>
  <c r="J110" i="2"/>
  <c r="J105" i="2"/>
  <c r="J82" i="2"/>
  <c r="J24" i="2"/>
  <c r="J103" i="2"/>
  <c r="J109" i="2"/>
  <c r="J64" i="2"/>
  <c r="J88" i="2"/>
  <c r="J108" i="2"/>
  <c r="J74" i="2"/>
  <c r="J107" i="2"/>
  <c r="J100" i="2"/>
  <c r="D40" i="1"/>
  <c r="D41" i="1" s="1"/>
  <c r="D33" i="1"/>
  <c r="D36" i="1" s="1"/>
  <c r="D28" i="1"/>
  <c r="D34" i="1" s="1"/>
  <c r="D29" i="1"/>
  <c r="B4" i="2" a="1"/>
  <c r="C4" i="2" s="1"/>
  <c r="D42" i="1"/>
  <c r="D43" i="1" s="1"/>
  <c r="D30" i="1" l="1"/>
  <c r="D32" i="1" s="1"/>
  <c r="D37" i="1" s="1"/>
  <c r="F9" i="2"/>
  <c r="B4" i="2"/>
  <c r="B5" i="2" s="1"/>
  <c r="D35" i="1" l="1"/>
  <c r="D38" i="1" s="1"/>
  <c r="D45" i="1" s="1"/>
  <c r="F11" i="2"/>
  <c r="F97" i="2"/>
  <c r="F73" i="2"/>
  <c r="F106" i="2"/>
  <c r="F25" i="2"/>
  <c r="F81" i="2"/>
  <c r="F33" i="2"/>
  <c r="F82" i="2"/>
  <c r="F41" i="2"/>
  <c r="F89" i="2"/>
  <c r="F49" i="2"/>
  <c r="F90" i="2"/>
  <c r="F57" i="2"/>
  <c r="F65" i="2"/>
  <c r="F98" i="2"/>
  <c r="F105" i="2"/>
  <c r="F17" i="2"/>
  <c r="F74" i="2"/>
  <c r="F34" i="2"/>
  <c r="F62" i="2"/>
  <c r="F53" i="2"/>
  <c r="F64" i="2"/>
  <c r="F70" i="2"/>
  <c r="F60" i="2"/>
  <c r="F88" i="2"/>
  <c r="F55" i="2"/>
  <c r="F109" i="2"/>
  <c r="F59" i="2"/>
  <c r="F26" i="2"/>
  <c r="F30" i="2"/>
  <c r="F45" i="2"/>
  <c r="F40" i="2"/>
  <c r="F46" i="2"/>
  <c r="F52" i="2"/>
  <c r="F72" i="2"/>
  <c r="F31" i="2"/>
  <c r="F108" i="2"/>
  <c r="F51" i="2"/>
  <c r="F18" i="2"/>
  <c r="F101" i="2"/>
  <c r="F37" i="2"/>
  <c r="F24" i="2"/>
  <c r="F22" i="2"/>
  <c r="F56" i="2"/>
  <c r="F10" i="2"/>
  <c r="F107" i="2"/>
  <c r="F43" i="2"/>
  <c r="F93" i="2"/>
  <c r="F103" i="2"/>
  <c r="F100" i="2"/>
  <c r="F48" i="2"/>
  <c r="F99" i="2"/>
  <c r="F66" i="2"/>
  <c r="F85" i="2"/>
  <c r="F92" i="2"/>
  <c r="F78" i="2"/>
  <c r="F13" i="2"/>
  <c r="F54" i="2"/>
  <c r="F69" i="2"/>
  <c r="F12" i="2"/>
  <c r="F75" i="2"/>
  <c r="F44" i="2"/>
  <c r="F87" i="2"/>
  <c r="F29" i="2"/>
  <c r="F36" i="2"/>
  <c r="F86" i="2"/>
  <c r="F35" i="2"/>
  <c r="F21" i="2"/>
  <c r="F32" i="2"/>
  <c r="F27" i="2"/>
  <c r="F58" i="2"/>
  <c r="F77" i="2"/>
  <c r="F47" i="2"/>
  <c r="F20" i="2"/>
  <c r="F16" i="2"/>
  <c r="F19" i="2"/>
  <c r="F23" i="2"/>
  <c r="F96" i="2"/>
  <c r="F76" i="2"/>
  <c r="F38" i="2"/>
  <c r="F42" i="2"/>
  <c r="F94" i="2"/>
  <c r="F61" i="2"/>
  <c r="F80" i="2"/>
  <c r="F102" i="2"/>
  <c r="F68" i="2"/>
  <c r="F104" i="2"/>
  <c r="F71" i="2"/>
  <c r="F14" i="2"/>
  <c r="F67" i="2"/>
  <c r="F63" i="2"/>
  <c r="F79" i="2"/>
  <c r="F28" i="2"/>
  <c r="F91" i="2"/>
  <c r="F39" i="2"/>
  <c r="F84" i="2"/>
  <c r="F83" i="2"/>
  <c r="F50" i="2"/>
  <c r="F15" i="2"/>
  <c r="F95" i="2"/>
  <c r="E49" i="1" l="1"/>
  <c r="E51" i="1" s="1"/>
  <c r="H57" i="1" s="1"/>
  <c r="D66" i="1"/>
  <c r="E78" i="1" s="1"/>
  <c r="D46" i="1"/>
  <c r="D56" i="1"/>
  <c r="D47" i="1"/>
  <c r="D55" i="1" s="1"/>
  <c r="D57" i="1"/>
  <c r="E48" i="1"/>
  <c r="G57" i="1" s="1"/>
  <c r="D48" i="1"/>
  <c r="G56" i="1" s="1"/>
  <c r="D68" i="1" l="1"/>
  <c r="D69" i="1" s="1"/>
  <c r="E68" i="1"/>
  <c r="E70" i="1" s="1"/>
  <c r="E67" i="1"/>
  <c r="E79" i="1"/>
  <c r="E81" i="1" s="1"/>
  <c r="D78" i="1"/>
  <c r="D67" i="1"/>
  <c r="D49" i="1"/>
  <c r="D50" i="1" s="1"/>
  <c r="D51" i="1" s="1"/>
  <c r="D52" i="1" l="1" a="1"/>
  <c r="E52" i="1" s="1"/>
  <c r="H56" i="1"/>
  <c r="D70" i="1"/>
  <c r="D71" i="1" s="1" a="1"/>
  <c r="D71" i="1" s="1"/>
  <c r="D72" i="1" s="1"/>
  <c r="D52" i="1" l="1"/>
  <c r="D53" i="1" s="1"/>
  <c r="E53" i="1"/>
  <c r="D54" i="1" s="1"/>
  <c r="E71" i="1"/>
  <c r="E72" i="1" s="1"/>
  <c r="F71" i="1"/>
  <c r="F72" i="1" s="1"/>
  <c r="D73" i="1" s="1"/>
  <c r="D74" i="1" s="1"/>
  <c r="F52" i="1" l="1"/>
  <c r="D58" i="1"/>
  <c r="D61" i="1"/>
  <c r="D75" i="1"/>
  <c r="D76" i="1" s="1"/>
  <c r="C17" i="1" s="1"/>
  <c r="D77" i="1"/>
  <c r="C18" i="1" s="1"/>
  <c r="L11" i="2" l="1"/>
  <c r="L20" i="2"/>
  <c r="L28" i="2"/>
  <c r="L36" i="2"/>
  <c r="L44" i="2"/>
  <c r="L52" i="2"/>
  <c r="L10" i="2"/>
  <c r="L18" i="2"/>
  <c r="L27" i="2"/>
  <c r="L35" i="2"/>
  <c r="L43" i="2"/>
  <c r="L51" i="2"/>
  <c r="L59" i="2"/>
  <c r="L67" i="2"/>
  <c r="L75" i="2"/>
  <c r="L83" i="2"/>
  <c r="L91" i="2"/>
  <c r="L99" i="2"/>
  <c r="L16" i="2"/>
  <c r="L25" i="2"/>
  <c r="L33" i="2"/>
  <c r="L41" i="2"/>
  <c r="L49" i="2"/>
  <c r="L57" i="2"/>
  <c r="L65" i="2"/>
  <c r="L73" i="2"/>
  <c r="L15" i="2"/>
  <c r="L24" i="2"/>
  <c r="L32" i="2"/>
  <c r="L40" i="2"/>
  <c r="L48" i="2"/>
  <c r="L56" i="2"/>
  <c r="L64" i="2"/>
  <c r="L72" i="2"/>
  <c r="L80" i="2"/>
  <c r="L88" i="2"/>
  <c r="L96" i="2"/>
  <c r="L104" i="2"/>
  <c r="L14" i="2"/>
  <c r="L23" i="2"/>
  <c r="L31" i="2"/>
  <c r="L39" i="2"/>
  <c r="L47" i="2"/>
  <c r="L55" i="2"/>
  <c r="L63" i="2"/>
  <c r="L71" i="2"/>
  <c r="L79" i="2"/>
  <c r="L87" i="2"/>
  <c r="L95" i="2"/>
  <c r="L103" i="2"/>
  <c r="L13" i="2"/>
  <c r="L22" i="2"/>
  <c r="L30" i="2"/>
  <c r="L38" i="2"/>
  <c r="L46" i="2"/>
  <c r="L54" i="2"/>
  <c r="L62" i="2"/>
  <c r="L70" i="2"/>
  <c r="L78" i="2"/>
  <c r="L86" i="2"/>
  <c r="L94" i="2"/>
  <c r="L12" i="2"/>
  <c r="L21" i="2"/>
  <c r="L29" i="2"/>
  <c r="L37" i="2"/>
  <c r="L45" i="2"/>
  <c r="L53" i="2"/>
  <c r="L61" i="2"/>
  <c r="L69" i="2"/>
  <c r="L77" i="2"/>
  <c r="L85" i="2"/>
  <c r="L93" i="2"/>
  <c r="L101" i="2"/>
  <c r="L9" i="2"/>
  <c r="L92" i="2"/>
  <c r="L100" i="2"/>
  <c r="L102" i="2"/>
  <c r="L107" i="2"/>
  <c r="L66" i="2"/>
  <c r="L89" i="2"/>
  <c r="L98" i="2"/>
  <c r="L74" i="2"/>
  <c r="L76" i="2"/>
  <c r="L110" i="2"/>
  <c r="L50" i="2"/>
  <c r="L58" i="2"/>
  <c r="L84" i="2"/>
  <c r="L90" i="2"/>
  <c r="L106" i="2"/>
  <c r="L81" i="2"/>
  <c r="L42" i="2"/>
  <c r="L68" i="2"/>
  <c r="L34" i="2"/>
  <c r="L26" i="2"/>
  <c r="L60" i="2"/>
  <c r="L82" i="2"/>
  <c r="L97" i="2"/>
  <c r="L105" i="2"/>
  <c r="L109" i="2"/>
  <c r="L17" i="2"/>
  <c r="L108" i="2"/>
  <c r="F53" i="1"/>
  <c r="K10" i="2"/>
  <c r="K26" i="2"/>
  <c r="K90" i="2"/>
  <c r="K64" i="2"/>
  <c r="K55" i="2"/>
  <c r="K22" i="2"/>
  <c r="K86" i="2"/>
  <c r="K53" i="2"/>
  <c r="K28" i="2"/>
  <c r="K92" i="2"/>
  <c r="K49" i="2"/>
  <c r="K110" i="2"/>
  <c r="K97" i="2"/>
  <c r="K18" i="2"/>
  <c r="K34" i="2"/>
  <c r="K98" i="2"/>
  <c r="K72" i="2"/>
  <c r="K63" i="2"/>
  <c r="K30" i="2"/>
  <c r="K94" i="2"/>
  <c r="K61" i="2"/>
  <c r="K36" i="2"/>
  <c r="K100" i="2"/>
  <c r="K67" i="2"/>
  <c r="K25" i="2"/>
  <c r="K65" i="2"/>
  <c r="K104" i="2"/>
  <c r="K17" i="2"/>
  <c r="K13" i="2"/>
  <c r="K84" i="2"/>
  <c r="K27" i="2"/>
  <c r="K42" i="2"/>
  <c r="K15" i="2"/>
  <c r="K80" i="2"/>
  <c r="K71" i="2"/>
  <c r="K38" i="2"/>
  <c r="K102" i="2"/>
  <c r="K69" i="2"/>
  <c r="K44" i="2"/>
  <c r="K75" i="2"/>
  <c r="K106" i="2"/>
  <c r="K91" i="2"/>
  <c r="K16" i="2"/>
  <c r="K87" i="2"/>
  <c r="K85" i="2"/>
  <c r="K89" i="2"/>
  <c r="K109" i="2"/>
  <c r="K51" i="2"/>
  <c r="K95" i="2"/>
  <c r="K29" i="2"/>
  <c r="K93" i="2"/>
  <c r="K57" i="2"/>
  <c r="K33" i="2"/>
  <c r="K39" i="2"/>
  <c r="K37" i="2"/>
  <c r="K96" i="2"/>
  <c r="K82" i="2"/>
  <c r="K47" i="2"/>
  <c r="K45" i="2"/>
  <c r="K101" i="2"/>
  <c r="K35" i="2"/>
  <c r="K50" i="2"/>
  <c r="K24" i="2"/>
  <c r="K14" i="2"/>
  <c r="K79" i="2"/>
  <c r="K46" i="2"/>
  <c r="K12" i="2"/>
  <c r="K77" i="2"/>
  <c r="K52" i="2"/>
  <c r="K83" i="2"/>
  <c r="K73" i="2"/>
  <c r="K105" i="2"/>
  <c r="K88" i="2"/>
  <c r="K43" i="2"/>
  <c r="K58" i="2"/>
  <c r="K32" i="2"/>
  <c r="K23" i="2"/>
  <c r="K54" i="2"/>
  <c r="K21" i="2"/>
  <c r="K60" i="2"/>
  <c r="K41" i="2"/>
  <c r="K108" i="2"/>
  <c r="K66" i="2"/>
  <c r="K31" i="2"/>
  <c r="K62" i="2"/>
  <c r="K68" i="2"/>
  <c r="K81" i="2"/>
  <c r="K48" i="2"/>
  <c r="K70" i="2"/>
  <c r="K76" i="2"/>
  <c r="K78" i="2"/>
  <c r="K99" i="2"/>
  <c r="K40" i="2"/>
  <c r="K107" i="2"/>
  <c r="K9" i="2"/>
  <c r="K74" i="2"/>
  <c r="K103" i="2"/>
  <c r="K11" i="2"/>
  <c r="K59" i="2"/>
  <c r="K56" i="2"/>
  <c r="K20" i="2"/>
  <c r="D60" i="1"/>
  <c r="D63" i="1" s="1"/>
  <c r="D59" i="1"/>
  <c r="D62" i="1" s="1"/>
  <c r="D79" i="1"/>
  <c r="D80" i="1" s="1"/>
  <c r="D81" i="1" s="1"/>
  <c r="D82" i="1" s="1" a="1"/>
  <c r="E82" i="1" l="1"/>
  <c r="E83" i="1" s="1"/>
  <c r="D84" i="1" s="1"/>
  <c r="D82" i="1"/>
  <c r="D83" i="1" l="1"/>
  <c r="F82" i="1"/>
  <c r="F83" i="1" s="1"/>
  <c r="C16" i="1" s="1"/>
  <c r="D86" i="1"/>
  <c r="D87" i="1"/>
  <c r="D85" i="1"/>
  <c r="D93" i="1" s="1"/>
  <c r="C15" i="1" s="1"/>
  <c r="D88" i="1"/>
  <c r="M12" i="2" l="1"/>
  <c r="M21" i="2"/>
  <c r="M29" i="2"/>
  <c r="M37" i="2"/>
  <c r="M45" i="2"/>
  <c r="M53" i="2"/>
  <c r="M11" i="2"/>
  <c r="M20" i="2"/>
  <c r="M28" i="2"/>
  <c r="M36" i="2"/>
  <c r="M44" i="2"/>
  <c r="M52" i="2"/>
  <c r="M60" i="2"/>
  <c r="M68" i="2"/>
  <c r="M76" i="2"/>
  <c r="M84" i="2"/>
  <c r="M92" i="2"/>
  <c r="M100" i="2"/>
  <c r="M9" i="2"/>
  <c r="M17" i="2"/>
  <c r="M26" i="2"/>
  <c r="M34" i="2"/>
  <c r="M42" i="2"/>
  <c r="M50" i="2"/>
  <c r="M58" i="2"/>
  <c r="M66" i="2"/>
  <c r="M74" i="2"/>
  <c r="M16" i="2"/>
  <c r="M25" i="2"/>
  <c r="M33" i="2"/>
  <c r="M41" i="2"/>
  <c r="M49" i="2"/>
  <c r="M57" i="2"/>
  <c r="M65" i="2"/>
  <c r="M73" i="2"/>
  <c r="M81" i="2"/>
  <c r="M89" i="2"/>
  <c r="M97" i="2"/>
  <c r="M105" i="2"/>
  <c r="M15" i="2"/>
  <c r="M24" i="2"/>
  <c r="M32" i="2"/>
  <c r="M40" i="2"/>
  <c r="M48" i="2"/>
  <c r="M56" i="2"/>
  <c r="M64" i="2"/>
  <c r="M72" i="2"/>
  <c r="M80" i="2"/>
  <c r="M88" i="2"/>
  <c r="M96" i="2"/>
  <c r="M104" i="2"/>
  <c r="M14" i="2"/>
  <c r="M23" i="2"/>
  <c r="M31" i="2"/>
  <c r="M39" i="2"/>
  <c r="M47" i="2"/>
  <c r="M55" i="2"/>
  <c r="M63" i="2"/>
  <c r="M71" i="2"/>
  <c r="M79" i="2"/>
  <c r="M87" i="2"/>
  <c r="M95" i="2"/>
  <c r="M13" i="2"/>
  <c r="M22" i="2"/>
  <c r="M30" i="2"/>
  <c r="M38" i="2"/>
  <c r="M46" i="2"/>
  <c r="M54" i="2"/>
  <c r="M62" i="2"/>
  <c r="M70" i="2"/>
  <c r="M78" i="2"/>
  <c r="M86" i="2"/>
  <c r="M94" i="2"/>
  <c r="M102" i="2"/>
  <c r="M18" i="2"/>
  <c r="M61" i="2"/>
  <c r="M108" i="2"/>
  <c r="M10" i="2"/>
  <c r="M75" i="2"/>
  <c r="M83" i="2"/>
  <c r="M107" i="2"/>
  <c r="M98" i="2"/>
  <c r="M99" i="2"/>
  <c r="M82" i="2"/>
  <c r="M67" i="2"/>
  <c r="M93" i="2"/>
  <c r="M101" i="2"/>
  <c r="M43" i="2"/>
  <c r="M59" i="2"/>
  <c r="M27" i="2"/>
  <c r="M109" i="2"/>
  <c r="M51" i="2"/>
  <c r="M77" i="2"/>
  <c r="M90" i="2"/>
  <c r="M106" i="2"/>
  <c r="M103" i="2"/>
  <c r="M110" i="2"/>
  <c r="M35" i="2"/>
  <c r="M69" i="2"/>
  <c r="M85" i="2"/>
  <c r="M91" i="2"/>
  <c r="D89" i="1"/>
  <c r="D91" i="1" s="1"/>
  <c r="C13" i="1" s="1"/>
  <c r="D90" i="1"/>
  <c r="D92" i="1" s="1"/>
  <c r="C14" i="1" s="1"/>
  <c r="O103" i="2" l="1"/>
  <c r="O15" i="2"/>
  <c r="O106" i="2"/>
  <c r="O39" i="2"/>
  <c r="O72" i="2"/>
  <c r="P72" i="2"/>
  <c r="O105" i="2"/>
  <c r="O41" i="2"/>
  <c r="P41" i="2"/>
  <c r="O42" i="2"/>
  <c r="O76" i="2"/>
  <c r="P76" i="2"/>
  <c r="O11" i="2"/>
  <c r="O43" i="2"/>
  <c r="P43" i="2"/>
  <c r="O84" i="2"/>
  <c r="P84" i="2"/>
  <c r="O10" i="2"/>
  <c r="O97" i="2"/>
  <c r="P34" i="2"/>
  <c r="O34" i="2"/>
  <c r="O68" i="2"/>
  <c r="P68" i="2"/>
  <c r="O53" i="2"/>
  <c r="O86" i="2"/>
  <c r="O20" i="2"/>
  <c r="P20" i="2"/>
  <c r="O101" i="2"/>
  <c r="P101" i="2"/>
  <c r="O90" i="2"/>
  <c r="P90" i="2"/>
  <c r="O64" i="2"/>
  <c r="O77" i="2"/>
  <c r="O108" i="2"/>
  <c r="P108" i="2"/>
  <c r="O62" i="2"/>
  <c r="P62" i="2"/>
  <c r="O87" i="2"/>
  <c r="O23" i="2"/>
  <c r="O56" i="2"/>
  <c r="O89" i="2"/>
  <c r="P89" i="2"/>
  <c r="O25" i="2"/>
  <c r="O26" i="2"/>
  <c r="P26" i="2"/>
  <c r="O60" i="2"/>
  <c r="P60" i="2"/>
  <c r="O45" i="2"/>
  <c r="O83" i="2"/>
  <c r="O80" i="2"/>
  <c r="N13" i="2"/>
  <c r="N22" i="2"/>
  <c r="P22" i="2" s="1"/>
  <c r="N30" i="2"/>
  <c r="N38" i="2"/>
  <c r="P38" i="2" s="1"/>
  <c r="N46" i="2"/>
  <c r="N54" i="2"/>
  <c r="N12" i="2"/>
  <c r="P12" i="2" s="1"/>
  <c r="N21" i="2"/>
  <c r="N29" i="2"/>
  <c r="N37" i="2"/>
  <c r="P37" i="2" s="1"/>
  <c r="N45" i="2"/>
  <c r="P45" i="2" s="1"/>
  <c r="N53" i="2"/>
  <c r="P53" i="2" s="1"/>
  <c r="N61" i="2"/>
  <c r="N69" i="2"/>
  <c r="N77" i="2"/>
  <c r="P77" i="2" s="1"/>
  <c r="N85" i="2"/>
  <c r="N93" i="2"/>
  <c r="N10" i="2"/>
  <c r="P10" i="2" s="1"/>
  <c r="N18" i="2"/>
  <c r="N27" i="2"/>
  <c r="N35" i="2"/>
  <c r="N43" i="2"/>
  <c r="N51" i="2"/>
  <c r="N59" i="2"/>
  <c r="N67" i="2"/>
  <c r="P67" i="2" s="1"/>
  <c r="N75" i="2"/>
  <c r="P75" i="2" s="1"/>
  <c r="N9" i="2"/>
  <c r="N17" i="2"/>
  <c r="P17" i="2" s="1"/>
  <c r="N26" i="2"/>
  <c r="N34" i="2"/>
  <c r="N42" i="2"/>
  <c r="P42" i="2" s="1"/>
  <c r="N50" i="2"/>
  <c r="N58" i="2"/>
  <c r="N66" i="2"/>
  <c r="P66" i="2" s="1"/>
  <c r="N74" i="2"/>
  <c r="N82" i="2"/>
  <c r="P82" i="2" s="1"/>
  <c r="N90" i="2"/>
  <c r="N98" i="2"/>
  <c r="N106" i="2"/>
  <c r="P106" i="2" s="1"/>
  <c r="N16" i="2"/>
  <c r="N25" i="2"/>
  <c r="P25" i="2" s="1"/>
  <c r="N33" i="2"/>
  <c r="P33" i="2" s="1"/>
  <c r="N41" i="2"/>
  <c r="N49" i="2"/>
  <c r="N57" i="2"/>
  <c r="N65" i="2"/>
  <c r="N73" i="2"/>
  <c r="N81" i="2"/>
  <c r="N89" i="2"/>
  <c r="N97" i="2"/>
  <c r="P97" i="2" s="1"/>
  <c r="N105" i="2"/>
  <c r="P105" i="2" s="1"/>
  <c r="N15" i="2"/>
  <c r="P15" i="2" s="1"/>
  <c r="N24" i="2"/>
  <c r="N32" i="2"/>
  <c r="N40" i="2"/>
  <c r="N48" i="2"/>
  <c r="N56" i="2"/>
  <c r="P56" i="2" s="1"/>
  <c r="N64" i="2"/>
  <c r="P64" i="2" s="1"/>
  <c r="N72" i="2"/>
  <c r="N80" i="2"/>
  <c r="P80" i="2" s="1"/>
  <c r="N88" i="2"/>
  <c r="N96" i="2"/>
  <c r="N14" i="2"/>
  <c r="P14" i="2" s="1"/>
  <c r="N23" i="2"/>
  <c r="P23" i="2" s="1"/>
  <c r="N31" i="2"/>
  <c r="N39" i="2"/>
  <c r="P39" i="2" s="1"/>
  <c r="N47" i="2"/>
  <c r="N55" i="2"/>
  <c r="P55" i="2" s="1"/>
  <c r="N63" i="2"/>
  <c r="N71" i="2"/>
  <c r="N79" i="2"/>
  <c r="P79" i="2" s="1"/>
  <c r="N87" i="2"/>
  <c r="P87" i="2" s="1"/>
  <c r="N95" i="2"/>
  <c r="N103" i="2"/>
  <c r="P103" i="2" s="1"/>
  <c r="N28" i="2"/>
  <c r="N70" i="2"/>
  <c r="P70" i="2" s="1"/>
  <c r="N109" i="2"/>
  <c r="N20" i="2"/>
  <c r="N86" i="2"/>
  <c r="P86" i="2" s="1"/>
  <c r="N92" i="2"/>
  <c r="N100" i="2"/>
  <c r="P100" i="2" s="1"/>
  <c r="N102" i="2"/>
  <c r="P102" i="2" s="1"/>
  <c r="N108" i="2"/>
  <c r="N91" i="2"/>
  <c r="P91" i="2" s="1"/>
  <c r="N11" i="2"/>
  <c r="P11" i="2" s="1"/>
  <c r="N62" i="2"/>
  <c r="N83" i="2"/>
  <c r="P83" i="2" s="1"/>
  <c r="N104" i="2"/>
  <c r="N107" i="2"/>
  <c r="N52" i="2"/>
  <c r="N76" i="2"/>
  <c r="N68" i="2"/>
  <c r="N101" i="2"/>
  <c r="N60" i="2"/>
  <c r="N84" i="2"/>
  <c r="N36" i="2"/>
  <c r="N110" i="2"/>
  <c r="N44" i="2"/>
  <c r="P44" i="2" s="1"/>
  <c r="N78" i="2"/>
  <c r="N94" i="2"/>
  <c r="P94" i="2" s="1"/>
  <c r="N99" i="2"/>
  <c r="O70" i="2"/>
  <c r="O91" i="2"/>
  <c r="O67" i="2"/>
  <c r="P85" i="2"/>
  <c r="O85" i="2"/>
  <c r="O51" i="2"/>
  <c r="P51" i="2"/>
  <c r="O82" i="2"/>
  <c r="O61" i="2"/>
  <c r="P61" i="2"/>
  <c r="O54" i="2"/>
  <c r="P54" i="2"/>
  <c r="O79" i="2"/>
  <c r="O14" i="2"/>
  <c r="P48" i="2"/>
  <c r="O48" i="2"/>
  <c r="P81" i="2"/>
  <c r="O81" i="2"/>
  <c r="O16" i="2"/>
  <c r="P16" i="2"/>
  <c r="O17" i="2"/>
  <c r="P52" i="2"/>
  <c r="O52" i="2"/>
  <c r="O37" i="2"/>
  <c r="O13" i="2"/>
  <c r="P13" i="2"/>
  <c r="O95" i="2"/>
  <c r="P95" i="2"/>
  <c r="O109" i="2"/>
  <c r="P109" i="2"/>
  <c r="P18" i="2"/>
  <c r="O18" i="2"/>
  <c r="P46" i="2"/>
  <c r="O46" i="2"/>
  <c r="P71" i="2"/>
  <c r="O71" i="2"/>
  <c r="P104" i="2"/>
  <c r="O104" i="2"/>
  <c r="P40" i="2"/>
  <c r="O40" i="2"/>
  <c r="O73" i="2"/>
  <c r="P73" i="2"/>
  <c r="O74" i="2"/>
  <c r="P74" i="2"/>
  <c r="O9" i="2"/>
  <c r="P9" i="2"/>
  <c r="O44" i="2"/>
  <c r="P29" i="2"/>
  <c r="O29" i="2"/>
  <c r="O47" i="2"/>
  <c r="P47" i="2"/>
  <c r="P49" i="2"/>
  <c r="O49" i="2"/>
  <c r="O75" i="2"/>
  <c r="O93" i="2"/>
  <c r="P93" i="2"/>
  <c r="O31" i="2"/>
  <c r="P31" i="2"/>
  <c r="P99" i="2"/>
  <c r="O99" i="2"/>
  <c r="P27" i="2"/>
  <c r="O27" i="2"/>
  <c r="O98" i="2"/>
  <c r="P98" i="2"/>
  <c r="O102" i="2"/>
  <c r="O38" i="2"/>
  <c r="P63" i="2"/>
  <c r="O63" i="2"/>
  <c r="O96" i="2"/>
  <c r="P96" i="2"/>
  <c r="O32" i="2"/>
  <c r="P32" i="2"/>
  <c r="O65" i="2"/>
  <c r="P65" i="2"/>
  <c r="O66" i="2"/>
  <c r="O100" i="2"/>
  <c r="P36" i="2"/>
  <c r="O36" i="2"/>
  <c r="P21" i="2"/>
  <c r="O21" i="2"/>
  <c r="O22" i="2"/>
  <c r="O50" i="2"/>
  <c r="P50" i="2"/>
  <c r="P78" i="2"/>
  <c r="O78" i="2"/>
  <c r="O33" i="2"/>
  <c r="P69" i="2"/>
  <c r="O69" i="2"/>
  <c r="O35" i="2"/>
  <c r="P35" i="2"/>
  <c r="O110" i="2"/>
  <c r="P110" i="2"/>
  <c r="O59" i="2"/>
  <c r="P59" i="2"/>
  <c r="O107" i="2"/>
  <c r="P107" i="2"/>
  <c r="O94" i="2"/>
  <c r="O30" i="2"/>
  <c r="P30" i="2"/>
  <c r="O55" i="2"/>
  <c r="P88" i="2"/>
  <c r="O88" i="2"/>
  <c r="P24" i="2"/>
  <c r="O24" i="2"/>
  <c r="O57" i="2"/>
  <c r="P57" i="2"/>
  <c r="O58" i="2"/>
  <c r="P58" i="2"/>
  <c r="P92" i="2"/>
  <c r="O92" i="2"/>
  <c r="O28" i="2"/>
  <c r="P28" i="2"/>
  <c r="O12" i="2"/>
  <c r="C22" i="1"/>
  <c r="C23" i="1" s="1"/>
  <c r="C16" i="2"/>
  <c r="D16" i="2" s="1"/>
  <c r="C24" i="2"/>
  <c r="D24" i="2" s="1"/>
  <c r="C32" i="2"/>
  <c r="D32" i="2" s="1"/>
  <c r="C40" i="2"/>
  <c r="D40" i="2" s="1"/>
  <c r="C48" i="2"/>
  <c r="D48" i="2" s="1"/>
  <c r="C56" i="2"/>
  <c r="D56" i="2" s="1"/>
  <c r="C64" i="2"/>
  <c r="D64" i="2" s="1"/>
  <c r="C72" i="2"/>
  <c r="D72" i="2" s="1"/>
  <c r="C80" i="2"/>
  <c r="D80" i="2" s="1"/>
  <c r="C88" i="2"/>
  <c r="D88" i="2" s="1"/>
  <c r="C96" i="2"/>
  <c r="D96" i="2" s="1"/>
  <c r="C104" i="2"/>
  <c r="D104" i="2" s="1"/>
  <c r="C17" i="2"/>
  <c r="D17" i="2" s="1"/>
  <c r="C25" i="2"/>
  <c r="D25" i="2" s="1"/>
  <c r="C33" i="2"/>
  <c r="D33" i="2" s="1"/>
  <c r="C41" i="2"/>
  <c r="D41" i="2" s="1"/>
  <c r="C49" i="2"/>
  <c r="D49" i="2" s="1"/>
  <c r="C57" i="2"/>
  <c r="D57" i="2" s="1"/>
  <c r="C65" i="2"/>
  <c r="D65" i="2" s="1"/>
  <c r="C73" i="2"/>
  <c r="D73" i="2" s="1"/>
  <c r="C81" i="2"/>
  <c r="D81" i="2" s="1"/>
  <c r="C89" i="2"/>
  <c r="D89" i="2" s="1"/>
  <c r="C97" i="2"/>
  <c r="D97" i="2" s="1"/>
  <c r="C105" i="2"/>
  <c r="D105" i="2" s="1"/>
  <c r="C10" i="2"/>
  <c r="D10" i="2" s="1"/>
  <c r="C18" i="2"/>
  <c r="D18" i="2" s="1"/>
  <c r="C26" i="2"/>
  <c r="D26" i="2" s="1"/>
  <c r="C34" i="2"/>
  <c r="D34" i="2" s="1"/>
  <c r="C42" i="2"/>
  <c r="D42" i="2" s="1"/>
  <c r="C50" i="2"/>
  <c r="D50" i="2" s="1"/>
  <c r="C58" i="2"/>
  <c r="D58" i="2" s="1"/>
  <c r="C66" i="2"/>
  <c r="D66" i="2" s="1"/>
  <c r="C74" i="2"/>
  <c r="D74" i="2" s="1"/>
  <c r="C82" i="2"/>
  <c r="D82" i="2" s="1"/>
  <c r="C90" i="2"/>
  <c r="D90" i="2" s="1"/>
  <c r="C98" i="2"/>
  <c r="D98" i="2" s="1"/>
  <c r="C106" i="2"/>
  <c r="D106" i="2" s="1"/>
  <c r="C11" i="2"/>
  <c r="D11" i="2" s="1"/>
  <c r="C19" i="2"/>
  <c r="D19" i="2" s="1"/>
  <c r="C27" i="2"/>
  <c r="D27" i="2" s="1"/>
  <c r="C35" i="2"/>
  <c r="D35" i="2" s="1"/>
  <c r="C43" i="2"/>
  <c r="D43" i="2" s="1"/>
  <c r="C51" i="2"/>
  <c r="D51" i="2" s="1"/>
  <c r="C59" i="2"/>
  <c r="D59" i="2" s="1"/>
  <c r="C67" i="2"/>
  <c r="D67" i="2" s="1"/>
  <c r="C75" i="2"/>
  <c r="D75" i="2" s="1"/>
  <c r="C83" i="2"/>
  <c r="D83" i="2" s="1"/>
  <c r="C91" i="2"/>
  <c r="D91" i="2" s="1"/>
  <c r="C99" i="2"/>
  <c r="D99" i="2" s="1"/>
  <c r="C107" i="2"/>
  <c r="D107" i="2" s="1"/>
  <c r="C12" i="2"/>
  <c r="D12" i="2" s="1"/>
  <c r="C20" i="2"/>
  <c r="D20" i="2" s="1"/>
  <c r="C28" i="2"/>
  <c r="D28" i="2" s="1"/>
  <c r="C36" i="2"/>
  <c r="D36" i="2" s="1"/>
  <c r="C44" i="2"/>
  <c r="D44" i="2" s="1"/>
  <c r="C52" i="2"/>
  <c r="D52" i="2" s="1"/>
  <c r="C60" i="2"/>
  <c r="D60" i="2" s="1"/>
  <c r="C68" i="2"/>
  <c r="D68" i="2" s="1"/>
  <c r="C76" i="2"/>
  <c r="D76" i="2" s="1"/>
  <c r="C84" i="2"/>
  <c r="D84" i="2" s="1"/>
  <c r="C92" i="2"/>
  <c r="D92" i="2" s="1"/>
  <c r="C100" i="2"/>
  <c r="D100" i="2" s="1"/>
  <c r="C108" i="2"/>
  <c r="D108" i="2" s="1"/>
  <c r="C13" i="2"/>
  <c r="D13" i="2" s="1"/>
  <c r="C21" i="2"/>
  <c r="D21" i="2" s="1"/>
  <c r="C29" i="2"/>
  <c r="D29" i="2" s="1"/>
  <c r="C37" i="2"/>
  <c r="D37" i="2" s="1"/>
  <c r="C45" i="2"/>
  <c r="D45" i="2" s="1"/>
  <c r="C53" i="2"/>
  <c r="D53" i="2" s="1"/>
  <c r="C61" i="2"/>
  <c r="D61" i="2" s="1"/>
  <c r="C69" i="2"/>
  <c r="D69" i="2" s="1"/>
  <c r="C77" i="2"/>
  <c r="D77" i="2" s="1"/>
  <c r="C85" i="2"/>
  <c r="D85" i="2" s="1"/>
  <c r="C93" i="2"/>
  <c r="D93" i="2" s="1"/>
  <c r="C101" i="2"/>
  <c r="D101" i="2" s="1"/>
  <c r="C109" i="2"/>
  <c r="D109" i="2" s="1"/>
  <c r="C14" i="2"/>
  <c r="D14" i="2" s="1"/>
  <c r="C22" i="2"/>
  <c r="D22" i="2" s="1"/>
  <c r="C30" i="2"/>
  <c r="D30" i="2" s="1"/>
  <c r="C47" i="2"/>
  <c r="D47" i="2" s="1"/>
  <c r="C79" i="2"/>
  <c r="D79" i="2" s="1"/>
  <c r="C54" i="2"/>
  <c r="D54" i="2" s="1"/>
  <c r="C86" i="2"/>
  <c r="D86" i="2" s="1"/>
  <c r="C15" i="2"/>
  <c r="D15" i="2" s="1"/>
  <c r="C55" i="2"/>
  <c r="D55" i="2" s="1"/>
  <c r="C87" i="2"/>
  <c r="D87" i="2" s="1"/>
  <c r="C23" i="2"/>
  <c r="D23" i="2" s="1"/>
  <c r="C62" i="2"/>
  <c r="D62" i="2" s="1"/>
  <c r="C94" i="2"/>
  <c r="D94" i="2" s="1"/>
  <c r="C31" i="2"/>
  <c r="D31" i="2" s="1"/>
  <c r="C63" i="2"/>
  <c r="D63" i="2" s="1"/>
  <c r="C95" i="2"/>
  <c r="D95" i="2" s="1"/>
  <c r="C38" i="2"/>
  <c r="D38" i="2" s="1"/>
  <c r="C70" i="2"/>
  <c r="D70" i="2" s="1"/>
  <c r="C102" i="2"/>
  <c r="D102" i="2" s="1"/>
  <c r="C39" i="2"/>
  <c r="D39" i="2" s="1"/>
  <c r="C71" i="2"/>
  <c r="D71" i="2" s="1"/>
  <c r="C103" i="2"/>
  <c r="D103" i="2" s="1"/>
  <c r="C46" i="2"/>
  <c r="D46" i="2" s="1"/>
  <c r="C78" i="2"/>
  <c r="D78" i="2" s="1"/>
  <c r="C9" i="2"/>
  <c r="D9" i="2" s="1"/>
</calcChain>
</file>

<file path=xl/sharedStrings.xml><?xml version="1.0" encoding="utf-8"?>
<sst xmlns="http://schemas.openxmlformats.org/spreadsheetml/2006/main" count="93" uniqueCount="73">
  <si>
    <t>d1</t>
  </si>
  <si>
    <t>d1lin</t>
  </si>
  <si>
    <t>A3</t>
  </si>
  <si>
    <t>d1_lowslope</t>
  </si>
  <si>
    <t xml:space="preserve">   if d0&lt;d3:</t>
  </si>
  <si>
    <t>if d1&lt;d1_lowslope:</t>
  </si>
  <si>
    <t xml:space="preserve">      if d1&lt;d1lin:</t>
  </si>
  <si>
    <t xml:space="preserve">         d1=d1lin</t>
  </si>
  <si>
    <t xml:space="preserve">         d1=d1_lowslope</t>
  </si>
  <si>
    <t>local True/False</t>
  </si>
  <si>
    <t>if d3&lt;0.1*d1:</t>
  </si>
  <si>
    <t xml:space="preserve">   d3=0.1*d1</t>
  </si>
  <si>
    <t>if d0&lt;0.2*d1:</t>
  </si>
  <si>
    <t xml:space="preserve">   d0=0.2*d1</t>
  </si>
  <si>
    <t>if d3&gt;d1:</t>
  </si>
  <si>
    <t xml:space="preserve">   k3=-0.001</t>
  </si>
  <si>
    <t xml:space="preserve">   A3=d3/(exp(k3*t3))</t>
  </si>
  <si>
    <t>logest</t>
  </si>
  <si>
    <t>x</t>
  </si>
  <si>
    <t>y</t>
  </si>
  <si>
    <t xml:space="preserve">   x=[t1,t3]</t>
  </si>
  <si>
    <t xml:space="preserve">   y=[d1-(A3*exp(k3*t1)),0.01*d3]</t>
  </si>
  <si>
    <t xml:space="preserve">   A2, k2 = fit_exp_linear(x,y)</t>
  </si>
  <si>
    <t xml:space="preserve">   if(A2+A3)&lt;0:</t>
  </si>
  <si>
    <t xml:space="preserve">      A2=-A3</t>
  </si>
  <si>
    <t xml:space="preserve">      A1=0</t>
  </si>
  <si>
    <t xml:space="preserve">      k1=0</t>
  </si>
  <si>
    <t xml:space="preserve">   negative?</t>
  </si>
  <si>
    <t xml:space="preserve">   else:</t>
  </si>
  <si>
    <t xml:space="preserve">      A1=-(A2+A3)</t>
  </si>
  <si>
    <t>else:</t>
  </si>
  <si>
    <t xml:space="preserve">   y=[d1,d3]</t>
  </si>
  <si>
    <t xml:space="preserve">   if (A2+A3)&lt;0:</t>
  </si>
  <si>
    <t xml:space="preserve">   A3, k3 = fit_exp_linear(x,y)</t>
  </si>
  <si>
    <t xml:space="preserve">      A3=d3/(exp(k3*t3))</t>
  </si>
  <si>
    <t xml:space="preserve">   x=[t0,t1]</t>
  </si>
  <si>
    <t xml:space="preserve">   y=[d0-(A3*exp(k3*t0)),0.01*d1]</t>
  </si>
  <si>
    <t xml:space="preserve">   A3</t>
  </si>
  <si>
    <t>k3</t>
  </si>
  <si>
    <t xml:space="preserve">   k3</t>
  </si>
  <si>
    <t xml:space="preserve">      k1=-1.3</t>
  </si>
  <si>
    <t xml:space="preserve">   A1</t>
  </si>
  <si>
    <t xml:space="preserve">   k1</t>
  </si>
  <si>
    <t>A2</t>
  </si>
  <si>
    <t>k2</t>
  </si>
  <si>
    <r>
      <t xml:space="preserve">   A2, </t>
    </r>
    <r>
      <rPr>
        <b/>
        <sz val="10"/>
        <color theme="1"/>
        <rFont val="Arial"/>
        <family val="2"/>
      </rPr>
      <t>k2</t>
    </r>
    <r>
      <rPr>
        <sz val="10"/>
        <color theme="1"/>
        <rFont val="Arial"/>
        <family val="2"/>
      </rPr>
      <t xml:space="preserve"> = fit_exp_linear(x,y)</t>
    </r>
  </si>
  <si>
    <t xml:space="preserve">   A2</t>
  </si>
  <si>
    <t>A1</t>
  </si>
  <si>
    <t>k1</t>
  </si>
  <si>
    <t xml:space="preserve">      k3=-0.001</t>
  </si>
  <si>
    <t xml:space="preserve">   if k3&gt;-0.001:</t>
  </si>
  <si>
    <t>Integral</t>
  </si>
  <si>
    <t>Gy</t>
  </si>
  <si>
    <t>h</t>
  </si>
  <si>
    <t>Dose Factor</t>
  </si>
  <si>
    <t>y2</t>
  </si>
  <si>
    <t>C1-C3 Linear</t>
  </si>
  <si>
    <t>C2 Plateau</t>
  </si>
  <si>
    <t>Phase 3</t>
  </si>
  <si>
    <t>Phase 2+3</t>
  </si>
  <si>
    <t>Phase 1+2+3</t>
  </si>
  <si>
    <t>Phase 2</t>
  </si>
  <si>
    <t>Phase 1</t>
  </si>
  <si>
    <t>Time post-injection (h)</t>
  </si>
  <si>
    <t>Gy/(kBq*h/ml)</t>
  </si>
  <si>
    <t>kBq*h/ml</t>
  </si>
  <si>
    <t>Measured Activity Concentration (kBq/ml)</t>
  </si>
  <si>
    <t>Decay-corrected Activity Concentration (kBq/ml)</t>
  </si>
  <si>
    <t>Image Number</t>
  </si>
  <si>
    <t>Fit Parameters</t>
  </si>
  <si>
    <t>Isotope Physical Half-life</t>
  </si>
  <si>
    <t>Estimated Absorbed Dose (Gy)</t>
  </si>
  <si>
    <t>Algorithm Operations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</si>
</sst>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4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theme="0" tint="-0.34998626667073579"/>
      <name val="Arial"/>
      <family val="2"/>
    </font>
    <font>
      <sz val="10"/>
      <color theme="0" tint="-0.499984740745262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10" fontId="0" fillId="0" borderId="0" xfId="0" applyNumberFormat="1"/>
    <xf numFmtId="11" fontId="0" fillId="0" borderId="0" xfId="0" applyNumberFormat="1"/>
    <xf numFmtId="164" fontId="0" fillId="0" borderId="0" xfId="0" applyNumberFormat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 applyAlignment="1">
      <alignment wrapText="1"/>
    </xf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3" fillId="0" borderId="5" xfId="0" applyFont="1" applyBorder="1"/>
    <xf numFmtId="0" fontId="3" fillId="0" borderId="8" xfId="0" applyFont="1" applyBorder="1"/>
    <xf numFmtId="0" fontId="0" fillId="0" borderId="1" xfId="0" applyBorder="1"/>
    <xf numFmtId="0" fontId="0" fillId="0" borderId="3" xfId="0" applyBorder="1"/>
    <xf numFmtId="0" fontId="0" fillId="0" borderId="9" xfId="0" applyBorder="1"/>
    <xf numFmtId="0" fontId="0" fillId="0" borderId="11" xfId="0" applyBorder="1"/>
    <xf numFmtId="0" fontId="0" fillId="0" borderId="2" xfId="0" applyBorder="1"/>
    <xf numFmtId="0" fontId="1" fillId="0" borderId="6" xfId="0" applyFont="1" applyBorder="1"/>
    <xf numFmtId="164" fontId="1" fillId="0" borderId="7" xfId="0" applyNumberFormat="1" applyFont="1" applyBorder="1"/>
    <xf numFmtId="0" fontId="1" fillId="0" borderId="8" xfId="0" applyFont="1" applyBorder="1"/>
    <xf numFmtId="0" fontId="2" fillId="0" borderId="0" xfId="0" applyFont="1" applyBorder="1"/>
    <xf numFmtId="0" fontId="1" fillId="0" borderId="4" xfId="0" applyFont="1" applyBorder="1"/>
    <xf numFmtId="0" fontId="1" fillId="0" borderId="0" xfId="0" applyFont="1" applyBorder="1"/>
    <xf numFmtId="0" fontId="1" fillId="0" borderId="7" xfId="0" applyFont="1" applyBorder="1"/>
    <xf numFmtId="0" fontId="0" fillId="0" borderId="10" xfId="0" applyBorder="1"/>
    <xf numFmtId="0" fontId="0" fillId="0" borderId="4" xfId="0" applyBorder="1" applyAlignment="1">
      <alignment horizontal="left"/>
    </xf>
    <xf numFmtId="0" fontId="0" fillId="0" borderId="6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Decay-corrected Values</c:v>
          </c:tx>
          <c:spPr>
            <a:ln w="28575">
              <a:noFill/>
            </a:ln>
          </c:spPr>
          <c:marker>
            <c:spPr>
              <a:solidFill>
                <a:schemeClr val="tx1"/>
              </a:solidFill>
              <a:ln>
                <a:solidFill>
                  <a:schemeClr val="tx1"/>
                </a:solidFill>
              </a:ln>
            </c:spPr>
          </c:marker>
          <c:xVal>
            <c:numRef>
              <c:f>TriExpAlgorithm!$C$8:$C$10</c:f>
              <c:numCache>
                <c:formatCode>General</c:formatCode>
                <c:ptCount val="3"/>
                <c:pt idx="0">
                  <c:v>4</c:v>
                </c:pt>
                <c:pt idx="1">
                  <c:v>24</c:v>
                </c:pt>
                <c:pt idx="2">
                  <c:v>72</c:v>
                </c:pt>
              </c:numCache>
            </c:numRef>
          </c:xVal>
          <c:yVal>
            <c:numRef>
              <c:f>TriExpAlgorithm!$E$8:$E$10</c:f>
              <c:numCache>
                <c:formatCode>General</c:formatCode>
                <c:ptCount val="3"/>
                <c:pt idx="0">
                  <c:v>1220.8389999965052</c:v>
                </c:pt>
                <c:pt idx="1">
                  <c:v>665.29481833284092</c:v>
                </c:pt>
                <c:pt idx="2">
                  <c:v>545.31653062677083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EC1-494C-A72E-B689D436CF8B}"/>
            </c:ext>
          </c:extLst>
        </c:ser>
        <c:ser>
          <c:idx val="1"/>
          <c:order val="1"/>
          <c:tx>
            <c:v>Decay-corrected Fit</c:v>
          </c:tx>
          <c:spPr>
            <a:ln w="28575">
              <a:solidFill>
                <a:schemeClr val="tx1"/>
              </a:solidFill>
            </a:ln>
          </c:spPr>
          <c:marker>
            <c:symbol val="none"/>
          </c:marker>
          <c:xVal>
            <c:numRef>
              <c:f>TriPlotData!$B$9:$B$109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xVal>
          <c:yVal>
            <c:numRef>
              <c:f>TriPlotData!$C$9:$C$109</c:f>
              <c:numCache>
                <c:formatCode>General</c:formatCode>
                <c:ptCount val="101"/>
                <c:pt idx="0">
                  <c:v>0</c:v>
                </c:pt>
                <c:pt idx="1">
                  <c:v>1161.3067036476023</c:v>
                </c:pt>
                <c:pt idx="2">
                  <c:v>1353.3701969732338</c:v>
                </c:pt>
                <c:pt idx="3">
                  <c:v>1305.0172513360046</c:v>
                </c:pt>
                <c:pt idx="4">
                  <c:v>1210.271677228825</c:v>
                </c:pt>
                <c:pt idx="5">
                  <c:v>1118.3001888090948</c:v>
                </c:pt>
                <c:pt idx="6">
                  <c:v>1039.511588157005</c:v>
                </c:pt>
                <c:pt idx="7">
                  <c:v>974.33237204247371</c:v>
                </c:pt>
                <c:pt idx="8">
                  <c:v>920.93633821069989</c:v>
                </c:pt>
                <c:pt idx="9">
                  <c:v>877.26035394662176</c:v>
                </c:pt>
                <c:pt idx="10">
                  <c:v>841.480544638575</c:v>
                </c:pt>
                <c:pt idx="11">
                  <c:v>812.0830999320691</c:v>
                </c:pt>
                <c:pt idx="12">
                  <c:v>787.83604588453727</c:v>
                </c:pt>
                <c:pt idx="13">
                  <c:v>767.74325131982482</c:v>
                </c:pt>
                <c:pt idx="14">
                  <c:v>751.00102623643045</c:v>
                </c:pt>
                <c:pt idx="15">
                  <c:v>736.96141760119394</c:v>
                </c:pt>
                <c:pt idx="16">
                  <c:v>725.10215857101264</c:v>
                </c:pt>
                <c:pt idx="17">
                  <c:v>715.00232205876819</c:v>
                </c:pt>
                <c:pt idx="18">
                  <c:v>706.32266476703364</c:v>
                </c:pt>
                <c:pt idx="19">
                  <c:v>698.78977673639076</c:v>
                </c:pt>
                <c:pt idx="20">
                  <c:v>692.18330472211665</c:v>
                </c:pt>
                <c:pt idx="21">
                  <c:v>686.32565468618873</c:v>
                </c:pt>
                <c:pt idx="22">
                  <c:v>681.07369274615849</c:v>
                </c:pt>
                <c:pt idx="23">
                  <c:v>676.3120568393889</c:v>
                </c:pt>
                <c:pt idx="24">
                  <c:v>671.94776651611619</c:v>
                </c:pt>
                <c:pt idx="25">
                  <c:v>667.9058789171155</c:v>
                </c:pt>
                <c:pt idx="26">
                  <c:v>664.12598788417608</c:v>
                </c:pt>
                <c:pt idx="27">
                  <c:v>660.5594025599878</c:v>
                </c:pt>
                <c:pt idx="28">
                  <c:v>657.16687359511764</c:v>
                </c:pt>
                <c:pt idx="29">
                  <c:v>653.91676067673302</c:v>
                </c:pt>
                <c:pt idx="30">
                  <c:v>650.78355572267049</c:v>
                </c:pt>
                <c:pt idx="31">
                  <c:v>647.74669270954405</c:v>
                </c:pt>
                <c:pt idx="32">
                  <c:v>644.7895885019135</c:v>
                </c:pt>
                <c:pt idx="33">
                  <c:v>641.89886984737404</c:v>
                </c:pt>
                <c:pt idx="34">
                  <c:v>639.06375040450382</c:v>
                </c:pt>
                <c:pt idx="35">
                  <c:v>636.27552868370151</c:v>
                </c:pt>
                <c:pt idx="36">
                  <c:v>633.52718343285301</c:v>
                </c:pt>
                <c:pt idx="37">
                  <c:v>630.81304755470148</c:v>
                </c:pt>
                <c:pt idx="38">
                  <c:v>628.12854531365258</c:v>
                </c:pt>
                <c:pt idx="39">
                  <c:v>625.46998054812786</c:v>
                </c:pt>
                <c:pt idx="40">
                  <c:v>622.83436598877211</c:v>
                </c:pt>
                <c:pt idx="41">
                  <c:v>620.2192857042495</c:v>
                </c:pt>
                <c:pt idx="42">
                  <c:v>617.62278424487658</c:v>
                </c:pt>
                <c:pt idx="43">
                  <c:v>615.04327730229386</c:v>
                </c:pt>
                <c:pt idx="44">
                  <c:v>612.47947970911309</c:v>
                </c:pt>
                <c:pt idx="45">
                  <c:v>609.93034741301449</c:v>
                </c:pt>
                <c:pt idx="46">
                  <c:v>607.39503071298691</c:v>
                </c:pt>
                <c:pt idx="47">
                  <c:v>604.87283657183093</c:v>
                </c:pt>
                <c:pt idx="48">
                  <c:v>602.3631982433119</c:v>
                </c:pt>
                <c:pt idx="49">
                  <c:v>599.86565079425668</c:v>
                </c:pt>
                <c:pt idx="50">
                  <c:v>597.379811377441</c:v>
                </c:pt>
                <c:pt idx="51">
                  <c:v>594.9053633331846</c:v>
                </c:pt>
                <c:pt idx="52">
                  <c:v>592.44204337653912</c:v>
                </c:pt>
                <c:pt idx="53">
                  <c:v>589.98963127118327</c:v>
                </c:pt>
                <c:pt idx="54">
                  <c:v>587.54794150737996</c:v>
                </c:pt>
                <c:pt idx="55">
                  <c:v>585.11681659502744</c:v>
                </c:pt>
                <c:pt idx="56">
                  <c:v>582.69612165832746</c:v>
                </c:pt>
                <c:pt idx="57">
                  <c:v>580.28574007944269</c:v>
                </c:pt>
                <c:pt idx="58">
                  <c:v>577.88556998754279</c:v>
                </c:pt>
                <c:pt idx="59">
                  <c:v>575.49552142915854</c:v>
                </c:pt>
                <c:pt idx="60">
                  <c:v>573.11551408760874</c:v>
                </c:pt>
                <c:pt idx="61">
                  <c:v>570.74547544493134</c:v>
                </c:pt>
                <c:pt idx="62">
                  <c:v>568.38533930043138</c:v>
                </c:pt>
                <c:pt idx="63">
                  <c:v>566.0350445766336</c:v>
                </c:pt>
                <c:pt idx="64">
                  <c:v>563.69453435685421</c:v>
                </c:pt>
                <c:pt idx="65">
                  <c:v>561.36375510944015</c:v>
                </c:pt>
                <c:pt idx="66">
                  <c:v>559.04265606244348</c:v>
                </c:pt>
                <c:pt idx="67">
                  <c:v>556.73118869953623</c:v>
                </c:pt>
                <c:pt idx="68">
                  <c:v>554.42930635363132</c:v>
                </c:pt>
                <c:pt idx="69">
                  <c:v>552.13696387924915</c:v>
                </c:pt>
                <c:pt idx="70">
                  <c:v>549.85411738834523</c:v>
                </c:pt>
                <c:pt idx="71">
                  <c:v>547.58072403728158</c:v>
                </c:pt>
                <c:pt idx="72">
                  <c:v>545.31674185501799</c:v>
                </c:pt>
                <c:pt idx="73">
                  <c:v>543.06212960452092</c:v>
                </c:pt>
                <c:pt idx="74">
                  <c:v>540.81684667094487</c:v>
                </c:pt>
                <c:pt idx="75">
                  <c:v>538.58085297138985</c:v>
                </c:pt>
                <c:pt idx="76">
                  <c:v>536.35410888204797</c:v>
                </c:pt>
                <c:pt idx="77">
                  <c:v>534.13657517936474</c:v>
                </c:pt>
                <c:pt idx="78">
                  <c:v>531.92821299249511</c:v>
                </c:pt>
                <c:pt idx="79">
                  <c:v>529.72898376486205</c:v>
                </c:pt>
                <c:pt idx="80">
                  <c:v>527.53884922305394</c:v>
                </c:pt>
                <c:pt idx="81">
                  <c:v>525.35777135163289</c:v>
                </c:pt>
                <c:pt idx="82">
                  <c:v>523.18571237271101</c:v>
                </c:pt>
                <c:pt idx="83">
                  <c:v>521.02263472936761</c:v>
                </c:pt>
                <c:pt idx="84">
                  <c:v>518.86850107216299</c:v>
                </c:pt>
                <c:pt idx="85">
                  <c:v>516.72327424814807</c:v>
                </c:pt>
                <c:pt idx="86">
                  <c:v>514.58691729188627</c:v>
                </c:pt>
                <c:pt idx="87">
                  <c:v>512.45939341809753</c:v>
                </c:pt>
                <c:pt idx="88">
                  <c:v>510.34066601560954</c:v>
                </c:pt>
                <c:pt idx="89">
                  <c:v>508.23069864236385</c:v>
                </c:pt>
                <c:pt idx="90">
                  <c:v>506.12945502127184</c:v>
                </c:pt>
                <c:pt idx="91">
                  <c:v>504.03689903675701</c:v>
                </c:pt>
                <c:pt idx="92">
                  <c:v>501.95299473184957</c:v>
                </c:pt>
                <c:pt idx="93">
                  <c:v>499.87770630572766</c:v>
                </c:pt>
                <c:pt idx="94">
                  <c:v>497.81099811161903</c:v>
                </c:pt>
                <c:pt idx="95">
                  <c:v>495.75283465499285</c:v>
                </c:pt>
                <c:pt idx="96">
                  <c:v>493.70318059198638</c:v>
                </c:pt>
                <c:pt idx="97">
                  <c:v>491.66200072802172</c:v>
                </c:pt>
                <c:pt idx="98">
                  <c:v>489.62926001657564</c:v>
                </c:pt>
                <c:pt idx="99">
                  <c:v>487.60492355807315</c:v>
                </c:pt>
                <c:pt idx="100">
                  <c:v>485.58895659888219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EC1-494C-A72E-B689D436CF8B}"/>
            </c:ext>
          </c:extLst>
        </c:ser>
        <c:ser>
          <c:idx val="2"/>
          <c:order val="2"/>
          <c:tx>
            <c:v>Measured Values</c:v>
          </c:tx>
          <c:spPr>
            <a:ln w="28575">
              <a:noFill/>
            </a:ln>
          </c:spPr>
          <c:marker>
            <c:spPr>
              <a:solidFill>
                <a:schemeClr val="tx1">
                  <a:lumMod val="65000"/>
                  <a:lumOff val="35000"/>
                </a:schemeClr>
              </a:solidFill>
              <a:ln>
                <a:solidFill>
                  <a:schemeClr val="tx1">
                    <a:lumMod val="65000"/>
                    <a:lumOff val="35000"/>
                  </a:schemeClr>
                </a:solidFill>
              </a:ln>
            </c:spPr>
          </c:marker>
          <c:xVal>
            <c:numRef>
              <c:f>TriExpAlgorithm!$C$8:$C$10</c:f>
              <c:numCache>
                <c:formatCode>General</c:formatCode>
                <c:ptCount val="3"/>
                <c:pt idx="0">
                  <c:v>4</c:v>
                </c:pt>
                <c:pt idx="1">
                  <c:v>24</c:v>
                </c:pt>
                <c:pt idx="2">
                  <c:v>72</c:v>
                </c:pt>
              </c:numCache>
            </c:numRef>
          </c:xVal>
          <c:yVal>
            <c:numRef>
              <c:f>TriExpAlgorithm!$D$8:$D$10</c:f>
              <c:numCache>
                <c:formatCode>General</c:formatCode>
                <c:ptCount val="3"/>
                <c:pt idx="0">
                  <c:v>1200</c:v>
                </c:pt>
                <c:pt idx="1">
                  <c:v>600</c:v>
                </c:pt>
                <c:pt idx="2">
                  <c:v>400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EC1-494C-A72E-B689D436CF8B}"/>
            </c:ext>
          </c:extLst>
        </c:ser>
        <c:ser>
          <c:idx val="3"/>
          <c:order val="3"/>
          <c:tx>
            <c:v>Fit to Measured</c:v>
          </c:tx>
          <c:spPr>
            <a:ln w="28575">
              <a:solidFill>
                <a:schemeClr val="tx1">
                  <a:lumMod val="65000"/>
                  <a:lumOff val="35000"/>
                </a:schemeClr>
              </a:solidFill>
              <a:prstDash val="sysDash"/>
            </a:ln>
          </c:spPr>
          <c:marker>
            <c:symbol val="none"/>
          </c:marker>
          <c:xVal>
            <c:numRef>
              <c:f>TriPlotData!$B$9:$B$109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xVal>
          <c:yVal>
            <c:numRef>
              <c:f>TriPlotData!$D$9:$D$109</c:f>
              <c:numCache>
                <c:formatCode>General</c:formatCode>
                <c:ptCount val="101"/>
                <c:pt idx="0">
                  <c:v>0</c:v>
                </c:pt>
                <c:pt idx="1">
                  <c:v>1156.3189577066685</c:v>
                </c:pt>
                <c:pt idx="2">
                  <c:v>1341.7698666204285</c:v>
                </c:pt>
                <c:pt idx="3">
                  <c:v>1288.2744434827102</c:v>
                </c:pt>
                <c:pt idx="4">
                  <c:v>1189.613055184793</c:v>
                </c:pt>
                <c:pt idx="5">
                  <c:v>1094.4904152590839</c:v>
                </c:pt>
                <c:pt idx="6">
                  <c:v>1013.0097198291074</c:v>
                </c:pt>
                <c:pt idx="7">
                  <c:v>945.41420293083559</c:v>
                </c:pt>
                <c:pt idx="8">
                  <c:v>889.76498885525064</c:v>
                </c:pt>
                <c:pt idx="9">
                  <c:v>843.92707217564202</c:v>
                </c:pt>
                <c:pt idx="10">
                  <c:v>806.03000369371364</c:v>
                </c:pt>
                <c:pt idx="11">
                  <c:v>774.53012553439623</c:v>
                </c:pt>
                <c:pt idx="12">
                  <c:v>748.17708386794652</c:v>
                </c:pt>
                <c:pt idx="13">
                  <c:v>725.96431805570808</c:v>
                </c:pt>
                <c:pt idx="14">
                  <c:v>707.08318739568574</c:v>
                </c:pt>
                <c:pt idx="15">
                  <c:v>690.88449314382763</c:v>
                </c:pt>
                <c:pt idx="16">
                  <c:v>676.8471495518537</c:v>
                </c:pt>
                <c:pt idx="17">
                  <c:v>664.55292123980246</c:v>
                </c:pt>
                <c:pt idx="18">
                  <c:v>653.66611793320919</c:v>
                </c:pt>
                <c:pt idx="19">
                  <c:v>643.91729150008189</c:v>
                </c:pt>
                <c:pt idx="20">
                  <c:v>635.0901512120729</c:v>
                </c:pt>
                <c:pt idx="21">
                  <c:v>627.01106325071396</c:v>
                </c:pt>
                <c:pt idx="22">
                  <c:v>619.54062442107966</c:v>
                </c:pt>
                <c:pt idx="23">
                  <c:v>612.56690044078607</c:v>
                </c:pt>
                <c:pt idx="24">
                  <c:v>605.99999999995202</c:v>
                </c:pt>
                <c:pt idx="25">
                  <c:v>599.76772071768221</c:v>
                </c:pt>
                <c:pt idx="26">
                  <c:v>593.81205524247548</c:v>
                </c:pt>
                <c:pt idx="27">
                  <c:v>588.08638757419726</c:v>
                </c:pt>
                <c:pt idx="28">
                  <c:v>582.55324325321908</c:v>
                </c:pt>
                <c:pt idx="29">
                  <c:v>577.18248399927666</c:v>
                </c:pt>
                <c:pt idx="30">
                  <c:v>571.94985899818278</c:v>
                </c:pt>
                <c:pt idx="31">
                  <c:v>566.83584237995672</c:v>
                </c:pt>
                <c:pt idx="32">
                  <c:v>561.824700350733</c:v>
                </c:pt>
                <c:pt idx="33">
                  <c:v>556.9037426099361</c:v>
                </c:pt>
                <c:pt idx="34">
                  <c:v>552.06272164684071</c:v>
                </c:pt>
                <c:pt idx="35">
                  <c:v>547.29335070269815</c:v>
                </c:pt>
                <c:pt idx="36">
                  <c:v>542.58891695584589</c:v>
                </c:pt>
                <c:pt idx="37">
                  <c:v>537.94397111835679</c:v>
                </c:pt>
                <c:pt idx="38">
                  <c:v>533.35407834901139</c:v>
                </c:pt>
                <c:pt idx="39">
                  <c:v>528.81561836947355</c:v>
                </c:pt>
                <c:pt idx="40">
                  <c:v>524.32562506351735</c:v>
                </c:pt>
                <c:pt idx="41">
                  <c:v>519.88165775938523</c:v>
                </c:pt>
                <c:pt idx="42">
                  <c:v>515.48169793625186</c:v>
                </c:pt>
                <c:pt idx="43">
                  <c:v>511.1240663322472</c:v>
                </c:pt>
                <c:pt idx="44">
                  <c:v>506.80735642370666</c:v>
                </c:pt>
                <c:pt idx="45">
                  <c:v>502.5303810415142</c:v>
                </c:pt>
                <c:pt idx="46">
                  <c:v>498.29212952931977</c:v>
                </c:pt>
                <c:pt idx="47">
                  <c:v>494.09173336109279</c:v>
                </c:pt>
                <c:pt idx="48">
                  <c:v>489.92843854689187</c:v>
                </c:pt>
                <c:pt idx="49">
                  <c:v>485.80158348585911</c:v>
                </c:pt>
                <c:pt idx="50">
                  <c:v>481.71058119036132</c:v>
                </c:pt>
                <c:pt idx="51">
                  <c:v>477.65490501778606</c:v>
                </c:pt>
                <c:pt idx="52">
                  <c:v>473.63407721708052</c:v>
                </c:pt>
                <c:pt idx="53">
                  <c:v>469.64765973400927</c:v>
                </c:pt>
                <c:pt idx="54">
                  <c:v>465.69524682894905</c:v>
                </c:pt>
                <c:pt idx="55">
                  <c:v>461.77645914918429</c:v>
                </c:pt>
                <c:pt idx="56">
                  <c:v>457.89093896839444</c:v>
                </c:pt>
                <c:pt idx="57">
                  <c:v>454.0383463627868</c:v>
                </c:pt>
                <c:pt idx="58">
                  <c:v>450.21835613886873</c:v>
                </c:pt>
                <c:pt idx="59">
                  <c:v>446.43065536440434</c:v>
                </c:pt>
                <c:pt idx="60">
                  <c:v>442.67494138342585</c:v>
                </c:pt>
                <c:pt idx="61">
                  <c:v>438.95092021970606</c:v>
                </c:pt>
                <c:pt idx="62">
                  <c:v>435.25830529198015</c:v>
                </c:pt>
                <c:pt idx="63">
                  <c:v>431.59681637936274</c:v>
                </c:pt>
                <c:pt idx="64">
                  <c:v>427.96617878756155</c:v>
                </c:pt>
                <c:pt idx="65">
                  <c:v>424.36612267625264</c:v>
                </c:pt>
                <c:pt idx="66">
                  <c:v>420.79638251580701</c:v>
                </c:pt>
                <c:pt idx="67">
                  <c:v>417.25669664784726</c:v>
                </c:pt>
                <c:pt idx="68">
                  <c:v>413.7468069291487</c:v>
                </c:pt>
                <c:pt idx="69">
                  <c:v>410.26645844245184</c:v>
                </c:pt>
                <c:pt idx="70">
                  <c:v>406.81539926099595</c:v>
                </c:pt>
                <c:pt idx="71">
                  <c:v>403.39338025618827</c:v>
                </c:pt>
                <c:pt idx="72">
                  <c:v>400.00015493991862</c:v>
                </c:pt>
                <c:pt idx="73">
                  <c:v>396.63547933470011</c:v>
                </c:pt>
                <c:pt idx="74">
                  <c:v>393.29911186616926</c:v>
                </c:pt>
                <c:pt idx="75">
                  <c:v>389.99081327355486</c:v>
                </c:pt>
                <c:pt idx="76">
                  <c:v>386.71034653459378</c:v>
                </c:pt>
                <c:pt idx="77">
                  <c:v>383.45747680206694</c:v>
                </c:pt>
                <c:pt idx="78">
                  <c:v>380.23197134968643</c:v>
                </c:pt>
                <c:pt idx="79">
                  <c:v>377.03359952551341</c:v>
                </c:pt>
                <c:pt idx="80">
                  <c:v>373.86213271144698</c:v>
                </c:pt>
                <c:pt idx="81">
                  <c:v>370.7173442876084</c:v>
                </c:pt>
                <c:pt idx="82">
                  <c:v>367.59900960068171</c:v>
                </c:pt>
                <c:pt idx="83">
                  <c:v>364.50690593545505</c:v>
                </c:pt>
                <c:pt idx="84">
                  <c:v>361.44081248895475</c:v>
                </c:pt>
                <c:pt idx="85">
                  <c:v>358.40051034668676</c:v>
                </c:pt>
                <c:pt idx="86">
                  <c:v>355.38578246059365</c:v>
                </c:pt>
                <c:pt idx="87">
                  <c:v>352.3964136284136</c:v>
                </c:pt>
                <c:pt idx="88">
                  <c:v>349.43219047418876</c:v>
                </c:pt>
                <c:pt idx="89">
                  <c:v>346.49290142972205</c:v>
                </c:pt>
                <c:pt idx="90">
                  <c:v>343.57833671681686</c:v>
                </c:pt>
                <c:pt idx="91">
                  <c:v>340.6882883301721</c:v>
                </c:pt>
                <c:pt idx="92">
                  <c:v>337.82255002082485</c:v>
                </c:pt>
                <c:pt idx="93">
                  <c:v>334.98091728005721</c:v>
                </c:pt>
                <c:pt idx="94">
                  <c:v>332.16318732370019</c:v>
                </c:pt>
                <c:pt idx="95">
                  <c:v>329.36915907677678</c:v>
                </c:pt>
                <c:pt idx="96">
                  <c:v>326.59863315844422</c:v>
                </c:pt>
                <c:pt idx="97">
                  <c:v>323.85141186719602</c:v>
                </c:pt>
                <c:pt idx="98">
                  <c:v>321.12729916629723</c:v>
                </c:pt>
                <c:pt idx="99">
                  <c:v>318.42610066942876</c:v>
                </c:pt>
                <c:pt idx="100">
                  <c:v>315.747623626522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EC1-494C-A72E-B689D436CF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1608704"/>
        <c:axId val="191610240"/>
      </c:scatterChart>
      <c:valAx>
        <c:axId val="191608704"/>
        <c:scaling>
          <c:orientation val="minMax"/>
          <c:max val="100"/>
          <c:min val="0"/>
        </c:scaling>
        <c:delete val="0"/>
        <c:axPos val="b"/>
        <c:numFmt formatCode="General" sourceLinked="1"/>
        <c:majorTickMark val="out"/>
        <c:minorTickMark val="none"/>
        <c:tickLblPos val="nextTo"/>
        <c:crossAx val="191610240"/>
        <c:crosses val="autoZero"/>
        <c:crossBetween val="midCat"/>
      </c:valAx>
      <c:valAx>
        <c:axId val="19161024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9160870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Decay-corrected</c:v>
          </c:tx>
          <c:spPr>
            <a:ln w="28575">
              <a:noFill/>
            </a:ln>
          </c:spPr>
          <c:marker>
            <c:symbol val="diamond"/>
            <c:size val="4"/>
            <c:spPr>
              <a:solidFill>
                <a:schemeClr val="tx1"/>
              </a:solidFill>
              <a:ln>
                <a:noFill/>
              </a:ln>
            </c:spPr>
          </c:marker>
          <c:xVal>
            <c:numRef>
              <c:f>TriExpAlgorithm!$C$8:$C$10</c:f>
              <c:numCache>
                <c:formatCode>General</c:formatCode>
                <c:ptCount val="3"/>
                <c:pt idx="0">
                  <c:v>4</c:v>
                </c:pt>
                <c:pt idx="1">
                  <c:v>24</c:v>
                </c:pt>
                <c:pt idx="2">
                  <c:v>72</c:v>
                </c:pt>
              </c:numCache>
            </c:numRef>
          </c:xVal>
          <c:yVal>
            <c:numRef>
              <c:f>TriExpAlgorithm!$E$8:$E$10</c:f>
              <c:numCache>
                <c:formatCode>General</c:formatCode>
                <c:ptCount val="3"/>
                <c:pt idx="0">
                  <c:v>1220.8389999965052</c:v>
                </c:pt>
                <c:pt idx="1">
                  <c:v>665.29481833284092</c:v>
                </c:pt>
                <c:pt idx="2">
                  <c:v>545.31653062677083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541-4293-B9FE-0AC5E732978B}"/>
            </c:ext>
          </c:extLst>
        </c:ser>
        <c:ser>
          <c:idx val="1"/>
          <c:order val="1"/>
          <c:tx>
            <c:v>c2 linear</c:v>
          </c:tx>
          <c:spPr>
            <a:ln w="28575">
              <a:noFill/>
            </a:ln>
          </c:spPr>
          <c:marker>
            <c:symbol val="square"/>
            <c:size val="4"/>
            <c:spPr>
              <a:solidFill>
                <a:schemeClr val="tx1">
                  <a:lumMod val="50000"/>
                  <a:lumOff val="50000"/>
                </a:schemeClr>
              </a:solidFill>
              <a:ln>
                <a:noFill/>
              </a:ln>
            </c:spPr>
          </c:marker>
          <c:xVal>
            <c:numRef>
              <c:f>TriExpAlgorithm!$C$9</c:f>
              <c:numCache>
                <c:formatCode>General</c:formatCode>
                <c:ptCount val="1"/>
                <c:pt idx="0">
                  <c:v>24</c:v>
                </c:pt>
              </c:numCache>
            </c:numRef>
          </c:xVal>
          <c:yVal>
            <c:numRef>
              <c:f>TriExpAlgorithm!$D$28</c:f>
              <c:numCache>
                <c:formatCode>General</c:formatCode>
                <c:ptCount val="1"/>
                <c:pt idx="0">
                  <c:v>1022.1559207701127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541-4293-B9FE-0AC5E732978B}"/>
            </c:ext>
          </c:extLst>
        </c:ser>
        <c:ser>
          <c:idx val="2"/>
          <c:order val="2"/>
          <c:tx>
            <c:v>c2 plateau</c:v>
          </c:tx>
          <c:spPr>
            <a:ln w="28575">
              <a:noFill/>
            </a:ln>
          </c:spPr>
          <c:dPt>
            <c:idx val="0"/>
            <c:marker>
              <c:symbol val="circle"/>
              <c:size val="4"/>
              <c:spPr>
                <a:solidFill>
                  <a:schemeClr val="tx1">
                    <a:lumMod val="50000"/>
                    <a:lumOff val="50000"/>
                  </a:schemeClr>
                </a:solidFill>
                <a:ln>
                  <a:noFill/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5541-4293-B9FE-0AC5E732978B}"/>
              </c:ext>
            </c:extLst>
          </c:dPt>
          <c:xVal>
            <c:numRef>
              <c:f>TriExpAlgorithm!$C$9</c:f>
              <c:numCache>
                <c:formatCode>General</c:formatCode>
                <c:ptCount val="1"/>
                <c:pt idx="0">
                  <c:v>24</c:v>
                </c:pt>
              </c:numCache>
            </c:numRef>
          </c:xVal>
          <c:yVal>
            <c:numRef>
              <c:f>TriExpAlgorithm!$D$30</c:f>
              <c:numCache>
                <c:formatCode>General</c:formatCode>
                <c:ptCount val="1"/>
                <c:pt idx="0">
                  <c:v>572.13010179695584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541-4293-B9FE-0AC5E732978B}"/>
            </c:ext>
          </c:extLst>
        </c:ser>
        <c:ser>
          <c:idx val="3"/>
          <c:order val="3"/>
          <c:tx>
            <c:v>Plateau</c:v>
          </c:tx>
          <c:spPr>
            <a:ln w="15875">
              <a:solidFill>
                <a:schemeClr val="bg1">
                  <a:lumMod val="50000"/>
                </a:schemeClr>
              </a:solidFill>
              <a:prstDash val="dash"/>
            </a:ln>
          </c:spPr>
          <c:marker>
            <c:symbol val="none"/>
          </c:marker>
          <c:xVal>
            <c:numRef>
              <c:f>TriPlotData!$B$9:$B$109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xVal>
          <c:yVal>
            <c:numRef>
              <c:f>TriPlotData!$F$9:$F$109</c:f>
              <c:numCache>
                <c:formatCode>General</c:formatCode>
                <c:ptCount val="101"/>
                <c:pt idx="0">
                  <c:v>586.02732384439753</c:v>
                </c:pt>
                <c:pt idx="1">
                  <c:v>585.44158943656828</c:v>
                </c:pt>
                <c:pt idx="2">
                  <c:v>584.85644047037715</c:v>
                </c:pt>
                <c:pt idx="3">
                  <c:v>584.27187636067538</c:v>
                </c:pt>
                <c:pt idx="4">
                  <c:v>583.68789652289854</c:v>
                </c:pt>
                <c:pt idx="5">
                  <c:v>583.10450037306691</c:v>
                </c:pt>
                <c:pt idx="6">
                  <c:v>582.52168732778421</c:v>
                </c:pt>
                <c:pt idx="7">
                  <c:v>581.93945680423747</c:v>
                </c:pt>
                <c:pt idx="8">
                  <c:v>581.35780822019592</c:v>
                </c:pt>
                <c:pt idx="9">
                  <c:v>580.77674099401111</c:v>
                </c:pt>
                <c:pt idx="10">
                  <c:v>580.19625454461573</c:v>
                </c:pt>
                <c:pt idx="11">
                  <c:v>579.61634829152308</c:v>
                </c:pt>
                <c:pt idx="12">
                  <c:v>579.03702165482707</c:v>
                </c:pt>
                <c:pt idx="13">
                  <c:v>578.45827405520106</c:v>
                </c:pt>
                <c:pt idx="14">
                  <c:v>577.8801049138973</c:v>
                </c:pt>
                <c:pt idx="15">
                  <c:v>577.3025136527466</c:v>
                </c:pt>
                <c:pt idx="16">
                  <c:v>576.72549969415763</c:v>
                </c:pt>
                <c:pt idx="17">
                  <c:v>576.14906246111639</c:v>
                </c:pt>
                <c:pt idx="18">
                  <c:v>575.57320137718568</c:v>
                </c:pt>
                <c:pt idx="19">
                  <c:v>574.99791586650429</c:v>
                </c:pt>
                <c:pt idx="20">
                  <c:v>574.42320535378667</c:v>
                </c:pt>
                <c:pt idx="21">
                  <c:v>573.84906926432234</c:v>
                </c:pt>
                <c:pt idx="22">
                  <c:v>573.27550702397502</c:v>
                </c:pt>
                <c:pt idx="23">
                  <c:v>572.70251805918258</c:v>
                </c:pt>
                <c:pt idx="24">
                  <c:v>572.13010179695584</c:v>
                </c:pt>
                <c:pt idx="25">
                  <c:v>571.55825766487851</c:v>
                </c:pt>
                <c:pt idx="26">
                  <c:v>570.9869850911067</c:v>
                </c:pt>
                <c:pt idx="27">
                  <c:v>570.41628350436736</c:v>
                </c:pt>
                <c:pt idx="28">
                  <c:v>569.84615233395914</c:v>
                </c:pt>
                <c:pt idx="29">
                  <c:v>569.27659100975075</c:v>
                </c:pt>
                <c:pt idx="30">
                  <c:v>568.70759896218078</c:v>
                </c:pt>
                <c:pt idx="31">
                  <c:v>568.13917562225708</c:v>
                </c:pt>
                <c:pt idx="32">
                  <c:v>567.57132042155649</c:v>
                </c:pt>
                <c:pt idx="33">
                  <c:v>567.0040327922236</c:v>
                </c:pt>
                <c:pt idx="34">
                  <c:v>566.43731216697074</c:v>
                </c:pt>
                <c:pt idx="35">
                  <c:v>565.87115797907722</c:v>
                </c:pt>
                <c:pt idx="36">
                  <c:v>565.30556966238885</c:v>
                </c:pt>
                <c:pt idx="37">
                  <c:v>564.74054665131723</c:v>
                </c:pt>
                <c:pt idx="38">
                  <c:v>564.17608838083936</c:v>
                </c:pt>
                <c:pt idx="39">
                  <c:v>563.61219428649679</c:v>
                </c:pt>
                <c:pt idx="40">
                  <c:v>563.04886380439552</c:v>
                </c:pt>
                <c:pt idx="41">
                  <c:v>562.48609637120501</c:v>
                </c:pt>
                <c:pt idx="42">
                  <c:v>561.92389142415777</c:v>
                </c:pt>
                <c:pt idx="43">
                  <c:v>561.36224840104876</c:v>
                </c:pt>
                <c:pt idx="44">
                  <c:v>560.80116674023498</c:v>
                </c:pt>
                <c:pt idx="45">
                  <c:v>560.24064588063459</c:v>
                </c:pt>
                <c:pt idx="46">
                  <c:v>559.68068526172681</c:v>
                </c:pt>
                <c:pt idx="47">
                  <c:v>559.12128432355087</c:v>
                </c:pt>
                <c:pt idx="48">
                  <c:v>558.56244250670591</c:v>
                </c:pt>
                <c:pt idx="49">
                  <c:v>558.00415925234995</c:v>
                </c:pt>
                <c:pt idx="50">
                  <c:v>557.44643400219979</c:v>
                </c:pt>
                <c:pt idx="51">
                  <c:v>556.88926619853009</c:v>
                </c:pt>
                <c:pt idx="52">
                  <c:v>556.33265528417292</c:v>
                </c:pt>
                <c:pt idx="53">
                  <c:v>555.7766007025175</c:v>
                </c:pt>
                <c:pt idx="54">
                  <c:v>555.22110189750913</c:v>
                </c:pt>
                <c:pt idx="55">
                  <c:v>554.66615831364879</c:v>
                </c:pt>
                <c:pt idx="56">
                  <c:v>554.11176939599306</c:v>
                </c:pt>
                <c:pt idx="57">
                  <c:v>553.55793459015285</c:v>
                </c:pt>
                <c:pt idx="58">
                  <c:v>553.00465334229341</c:v>
                </c:pt>
                <c:pt idx="59">
                  <c:v>552.4519250991334</c:v>
                </c:pt>
                <c:pt idx="60">
                  <c:v>551.89974930794449</c:v>
                </c:pt>
                <c:pt idx="61">
                  <c:v>551.34812541655094</c:v>
                </c:pt>
                <c:pt idx="62">
                  <c:v>550.79705287332865</c:v>
                </c:pt>
                <c:pt idx="63">
                  <c:v>550.24653112720523</c:v>
                </c:pt>
                <c:pt idx="64">
                  <c:v>549.69655962765876</c:v>
                </c:pt>
                <c:pt idx="65">
                  <c:v>549.14713782471767</c:v>
                </c:pt>
                <c:pt idx="66">
                  <c:v>548.59826516896032</c:v>
                </c:pt>
                <c:pt idx="67">
                  <c:v>548.0499411115137</c:v>
                </c:pt>
                <c:pt idx="68">
                  <c:v>547.50216510405392</c:v>
                </c:pt>
                <c:pt idx="69">
                  <c:v>546.95493659880492</c:v>
                </c:pt>
                <c:pt idx="70">
                  <c:v>546.40825504853797</c:v>
                </c:pt>
                <c:pt idx="71">
                  <c:v>545.86211990657171</c:v>
                </c:pt>
                <c:pt idx="72">
                  <c:v>545.31653062677083</c:v>
                </c:pt>
                <c:pt idx="73">
                  <c:v>544.77148666354594</c:v>
                </c:pt>
                <c:pt idx="74">
                  <c:v>544.22698747185325</c:v>
                </c:pt>
                <c:pt idx="75">
                  <c:v>543.68303250719327</c:v>
                </c:pt>
                <c:pt idx="76">
                  <c:v>543.13962122561111</c:v>
                </c:pt>
                <c:pt idx="77">
                  <c:v>542.59675308369549</c:v>
                </c:pt>
                <c:pt idx="78">
                  <c:v>542.05442753857812</c:v>
                </c:pt>
                <c:pt idx="79">
                  <c:v>541.51264404793346</c:v>
                </c:pt>
                <c:pt idx="80">
                  <c:v>540.97140206997801</c:v>
                </c:pt>
                <c:pt idx="81">
                  <c:v>540.43070106346977</c:v>
                </c:pt>
                <c:pt idx="82">
                  <c:v>539.89054048770754</c:v>
                </c:pt>
                <c:pt idx="83">
                  <c:v>539.35091980253083</c:v>
                </c:pt>
                <c:pt idx="84">
                  <c:v>538.8118384683188</c:v>
                </c:pt>
                <c:pt idx="85">
                  <c:v>538.27329594599018</c:v>
                </c:pt>
                <c:pt idx="86">
                  <c:v>537.73529169700237</c:v>
                </c:pt>
                <c:pt idx="87">
                  <c:v>537.19782518335103</c:v>
                </c:pt>
                <c:pt idx="88">
                  <c:v>536.66089586756971</c:v>
                </c:pt>
                <c:pt idx="89">
                  <c:v>536.124503212729</c:v>
                </c:pt>
                <c:pt idx="90">
                  <c:v>535.58864668243609</c:v>
                </c:pt>
                <c:pt idx="91">
                  <c:v>535.05332574083457</c:v>
                </c:pt>
                <c:pt idx="92">
                  <c:v>534.51853985260334</c:v>
                </c:pt>
                <c:pt idx="93">
                  <c:v>533.98428848295646</c:v>
                </c:pt>
                <c:pt idx="94">
                  <c:v>533.45057109764264</c:v>
                </c:pt>
                <c:pt idx="95">
                  <c:v>532.91738716294435</c:v>
                </c:pt>
                <c:pt idx="96">
                  <c:v>532.38473614567761</c:v>
                </c:pt>
                <c:pt idx="97">
                  <c:v>531.85261751319138</c:v>
                </c:pt>
                <c:pt idx="98">
                  <c:v>531.32103073336702</c:v>
                </c:pt>
                <c:pt idx="99">
                  <c:v>530.78997527461763</c:v>
                </c:pt>
                <c:pt idx="100">
                  <c:v>530.25945060588776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5541-4293-B9FE-0AC5E732978B}"/>
            </c:ext>
          </c:extLst>
        </c:ser>
        <c:ser>
          <c:idx val="4"/>
          <c:order val="4"/>
          <c:tx>
            <c:v>Linear</c:v>
          </c:tx>
          <c:spPr>
            <a:ln w="15875">
              <a:solidFill>
                <a:schemeClr val="bg1">
                  <a:lumMod val="50000"/>
                </a:schemeClr>
              </a:solidFill>
              <a:prstDash val="sysDash"/>
            </a:ln>
          </c:spPr>
          <c:marker>
            <c:symbol val="none"/>
          </c:marker>
          <c:xVal>
            <c:numRef>
              <c:f>TriPlotData!$I$9:$I$110</c:f>
              <c:numCache>
                <c:formatCode>General</c:formatCode>
                <c:ptCount val="10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  <c:pt idx="25">
                  <c:v>24</c:v>
                </c:pt>
                <c:pt idx="26">
                  <c:v>25</c:v>
                </c:pt>
                <c:pt idx="27">
                  <c:v>26</c:v>
                </c:pt>
                <c:pt idx="28">
                  <c:v>27</c:v>
                </c:pt>
                <c:pt idx="29">
                  <c:v>28</c:v>
                </c:pt>
                <c:pt idx="30">
                  <c:v>29</c:v>
                </c:pt>
                <c:pt idx="31">
                  <c:v>30</c:v>
                </c:pt>
                <c:pt idx="32">
                  <c:v>31</c:v>
                </c:pt>
                <c:pt idx="33">
                  <c:v>32</c:v>
                </c:pt>
                <c:pt idx="34">
                  <c:v>33</c:v>
                </c:pt>
                <c:pt idx="35">
                  <c:v>34</c:v>
                </c:pt>
                <c:pt idx="36">
                  <c:v>35</c:v>
                </c:pt>
                <c:pt idx="37">
                  <c:v>36</c:v>
                </c:pt>
                <c:pt idx="38">
                  <c:v>37</c:v>
                </c:pt>
                <c:pt idx="39">
                  <c:v>38</c:v>
                </c:pt>
                <c:pt idx="40">
                  <c:v>39</c:v>
                </c:pt>
                <c:pt idx="41">
                  <c:v>40</c:v>
                </c:pt>
                <c:pt idx="42">
                  <c:v>41</c:v>
                </c:pt>
                <c:pt idx="43">
                  <c:v>42</c:v>
                </c:pt>
                <c:pt idx="44">
                  <c:v>43</c:v>
                </c:pt>
                <c:pt idx="45">
                  <c:v>44</c:v>
                </c:pt>
                <c:pt idx="46">
                  <c:v>45</c:v>
                </c:pt>
                <c:pt idx="47">
                  <c:v>46</c:v>
                </c:pt>
                <c:pt idx="48">
                  <c:v>47</c:v>
                </c:pt>
                <c:pt idx="49">
                  <c:v>48</c:v>
                </c:pt>
                <c:pt idx="50">
                  <c:v>49</c:v>
                </c:pt>
                <c:pt idx="51">
                  <c:v>50</c:v>
                </c:pt>
                <c:pt idx="52">
                  <c:v>51</c:v>
                </c:pt>
                <c:pt idx="53">
                  <c:v>52</c:v>
                </c:pt>
                <c:pt idx="54">
                  <c:v>53</c:v>
                </c:pt>
                <c:pt idx="55">
                  <c:v>54</c:v>
                </c:pt>
                <c:pt idx="56">
                  <c:v>55</c:v>
                </c:pt>
                <c:pt idx="57">
                  <c:v>56</c:v>
                </c:pt>
                <c:pt idx="58">
                  <c:v>57</c:v>
                </c:pt>
                <c:pt idx="59">
                  <c:v>58</c:v>
                </c:pt>
                <c:pt idx="60">
                  <c:v>59</c:v>
                </c:pt>
                <c:pt idx="61">
                  <c:v>60</c:v>
                </c:pt>
                <c:pt idx="62">
                  <c:v>61</c:v>
                </c:pt>
                <c:pt idx="63">
                  <c:v>62</c:v>
                </c:pt>
                <c:pt idx="64">
                  <c:v>63</c:v>
                </c:pt>
                <c:pt idx="65">
                  <c:v>64</c:v>
                </c:pt>
                <c:pt idx="66">
                  <c:v>65</c:v>
                </c:pt>
                <c:pt idx="67">
                  <c:v>66</c:v>
                </c:pt>
                <c:pt idx="68">
                  <c:v>67</c:v>
                </c:pt>
                <c:pt idx="69">
                  <c:v>68</c:v>
                </c:pt>
                <c:pt idx="70">
                  <c:v>69</c:v>
                </c:pt>
                <c:pt idx="71">
                  <c:v>70</c:v>
                </c:pt>
                <c:pt idx="72">
                  <c:v>71</c:v>
                </c:pt>
                <c:pt idx="73">
                  <c:v>72</c:v>
                </c:pt>
                <c:pt idx="74">
                  <c:v>73</c:v>
                </c:pt>
                <c:pt idx="75">
                  <c:v>74</c:v>
                </c:pt>
                <c:pt idx="76">
                  <c:v>75</c:v>
                </c:pt>
                <c:pt idx="77">
                  <c:v>76</c:v>
                </c:pt>
                <c:pt idx="78">
                  <c:v>77</c:v>
                </c:pt>
                <c:pt idx="79">
                  <c:v>78</c:v>
                </c:pt>
                <c:pt idx="80">
                  <c:v>79</c:v>
                </c:pt>
                <c:pt idx="81">
                  <c:v>80</c:v>
                </c:pt>
                <c:pt idx="82">
                  <c:v>81</c:v>
                </c:pt>
                <c:pt idx="83">
                  <c:v>82</c:v>
                </c:pt>
                <c:pt idx="84">
                  <c:v>83</c:v>
                </c:pt>
                <c:pt idx="85">
                  <c:v>84</c:v>
                </c:pt>
                <c:pt idx="86">
                  <c:v>85</c:v>
                </c:pt>
                <c:pt idx="87">
                  <c:v>86</c:v>
                </c:pt>
                <c:pt idx="88">
                  <c:v>87</c:v>
                </c:pt>
                <c:pt idx="89">
                  <c:v>88</c:v>
                </c:pt>
                <c:pt idx="90">
                  <c:v>89</c:v>
                </c:pt>
                <c:pt idx="91">
                  <c:v>90</c:v>
                </c:pt>
                <c:pt idx="92">
                  <c:v>91</c:v>
                </c:pt>
                <c:pt idx="93">
                  <c:v>92</c:v>
                </c:pt>
                <c:pt idx="94">
                  <c:v>93</c:v>
                </c:pt>
                <c:pt idx="95">
                  <c:v>94</c:v>
                </c:pt>
                <c:pt idx="96">
                  <c:v>95</c:v>
                </c:pt>
                <c:pt idx="97">
                  <c:v>96</c:v>
                </c:pt>
                <c:pt idx="98">
                  <c:v>97</c:v>
                </c:pt>
                <c:pt idx="99">
                  <c:v>98</c:v>
                </c:pt>
                <c:pt idx="100">
                  <c:v>99</c:v>
                </c:pt>
                <c:pt idx="101">
                  <c:v>100</c:v>
                </c:pt>
              </c:numCache>
            </c:numRef>
          </c:xVal>
          <c:yVal>
            <c:numRef>
              <c:f>TriPlotData!$J$9:$J$110</c:f>
              <c:numCache>
                <c:formatCode>General</c:formatCode>
                <c:ptCount val="102"/>
                <c:pt idx="0">
                  <c:v>1260.5756158417837</c:v>
                </c:pt>
                <c:pt idx="1">
                  <c:v>1250.641461880464</c:v>
                </c:pt>
                <c:pt idx="2">
                  <c:v>1240.7073079191446</c:v>
                </c:pt>
                <c:pt idx="3">
                  <c:v>1230.7731539578249</c:v>
                </c:pt>
                <c:pt idx="4">
                  <c:v>1220.8389999965052</c:v>
                </c:pt>
                <c:pt idx="5">
                  <c:v>1210.9048460351855</c:v>
                </c:pt>
                <c:pt idx="6">
                  <c:v>1200.9706920738658</c:v>
                </c:pt>
                <c:pt idx="7">
                  <c:v>1191.0365381125464</c:v>
                </c:pt>
                <c:pt idx="8">
                  <c:v>1181.1023841512267</c:v>
                </c:pt>
                <c:pt idx="9">
                  <c:v>1171.168230189907</c:v>
                </c:pt>
                <c:pt idx="11">
                  <c:v>1161.2340762285876</c:v>
                </c:pt>
                <c:pt idx="12">
                  <c:v>1151.2999222672679</c:v>
                </c:pt>
                <c:pt idx="13">
                  <c:v>1141.3657683059482</c:v>
                </c:pt>
                <c:pt idx="14">
                  <c:v>1131.4316143446285</c:v>
                </c:pt>
                <c:pt idx="15">
                  <c:v>1121.4974603833089</c:v>
                </c:pt>
                <c:pt idx="16">
                  <c:v>1111.5633064219894</c:v>
                </c:pt>
                <c:pt idx="17">
                  <c:v>1101.6291524606697</c:v>
                </c:pt>
                <c:pt idx="18">
                  <c:v>1091.69499849935</c:v>
                </c:pt>
                <c:pt idx="19">
                  <c:v>1081.7608445380306</c:v>
                </c:pt>
                <c:pt idx="20">
                  <c:v>1071.8266905767109</c:v>
                </c:pt>
                <c:pt idx="21">
                  <c:v>1061.8925366153912</c:v>
                </c:pt>
                <c:pt idx="22">
                  <c:v>1051.9583826540716</c:v>
                </c:pt>
                <c:pt idx="23">
                  <c:v>1042.0242286927519</c:v>
                </c:pt>
                <c:pt idx="24">
                  <c:v>1032.0900747314324</c:v>
                </c:pt>
                <c:pt idx="25">
                  <c:v>1022.1559207701127</c:v>
                </c:pt>
                <c:pt idx="26">
                  <c:v>1012.2217668087931</c:v>
                </c:pt>
                <c:pt idx="27">
                  <c:v>1002.2876128474735</c:v>
                </c:pt>
                <c:pt idx="28">
                  <c:v>992.35345888615393</c:v>
                </c:pt>
                <c:pt idx="29">
                  <c:v>982.41930492483425</c:v>
                </c:pt>
                <c:pt idx="30">
                  <c:v>972.48515096351457</c:v>
                </c:pt>
                <c:pt idx="31">
                  <c:v>962.550997002195</c:v>
                </c:pt>
                <c:pt idx="32">
                  <c:v>952.61684304087544</c:v>
                </c:pt>
                <c:pt idx="33">
                  <c:v>942.68268907955576</c:v>
                </c:pt>
                <c:pt idx="34">
                  <c:v>932.74853511823608</c:v>
                </c:pt>
                <c:pt idx="35">
                  <c:v>922.81438115691651</c:v>
                </c:pt>
                <c:pt idx="36">
                  <c:v>912.88022719559694</c:v>
                </c:pt>
                <c:pt idx="37">
                  <c:v>902.94607323427726</c:v>
                </c:pt>
                <c:pt idx="38">
                  <c:v>893.01191927295758</c:v>
                </c:pt>
                <c:pt idx="39">
                  <c:v>883.07776531163802</c:v>
                </c:pt>
                <c:pt idx="40">
                  <c:v>873.14361135031845</c:v>
                </c:pt>
                <c:pt idx="41">
                  <c:v>863.20945738899877</c:v>
                </c:pt>
                <c:pt idx="42">
                  <c:v>853.27530342767909</c:v>
                </c:pt>
                <c:pt idx="43">
                  <c:v>843.34114946635952</c:v>
                </c:pt>
                <c:pt idx="44">
                  <c:v>833.40699550503996</c:v>
                </c:pt>
                <c:pt idx="45">
                  <c:v>823.47284154372028</c:v>
                </c:pt>
                <c:pt idx="46">
                  <c:v>813.5386875824006</c:v>
                </c:pt>
                <c:pt idx="47">
                  <c:v>803.60453362108103</c:v>
                </c:pt>
                <c:pt idx="48">
                  <c:v>793.67037965976147</c:v>
                </c:pt>
                <c:pt idx="49">
                  <c:v>783.73622569844179</c:v>
                </c:pt>
                <c:pt idx="50">
                  <c:v>773.80207173712211</c:v>
                </c:pt>
                <c:pt idx="51">
                  <c:v>763.86791777580254</c:v>
                </c:pt>
                <c:pt idx="52">
                  <c:v>753.93376381448297</c:v>
                </c:pt>
                <c:pt idx="53">
                  <c:v>743.99960985316329</c:v>
                </c:pt>
                <c:pt idx="54">
                  <c:v>734.06545589184361</c:v>
                </c:pt>
                <c:pt idx="55">
                  <c:v>724.13130193052405</c:v>
                </c:pt>
                <c:pt idx="56">
                  <c:v>714.19714796920448</c:v>
                </c:pt>
                <c:pt idx="57">
                  <c:v>704.2629940078848</c:v>
                </c:pt>
                <c:pt idx="58">
                  <c:v>694.32884004656512</c:v>
                </c:pt>
                <c:pt idx="59">
                  <c:v>684.39468608524555</c:v>
                </c:pt>
                <c:pt idx="60">
                  <c:v>674.46053212392599</c:v>
                </c:pt>
                <c:pt idx="61">
                  <c:v>664.52637816260631</c:v>
                </c:pt>
                <c:pt idx="62">
                  <c:v>654.59222420128663</c:v>
                </c:pt>
                <c:pt idx="63">
                  <c:v>644.65807023996706</c:v>
                </c:pt>
                <c:pt idx="64">
                  <c:v>634.72391627864749</c:v>
                </c:pt>
                <c:pt idx="65">
                  <c:v>624.78976231732781</c:v>
                </c:pt>
                <c:pt idx="66">
                  <c:v>614.85560835600813</c:v>
                </c:pt>
                <c:pt idx="67">
                  <c:v>604.92145439468857</c:v>
                </c:pt>
                <c:pt idx="68">
                  <c:v>594.987300433369</c:v>
                </c:pt>
                <c:pt idx="69">
                  <c:v>585.05314647204932</c:v>
                </c:pt>
                <c:pt idx="70">
                  <c:v>575.11899251072964</c:v>
                </c:pt>
                <c:pt idx="71">
                  <c:v>565.18483854941007</c:v>
                </c:pt>
                <c:pt idx="72">
                  <c:v>555.25068458809051</c:v>
                </c:pt>
                <c:pt idx="73">
                  <c:v>545.31653062677083</c:v>
                </c:pt>
                <c:pt idx="74">
                  <c:v>535.38237666545115</c:v>
                </c:pt>
                <c:pt idx="75">
                  <c:v>525.44822270413158</c:v>
                </c:pt>
                <c:pt idx="76">
                  <c:v>515.51406874281201</c:v>
                </c:pt>
                <c:pt idx="77">
                  <c:v>505.57991478149233</c:v>
                </c:pt>
                <c:pt idx="78">
                  <c:v>495.64576082017265</c:v>
                </c:pt>
                <c:pt idx="79">
                  <c:v>485.71160685885309</c:v>
                </c:pt>
                <c:pt idx="80">
                  <c:v>475.77745289753352</c:v>
                </c:pt>
                <c:pt idx="81">
                  <c:v>465.84329893621384</c:v>
                </c:pt>
                <c:pt idx="82">
                  <c:v>455.90914497489416</c:v>
                </c:pt>
                <c:pt idx="83">
                  <c:v>445.97499101357459</c:v>
                </c:pt>
                <c:pt idx="84">
                  <c:v>436.04083705225503</c:v>
                </c:pt>
                <c:pt idx="85">
                  <c:v>426.10668309093535</c:v>
                </c:pt>
                <c:pt idx="86">
                  <c:v>416.17252912961567</c:v>
                </c:pt>
                <c:pt idx="87">
                  <c:v>406.2383751682961</c:v>
                </c:pt>
                <c:pt idx="88">
                  <c:v>396.30422120697654</c:v>
                </c:pt>
                <c:pt idx="89">
                  <c:v>386.37006724565686</c:v>
                </c:pt>
                <c:pt idx="90">
                  <c:v>376.43591328433718</c:v>
                </c:pt>
                <c:pt idx="91">
                  <c:v>366.50175932301761</c:v>
                </c:pt>
                <c:pt idx="92">
                  <c:v>356.56760536169804</c:v>
                </c:pt>
                <c:pt idx="93">
                  <c:v>346.63345140037836</c:v>
                </c:pt>
                <c:pt idx="94">
                  <c:v>336.69929743905868</c:v>
                </c:pt>
                <c:pt idx="95">
                  <c:v>326.76514347773912</c:v>
                </c:pt>
                <c:pt idx="96">
                  <c:v>316.83098951641955</c:v>
                </c:pt>
                <c:pt idx="97">
                  <c:v>306.89683555509987</c:v>
                </c:pt>
                <c:pt idx="98">
                  <c:v>296.96268159378019</c:v>
                </c:pt>
                <c:pt idx="99">
                  <c:v>287.02852763246062</c:v>
                </c:pt>
                <c:pt idx="100">
                  <c:v>277.09437367114106</c:v>
                </c:pt>
                <c:pt idx="101">
                  <c:v>267.16021970982138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5541-4293-B9FE-0AC5E732978B}"/>
            </c:ext>
          </c:extLst>
        </c:ser>
        <c:ser>
          <c:idx val="5"/>
          <c:order val="5"/>
          <c:tx>
            <c:v>Best Fit Series</c:v>
          </c:tx>
          <c:spPr>
            <a:ln w="15875">
              <a:solidFill>
                <a:schemeClr val="bg1">
                  <a:lumMod val="50000"/>
                </a:schemeClr>
              </a:solidFill>
            </a:ln>
          </c:spPr>
          <c:marker>
            <c:symbol val="none"/>
          </c:marker>
          <c:xVal>
            <c:numRef>
              <c:f>TriPlotData!$B$9:$B$109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xVal>
          <c:yVal>
            <c:numRef>
              <c:f>TriPlotData!$C$9:$C$109</c:f>
              <c:numCache>
                <c:formatCode>General</c:formatCode>
                <c:ptCount val="101"/>
                <c:pt idx="0">
                  <c:v>0</c:v>
                </c:pt>
                <c:pt idx="1">
                  <c:v>1161.3067036476023</c:v>
                </c:pt>
                <c:pt idx="2">
                  <c:v>1353.3701969732338</c:v>
                </c:pt>
                <c:pt idx="3">
                  <c:v>1305.0172513360046</c:v>
                </c:pt>
                <c:pt idx="4">
                  <c:v>1210.271677228825</c:v>
                </c:pt>
                <c:pt idx="5">
                  <c:v>1118.3001888090948</c:v>
                </c:pt>
                <c:pt idx="6">
                  <c:v>1039.511588157005</c:v>
                </c:pt>
                <c:pt idx="7">
                  <c:v>974.33237204247371</c:v>
                </c:pt>
                <c:pt idx="8">
                  <c:v>920.93633821069989</c:v>
                </c:pt>
                <c:pt idx="9">
                  <c:v>877.26035394662176</c:v>
                </c:pt>
                <c:pt idx="10">
                  <c:v>841.480544638575</c:v>
                </c:pt>
                <c:pt idx="11">
                  <c:v>812.0830999320691</c:v>
                </c:pt>
                <c:pt idx="12">
                  <c:v>787.83604588453727</c:v>
                </c:pt>
                <c:pt idx="13">
                  <c:v>767.74325131982482</c:v>
                </c:pt>
                <c:pt idx="14">
                  <c:v>751.00102623643045</c:v>
                </c:pt>
                <c:pt idx="15">
                  <c:v>736.96141760119394</c:v>
                </c:pt>
                <c:pt idx="16">
                  <c:v>725.10215857101264</c:v>
                </c:pt>
                <c:pt idx="17">
                  <c:v>715.00232205876819</c:v>
                </c:pt>
                <c:pt idx="18">
                  <c:v>706.32266476703364</c:v>
                </c:pt>
                <c:pt idx="19">
                  <c:v>698.78977673639076</c:v>
                </c:pt>
                <c:pt idx="20">
                  <c:v>692.18330472211665</c:v>
                </c:pt>
                <c:pt idx="21">
                  <c:v>686.32565468618873</c:v>
                </c:pt>
                <c:pt idx="22">
                  <c:v>681.07369274615849</c:v>
                </c:pt>
                <c:pt idx="23">
                  <c:v>676.3120568393889</c:v>
                </c:pt>
                <c:pt idx="24">
                  <c:v>671.94776651611619</c:v>
                </c:pt>
                <c:pt idx="25">
                  <c:v>667.9058789171155</c:v>
                </c:pt>
                <c:pt idx="26">
                  <c:v>664.12598788417608</c:v>
                </c:pt>
                <c:pt idx="27">
                  <c:v>660.5594025599878</c:v>
                </c:pt>
                <c:pt idx="28">
                  <c:v>657.16687359511764</c:v>
                </c:pt>
                <c:pt idx="29">
                  <c:v>653.91676067673302</c:v>
                </c:pt>
                <c:pt idx="30">
                  <c:v>650.78355572267049</c:v>
                </c:pt>
                <c:pt idx="31">
                  <c:v>647.74669270954405</c:v>
                </c:pt>
                <c:pt idx="32">
                  <c:v>644.7895885019135</c:v>
                </c:pt>
                <c:pt idx="33">
                  <c:v>641.89886984737404</c:v>
                </c:pt>
                <c:pt idx="34">
                  <c:v>639.06375040450382</c:v>
                </c:pt>
                <c:pt idx="35">
                  <c:v>636.27552868370151</c:v>
                </c:pt>
                <c:pt idx="36">
                  <c:v>633.52718343285301</c:v>
                </c:pt>
                <c:pt idx="37">
                  <c:v>630.81304755470148</c:v>
                </c:pt>
                <c:pt idx="38">
                  <c:v>628.12854531365258</c:v>
                </c:pt>
                <c:pt idx="39">
                  <c:v>625.46998054812786</c:v>
                </c:pt>
                <c:pt idx="40">
                  <c:v>622.83436598877211</c:v>
                </c:pt>
                <c:pt idx="41">
                  <c:v>620.2192857042495</c:v>
                </c:pt>
                <c:pt idx="42">
                  <c:v>617.62278424487658</c:v>
                </c:pt>
                <c:pt idx="43">
                  <c:v>615.04327730229386</c:v>
                </c:pt>
                <c:pt idx="44">
                  <c:v>612.47947970911309</c:v>
                </c:pt>
                <c:pt idx="45">
                  <c:v>609.93034741301449</c:v>
                </c:pt>
                <c:pt idx="46">
                  <c:v>607.39503071298691</c:v>
                </c:pt>
                <c:pt idx="47">
                  <c:v>604.87283657183093</c:v>
                </c:pt>
                <c:pt idx="48">
                  <c:v>602.3631982433119</c:v>
                </c:pt>
                <c:pt idx="49">
                  <c:v>599.86565079425668</c:v>
                </c:pt>
                <c:pt idx="50">
                  <c:v>597.379811377441</c:v>
                </c:pt>
                <c:pt idx="51">
                  <c:v>594.9053633331846</c:v>
                </c:pt>
                <c:pt idx="52">
                  <c:v>592.44204337653912</c:v>
                </c:pt>
                <c:pt idx="53">
                  <c:v>589.98963127118327</c:v>
                </c:pt>
                <c:pt idx="54">
                  <c:v>587.54794150737996</c:v>
                </c:pt>
                <c:pt idx="55">
                  <c:v>585.11681659502744</c:v>
                </c:pt>
                <c:pt idx="56">
                  <c:v>582.69612165832746</c:v>
                </c:pt>
                <c:pt idx="57">
                  <c:v>580.28574007944269</c:v>
                </c:pt>
                <c:pt idx="58">
                  <c:v>577.88556998754279</c:v>
                </c:pt>
                <c:pt idx="59">
                  <c:v>575.49552142915854</c:v>
                </c:pt>
                <c:pt idx="60">
                  <c:v>573.11551408760874</c:v>
                </c:pt>
                <c:pt idx="61">
                  <c:v>570.74547544493134</c:v>
                </c:pt>
                <c:pt idx="62">
                  <c:v>568.38533930043138</c:v>
                </c:pt>
                <c:pt idx="63">
                  <c:v>566.0350445766336</c:v>
                </c:pt>
                <c:pt idx="64">
                  <c:v>563.69453435685421</c:v>
                </c:pt>
                <c:pt idx="65">
                  <c:v>561.36375510944015</c:v>
                </c:pt>
                <c:pt idx="66">
                  <c:v>559.04265606244348</c:v>
                </c:pt>
                <c:pt idx="67">
                  <c:v>556.73118869953623</c:v>
                </c:pt>
                <c:pt idx="68">
                  <c:v>554.42930635363132</c:v>
                </c:pt>
                <c:pt idx="69">
                  <c:v>552.13696387924915</c:v>
                </c:pt>
                <c:pt idx="70">
                  <c:v>549.85411738834523</c:v>
                </c:pt>
                <c:pt idx="71">
                  <c:v>547.58072403728158</c:v>
                </c:pt>
                <c:pt idx="72">
                  <c:v>545.31674185501799</c:v>
                </c:pt>
                <c:pt idx="73">
                  <c:v>543.06212960452092</c:v>
                </c:pt>
                <c:pt idx="74">
                  <c:v>540.81684667094487</c:v>
                </c:pt>
                <c:pt idx="75">
                  <c:v>538.58085297138985</c:v>
                </c:pt>
                <c:pt idx="76">
                  <c:v>536.35410888204797</c:v>
                </c:pt>
                <c:pt idx="77">
                  <c:v>534.13657517936474</c:v>
                </c:pt>
                <c:pt idx="78">
                  <c:v>531.92821299249511</c:v>
                </c:pt>
                <c:pt idx="79">
                  <c:v>529.72898376486205</c:v>
                </c:pt>
                <c:pt idx="80">
                  <c:v>527.53884922305394</c:v>
                </c:pt>
                <c:pt idx="81">
                  <c:v>525.35777135163289</c:v>
                </c:pt>
                <c:pt idx="82">
                  <c:v>523.18571237271101</c:v>
                </c:pt>
                <c:pt idx="83">
                  <c:v>521.02263472936761</c:v>
                </c:pt>
                <c:pt idx="84">
                  <c:v>518.86850107216299</c:v>
                </c:pt>
                <c:pt idx="85">
                  <c:v>516.72327424814807</c:v>
                </c:pt>
                <c:pt idx="86">
                  <c:v>514.58691729188627</c:v>
                </c:pt>
                <c:pt idx="87">
                  <c:v>512.45939341809753</c:v>
                </c:pt>
                <c:pt idx="88">
                  <c:v>510.34066601560954</c:v>
                </c:pt>
                <c:pt idx="89">
                  <c:v>508.23069864236385</c:v>
                </c:pt>
                <c:pt idx="90">
                  <c:v>506.12945502127184</c:v>
                </c:pt>
                <c:pt idx="91">
                  <c:v>504.03689903675701</c:v>
                </c:pt>
                <c:pt idx="92">
                  <c:v>501.95299473184957</c:v>
                </c:pt>
                <c:pt idx="93">
                  <c:v>499.87770630572766</c:v>
                </c:pt>
                <c:pt idx="94">
                  <c:v>497.81099811161903</c:v>
                </c:pt>
                <c:pt idx="95">
                  <c:v>495.75283465499285</c:v>
                </c:pt>
                <c:pt idx="96">
                  <c:v>493.70318059198638</c:v>
                </c:pt>
                <c:pt idx="97">
                  <c:v>491.66200072802172</c:v>
                </c:pt>
                <c:pt idx="98">
                  <c:v>489.62926001657564</c:v>
                </c:pt>
                <c:pt idx="99">
                  <c:v>487.60492355807315</c:v>
                </c:pt>
                <c:pt idx="100">
                  <c:v>485.58895659888219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5541-4293-B9FE-0AC5E73297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432960"/>
        <c:axId val="193443328"/>
      </c:scatterChart>
      <c:valAx>
        <c:axId val="193432960"/>
        <c:scaling>
          <c:orientation val="minMax"/>
          <c:max val="100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 b="0"/>
                </a:pPr>
                <a:r>
                  <a:rPr lang="en-US" b="0"/>
                  <a:t>Time Post-injection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93443328"/>
        <c:crosses val="autoZero"/>
        <c:crossBetween val="midCat"/>
      </c:valAx>
      <c:valAx>
        <c:axId val="193443328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b="0"/>
                </a:pPr>
                <a:r>
                  <a:rPr lang="en-US" b="0"/>
                  <a:t>Activity Concentration (kBq/ml)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93432960"/>
        <c:crosses val="autoZero"/>
        <c:crossBetween val="midCat"/>
      </c:valAx>
      <c:spPr>
        <a:ln w="3175">
          <a:solidFill>
            <a:schemeClr val="tx1"/>
          </a:solidFill>
        </a:ln>
      </c:spPr>
    </c:plotArea>
    <c:plotVisOnly val="1"/>
    <c:dispBlanksAs val="gap"/>
    <c:showDLblsOverMax val="0"/>
  </c:chart>
  <c:txPr>
    <a:bodyPr/>
    <a:lstStyle/>
    <a:p>
      <a:pPr>
        <a:defRPr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Decay-corrected</c:v>
          </c:tx>
          <c:spPr>
            <a:ln w="28575">
              <a:noFill/>
            </a:ln>
          </c:spPr>
          <c:marker>
            <c:symbol val="diamond"/>
            <c:size val="4"/>
            <c:spPr>
              <a:solidFill>
                <a:schemeClr val="tx1"/>
              </a:solidFill>
              <a:ln>
                <a:noFill/>
              </a:ln>
            </c:spPr>
          </c:marker>
          <c:xVal>
            <c:numRef>
              <c:f>TriExpAlgorithm!$C$8:$C$10</c:f>
              <c:numCache>
                <c:formatCode>General</c:formatCode>
                <c:ptCount val="3"/>
                <c:pt idx="0">
                  <c:v>4</c:v>
                </c:pt>
                <c:pt idx="1">
                  <c:v>24</c:v>
                </c:pt>
                <c:pt idx="2">
                  <c:v>72</c:v>
                </c:pt>
              </c:numCache>
            </c:numRef>
          </c:xVal>
          <c:yVal>
            <c:numRef>
              <c:f>TriExpAlgorithm!$E$8:$E$10</c:f>
              <c:numCache>
                <c:formatCode>General</c:formatCode>
                <c:ptCount val="3"/>
                <c:pt idx="0">
                  <c:v>1220.8389999965052</c:v>
                </c:pt>
                <c:pt idx="1">
                  <c:v>665.29481833284092</c:v>
                </c:pt>
                <c:pt idx="2">
                  <c:v>545.31653062677083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E03-4087-80AF-CE16D166552F}"/>
            </c:ext>
          </c:extLst>
        </c:ser>
        <c:ser>
          <c:idx val="3"/>
          <c:order val="1"/>
          <c:tx>
            <c:v>Plateau</c:v>
          </c:tx>
          <c:spPr>
            <a:ln w="15875">
              <a:solidFill>
                <a:schemeClr val="bg1">
                  <a:lumMod val="50000"/>
                </a:schemeClr>
              </a:solidFill>
              <a:prstDash val="dash"/>
            </a:ln>
          </c:spPr>
          <c:marker>
            <c:symbol val="none"/>
          </c:marker>
          <c:xVal>
            <c:numRef>
              <c:f>TriPlotData!$B$9:$B$109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xVal>
          <c:yVal>
            <c:numRef>
              <c:f>TriPlotData!$O$9:$O$110</c:f>
              <c:numCache>
                <c:formatCode>General</c:formatCode>
                <c:ptCount val="102"/>
                <c:pt idx="0">
                  <c:v>1915.5622887156512</c:v>
                </c:pt>
                <c:pt idx="1">
                  <c:v>1683.3583288596155</c:v>
                </c:pt>
                <c:pt idx="2">
                  <c:v>1495.645862448584</c:v>
                </c:pt>
                <c:pt idx="3">
                  <c:v>1343.7918935531093</c:v>
                </c:pt>
                <c:pt idx="4">
                  <c:v>1220.8389999965048</c:v>
                </c:pt>
                <c:pt idx="5">
                  <c:v>1121.1801202305398</c:v>
                </c:pt>
                <c:pt idx="6">
                  <c:v>1040.2964610311064</c:v>
                </c:pt>
                <c:pt idx="7">
                  <c:v>974.54627485415631</c:v>
                </c:pt>
                <c:pt idx="8">
                  <c:v>920.99463352750286</c:v>
                </c:pt>
                <c:pt idx="9">
                  <c:v>877.27624127383547</c:v>
                </c:pt>
                <c:pt idx="11">
                  <c:v>841.48487444034708</c:v>
                </c:pt>
                <c:pt idx="12">
                  <c:v>812.08427994070962</c:v>
                </c:pt>
                <c:pt idx="13">
                  <c:v>787.83636747440778</c:v>
                </c:pt>
                <c:pt idx="14">
                  <c:v>767.74333896328881</c:v>
                </c:pt>
                <c:pt idx="15">
                  <c:v>751.00105012206086</c:v>
                </c:pt>
                <c:pt idx="16">
                  <c:v>736.96142411078756</c:v>
                </c:pt>
                <c:pt idx="17">
                  <c:v>725.10216034508392</c:v>
                </c:pt>
                <c:pt idx="18">
                  <c:v>715.00232254225898</c:v>
                </c:pt>
                <c:pt idx="19">
                  <c:v>706.32266489880021</c:v>
                </c:pt>
                <c:pt idx="20">
                  <c:v>698.78977677230137</c:v>
                </c:pt>
                <c:pt idx="21">
                  <c:v>692.18330473190349</c:v>
                </c:pt>
                <c:pt idx="22">
                  <c:v>686.32565468885593</c:v>
                </c:pt>
                <c:pt idx="23">
                  <c:v>681.0736927468854</c:v>
                </c:pt>
                <c:pt idx="24">
                  <c:v>676.31205683958694</c:v>
                </c:pt>
                <c:pt idx="25">
                  <c:v>671.94776651617008</c:v>
                </c:pt>
                <c:pt idx="26">
                  <c:v>667.90587891713017</c:v>
                </c:pt>
                <c:pt idx="27">
                  <c:v>664.12598788418006</c:v>
                </c:pt>
                <c:pt idx="28">
                  <c:v>660.55940255998894</c:v>
                </c:pt>
                <c:pt idx="29">
                  <c:v>657.16687359511786</c:v>
                </c:pt>
                <c:pt idx="30">
                  <c:v>653.91676067673302</c:v>
                </c:pt>
                <c:pt idx="31">
                  <c:v>650.78355572267049</c:v>
                </c:pt>
                <c:pt idx="32">
                  <c:v>647.74669270954405</c:v>
                </c:pt>
                <c:pt idx="33">
                  <c:v>644.7895885019135</c:v>
                </c:pt>
                <c:pt idx="34">
                  <c:v>641.89886984737404</c:v>
                </c:pt>
                <c:pt idx="35">
                  <c:v>639.06375040450382</c:v>
                </c:pt>
                <c:pt idx="36">
                  <c:v>636.27552868370151</c:v>
                </c:pt>
                <c:pt idx="37">
                  <c:v>633.52718343285301</c:v>
                </c:pt>
                <c:pt idx="38">
                  <c:v>630.81304755470148</c:v>
                </c:pt>
                <c:pt idx="39">
                  <c:v>628.12854531365258</c:v>
                </c:pt>
                <c:pt idx="40">
                  <c:v>625.46998054812786</c:v>
                </c:pt>
                <c:pt idx="41">
                  <c:v>622.83436598877211</c:v>
                </c:pt>
                <c:pt idx="42">
                  <c:v>620.2192857042495</c:v>
                </c:pt>
                <c:pt idx="43">
                  <c:v>617.62278424487658</c:v>
                </c:pt>
                <c:pt idx="44">
                  <c:v>615.04327730229386</c:v>
                </c:pt>
                <c:pt idx="45">
                  <c:v>612.47947970911309</c:v>
                </c:pt>
                <c:pt idx="46">
                  <c:v>609.93034741301449</c:v>
                </c:pt>
                <c:pt idx="47">
                  <c:v>607.39503071298691</c:v>
                </c:pt>
                <c:pt idx="48">
                  <c:v>604.87283657183093</c:v>
                </c:pt>
                <c:pt idx="49">
                  <c:v>602.3631982433119</c:v>
                </c:pt>
                <c:pt idx="50">
                  <c:v>599.86565079425668</c:v>
                </c:pt>
                <c:pt idx="51">
                  <c:v>597.379811377441</c:v>
                </c:pt>
                <c:pt idx="52">
                  <c:v>594.9053633331846</c:v>
                </c:pt>
                <c:pt idx="53">
                  <c:v>592.44204337653912</c:v>
                </c:pt>
                <c:pt idx="54">
                  <c:v>589.98963127118327</c:v>
                </c:pt>
                <c:pt idx="55">
                  <c:v>587.54794150737996</c:v>
                </c:pt>
                <c:pt idx="56">
                  <c:v>585.11681659502744</c:v>
                </c:pt>
                <c:pt idx="57">
                  <c:v>582.69612165832746</c:v>
                </c:pt>
                <c:pt idx="58">
                  <c:v>580.28574007944269</c:v>
                </c:pt>
                <c:pt idx="59">
                  <c:v>577.88556998754279</c:v>
                </c:pt>
                <c:pt idx="60">
                  <c:v>575.49552142915854</c:v>
                </c:pt>
                <c:pt idx="61">
                  <c:v>573.11551408760874</c:v>
                </c:pt>
                <c:pt idx="62">
                  <c:v>570.74547544493134</c:v>
                </c:pt>
                <c:pt idx="63">
                  <c:v>568.38533930043138</c:v>
                </c:pt>
                <c:pt idx="64">
                  <c:v>566.0350445766336</c:v>
                </c:pt>
                <c:pt idx="65">
                  <c:v>563.69453435685421</c:v>
                </c:pt>
                <c:pt idx="66">
                  <c:v>561.36375510944015</c:v>
                </c:pt>
                <c:pt idx="67">
                  <c:v>559.04265606244348</c:v>
                </c:pt>
                <c:pt idx="68">
                  <c:v>556.73118869953623</c:v>
                </c:pt>
                <c:pt idx="69">
                  <c:v>554.42930635363132</c:v>
                </c:pt>
                <c:pt idx="70">
                  <c:v>552.13696387924915</c:v>
                </c:pt>
                <c:pt idx="71">
                  <c:v>549.85411738834523</c:v>
                </c:pt>
                <c:pt idx="72">
                  <c:v>547.58072403728158</c:v>
                </c:pt>
                <c:pt idx="73">
                  <c:v>545.31674185501799</c:v>
                </c:pt>
                <c:pt idx="74">
                  <c:v>543.06212960452092</c:v>
                </c:pt>
                <c:pt idx="75">
                  <c:v>540.81684667094487</c:v>
                </c:pt>
                <c:pt idx="76">
                  <c:v>538.58085297138985</c:v>
                </c:pt>
                <c:pt idx="77">
                  <c:v>536.35410888204797</c:v>
                </c:pt>
                <c:pt idx="78">
                  <c:v>534.13657517936474</c:v>
                </c:pt>
                <c:pt idx="79">
                  <c:v>531.92821299249511</c:v>
                </c:pt>
                <c:pt idx="80">
                  <c:v>529.72898376486205</c:v>
                </c:pt>
                <c:pt idx="81">
                  <c:v>527.53884922305394</c:v>
                </c:pt>
                <c:pt idx="82">
                  <c:v>525.35777135163289</c:v>
                </c:pt>
                <c:pt idx="83">
                  <c:v>523.18571237271101</c:v>
                </c:pt>
                <c:pt idx="84">
                  <c:v>521.02263472936761</c:v>
                </c:pt>
                <c:pt idx="85">
                  <c:v>518.86850107216299</c:v>
                </c:pt>
                <c:pt idx="86">
                  <c:v>516.72327424814807</c:v>
                </c:pt>
                <c:pt idx="87">
                  <c:v>514.58691729188627</c:v>
                </c:pt>
                <c:pt idx="88">
                  <c:v>512.45939341809753</c:v>
                </c:pt>
                <c:pt idx="89">
                  <c:v>510.34066601560954</c:v>
                </c:pt>
                <c:pt idx="90">
                  <c:v>508.23069864236385</c:v>
                </c:pt>
                <c:pt idx="91">
                  <c:v>506.12945502127184</c:v>
                </c:pt>
                <c:pt idx="92">
                  <c:v>504.03689903675701</c:v>
                </c:pt>
                <c:pt idx="93">
                  <c:v>501.95299473184957</c:v>
                </c:pt>
                <c:pt idx="94">
                  <c:v>499.87770630572766</c:v>
                </c:pt>
                <c:pt idx="95">
                  <c:v>497.81099811161903</c:v>
                </c:pt>
                <c:pt idx="96">
                  <c:v>495.75283465499285</c:v>
                </c:pt>
                <c:pt idx="97">
                  <c:v>493.70318059198638</c:v>
                </c:pt>
                <c:pt idx="98">
                  <c:v>491.66200072802172</c:v>
                </c:pt>
                <c:pt idx="99">
                  <c:v>489.62926001657564</c:v>
                </c:pt>
                <c:pt idx="100">
                  <c:v>487.60492355807315</c:v>
                </c:pt>
                <c:pt idx="101">
                  <c:v>485.58895659888219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E03-4087-80AF-CE16D166552F}"/>
            </c:ext>
          </c:extLst>
        </c:ser>
        <c:ser>
          <c:idx val="5"/>
          <c:order val="2"/>
          <c:tx>
            <c:v>Best Fit Series</c:v>
          </c:tx>
          <c:spPr>
            <a:ln w="15875">
              <a:solidFill>
                <a:schemeClr val="bg1">
                  <a:lumMod val="50000"/>
                </a:schemeClr>
              </a:solidFill>
            </a:ln>
          </c:spPr>
          <c:marker>
            <c:symbol val="none"/>
          </c:marker>
          <c:xVal>
            <c:numRef>
              <c:f>TriPlotData!$B$9:$B$109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xVal>
          <c:yVal>
            <c:numRef>
              <c:f>TriPlotData!$C$9:$C$109</c:f>
              <c:numCache>
                <c:formatCode>General</c:formatCode>
                <c:ptCount val="101"/>
                <c:pt idx="0">
                  <c:v>0</c:v>
                </c:pt>
                <c:pt idx="1">
                  <c:v>1161.3067036476023</c:v>
                </c:pt>
                <c:pt idx="2">
                  <c:v>1353.3701969732338</c:v>
                </c:pt>
                <c:pt idx="3">
                  <c:v>1305.0172513360046</c:v>
                </c:pt>
                <c:pt idx="4">
                  <c:v>1210.271677228825</c:v>
                </c:pt>
                <c:pt idx="5">
                  <c:v>1118.3001888090948</c:v>
                </c:pt>
                <c:pt idx="6">
                  <c:v>1039.511588157005</c:v>
                </c:pt>
                <c:pt idx="7">
                  <c:v>974.33237204247371</c:v>
                </c:pt>
                <c:pt idx="8">
                  <c:v>920.93633821069989</c:v>
                </c:pt>
                <c:pt idx="9">
                  <c:v>877.26035394662176</c:v>
                </c:pt>
                <c:pt idx="10">
                  <c:v>841.480544638575</c:v>
                </c:pt>
                <c:pt idx="11">
                  <c:v>812.0830999320691</c:v>
                </c:pt>
                <c:pt idx="12">
                  <c:v>787.83604588453727</c:v>
                </c:pt>
                <c:pt idx="13">
                  <c:v>767.74325131982482</c:v>
                </c:pt>
                <c:pt idx="14">
                  <c:v>751.00102623643045</c:v>
                </c:pt>
                <c:pt idx="15">
                  <c:v>736.96141760119394</c:v>
                </c:pt>
                <c:pt idx="16">
                  <c:v>725.10215857101264</c:v>
                </c:pt>
                <c:pt idx="17">
                  <c:v>715.00232205876819</c:v>
                </c:pt>
                <c:pt idx="18">
                  <c:v>706.32266476703364</c:v>
                </c:pt>
                <c:pt idx="19">
                  <c:v>698.78977673639076</c:v>
                </c:pt>
                <c:pt idx="20">
                  <c:v>692.18330472211665</c:v>
                </c:pt>
                <c:pt idx="21">
                  <c:v>686.32565468618873</c:v>
                </c:pt>
                <c:pt idx="22">
                  <c:v>681.07369274615849</c:v>
                </c:pt>
                <c:pt idx="23">
                  <c:v>676.3120568393889</c:v>
                </c:pt>
                <c:pt idx="24">
                  <c:v>671.94776651611619</c:v>
                </c:pt>
                <c:pt idx="25">
                  <c:v>667.9058789171155</c:v>
                </c:pt>
                <c:pt idx="26">
                  <c:v>664.12598788417608</c:v>
                </c:pt>
                <c:pt idx="27">
                  <c:v>660.5594025599878</c:v>
                </c:pt>
                <c:pt idx="28">
                  <c:v>657.16687359511764</c:v>
                </c:pt>
                <c:pt idx="29">
                  <c:v>653.91676067673302</c:v>
                </c:pt>
                <c:pt idx="30">
                  <c:v>650.78355572267049</c:v>
                </c:pt>
                <c:pt idx="31">
                  <c:v>647.74669270954405</c:v>
                </c:pt>
                <c:pt idx="32">
                  <c:v>644.7895885019135</c:v>
                </c:pt>
                <c:pt idx="33">
                  <c:v>641.89886984737404</c:v>
                </c:pt>
                <c:pt idx="34">
                  <c:v>639.06375040450382</c:v>
                </c:pt>
                <c:pt idx="35">
                  <c:v>636.27552868370151</c:v>
                </c:pt>
                <c:pt idx="36">
                  <c:v>633.52718343285301</c:v>
                </c:pt>
                <c:pt idx="37">
                  <c:v>630.81304755470148</c:v>
                </c:pt>
                <c:pt idx="38">
                  <c:v>628.12854531365258</c:v>
                </c:pt>
                <c:pt idx="39">
                  <c:v>625.46998054812786</c:v>
                </c:pt>
                <c:pt idx="40">
                  <c:v>622.83436598877211</c:v>
                </c:pt>
                <c:pt idx="41">
                  <c:v>620.2192857042495</c:v>
                </c:pt>
                <c:pt idx="42">
                  <c:v>617.62278424487658</c:v>
                </c:pt>
                <c:pt idx="43">
                  <c:v>615.04327730229386</c:v>
                </c:pt>
                <c:pt idx="44">
                  <c:v>612.47947970911309</c:v>
                </c:pt>
                <c:pt idx="45">
                  <c:v>609.93034741301449</c:v>
                </c:pt>
                <c:pt idx="46">
                  <c:v>607.39503071298691</c:v>
                </c:pt>
                <c:pt idx="47">
                  <c:v>604.87283657183093</c:v>
                </c:pt>
                <c:pt idx="48">
                  <c:v>602.3631982433119</c:v>
                </c:pt>
                <c:pt idx="49">
                  <c:v>599.86565079425668</c:v>
                </c:pt>
                <c:pt idx="50">
                  <c:v>597.379811377441</c:v>
                </c:pt>
                <c:pt idx="51">
                  <c:v>594.9053633331846</c:v>
                </c:pt>
                <c:pt idx="52">
                  <c:v>592.44204337653912</c:v>
                </c:pt>
                <c:pt idx="53">
                  <c:v>589.98963127118327</c:v>
                </c:pt>
                <c:pt idx="54">
                  <c:v>587.54794150737996</c:v>
                </c:pt>
                <c:pt idx="55">
                  <c:v>585.11681659502744</c:v>
                </c:pt>
                <c:pt idx="56">
                  <c:v>582.69612165832746</c:v>
                </c:pt>
                <c:pt idx="57">
                  <c:v>580.28574007944269</c:v>
                </c:pt>
                <c:pt idx="58">
                  <c:v>577.88556998754279</c:v>
                </c:pt>
                <c:pt idx="59">
                  <c:v>575.49552142915854</c:v>
                </c:pt>
                <c:pt idx="60">
                  <c:v>573.11551408760874</c:v>
                </c:pt>
                <c:pt idx="61">
                  <c:v>570.74547544493134</c:v>
                </c:pt>
                <c:pt idx="62">
                  <c:v>568.38533930043138</c:v>
                </c:pt>
                <c:pt idx="63">
                  <c:v>566.0350445766336</c:v>
                </c:pt>
                <c:pt idx="64">
                  <c:v>563.69453435685421</c:v>
                </c:pt>
                <c:pt idx="65">
                  <c:v>561.36375510944015</c:v>
                </c:pt>
                <c:pt idx="66">
                  <c:v>559.04265606244348</c:v>
                </c:pt>
                <c:pt idx="67">
                  <c:v>556.73118869953623</c:v>
                </c:pt>
                <c:pt idx="68">
                  <c:v>554.42930635363132</c:v>
                </c:pt>
                <c:pt idx="69">
                  <c:v>552.13696387924915</c:v>
                </c:pt>
                <c:pt idx="70">
                  <c:v>549.85411738834523</c:v>
                </c:pt>
                <c:pt idx="71">
                  <c:v>547.58072403728158</c:v>
                </c:pt>
                <c:pt idx="72">
                  <c:v>545.31674185501799</c:v>
                </c:pt>
                <c:pt idx="73">
                  <c:v>543.06212960452092</c:v>
                </c:pt>
                <c:pt idx="74">
                  <c:v>540.81684667094487</c:v>
                </c:pt>
                <c:pt idx="75">
                  <c:v>538.58085297138985</c:v>
                </c:pt>
                <c:pt idx="76">
                  <c:v>536.35410888204797</c:v>
                </c:pt>
                <c:pt idx="77">
                  <c:v>534.13657517936474</c:v>
                </c:pt>
                <c:pt idx="78">
                  <c:v>531.92821299249511</c:v>
                </c:pt>
                <c:pt idx="79">
                  <c:v>529.72898376486205</c:v>
                </c:pt>
                <c:pt idx="80">
                  <c:v>527.53884922305394</c:v>
                </c:pt>
                <c:pt idx="81">
                  <c:v>525.35777135163289</c:v>
                </c:pt>
                <c:pt idx="82">
                  <c:v>523.18571237271101</c:v>
                </c:pt>
                <c:pt idx="83">
                  <c:v>521.02263472936761</c:v>
                </c:pt>
                <c:pt idx="84">
                  <c:v>518.86850107216299</c:v>
                </c:pt>
                <c:pt idx="85">
                  <c:v>516.72327424814807</c:v>
                </c:pt>
                <c:pt idx="86">
                  <c:v>514.58691729188627</c:v>
                </c:pt>
                <c:pt idx="87">
                  <c:v>512.45939341809753</c:v>
                </c:pt>
                <c:pt idx="88">
                  <c:v>510.34066601560954</c:v>
                </c:pt>
                <c:pt idx="89">
                  <c:v>508.23069864236385</c:v>
                </c:pt>
                <c:pt idx="90">
                  <c:v>506.12945502127184</c:v>
                </c:pt>
                <c:pt idx="91">
                  <c:v>504.03689903675701</c:v>
                </c:pt>
                <c:pt idx="92">
                  <c:v>501.95299473184957</c:v>
                </c:pt>
                <c:pt idx="93">
                  <c:v>499.87770630572766</c:v>
                </c:pt>
                <c:pt idx="94">
                  <c:v>497.81099811161903</c:v>
                </c:pt>
                <c:pt idx="95">
                  <c:v>495.75283465499285</c:v>
                </c:pt>
                <c:pt idx="96">
                  <c:v>493.70318059198638</c:v>
                </c:pt>
                <c:pt idx="97">
                  <c:v>491.66200072802172</c:v>
                </c:pt>
                <c:pt idx="98">
                  <c:v>489.62926001657564</c:v>
                </c:pt>
                <c:pt idx="99">
                  <c:v>487.60492355807315</c:v>
                </c:pt>
                <c:pt idx="100">
                  <c:v>485.58895659888219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E03-4087-80AF-CE16D166552F}"/>
            </c:ext>
          </c:extLst>
        </c:ser>
        <c:ser>
          <c:idx val="1"/>
          <c:order val="3"/>
          <c:tx>
            <c:v>Phase3</c:v>
          </c:tx>
          <c:spPr>
            <a:ln w="15875">
              <a:solidFill>
                <a:schemeClr val="bg1">
                  <a:lumMod val="50000"/>
                </a:schemeClr>
              </a:solidFill>
              <a:prstDash val="sysDot"/>
            </a:ln>
          </c:spPr>
          <c:marker>
            <c:symbol val="none"/>
          </c:marker>
          <c:xVal>
            <c:numRef>
              <c:f>TriPlotData!$I$9:$I$110</c:f>
              <c:numCache>
                <c:formatCode>General</c:formatCode>
                <c:ptCount val="10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  <c:pt idx="25">
                  <c:v>24</c:v>
                </c:pt>
                <c:pt idx="26">
                  <c:v>25</c:v>
                </c:pt>
                <c:pt idx="27">
                  <c:v>26</c:v>
                </c:pt>
                <c:pt idx="28">
                  <c:v>27</c:v>
                </c:pt>
                <c:pt idx="29">
                  <c:v>28</c:v>
                </c:pt>
                <c:pt idx="30">
                  <c:v>29</c:v>
                </c:pt>
                <c:pt idx="31">
                  <c:v>30</c:v>
                </c:pt>
                <c:pt idx="32">
                  <c:v>31</c:v>
                </c:pt>
                <c:pt idx="33">
                  <c:v>32</c:v>
                </c:pt>
                <c:pt idx="34">
                  <c:v>33</c:v>
                </c:pt>
                <c:pt idx="35">
                  <c:v>34</c:v>
                </c:pt>
                <c:pt idx="36">
                  <c:v>35</c:v>
                </c:pt>
                <c:pt idx="37">
                  <c:v>36</c:v>
                </c:pt>
                <c:pt idx="38">
                  <c:v>37</c:v>
                </c:pt>
                <c:pt idx="39">
                  <c:v>38</c:v>
                </c:pt>
                <c:pt idx="40">
                  <c:v>39</c:v>
                </c:pt>
                <c:pt idx="41">
                  <c:v>40</c:v>
                </c:pt>
                <c:pt idx="42">
                  <c:v>41</c:v>
                </c:pt>
                <c:pt idx="43">
                  <c:v>42</c:v>
                </c:pt>
                <c:pt idx="44">
                  <c:v>43</c:v>
                </c:pt>
                <c:pt idx="45">
                  <c:v>44</c:v>
                </c:pt>
                <c:pt idx="46">
                  <c:v>45</c:v>
                </c:pt>
                <c:pt idx="47">
                  <c:v>46</c:v>
                </c:pt>
                <c:pt idx="48">
                  <c:v>47</c:v>
                </c:pt>
                <c:pt idx="49">
                  <c:v>48</c:v>
                </c:pt>
                <c:pt idx="50">
                  <c:v>49</c:v>
                </c:pt>
                <c:pt idx="51">
                  <c:v>50</c:v>
                </c:pt>
                <c:pt idx="52">
                  <c:v>51</c:v>
                </c:pt>
                <c:pt idx="53">
                  <c:v>52</c:v>
                </c:pt>
                <c:pt idx="54">
                  <c:v>53</c:v>
                </c:pt>
                <c:pt idx="55">
                  <c:v>54</c:v>
                </c:pt>
                <c:pt idx="56">
                  <c:v>55</c:v>
                </c:pt>
                <c:pt idx="57">
                  <c:v>56</c:v>
                </c:pt>
                <c:pt idx="58">
                  <c:v>57</c:v>
                </c:pt>
                <c:pt idx="59">
                  <c:v>58</c:v>
                </c:pt>
                <c:pt idx="60">
                  <c:v>59</c:v>
                </c:pt>
                <c:pt idx="61">
                  <c:v>60</c:v>
                </c:pt>
                <c:pt idx="62">
                  <c:v>61</c:v>
                </c:pt>
                <c:pt idx="63">
                  <c:v>62</c:v>
                </c:pt>
                <c:pt idx="64">
                  <c:v>63</c:v>
                </c:pt>
                <c:pt idx="65">
                  <c:v>64</c:v>
                </c:pt>
                <c:pt idx="66">
                  <c:v>65</c:v>
                </c:pt>
                <c:pt idx="67">
                  <c:v>66</c:v>
                </c:pt>
                <c:pt idx="68">
                  <c:v>67</c:v>
                </c:pt>
                <c:pt idx="69">
                  <c:v>68</c:v>
                </c:pt>
                <c:pt idx="70">
                  <c:v>69</c:v>
                </c:pt>
                <c:pt idx="71">
                  <c:v>70</c:v>
                </c:pt>
                <c:pt idx="72">
                  <c:v>71</c:v>
                </c:pt>
                <c:pt idx="73">
                  <c:v>72</c:v>
                </c:pt>
                <c:pt idx="74">
                  <c:v>73</c:v>
                </c:pt>
                <c:pt idx="75">
                  <c:v>74</c:v>
                </c:pt>
                <c:pt idx="76">
                  <c:v>75</c:v>
                </c:pt>
                <c:pt idx="77">
                  <c:v>76</c:v>
                </c:pt>
                <c:pt idx="78">
                  <c:v>77</c:v>
                </c:pt>
                <c:pt idx="79">
                  <c:v>78</c:v>
                </c:pt>
                <c:pt idx="80">
                  <c:v>79</c:v>
                </c:pt>
                <c:pt idx="81">
                  <c:v>80</c:v>
                </c:pt>
                <c:pt idx="82">
                  <c:v>81</c:v>
                </c:pt>
                <c:pt idx="83">
                  <c:v>82</c:v>
                </c:pt>
                <c:pt idx="84">
                  <c:v>83</c:v>
                </c:pt>
                <c:pt idx="85">
                  <c:v>84</c:v>
                </c:pt>
                <c:pt idx="86">
                  <c:v>85</c:v>
                </c:pt>
                <c:pt idx="87">
                  <c:v>86</c:v>
                </c:pt>
                <c:pt idx="88">
                  <c:v>87</c:v>
                </c:pt>
                <c:pt idx="89">
                  <c:v>88</c:v>
                </c:pt>
                <c:pt idx="90">
                  <c:v>89</c:v>
                </c:pt>
                <c:pt idx="91">
                  <c:v>90</c:v>
                </c:pt>
                <c:pt idx="92">
                  <c:v>91</c:v>
                </c:pt>
                <c:pt idx="93">
                  <c:v>92</c:v>
                </c:pt>
                <c:pt idx="94">
                  <c:v>93</c:v>
                </c:pt>
                <c:pt idx="95">
                  <c:v>94</c:v>
                </c:pt>
                <c:pt idx="96">
                  <c:v>95</c:v>
                </c:pt>
                <c:pt idx="97">
                  <c:v>96</c:v>
                </c:pt>
                <c:pt idx="98">
                  <c:v>97</c:v>
                </c:pt>
                <c:pt idx="99">
                  <c:v>98</c:v>
                </c:pt>
                <c:pt idx="100">
                  <c:v>99</c:v>
                </c:pt>
                <c:pt idx="101">
                  <c:v>100</c:v>
                </c:pt>
              </c:numCache>
            </c:numRef>
          </c:xVal>
          <c:yVal>
            <c:numRef>
              <c:f>TriPlotData!$L$9:$L$110</c:f>
              <c:numCache>
                <c:formatCode>General</c:formatCode>
                <c:ptCount val="102"/>
                <c:pt idx="0">
                  <c:v>734.84692283495383</c:v>
                </c:pt>
                <c:pt idx="1">
                  <c:v>731.80875205782888</c:v>
                </c:pt>
                <c:pt idx="2">
                  <c:v>728.78314237524512</c:v>
                </c:pt>
                <c:pt idx="3">
                  <c:v>725.77004185427711</c:v>
                </c:pt>
                <c:pt idx="4">
                  <c:v>722.76939877671248</c:v>
                </c:pt>
                <c:pt idx="5">
                  <c:v>719.78116163816389</c:v>
                </c:pt>
                <c:pt idx="6">
                  <c:v>716.80527914718527</c:v>
                </c:pt>
                <c:pt idx="7">
                  <c:v>713.84170022439105</c:v>
                </c:pt>
                <c:pt idx="8">
                  <c:v>710.89037400157997</c:v>
                </c:pt>
                <c:pt idx="9">
                  <c:v>707.95124982086111</c:v>
                </c:pt>
                <c:pt idx="11">
                  <c:v>705.02427723378548</c:v>
                </c:pt>
                <c:pt idx="12">
                  <c:v>702.10940600047911</c:v>
                </c:pt>
                <c:pt idx="13">
                  <c:v>699.20658608878136</c:v>
                </c:pt>
                <c:pt idx="14">
                  <c:v>696.31576767338561</c:v>
                </c:pt>
                <c:pt idx="15">
                  <c:v>693.43690113498451</c:v>
                </c:pt>
                <c:pt idx="16">
                  <c:v>690.56993705941795</c:v>
                </c:pt>
                <c:pt idx="17">
                  <c:v>687.71482623682539</c:v>
                </c:pt>
                <c:pt idx="18">
                  <c:v>684.87151966080057</c:v>
                </c:pt>
                <c:pt idx="19">
                  <c:v>682.03996852755063</c:v>
                </c:pt>
                <c:pt idx="20">
                  <c:v>679.22012423505851</c:v>
                </c:pt>
                <c:pt idx="21">
                  <c:v>676.41193838224842</c:v>
                </c:pt>
                <c:pt idx="22">
                  <c:v>673.61536276815559</c:v>
                </c:pt>
                <c:pt idx="23">
                  <c:v>670.83034939109848</c:v>
                </c:pt>
                <c:pt idx="24">
                  <c:v>668.05685044785503</c:v>
                </c:pt>
                <c:pt idx="25">
                  <c:v>665.29481833284171</c:v>
                </c:pt>
                <c:pt idx="26">
                  <c:v>662.54420563729752</c:v>
                </c:pt>
                <c:pt idx="27">
                  <c:v>659.8049651484688</c:v>
                </c:pt>
                <c:pt idx="28">
                  <c:v>657.07704984880002</c:v>
                </c:pt>
                <c:pt idx="29">
                  <c:v>654.36041291512606</c:v>
                </c:pt>
                <c:pt idx="30">
                  <c:v>651.6550077178689</c:v>
                </c:pt>
                <c:pt idx="31">
                  <c:v>648.96078782023699</c:v>
                </c:pt>
                <c:pt idx="32">
                  <c:v>646.27770697742835</c:v>
                </c:pt>
                <c:pt idx="33">
                  <c:v>643.60571913583647</c:v>
                </c:pt>
                <c:pt idx="34">
                  <c:v>640.9447784322607</c:v>
                </c:pt>
                <c:pt idx="35">
                  <c:v>638.29483919311792</c:v>
                </c:pt>
                <c:pt idx="36">
                  <c:v>635.65585593365927</c:v>
                </c:pt>
                <c:pt idx="37">
                  <c:v>633.02778335718915</c:v>
                </c:pt>
                <c:pt idx="38">
                  <c:v>630.41057635428797</c:v>
                </c:pt>
                <c:pt idx="39">
                  <c:v>627.8041900020379</c:v>
                </c:pt>
                <c:pt idx="40">
                  <c:v>625.20857956325108</c:v>
                </c:pt>
                <c:pt idx="41">
                  <c:v>622.62370048570267</c:v>
                </c:pt>
                <c:pt idx="42">
                  <c:v>620.04950840136587</c:v>
                </c:pt>
                <c:pt idx="43">
                  <c:v>617.48595912564986</c:v>
                </c:pt>
                <c:pt idx="44">
                  <c:v>614.93300865664196</c:v>
                </c:pt>
                <c:pt idx="45">
                  <c:v>612.39061317435232</c:v>
                </c:pt>
                <c:pt idx="46">
                  <c:v>609.85872903996119</c:v>
                </c:pt>
                <c:pt idx="47">
                  <c:v>607.33731279507083</c:v>
                </c:pt>
                <c:pt idx="48">
                  <c:v>604.82632116095886</c:v>
                </c:pt>
                <c:pt idx="49">
                  <c:v>602.32571103783539</c:v>
                </c:pt>
                <c:pt idx="50">
                  <c:v>599.83543950410376</c:v>
                </c:pt>
                <c:pt idx="51">
                  <c:v>597.35546381562347</c:v>
                </c:pt>
                <c:pt idx="52">
                  <c:v>594.88574140497644</c:v>
                </c:pt>
                <c:pt idx="53">
                  <c:v>592.4262298807364</c:v>
                </c:pt>
                <c:pt idx="54">
                  <c:v>589.97688702674157</c:v>
                </c:pt>
                <c:pt idx="55">
                  <c:v>587.53767080136936</c:v>
                </c:pt>
                <c:pt idx="56">
                  <c:v>585.10853933681585</c:v>
                </c:pt>
                <c:pt idx="57">
                  <c:v>582.6894509383759</c:v>
                </c:pt>
                <c:pt idx="58">
                  <c:v>580.28036408372827</c:v>
                </c:pt>
                <c:pt idx="59">
                  <c:v>577.88123742222285</c:v>
                </c:pt>
                <c:pt idx="60">
                  <c:v>575.49202977417053</c:v>
                </c:pt>
                <c:pt idx="61">
                  <c:v>573.11270013013677</c:v>
                </c:pt>
                <c:pt idx="62">
                  <c:v>570.74320765023754</c:v>
                </c:pt>
                <c:pt idx="63">
                  <c:v>568.38351166343818</c:v>
                </c:pt>
                <c:pt idx="64">
                  <c:v>566.03357166685555</c:v>
                </c:pt>
                <c:pt idx="65">
                  <c:v>563.69334732506275</c:v>
                </c:pt>
                <c:pt idx="66">
                  <c:v>561.36279846939681</c:v>
                </c:pt>
                <c:pt idx="67">
                  <c:v>559.04188509726873</c:v>
                </c:pt>
                <c:pt idx="68">
                  <c:v>556.73056737147783</c:v>
                </c:pt>
                <c:pt idx="69">
                  <c:v>554.42880561952711</c:v>
                </c:pt>
                <c:pt idx="70">
                  <c:v>552.13656033294262</c:v>
                </c:pt>
                <c:pt idx="71">
                  <c:v>549.85379216659555</c:v>
                </c:pt>
                <c:pt idx="72">
                  <c:v>547.58046193802613</c:v>
                </c:pt>
                <c:pt idx="73">
                  <c:v>545.31653062677219</c:v>
                </c:pt>
                <c:pt idx="74">
                  <c:v>543.06195937369841</c:v>
                </c:pt>
                <c:pt idx="75">
                  <c:v>540.81670948032991</c:v>
                </c:pt>
                <c:pt idx="76">
                  <c:v>538.58074240818769</c:v>
                </c:pt>
                <c:pt idx="77">
                  <c:v>536.35401977812739</c:v>
                </c:pt>
                <c:pt idx="78">
                  <c:v>534.13650336968021</c:v>
                </c:pt>
                <c:pt idx="79">
                  <c:v>531.92815512039749</c:v>
                </c:pt>
                <c:pt idx="80">
                  <c:v>529.72893712519635</c:v>
                </c:pt>
                <c:pt idx="81">
                  <c:v>527.53881163571032</c:v>
                </c:pt>
                <c:pt idx="82">
                  <c:v>525.35774105964049</c:v>
                </c:pt>
                <c:pt idx="83">
                  <c:v>523.1856879601105</c:v>
                </c:pt>
                <c:pt idx="84">
                  <c:v>521.02261505502406</c:v>
                </c:pt>
                <c:pt idx="85">
                  <c:v>518.86848521642514</c:v>
                </c:pt>
                <c:pt idx="86">
                  <c:v>516.7232614698604</c:v>
                </c:pt>
                <c:pt idx="87">
                  <c:v>514.58690699374449</c:v>
                </c:pt>
                <c:pt idx="88">
                  <c:v>512.45938511872862</c:v>
                </c:pt>
                <c:pt idx="89">
                  <c:v>510.34065932707034</c:v>
                </c:pt>
                <c:pt idx="90">
                  <c:v>508.23069325200743</c:v>
                </c:pt>
                <c:pt idx="91">
                  <c:v>506.12945067713309</c:v>
                </c:pt>
                <c:pt idx="92">
                  <c:v>504.03689553577487</c:v>
                </c:pt>
                <c:pt idx="93">
                  <c:v>501.95299191037526</c:v>
                </c:pt>
                <c:pt idx="94">
                  <c:v>499.87770403187511</c:v>
                </c:pt>
                <c:pt idx="95">
                  <c:v>497.81099627909992</c:v>
                </c:pt>
                <c:pt idx="96">
                  <c:v>495.75283317814853</c:v>
                </c:pt>
                <c:pt idx="97">
                  <c:v>493.7031794017837</c:v>
                </c:pt>
                <c:pt idx="98">
                  <c:v>491.66199976882626</c:v>
                </c:pt>
                <c:pt idx="99">
                  <c:v>489.62925924355102</c:v>
                </c:pt>
                <c:pt idx="100">
                  <c:v>487.60492293508537</c:v>
                </c:pt>
                <c:pt idx="101">
                  <c:v>485.58895609681048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E03-4087-80AF-CE16D16655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4316160"/>
        <c:axId val="194334720"/>
      </c:scatterChart>
      <c:valAx>
        <c:axId val="194316160"/>
        <c:scaling>
          <c:orientation val="minMax"/>
          <c:max val="100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 b="0"/>
                </a:pPr>
                <a:r>
                  <a:rPr lang="en-US" b="0"/>
                  <a:t>Time Post-injection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94334720"/>
        <c:crosses val="autoZero"/>
        <c:crossBetween val="midCat"/>
      </c:valAx>
      <c:valAx>
        <c:axId val="19433472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b="0"/>
                </a:pPr>
                <a:r>
                  <a:rPr lang="en-US" b="0"/>
                  <a:t>Activity Concentration (kBq/ml)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94316160"/>
        <c:crosses val="autoZero"/>
        <c:crossBetween val="midCat"/>
      </c:valAx>
      <c:spPr>
        <a:ln w="3175">
          <a:solidFill>
            <a:schemeClr val="tx1"/>
          </a:solidFill>
        </a:ln>
      </c:spPr>
    </c:plotArea>
    <c:plotVisOnly val="1"/>
    <c:dispBlanksAs val="gap"/>
    <c:showDLblsOverMax val="0"/>
  </c:chart>
  <c:txPr>
    <a:bodyPr/>
    <a:lstStyle/>
    <a:p>
      <a:pPr>
        <a:defRPr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3"/>
          <c:order val="0"/>
          <c:tx>
            <c:v>Plateau</c:v>
          </c:tx>
          <c:spPr>
            <a:ln w="15875">
              <a:solidFill>
                <a:schemeClr val="bg1">
                  <a:lumMod val="50000"/>
                </a:schemeClr>
              </a:solidFill>
              <a:prstDash val="solid"/>
            </a:ln>
          </c:spPr>
          <c:marker>
            <c:symbol val="none"/>
          </c:marker>
          <c:xVal>
            <c:numRef>
              <c:f>TriPlotData!$B$9:$B$109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xVal>
          <c:yVal>
            <c:numRef>
              <c:f>TriPlotData!$N$9:$N$110</c:f>
              <c:numCache>
                <c:formatCode>General</c:formatCode>
                <c:ptCount val="102"/>
                <c:pt idx="0">
                  <c:v>-1915.5622887156512</c:v>
                </c:pt>
                <c:pt idx="1">
                  <c:v>-522.05162521201328</c:v>
                </c:pt>
                <c:pt idx="2">
                  <c:v>-142.27566547535034</c:v>
                </c:pt>
                <c:pt idx="3">
                  <c:v>-38.774642217104578</c:v>
                </c:pt>
                <c:pt idx="4">
                  <c:v>-10.567322767679835</c:v>
                </c:pt>
                <c:pt idx="5">
                  <c:v>-2.8799314214449301</c:v>
                </c:pt>
                <c:pt idx="6">
                  <c:v>-0.78487287410137896</c:v>
                </c:pt>
                <c:pt idx="7">
                  <c:v>-0.21390281168260786</c:v>
                </c:pt>
                <c:pt idx="8">
                  <c:v>-5.8295316802877813E-2</c:v>
                </c:pt>
                <c:pt idx="9">
                  <c:v>-1.5887327213774085E-2</c:v>
                </c:pt>
                <c:pt idx="11">
                  <c:v>-4.3298017720879191E-3</c:v>
                </c:pt>
                <c:pt idx="12">
                  <c:v>-1.1800086404289648E-3</c:v>
                </c:pt>
                <c:pt idx="13">
                  <c:v>-3.2158987057173308E-4</c:v>
                </c:pt>
                <c:pt idx="14">
                  <c:v>-8.764346404849039E-5</c:v>
                </c:pt>
                <c:pt idx="15">
                  <c:v>-2.3885630404847172E-5</c:v>
                </c:pt>
                <c:pt idx="16">
                  <c:v>-6.5095936819807241E-6</c:v>
                </c:pt>
                <c:pt idx="17">
                  <c:v>-1.7740712380730855E-6</c:v>
                </c:pt>
                <c:pt idx="18">
                  <c:v>-4.8349081548212834E-7</c:v>
                </c:pt>
                <c:pt idx="19">
                  <c:v>-1.3176661885882127E-7</c:v>
                </c:pt>
                <c:pt idx="20">
                  <c:v>-3.5910592899624004E-8</c:v>
                </c:pt>
                <c:pt idx="21">
                  <c:v>-9.7867782718490046E-9</c:v>
                </c:pt>
                <c:pt idx="22">
                  <c:v>-2.6672082304533224E-9</c:v>
                </c:pt>
                <c:pt idx="23">
                  <c:v>-7.2689904144051933E-10</c:v>
                </c:pt>
                <c:pt idx="24">
                  <c:v>-1.9810309911848965E-10</c:v>
                </c:pt>
                <c:pt idx="25">
                  <c:v>-5.3989392808356661E-11</c:v>
                </c:pt>
                <c:pt idx="26">
                  <c:v>-1.471382602687911E-11</c:v>
                </c:pt>
                <c:pt idx="27">
                  <c:v>-4.0099853894958682E-12</c:v>
                </c:pt>
                <c:pt idx="28">
                  <c:v>-1.0928485082395054E-12</c:v>
                </c:pt>
                <c:pt idx="29">
                  <c:v>-2.9783596346505912E-13</c:v>
                </c:pt>
                <c:pt idx="30">
                  <c:v>-8.1169769153144894E-14</c:v>
                </c:pt>
                <c:pt idx="31">
                  <c:v>-2.2121342727463529E-14</c:v>
                </c:pt>
                <c:pt idx="32">
                  <c:v>-6.0287691978355247E-15</c:v>
                </c:pt>
                <c:pt idx="33">
                  <c:v>-1.6430312792743459E-15</c:v>
                </c:pt>
                <c:pt idx="34">
                  <c:v>-4.4777826055160632E-16</c:v>
                </c:pt>
                <c:pt idx="35">
                  <c:v>-1.2203381222978E-16</c:v>
                </c:pt>
                <c:pt idx="36">
                  <c:v>-3.3258093657758058E-17</c:v>
                </c:pt>
                <c:pt idx="37">
                  <c:v>-9.0638878974418882E-18</c:v>
                </c:pt>
                <c:pt idx="38">
                  <c:v>-2.4701976205491312E-18</c:v>
                </c:pt>
                <c:pt idx="39">
                  <c:v>-6.7320738667660816E-19</c:v>
                </c:pt>
                <c:pt idx="40">
                  <c:v>-1.8347041617471707E-19</c:v>
                </c:pt>
                <c:pt idx="41">
                  <c:v>-5.0001521488792294E-20</c:v>
                </c:pt>
                <c:pt idx="42">
                  <c:v>-1.3627004305769218E-20</c:v>
                </c:pt>
                <c:pt idx="43">
                  <c:v>-3.7137919171335048E-21</c:v>
                </c:pt>
                <c:pt idx="44">
                  <c:v>-1.0121263701316202E-21</c:v>
                </c:pt>
                <c:pt idx="45">
                  <c:v>-2.75836614428976E-22</c:v>
                </c:pt>
                <c:pt idx="46">
                  <c:v>-7.5174247114760641E-23</c:v>
                </c:pt>
                <c:pt idx="47">
                  <c:v>-2.0487372356167577E-23</c:v>
                </c:pt>
                <c:pt idx="48">
                  <c:v>-5.5834603227818295E-24</c:v>
                </c:pt>
                <c:pt idx="49">
                  <c:v>-1.5216704531019921E-24</c:v>
                </c:pt>
                <c:pt idx="50">
                  <c:v>-4.1470357699076548E-25</c:v>
                </c:pt>
                <c:pt idx="51">
                  <c:v>-1.1301990941491232E-25</c:v>
                </c:pt>
                <c:pt idx="52">
                  <c:v>-3.0801518561387828E-26</c:v>
                </c:pt>
                <c:pt idx="53">
                  <c:v>-8.39439308170535E-27</c:v>
                </c:pt>
                <c:pt idx="54">
                  <c:v>-2.2877389979894759E-27</c:v>
                </c:pt>
                <c:pt idx="55">
                  <c:v>-6.2348161111590905E-28</c:v>
                </c:pt>
                <c:pt idx="56">
                  <c:v>-1.6991856140115414E-28</c:v>
                </c:pt>
                <c:pt idx="57">
                  <c:v>-4.6308210208416632E-29</c:v>
                </c:pt>
                <c:pt idx="58">
                  <c:v>-1.2620459560295607E-29</c:v>
                </c:pt>
                <c:pt idx="59">
                  <c:v>-3.439476472880618E-30</c:v>
                </c:pt>
                <c:pt idx="60">
                  <c:v>-9.3736669025245898E-31</c:v>
                </c:pt>
                <c:pt idx="61">
                  <c:v>-2.5546222482486127E-31</c:v>
                </c:pt>
                <c:pt idx="62">
                  <c:v>-6.962157818397769E-32</c:v>
                </c:pt>
                <c:pt idx="63">
                  <c:v>-1.8974093536336916E-32</c:v>
                </c:pt>
                <c:pt idx="64">
                  <c:v>-5.171043732652984E-33</c:v>
                </c:pt>
                <c:pt idx="65">
                  <c:v>-1.4092738203172151E-33</c:v>
                </c:pt>
                <c:pt idx="66">
                  <c:v>-3.840719211269446E-34</c:v>
                </c:pt>
                <c:pt idx="67">
                  <c:v>-1.0467180931874438E-34</c:v>
                </c:pt>
                <c:pt idx="68">
                  <c:v>-2.8526395873751349E-35</c:v>
                </c:pt>
                <c:pt idx="69">
                  <c:v>-7.7743498162715364E-36</c:v>
                </c:pt>
                <c:pt idx="70">
                  <c:v>-2.1187574951021342E-36</c:v>
                </c:pt>
                <c:pt idx="71">
                  <c:v>-5.7742877914443941E-37</c:v>
                </c:pt>
                <c:pt idx="72">
                  <c:v>-1.5736770052967539E-37</c:v>
                </c:pt>
                <c:pt idx="73">
                  <c:v>-4.2887701590991484E-38</c:v>
                </c:pt>
                <c:pt idx="74">
                  <c:v>-1.1688262213700617E-38</c:v>
                </c:pt>
                <c:pt idx="75">
                  <c:v>-3.1854230585515353E-39</c:v>
                </c:pt>
                <c:pt idx="76">
                  <c:v>-8.6812905771894104E-40</c:v>
                </c:pt>
                <c:pt idx="77">
                  <c:v>-2.3659276868507148E-40</c:v>
                </c:pt>
                <c:pt idx="78">
                  <c:v>-6.4479051468623184E-41</c:v>
                </c:pt>
                <c:pt idx="79">
                  <c:v>-1.757259150987631E-41</c:v>
                </c:pt>
                <c:pt idx="80">
                  <c:v>-4.7890898724408708E-42</c:v>
                </c:pt>
                <c:pt idx="81">
                  <c:v>-1.3051792499373449E-42</c:v>
                </c:pt>
                <c:pt idx="82">
                  <c:v>-3.5570284121621331E-43</c:v>
                </c:pt>
                <c:pt idx="83">
                  <c:v>-9.6940333103946186E-44</c:v>
                </c:pt>
                <c:pt idx="84">
                  <c:v>-2.6419322798132977E-44</c:v>
                </c:pt>
                <c:pt idx="85">
                  <c:v>-7.2001054129195691E-45</c:v>
                </c:pt>
                <c:pt idx="86">
                  <c:v>-1.9622576382168754E-45</c:v>
                </c:pt>
                <c:pt idx="87">
                  <c:v>-5.3477759253793331E-46</c:v>
                </c:pt>
                <c:pt idx="88">
                  <c:v>-1.4574389616877392E-46</c:v>
                </c:pt>
                <c:pt idx="89">
                  <c:v>-3.9719845346639031E-47</c:v>
                </c:pt>
                <c:pt idx="90">
                  <c:v>-1.0824920671353246E-47</c:v>
                </c:pt>
                <c:pt idx="91">
                  <c:v>-2.9501350400148565E-48</c:v>
                </c:pt>
                <c:pt idx="92">
                  <c:v>-8.0400559214771962E-49</c:v>
                </c:pt>
                <c:pt idx="93">
                  <c:v>-2.1911708563738857E-49</c:v>
                </c:pt>
                <c:pt idx="94">
                  <c:v>-5.9716372233144972E-50</c:v>
                </c:pt>
                <c:pt idx="95">
                  <c:v>-1.6274609998185568E-50</c:v>
                </c:pt>
                <c:pt idx="96">
                  <c:v>-4.4353486437347942E-51</c:v>
                </c:pt>
                <c:pt idx="97">
                  <c:v>-1.2087735186080056E-51</c:v>
                </c:pt>
                <c:pt idx="98">
                  <c:v>-3.2942921439827308E-52</c:v>
                </c:pt>
                <c:pt idx="99">
                  <c:v>-8.9779934477747796E-53</c:v>
                </c:pt>
                <c:pt idx="100">
                  <c:v>-2.4467886521696496E-53</c:v>
                </c:pt>
                <c:pt idx="101">
                  <c:v>-6.6682769855108085E-54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998-4A2D-A6C7-618273A763D2}"/>
            </c:ext>
          </c:extLst>
        </c:ser>
        <c:ser>
          <c:idx val="5"/>
          <c:order val="1"/>
          <c:tx>
            <c:v>Best Fit Series</c:v>
          </c:tx>
          <c:spPr>
            <a:ln w="15875">
              <a:solidFill>
                <a:schemeClr val="bg1">
                  <a:lumMod val="50000"/>
                </a:schemeClr>
              </a:solidFill>
              <a:prstDash val="dash"/>
            </a:ln>
          </c:spPr>
          <c:marker>
            <c:symbol val="none"/>
          </c:marker>
          <c:xVal>
            <c:numRef>
              <c:f>TriPlotData!$B$9:$B$109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xVal>
          <c:yVal>
            <c:numRef>
              <c:f>TriPlotData!$M$9:$M$110</c:f>
              <c:numCache>
                <c:formatCode>General</c:formatCode>
                <c:ptCount val="102"/>
                <c:pt idx="0">
                  <c:v>1180.7153658806974</c:v>
                </c:pt>
                <c:pt idx="1">
                  <c:v>951.54957680178666</c:v>
                </c:pt>
                <c:pt idx="2">
                  <c:v>766.86272007333889</c:v>
                </c:pt>
                <c:pt idx="3">
                  <c:v>618.02185169883205</c:v>
                </c:pt>
                <c:pt idx="4">
                  <c:v>498.06960121979233</c:v>
                </c:pt>
                <c:pt idx="5">
                  <c:v>401.39895859237589</c:v>
                </c:pt>
                <c:pt idx="6">
                  <c:v>323.49118188392106</c:v>
                </c:pt>
                <c:pt idx="7">
                  <c:v>260.70457462976532</c:v>
                </c:pt>
                <c:pt idx="8">
                  <c:v>210.10425952592283</c:v>
                </c:pt>
                <c:pt idx="9">
                  <c:v>169.32499145297436</c:v>
                </c:pt>
                <c:pt idx="11">
                  <c:v>136.46059720656163</c:v>
                </c:pt>
                <c:pt idx="12">
                  <c:v>109.97487394023045</c:v>
                </c:pt>
                <c:pt idx="13">
                  <c:v>88.629781385626416</c:v>
                </c:pt>
                <c:pt idx="14">
                  <c:v>71.427571289903213</c:v>
                </c:pt>
                <c:pt idx="15">
                  <c:v>57.564148987076379</c:v>
                </c:pt>
                <c:pt idx="16">
                  <c:v>46.391487051369623</c:v>
                </c:pt>
                <c:pt idx="17">
                  <c:v>37.387334108258507</c:v>
                </c:pt>
                <c:pt idx="18">
                  <c:v>30.130802881458447</c:v>
                </c:pt>
                <c:pt idx="19">
                  <c:v>24.282696371249585</c:v>
                </c:pt>
                <c:pt idx="20">
                  <c:v>19.56965253724286</c:v>
                </c:pt>
                <c:pt idx="21">
                  <c:v>15.771366349655031</c:v>
                </c:pt>
                <c:pt idx="22">
                  <c:v>12.710291920700339</c:v>
                </c:pt>
                <c:pt idx="23">
                  <c:v>10.243343355786934</c:v>
                </c:pt>
                <c:pt idx="24">
                  <c:v>8.255206391731944</c:v>
                </c:pt>
                <c:pt idx="25">
                  <c:v>6.6529481833284141</c:v>
                </c:pt>
                <c:pt idx="26">
                  <c:v>5.3616732798326527</c:v>
                </c:pt>
                <c:pt idx="27">
                  <c:v>4.3210227357113222</c:v>
                </c:pt>
                <c:pt idx="28">
                  <c:v>3.4823527111888728</c:v>
                </c:pt>
                <c:pt idx="29">
                  <c:v>2.8064606799918153</c:v>
                </c:pt>
                <c:pt idx="30">
                  <c:v>2.2617529588641752</c:v>
                </c:pt>
                <c:pt idx="31">
                  <c:v>1.8227679024335288</c:v>
                </c:pt>
                <c:pt idx="32">
                  <c:v>1.4689857321156923</c:v>
                </c:pt>
                <c:pt idx="33">
                  <c:v>1.1838693660769966</c:v>
                </c:pt>
                <c:pt idx="34">
                  <c:v>0.9540914151133284</c:v>
                </c:pt>
                <c:pt idx="35">
                  <c:v>0.76891121138592677</c:v>
                </c:pt>
                <c:pt idx="36">
                  <c:v>0.61967275004224565</c:v>
                </c:pt>
                <c:pt idx="37">
                  <c:v>0.49940007566385608</c:v>
                </c:pt>
                <c:pt idx="38">
                  <c:v>0.40247120041354534</c:v>
                </c:pt>
                <c:pt idx="39">
                  <c:v>0.32435531161463027</c:v>
                </c:pt>
                <c:pt idx="40">
                  <c:v>0.26140098487673896</c:v>
                </c:pt>
                <c:pt idx="41">
                  <c:v>0.21066550306940277</c:v>
                </c:pt>
                <c:pt idx="42">
                  <c:v>0.16977730288358117</c:v>
                </c:pt>
                <c:pt idx="43">
                  <c:v>0.13682511922669763</c:v>
                </c:pt>
                <c:pt idx="44">
                  <c:v>0.11026864565187139</c:v>
                </c:pt>
                <c:pt idx="45">
                  <c:v>8.8866534760712462E-2</c:v>
                </c:pt>
                <c:pt idx="46">
                  <c:v>7.1618373053291329E-2</c:v>
                </c:pt>
                <c:pt idx="47">
                  <c:v>5.7717917916025346E-2</c:v>
                </c:pt>
                <c:pt idx="48">
                  <c:v>4.6515410872042091E-2</c:v>
                </c:pt>
                <c:pt idx="49">
                  <c:v>3.7487205476518862E-2</c:v>
                </c:pt>
                <c:pt idx="50">
                  <c:v>3.0211290152945693E-2</c:v>
                </c:pt>
                <c:pt idx="51">
                  <c:v>2.4347561817516118E-2</c:v>
                </c:pt>
                <c:pt idx="52">
                  <c:v>1.9621928208185726E-2</c:v>
                </c:pt>
                <c:pt idx="53">
                  <c:v>1.5813495802696913E-2</c:v>
                </c:pt>
                <c:pt idx="54">
                  <c:v>1.2744244441664627E-2</c:v>
                </c:pt>
                <c:pt idx="55">
                  <c:v>1.0270706010571062E-2</c:v>
                </c:pt>
                <c:pt idx="56">
                  <c:v>8.2772582116136823E-3</c:v>
                </c:pt>
                <c:pt idx="57">
                  <c:v>6.6707199515992043E-3</c:v>
                </c:pt>
                <c:pt idx="58">
                  <c:v>5.3759957144055865E-3</c:v>
                </c:pt>
                <c:pt idx="59">
                  <c:v>4.3325653199365053E-3</c:v>
                </c:pt>
                <c:pt idx="60">
                  <c:v>3.4916549879712906E-3</c:v>
                </c:pt>
                <c:pt idx="61">
                  <c:v>2.8139574720141649E-3</c:v>
                </c:pt>
                <c:pt idx="62">
                  <c:v>2.2677946938007886E-3</c:v>
                </c:pt>
                <c:pt idx="63">
                  <c:v>1.827636993230694E-3</c:v>
                </c:pt>
                <c:pt idx="64">
                  <c:v>1.4729097780130699E-3</c:v>
                </c:pt>
                <c:pt idx="65">
                  <c:v>1.1870317914344528E-3</c:v>
                </c:pt>
                <c:pt idx="66">
                  <c:v>9.5664004334119015E-4</c:v>
                </c:pt>
                <c:pt idx="67">
                  <c:v>7.709651747557011E-4</c:v>
                </c:pt>
                <c:pt idx="68">
                  <c:v>6.213280583678187E-4</c:v>
                </c:pt>
                <c:pt idx="69">
                  <c:v>5.0073410415386454E-4</c:v>
                </c:pt>
                <c:pt idx="70">
                  <c:v>4.0354630647364287E-4</c:v>
                </c:pt>
                <c:pt idx="71">
                  <c:v>3.2522174966233069E-4</c:v>
                </c:pt>
                <c:pt idx="72">
                  <c:v>2.620992554180042E-4</c:v>
                </c:pt>
                <c:pt idx="73">
                  <c:v>2.1122824584148358E-4</c:v>
                </c:pt>
                <c:pt idx="74">
                  <c:v>1.702308225565658E-4</c:v>
                </c:pt>
                <c:pt idx="75">
                  <c:v>1.3719061498068734E-4</c:v>
                </c:pt>
                <c:pt idx="76">
                  <c:v>1.1056320210474866E-4</c:v>
                </c:pt>
                <c:pt idx="77">
                  <c:v>8.9103920566114037E-5</c:v>
                </c:pt>
                <c:pt idx="78">
                  <c:v>7.1809684498196706E-5</c:v>
                </c:pt>
                <c:pt idx="79">
                  <c:v>5.7872097602084906E-5</c:v>
                </c:pt>
                <c:pt idx="80">
                  <c:v>4.6639665725718846E-5</c:v>
                </c:pt>
                <c:pt idx="81">
                  <c:v>3.7587343627379201E-5</c:v>
                </c:pt>
                <c:pt idx="82">
                  <c:v>3.0291992427029958E-5</c:v>
                </c:pt>
                <c:pt idx="83">
                  <c:v>2.4412600536390201E-5</c:v>
                </c:pt>
                <c:pt idx="84">
                  <c:v>1.9674343521146616E-5</c:v>
                </c:pt>
                <c:pt idx="85">
                  <c:v>1.5855737794549589E-5</c:v>
                </c:pt>
                <c:pt idx="86">
                  <c:v>1.2778287658711037E-5</c:v>
                </c:pt>
                <c:pt idx="87">
                  <c:v>1.0298141758177617E-5</c:v>
                </c:pt>
                <c:pt idx="88">
                  <c:v>8.2993689376859095E-6</c:v>
                </c:pt>
                <c:pt idx="89">
                  <c:v>6.688539192920842E-6</c:v>
                </c:pt>
                <c:pt idx="90">
                  <c:v>5.3903564079550314E-6</c:v>
                </c:pt>
                <c:pt idx="91">
                  <c:v>4.3441387374293498E-6</c:v>
                </c:pt>
                <c:pt idx="92">
                  <c:v>3.5009821135730303E-6</c:v>
                </c:pt>
                <c:pt idx="93">
                  <c:v>2.8214742899328452E-6</c:v>
                </c:pt>
                <c:pt idx="94">
                  <c:v>2.2738525677949001E-6</c:v>
                </c:pt>
                <c:pt idx="95">
                  <c:v>1.832519090645523E-6</c:v>
                </c:pt>
                <c:pt idx="96">
                  <c:v>1.4768443060654915E-6</c:v>
                </c:pt>
                <c:pt idx="97">
                  <c:v>1.1902026644588786E-6</c:v>
                </c:pt>
                <c:pt idx="98">
                  <c:v>9.5919547962301928E-7</c:v>
                </c:pt>
                <c:pt idx="99">
                  <c:v>7.7302462479995985E-7</c:v>
                </c:pt>
                <c:pt idx="100">
                  <c:v>6.2298778845577018E-7</c:v>
                </c:pt>
                <c:pt idx="101">
                  <c:v>5.020716961836061E-7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998-4A2D-A6C7-618273A763D2}"/>
            </c:ext>
          </c:extLst>
        </c:ser>
        <c:ser>
          <c:idx val="1"/>
          <c:order val="2"/>
          <c:tx>
            <c:v>Phase3</c:v>
          </c:tx>
          <c:spPr>
            <a:ln w="15875">
              <a:solidFill>
                <a:schemeClr val="bg1">
                  <a:lumMod val="50000"/>
                </a:schemeClr>
              </a:solidFill>
              <a:prstDash val="sysDot"/>
            </a:ln>
          </c:spPr>
          <c:marker>
            <c:symbol val="none"/>
          </c:marker>
          <c:xVal>
            <c:numRef>
              <c:f>TriPlotData!$I$9:$I$110</c:f>
              <c:numCache>
                <c:formatCode>General</c:formatCode>
                <c:ptCount val="10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  <c:pt idx="25">
                  <c:v>24</c:v>
                </c:pt>
                <c:pt idx="26">
                  <c:v>25</c:v>
                </c:pt>
                <c:pt idx="27">
                  <c:v>26</c:v>
                </c:pt>
                <c:pt idx="28">
                  <c:v>27</c:v>
                </c:pt>
                <c:pt idx="29">
                  <c:v>28</c:v>
                </c:pt>
                <c:pt idx="30">
                  <c:v>29</c:v>
                </c:pt>
                <c:pt idx="31">
                  <c:v>30</c:v>
                </c:pt>
                <c:pt idx="32">
                  <c:v>31</c:v>
                </c:pt>
                <c:pt idx="33">
                  <c:v>32</c:v>
                </c:pt>
                <c:pt idx="34">
                  <c:v>33</c:v>
                </c:pt>
                <c:pt idx="35">
                  <c:v>34</c:v>
                </c:pt>
                <c:pt idx="36">
                  <c:v>35</c:v>
                </c:pt>
                <c:pt idx="37">
                  <c:v>36</c:v>
                </c:pt>
                <c:pt idx="38">
                  <c:v>37</c:v>
                </c:pt>
                <c:pt idx="39">
                  <c:v>38</c:v>
                </c:pt>
                <c:pt idx="40">
                  <c:v>39</c:v>
                </c:pt>
                <c:pt idx="41">
                  <c:v>40</c:v>
                </c:pt>
                <c:pt idx="42">
                  <c:v>41</c:v>
                </c:pt>
                <c:pt idx="43">
                  <c:v>42</c:v>
                </c:pt>
                <c:pt idx="44">
                  <c:v>43</c:v>
                </c:pt>
                <c:pt idx="45">
                  <c:v>44</c:v>
                </c:pt>
                <c:pt idx="46">
                  <c:v>45</c:v>
                </c:pt>
                <c:pt idx="47">
                  <c:v>46</c:v>
                </c:pt>
                <c:pt idx="48">
                  <c:v>47</c:v>
                </c:pt>
                <c:pt idx="49">
                  <c:v>48</c:v>
                </c:pt>
                <c:pt idx="50">
                  <c:v>49</c:v>
                </c:pt>
                <c:pt idx="51">
                  <c:v>50</c:v>
                </c:pt>
                <c:pt idx="52">
                  <c:v>51</c:v>
                </c:pt>
                <c:pt idx="53">
                  <c:v>52</c:v>
                </c:pt>
                <c:pt idx="54">
                  <c:v>53</c:v>
                </c:pt>
                <c:pt idx="55">
                  <c:v>54</c:v>
                </c:pt>
                <c:pt idx="56">
                  <c:v>55</c:v>
                </c:pt>
                <c:pt idx="57">
                  <c:v>56</c:v>
                </c:pt>
                <c:pt idx="58">
                  <c:v>57</c:v>
                </c:pt>
                <c:pt idx="59">
                  <c:v>58</c:v>
                </c:pt>
                <c:pt idx="60">
                  <c:v>59</c:v>
                </c:pt>
                <c:pt idx="61">
                  <c:v>60</c:v>
                </c:pt>
                <c:pt idx="62">
                  <c:v>61</c:v>
                </c:pt>
                <c:pt idx="63">
                  <c:v>62</c:v>
                </c:pt>
                <c:pt idx="64">
                  <c:v>63</c:v>
                </c:pt>
                <c:pt idx="65">
                  <c:v>64</c:v>
                </c:pt>
                <c:pt idx="66">
                  <c:v>65</c:v>
                </c:pt>
                <c:pt idx="67">
                  <c:v>66</c:v>
                </c:pt>
                <c:pt idx="68">
                  <c:v>67</c:v>
                </c:pt>
                <c:pt idx="69">
                  <c:v>68</c:v>
                </c:pt>
                <c:pt idx="70">
                  <c:v>69</c:v>
                </c:pt>
                <c:pt idx="71">
                  <c:v>70</c:v>
                </c:pt>
                <c:pt idx="72">
                  <c:v>71</c:v>
                </c:pt>
                <c:pt idx="73">
                  <c:v>72</c:v>
                </c:pt>
                <c:pt idx="74">
                  <c:v>73</c:v>
                </c:pt>
                <c:pt idx="75">
                  <c:v>74</c:v>
                </c:pt>
                <c:pt idx="76">
                  <c:v>75</c:v>
                </c:pt>
                <c:pt idx="77">
                  <c:v>76</c:v>
                </c:pt>
                <c:pt idx="78">
                  <c:v>77</c:v>
                </c:pt>
                <c:pt idx="79">
                  <c:v>78</c:v>
                </c:pt>
                <c:pt idx="80">
                  <c:v>79</c:v>
                </c:pt>
                <c:pt idx="81">
                  <c:v>80</c:v>
                </c:pt>
                <c:pt idx="82">
                  <c:v>81</c:v>
                </c:pt>
                <c:pt idx="83">
                  <c:v>82</c:v>
                </c:pt>
                <c:pt idx="84">
                  <c:v>83</c:v>
                </c:pt>
                <c:pt idx="85">
                  <c:v>84</c:v>
                </c:pt>
                <c:pt idx="86">
                  <c:v>85</c:v>
                </c:pt>
                <c:pt idx="87">
                  <c:v>86</c:v>
                </c:pt>
                <c:pt idx="88">
                  <c:v>87</c:v>
                </c:pt>
                <c:pt idx="89">
                  <c:v>88</c:v>
                </c:pt>
                <c:pt idx="90">
                  <c:v>89</c:v>
                </c:pt>
                <c:pt idx="91">
                  <c:v>90</c:v>
                </c:pt>
                <c:pt idx="92">
                  <c:v>91</c:v>
                </c:pt>
                <c:pt idx="93">
                  <c:v>92</c:v>
                </c:pt>
                <c:pt idx="94">
                  <c:v>93</c:v>
                </c:pt>
                <c:pt idx="95">
                  <c:v>94</c:v>
                </c:pt>
                <c:pt idx="96">
                  <c:v>95</c:v>
                </c:pt>
                <c:pt idx="97">
                  <c:v>96</c:v>
                </c:pt>
                <c:pt idx="98">
                  <c:v>97</c:v>
                </c:pt>
                <c:pt idx="99">
                  <c:v>98</c:v>
                </c:pt>
                <c:pt idx="100">
                  <c:v>99</c:v>
                </c:pt>
                <c:pt idx="101">
                  <c:v>100</c:v>
                </c:pt>
              </c:numCache>
            </c:numRef>
          </c:xVal>
          <c:yVal>
            <c:numRef>
              <c:f>TriPlotData!$L$9:$L$110</c:f>
              <c:numCache>
                <c:formatCode>General</c:formatCode>
                <c:ptCount val="102"/>
                <c:pt idx="0">
                  <c:v>734.84692283495383</c:v>
                </c:pt>
                <c:pt idx="1">
                  <c:v>731.80875205782888</c:v>
                </c:pt>
                <c:pt idx="2">
                  <c:v>728.78314237524512</c:v>
                </c:pt>
                <c:pt idx="3">
                  <c:v>725.77004185427711</c:v>
                </c:pt>
                <c:pt idx="4">
                  <c:v>722.76939877671248</c:v>
                </c:pt>
                <c:pt idx="5">
                  <c:v>719.78116163816389</c:v>
                </c:pt>
                <c:pt idx="6">
                  <c:v>716.80527914718527</c:v>
                </c:pt>
                <c:pt idx="7">
                  <c:v>713.84170022439105</c:v>
                </c:pt>
                <c:pt idx="8">
                  <c:v>710.89037400157997</c:v>
                </c:pt>
                <c:pt idx="9">
                  <c:v>707.95124982086111</c:v>
                </c:pt>
                <c:pt idx="11">
                  <c:v>705.02427723378548</c:v>
                </c:pt>
                <c:pt idx="12">
                  <c:v>702.10940600047911</c:v>
                </c:pt>
                <c:pt idx="13">
                  <c:v>699.20658608878136</c:v>
                </c:pt>
                <c:pt idx="14">
                  <c:v>696.31576767338561</c:v>
                </c:pt>
                <c:pt idx="15">
                  <c:v>693.43690113498451</c:v>
                </c:pt>
                <c:pt idx="16">
                  <c:v>690.56993705941795</c:v>
                </c:pt>
                <c:pt idx="17">
                  <c:v>687.71482623682539</c:v>
                </c:pt>
                <c:pt idx="18">
                  <c:v>684.87151966080057</c:v>
                </c:pt>
                <c:pt idx="19">
                  <c:v>682.03996852755063</c:v>
                </c:pt>
                <c:pt idx="20">
                  <c:v>679.22012423505851</c:v>
                </c:pt>
                <c:pt idx="21">
                  <c:v>676.41193838224842</c:v>
                </c:pt>
                <c:pt idx="22">
                  <c:v>673.61536276815559</c:v>
                </c:pt>
                <c:pt idx="23">
                  <c:v>670.83034939109848</c:v>
                </c:pt>
                <c:pt idx="24">
                  <c:v>668.05685044785503</c:v>
                </c:pt>
                <c:pt idx="25">
                  <c:v>665.29481833284171</c:v>
                </c:pt>
                <c:pt idx="26">
                  <c:v>662.54420563729752</c:v>
                </c:pt>
                <c:pt idx="27">
                  <c:v>659.8049651484688</c:v>
                </c:pt>
                <c:pt idx="28">
                  <c:v>657.07704984880002</c:v>
                </c:pt>
                <c:pt idx="29">
                  <c:v>654.36041291512606</c:v>
                </c:pt>
                <c:pt idx="30">
                  <c:v>651.6550077178689</c:v>
                </c:pt>
                <c:pt idx="31">
                  <c:v>648.96078782023699</c:v>
                </c:pt>
                <c:pt idx="32">
                  <c:v>646.27770697742835</c:v>
                </c:pt>
                <c:pt idx="33">
                  <c:v>643.60571913583647</c:v>
                </c:pt>
                <c:pt idx="34">
                  <c:v>640.9447784322607</c:v>
                </c:pt>
                <c:pt idx="35">
                  <c:v>638.29483919311792</c:v>
                </c:pt>
                <c:pt idx="36">
                  <c:v>635.65585593365927</c:v>
                </c:pt>
                <c:pt idx="37">
                  <c:v>633.02778335718915</c:v>
                </c:pt>
                <c:pt idx="38">
                  <c:v>630.41057635428797</c:v>
                </c:pt>
                <c:pt idx="39">
                  <c:v>627.8041900020379</c:v>
                </c:pt>
                <c:pt idx="40">
                  <c:v>625.20857956325108</c:v>
                </c:pt>
                <c:pt idx="41">
                  <c:v>622.62370048570267</c:v>
                </c:pt>
                <c:pt idx="42">
                  <c:v>620.04950840136587</c:v>
                </c:pt>
                <c:pt idx="43">
                  <c:v>617.48595912564986</c:v>
                </c:pt>
                <c:pt idx="44">
                  <c:v>614.93300865664196</c:v>
                </c:pt>
                <c:pt idx="45">
                  <c:v>612.39061317435232</c:v>
                </c:pt>
                <c:pt idx="46">
                  <c:v>609.85872903996119</c:v>
                </c:pt>
                <c:pt idx="47">
                  <c:v>607.33731279507083</c:v>
                </c:pt>
                <c:pt idx="48">
                  <c:v>604.82632116095886</c:v>
                </c:pt>
                <c:pt idx="49">
                  <c:v>602.32571103783539</c:v>
                </c:pt>
                <c:pt idx="50">
                  <c:v>599.83543950410376</c:v>
                </c:pt>
                <c:pt idx="51">
                  <c:v>597.35546381562347</c:v>
                </c:pt>
                <c:pt idx="52">
                  <c:v>594.88574140497644</c:v>
                </c:pt>
                <c:pt idx="53">
                  <c:v>592.4262298807364</c:v>
                </c:pt>
                <c:pt idx="54">
                  <c:v>589.97688702674157</c:v>
                </c:pt>
                <c:pt idx="55">
                  <c:v>587.53767080136936</c:v>
                </c:pt>
                <c:pt idx="56">
                  <c:v>585.10853933681585</c:v>
                </c:pt>
                <c:pt idx="57">
                  <c:v>582.6894509383759</c:v>
                </c:pt>
                <c:pt idx="58">
                  <c:v>580.28036408372827</c:v>
                </c:pt>
                <c:pt idx="59">
                  <c:v>577.88123742222285</c:v>
                </c:pt>
                <c:pt idx="60">
                  <c:v>575.49202977417053</c:v>
                </c:pt>
                <c:pt idx="61">
                  <c:v>573.11270013013677</c:v>
                </c:pt>
                <c:pt idx="62">
                  <c:v>570.74320765023754</c:v>
                </c:pt>
                <c:pt idx="63">
                  <c:v>568.38351166343818</c:v>
                </c:pt>
                <c:pt idx="64">
                  <c:v>566.03357166685555</c:v>
                </c:pt>
                <c:pt idx="65">
                  <c:v>563.69334732506275</c:v>
                </c:pt>
                <c:pt idx="66">
                  <c:v>561.36279846939681</c:v>
                </c:pt>
                <c:pt idx="67">
                  <c:v>559.04188509726873</c:v>
                </c:pt>
                <c:pt idx="68">
                  <c:v>556.73056737147783</c:v>
                </c:pt>
                <c:pt idx="69">
                  <c:v>554.42880561952711</c:v>
                </c:pt>
                <c:pt idx="70">
                  <c:v>552.13656033294262</c:v>
                </c:pt>
                <c:pt idx="71">
                  <c:v>549.85379216659555</c:v>
                </c:pt>
                <c:pt idx="72">
                  <c:v>547.58046193802613</c:v>
                </c:pt>
                <c:pt idx="73">
                  <c:v>545.31653062677219</c:v>
                </c:pt>
                <c:pt idx="74">
                  <c:v>543.06195937369841</c:v>
                </c:pt>
                <c:pt idx="75">
                  <c:v>540.81670948032991</c:v>
                </c:pt>
                <c:pt idx="76">
                  <c:v>538.58074240818769</c:v>
                </c:pt>
                <c:pt idx="77">
                  <c:v>536.35401977812739</c:v>
                </c:pt>
                <c:pt idx="78">
                  <c:v>534.13650336968021</c:v>
                </c:pt>
                <c:pt idx="79">
                  <c:v>531.92815512039749</c:v>
                </c:pt>
                <c:pt idx="80">
                  <c:v>529.72893712519635</c:v>
                </c:pt>
                <c:pt idx="81">
                  <c:v>527.53881163571032</c:v>
                </c:pt>
                <c:pt idx="82">
                  <c:v>525.35774105964049</c:v>
                </c:pt>
                <c:pt idx="83">
                  <c:v>523.1856879601105</c:v>
                </c:pt>
                <c:pt idx="84">
                  <c:v>521.02261505502406</c:v>
                </c:pt>
                <c:pt idx="85">
                  <c:v>518.86848521642514</c:v>
                </c:pt>
                <c:pt idx="86">
                  <c:v>516.7232614698604</c:v>
                </c:pt>
                <c:pt idx="87">
                  <c:v>514.58690699374449</c:v>
                </c:pt>
                <c:pt idx="88">
                  <c:v>512.45938511872862</c:v>
                </c:pt>
                <c:pt idx="89">
                  <c:v>510.34065932707034</c:v>
                </c:pt>
                <c:pt idx="90">
                  <c:v>508.23069325200743</c:v>
                </c:pt>
                <c:pt idx="91">
                  <c:v>506.12945067713309</c:v>
                </c:pt>
                <c:pt idx="92">
                  <c:v>504.03689553577487</c:v>
                </c:pt>
                <c:pt idx="93">
                  <c:v>501.95299191037526</c:v>
                </c:pt>
                <c:pt idx="94">
                  <c:v>499.87770403187511</c:v>
                </c:pt>
                <c:pt idx="95">
                  <c:v>497.81099627909992</c:v>
                </c:pt>
                <c:pt idx="96">
                  <c:v>495.75283317814853</c:v>
                </c:pt>
                <c:pt idx="97">
                  <c:v>493.7031794017837</c:v>
                </c:pt>
                <c:pt idx="98">
                  <c:v>491.66199976882626</c:v>
                </c:pt>
                <c:pt idx="99">
                  <c:v>489.62925924355102</c:v>
                </c:pt>
                <c:pt idx="100">
                  <c:v>487.60492293508537</c:v>
                </c:pt>
                <c:pt idx="101">
                  <c:v>485.58895609681048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998-4A2D-A6C7-618273A763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4368640"/>
        <c:axId val="194370560"/>
      </c:scatterChart>
      <c:valAx>
        <c:axId val="194368640"/>
        <c:scaling>
          <c:orientation val="minMax"/>
          <c:max val="100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 b="0"/>
                </a:pPr>
                <a:r>
                  <a:rPr lang="en-US" b="0"/>
                  <a:t>Time Post-injection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94370560"/>
        <c:crossesAt val="-4000"/>
        <c:crossBetween val="midCat"/>
      </c:valAx>
      <c:valAx>
        <c:axId val="19437056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b="0"/>
                </a:pPr>
                <a:r>
                  <a:rPr lang="en-US" b="0"/>
                  <a:t>Activity Concentration (kBq/ml)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94368640"/>
        <c:crosses val="autoZero"/>
        <c:crossBetween val="midCat"/>
      </c:valAx>
      <c:spPr>
        <a:ln w="3175">
          <a:solidFill>
            <a:schemeClr val="tx1"/>
          </a:solidFill>
        </a:ln>
      </c:spPr>
    </c:plotArea>
    <c:plotVisOnly val="1"/>
    <c:dispBlanksAs val="gap"/>
    <c:showDLblsOverMax val="0"/>
  </c:chart>
  <c:txPr>
    <a:bodyPr/>
    <a:lstStyle/>
    <a:p>
      <a:pPr>
        <a:defRPr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257736</xdr:colOff>
      <xdr:row>2</xdr:row>
      <xdr:rowOff>8404</xdr:rowOff>
    </xdr:from>
    <xdr:to>
      <xdr:col>17</xdr:col>
      <xdr:colOff>525557</xdr:colOff>
      <xdr:row>27</xdr:row>
      <xdr:rowOff>78442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509789</xdr:colOff>
      <xdr:row>79</xdr:row>
      <xdr:rowOff>103014</xdr:rowOff>
    </xdr:from>
    <xdr:to>
      <xdr:col>17</xdr:col>
      <xdr:colOff>72038</xdr:colOff>
      <xdr:row>103</xdr:row>
      <xdr:rowOff>26413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516508</xdr:colOff>
      <xdr:row>28</xdr:row>
      <xdr:rowOff>2990</xdr:rowOff>
    </xdr:from>
    <xdr:to>
      <xdr:col>17</xdr:col>
      <xdr:colOff>63376</xdr:colOff>
      <xdr:row>53</xdr:row>
      <xdr:rowOff>104259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525135</xdr:colOff>
      <xdr:row>53</xdr:row>
      <xdr:rowOff>128654</xdr:rowOff>
    </xdr:from>
    <xdr:to>
      <xdr:col>17</xdr:col>
      <xdr:colOff>69636</xdr:colOff>
      <xdr:row>79</xdr:row>
      <xdr:rowOff>72037</xdr:rowOff>
    </xdr:to>
    <xdr:graphicFrame macro="">
      <xdr:nvGraphicFramePr>
        <xdr:cNvPr id="8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O93"/>
  <sheetViews>
    <sheetView tabSelected="1" topLeftCell="A52" zoomScale="85" zoomScaleNormal="85" workbookViewId="0">
      <selection activeCell="F18" sqref="F18"/>
    </sheetView>
  </sheetViews>
  <sheetFormatPr defaultRowHeight="12.75" x14ac:dyDescent="0.2"/>
  <cols>
    <col min="2" max="2" width="26.28515625" customWidth="1"/>
    <col min="3" max="3" width="19" customWidth="1"/>
    <col min="4" max="4" width="20.7109375" customWidth="1"/>
    <col min="5" max="5" width="22.5703125" customWidth="1"/>
    <col min="6" max="6" width="10" bestFit="1" customWidth="1"/>
    <col min="10" max="10" width="10" bestFit="1" customWidth="1"/>
    <col min="14" max="15" width="10" bestFit="1" customWidth="1"/>
  </cols>
  <sheetData>
    <row r="6" spans="2:6" ht="13.5" thickBot="1" x14ac:dyDescent="0.25"/>
    <row r="7" spans="2:6" ht="25.5" x14ac:dyDescent="0.2">
      <c r="B7" s="10" t="s">
        <v>68</v>
      </c>
      <c r="C7" s="11" t="s">
        <v>63</v>
      </c>
      <c r="D7" s="11" t="s">
        <v>66</v>
      </c>
      <c r="E7" s="12" t="s">
        <v>67</v>
      </c>
    </row>
    <row r="8" spans="2:6" x14ac:dyDescent="0.2">
      <c r="B8" s="28">
        <v>1</v>
      </c>
      <c r="C8" s="5">
        <v>4</v>
      </c>
      <c r="D8" s="5">
        <v>1200</v>
      </c>
      <c r="E8" s="13">
        <f>D8*(2^(C8/161.04))</f>
        <v>1220.8389999965052</v>
      </c>
    </row>
    <row r="9" spans="2:6" x14ac:dyDescent="0.2">
      <c r="B9" s="28">
        <v>2</v>
      </c>
      <c r="C9" s="5">
        <v>24</v>
      </c>
      <c r="D9" s="5">
        <v>600</v>
      </c>
      <c r="E9" s="13">
        <f>D9*(2^(C9/161.04))</f>
        <v>665.29481833284092</v>
      </c>
    </row>
    <row r="10" spans="2:6" ht="13.5" thickBot="1" x14ac:dyDescent="0.25">
      <c r="B10" s="29">
        <v>3</v>
      </c>
      <c r="C10" s="8">
        <v>72</v>
      </c>
      <c r="D10" s="8">
        <v>400</v>
      </c>
      <c r="E10" s="14">
        <f>D10*(2^(C10/161.04))</f>
        <v>545.31653062677083</v>
      </c>
    </row>
    <row r="11" spans="2:6" ht="13.5" thickBot="1" x14ac:dyDescent="0.25"/>
    <row r="12" spans="2:6" x14ac:dyDescent="0.2">
      <c r="B12" s="17" t="s">
        <v>69</v>
      </c>
      <c r="C12" s="18"/>
    </row>
    <row r="13" spans="2:6" x14ac:dyDescent="0.2">
      <c r="B13" s="4" t="s">
        <v>47</v>
      </c>
      <c r="C13" s="6">
        <f>IF(D45,D62,D91)</f>
        <v>-1915.5622887156512</v>
      </c>
    </row>
    <row r="14" spans="2:6" x14ac:dyDescent="0.2">
      <c r="B14" s="4" t="s">
        <v>48</v>
      </c>
      <c r="C14" s="6">
        <f>IF(D45,D63,D92)</f>
        <v>-1.3</v>
      </c>
    </row>
    <row r="15" spans="2:6" x14ac:dyDescent="0.2">
      <c r="B15" s="4" t="s">
        <v>43</v>
      </c>
      <c r="C15" s="6">
        <f>IF(D45,D61,D93)</f>
        <v>1180.7153658806974</v>
      </c>
      <c r="F15" s="1"/>
    </row>
    <row r="16" spans="2:6" x14ac:dyDescent="0.2">
      <c r="B16" s="4" t="s">
        <v>44</v>
      </c>
      <c r="C16" s="6">
        <f>IF(D45,F53,F83)</f>
        <v>-0.21578398682410641</v>
      </c>
      <c r="F16" s="1"/>
    </row>
    <row r="17" spans="2:8" x14ac:dyDescent="0.2">
      <c r="B17" s="4" t="s">
        <v>2</v>
      </c>
      <c r="C17" s="6">
        <f>IF(D45,D47,D76)</f>
        <v>734.84692283495383</v>
      </c>
    </row>
    <row r="18" spans="2:8" ht="13.5" thickBot="1" x14ac:dyDescent="0.25">
      <c r="B18" s="7" t="s">
        <v>38</v>
      </c>
      <c r="C18" s="9">
        <f>IF(D45,D46,D77)</f>
        <v>-4.14299712582552E-3</v>
      </c>
    </row>
    <row r="19" spans="2:8" ht="13.5" thickBot="1" x14ac:dyDescent="0.25"/>
    <row r="20" spans="2:8" x14ac:dyDescent="0.2">
      <c r="B20" s="15" t="s">
        <v>70</v>
      </c>
      <c r="C20" s="19">
        <v>161.04</v>
      </c>
      <c r="D20" s="16" t="s">
        <v>53</v>
      </c>
    </row>
    <row r="21" spans="2:8" x14ac:dyDescent="0.2">
      <c r="B21" s="4" t="s">
        <v>54</v>
      </c>
      <c r="C21" s="5">
        <v>8.6700000000000007E-5</v>
      </c>
      <c r="D21" s="6" t="s">
        <v>64</v>
      </c>
    </row>
    <row r="22" spans="2:8" x14ac:dyDescent="0.2">
      <c r="B22" s="4" t="s">
        <v>51</v>
      </c>
      <c r="C22" s="5">
        <f>C13/((LN(2)/C20-C14))+C15/((LN(2)/C20-C16))+C17/(LN(2)/C20-C18)</f>
        <v>90889.155356385862</v>
      </c>
      <c r="D22" s="6" t="s">
        <v>65</v>
      </c>
    </row>
    <row r="23" spans="2:8" ht="13.5" thickBot="1" x14ac:dyDescent="0.25">
      <c r="B23" s="20" t="s">
        <v>71</v>
      </c>
      <c r="C23" s="21">
        <f>C22*C21</f>
        <v>7.8800897693986549</v>
      </c>
      <c r="D23" s="22" t="s">
        <v>52</v>
      </c>
    </row>
    <row r="26" spans="2:8" ht="13.5" thickBot="1" x14ac:dyDescent="0.25"/>
    <row r="27" spans="2:8" x14ac:dyDescent="0.2">
      <c r="B27" s="17" t="s">
        <v>72</v>
      </c>
      <c r="C27" s="27"/>
      <c r="D27" s="27"/>
      <c r="E27" s="27"/>
      <c r="F27" s="27"/>
      <c r="G27" s="27"/>
      <c r="H27" s="18"/>
    </row>
    <row r="28" spans="2:8" x14ac:dyDescent="0.2">
      <c r="B28" s="4" t="s">
        <v>1</v>
      </c>
      <c r="C28" s="5"/>
      <c r="D28" s="5">
        <f>(((E10-E8)/(C10-C8))*C9+(E8-((E10-E8)/((C10-C8))*C8)))</f>
        <v>1022.1559207701127</v>
      </c>
      <c r="E28" s="5"/>
      <c r="F28" s="5"/>
      <c r="G28" s="5"/>
      <c r="H28" s="6"/>
    </row>
    <row r="29" spans="2:8" x14ac:dyDescent="0.2">
      <c r="B29" s="4" t="s">
        <v>2</v>
      </c>
      <c r="C29" s="5"/>
      <c r="D29" s="5">
        <f>E10/(EXP(-0.001*C10))</f>
        <v>586.02732384439753</v>
      </c>
      <c r="E29" s="5"/>
      <c r="F29" s="5"/>
      <c r="G29" s="5"/>
      <c r="H29" s="6"/>
    </row>
    <row r="30" spans="2:8" x14ac:dyDescent="0.2">
      <c r="B30" s="4" t="s">
        <v>3</v>
      </c>
      <c r="C30" s="5"/>
      <c r="D30" s="5">
        <f>D29*EXP(-0.001*C9)</f>
        <v>572.13010179695584</v>
      </c>
      <c r="E30" s="5"/>
      <c r="F30" s="5"/>
      <c r="G30" s="5"/>
      <c r="H30" s="6"/>
    </row>
    <row r="31" spans="2:8" x14ac:dyDescent="0.2">
      <c r="B31" s="4"/>
      <c r="C31" s="5"/>
      <c r="D31" s="5"/>
      <c r="E31" s="5"/>
      <c r="F31" s="5"/>
      <c r="G31" s="5"/>
      <c r="H31" s="6"/>
    </row>
    <row r="32" spans="2:8" x14ac:dyDescent="0.2">
      <c r="B32" s="4" t="s">
        <v>5</v>
      </c>
      <c r="C32" s="5"/>
      <c r="D32" s="23" t="b">
        <f>IF(E9&lt;D30,TRUE)</f>
        <v>0</v>
      </c>
      <c r="E32" s="23" t="s">
        <v>9</v>
      </c>
      <c r="F32" s="5"/>
      <c r="G32" s="5"/>
      <c r="H32" s="6"/>
    </row>
    <row r="33" spans="2:15" x14ac:dyDescent="0.2">
      <c r="B33" s="4" t="s">
        <v>4</v>
      </c>
      <c r="C33" s="5"/>
      <c r="D33" s="23" t="b">
        <f>IF(E8&lt;E10,TRUE)</f>
        <v>0</v>
      </c>
      <c r="E33" s="5"/>
      <c r="F33" s="5"/>
      <c r="G33" s="5"/>
      <c r="H33" s="6"/>
      <c r="N33" s="2"/>
      <c r="O33" s="2"/>
    </row>
    <row r="34" spans="2:15" x14ac:dyDescent="0.2">
      <c r="B34" s="4" t="s">
        <v>6</v>
      </c>
      <c r="C34" s="5"/>
      <c r="D34" s="23" t="b">
        <f>IF(E9&lt;D28,TRUE)</f>
        <v>1</v>
      </c>
      <c r="E34" s="5"/>
      <c r="F34" s="5"/>
      <c r="G34" s="5"/>
      <c r="H34" s="6"/>
      <c r="N34" s="3"/>
      <c r="O34" s="3"/>
    </row>
    <row r="35" spans="2:15" x14ac:dyDescent="0.2">
      <c r="B35" s="4" t="s">
        <v>7</v>
      </c>
      <c r="C35" s="5"/>
      <c r="D35" s="5" t="b">
        <f>IF(D32,IF(D33,IF(D34,D28)))</f>
        <v>0</v>
      </c>
      <c r="E35" s="5"/>
      <c r="F35" s="5"/>
      <c r="G35" s="5"/>
      <c r="H35" s="6"/>
    </row>
    <row r="36" spans="2:15" x14ac:dyDescent="0.2">
      <c r="B36" s="4" t="s">
        <v>28</v>
      </c>
      <c r="C36" s="5"/>
      <c r="D36" s="23" t="b">
        <f>IF(NOT(D33),TRUE)</f>
        <v>1</v>
      </c>
      <c r="E36" s="5"/>
      <c r="F36" s="5"/>
      <c r="G36" s="5"/>
      <c r="H36" s="6"/>
    </row>
    <row r="37" spans="2:15" x14ac:dyDescent="0.2">
      <c r="B37" s="4" t="s">
        <v>8</v>
      </c>
      <c r="C37" s="5"/>
      <c r="D37" s="5" t="b">
        <f>IF(D32,IF(D36,D30))</f>
        <v>0</v>
      </c>
      <c r="E37" s="5"/>
      <c r="F37" s="5"/>
      <c r="G37" s="5"/>
      <c r="H37" s="6"/>
    </row>
    <row r="38" spans="2:15" x14ac:dyDescent="0.2">
      <c r="B38" s="24" t="s">
        <v>0</v>
      </c>
      <c r="C38" s="25"/>
      <c r="D38" s="25">
        <f>IF(D32,IF(D33,IF(D34,D35,E9),D37),E9)</f>
        <v>665.29481833284092</v>
      </c>
      <c r="E38" s="5"/>
      <c r="F38" s="5"/>
      <c r="G38" s="5"/>
      <c r="H38" s="6"/>
    </row>
    <row r="39" spans="2:15" x14ac:dyDescent="0.2">
      <c r="B39" s="4"/>
      <c r="C39" s="5"/>
      <c r="D39" s="5"/>
      <c r="E39" s="5"/>
      <c r="F39" s="5"/>
      <c r="G39" s="5"/>
      <c r="H39" s="6"/>
    </row>
    <row r="40" spans="2:15" x14ac:dyDescent="0.2">
      <c r="B40" s="4" t="s">
        <v>10</v>
      </c>
      <c r="C40" s="5"/>
      <c r="D40" s="23" t="b">
        <f>IF(E10&lt;0.1*E9,TRUE)</f>
        <v>0</v>
      </c>
      <c r="E40" s="5"/>
      <c r="F40" s="5"/>
      <c r="G40" s="5"/>
      <c r="H40" s="6"/>
    </row>
    <row r="41" spans="2:15" x14ac:dyDescent="0.2">
      <c r="B41" s="4" t="s">
        <v>11</v>
      </c>
      <c r="C41" s="5"/>
      <c r="D41" s="5" t="b">
        <f>IF(D40,0.1*E9,FALSE)</f>
        <v>0</v>
      </c>
      <c r="E41" s="5"/>
      <c r="F41" s="5"/>
      <c r="G41" s="5"/>
      <c r="H41" s="6"/>
    </row>
    <row r="42" spans="2:15" x14ac:dyDescent="0.2">
      <c r="B42" s="4" t="s">
        <v>12</v>
      </c>
      <c r="C42" s="5"/>
      <c r="D42" s="23" t="b">
        <f>IF(E8&lt;0.2*E9,TRUE)</f>
        <v>0</v>
      </c>
      <c r="E42" s="5"/>
      <c r="F42" s="5"/>
      <c r="G42" s="5"/>
      <c r="H42" s="6"/>
    </row>
    <row r="43" spans="2:15" x14ac:dyDescent="0.2">
      <c r="B43" s="4" t="s">
        <v>13</v>
      </c>
      <c r="C43" s="5"/>
      <c r="D43" s="5" t="b">
        <f>IF(D42,0.2*E9)</f>
        <v>0</v>
      </c>
      <c r="E43" s="5"/>
      <c r="F43" s="5"/>
      <c r="G43" s="5"/>
      <c r="H43" s="6"/>
    </row>
    <row r="44" spans="2:15" x14ac:dyDescent="0.2">
      <c r="B44" s="4"/>
      <c r="C44" s="5"/>
      <c r="D44" s="5"/>
      <c r="E44" s="5"/>
      <c r="F44" s="5"/>
      <c r="G44" s="5"/>
      <c r="H44" s="6"/>
    </row>
    <row r="45" spans="2:15" x14ac:dyDescent="0.2">
      <c r="B45" s="4" t="s">
        <v>14</v>
      </c>
      <c r="C45" s="5"/>
      <c r="D45" s="23" t="b">
        <f>IF(E10&gt;D38,TRUE)</f>
        <v>0</v>
      </c>
      <c r="E45" s="5"/>
      <c r="F45" s="5"/>
      <c r="G45" s="5"/>
      <c r="H45" s="6"/>
    </row>
    <row r="46" spans="2:15" x14ac:dyDescent="0.2">
      <c r="B46" s="24" t="s">
        <v>15</v>
      </c>
      <c r="C46" s="25"/>
      <c r="D46" s="25" t="b">
        <f>IF(D45,-0.001)</f>
        <v>0</v>
      </c>
      <c r="E46" s="5"/>
      <c r="F46" s="5"/>
      <c r="G46" s="5"/>
      <c r="H46" s="6"/>
    </row>
    <row r="47" spans="2:15" x14ac:dyDescent="0.2">
      <c r="B47" s="24" t="s">
        <v>16</v>
      </c>
      <c r="C47" s="25"/>
      <c r="D47" s="25" t="b">
        <f>IF(D45,E10/(EXP(-0.001*C10)))</f>
        <v>0</v>
      </c>
      <c r="E47" s="5"/>
      <c r="F47" s="5"/>
      <c r="G47" s="5"/>
      <c r="H47" s="6"/>
    </row>
    <row r="48" spans="2:15" x14ac:dyDescent="0.2">
      <c r="B48" s="4" t="s">
        <v>20</v>
      </c>
      <c r="C48" s="5"/>
      <c r="D48" s="5" t="b">
        <f>IF(D45,C9)</f>
        <v>0</v>
      </c>
      <c r="E48" s="5" t="b">
        <f>IF(D45,C10)</f>
        <v>0</v>
      </c>
      <c r="F48" s="5"/>
      <c r="G48" s="5"/>
      <c r="H48" s="6"/>
    </row>
    <row r="49" spans="2:8" x14ac:dyDescent="0.2">
      <c r="B49" s="4" t="s">
        <v>21</v>
      </c>
      <c r="C49" s="5"/>
      <c r="D49" s="5" t="b">
        <f>IF(D45,(D38-(D47*EXP(D46*C9))))</f>
        <v>0</v>
      </c>
      <c r="E49" s="5" t="b">
        <f>IF(D45,0.01*E10)</f>
        <v>0</v>
      </c>
      <c r="F49" s="5"/>
      <c r="G49" s="5"/>
      <c r="H49" s="6"/>
    </row>
    <row r="50" spans="2:8" x14ac:dyDescent="0.2">
      <c r="B50" s="4" t="s">
        <v>27</v>
      </c>
      <c r="C50" s="5"/>
      <c r="D50" s="5">
        <f>IF(D49&lt;0,-1,1)</f>
        <v>1</v>
      </c>
      <c r="E50" s="5"/>
      <c r="F50" s="5"/>
      <c r="G50" s="5"/>
      <c r="H50" s="6"/>
    </row>
    <row r="51" spans="2:8" x14ac:dyDescent="0.2">
      <c r="B51" s="4" t="s">
        <v>21</v>
      </c>
      <c r="C51" s="5"/>
      <c r="D51" s="5">
        <f>D49*D50</f>
        <v>0</v>
      </c>
      <c r="E51" s="5" t="b">
        <f>E49</f>
        <v>0</v>
      </c>
      <c r="F51" s="5"/>
      <c r="G51" s="5"/>
      <c r="H51" s="6"/>
    </row>
    <row r="52" spans="2:8" x14ac:dyDescent="0.2">
      <c r="B52" s="4" t="s">
        <v>22</v>
      </c>
      <c r="C52" s="5"/>
      <c r="D52" s="5" t="b">
        <f t="array" ref="D52:E52">IF(D45,LOGEST(D51:E51,D48:E48,TRUE,TRUE))</f>
        <v>0</v>
      </c>
      <c r="E52" s="5" t="b">
        <v>0</v>
      </c>
      <c r="F52" s="5" t="b">
        <f>IF(D45,LN(D52))</f>
        <v>0</v>
      </c>
      <c r="G52" s="5"/>
      <c r="H52" s="6"/>
    </row>
    <row r="53" spans="2:8" x14ac:dyDescent="0.2">
      <c r="B53" s="4" t="s">
        <v>45</v>
      </c>
      <c r="C53" s="5"/>
      <c r="D53" s="5" t="b">
        <f>IF(D45,D52)</f>
        <v>0</v>
      </c>
      <c r="E53" s="5" t="b">
        <f>IF(D45,E52*D50)</f>
        <v>0</v>
      </c>
      <c r="F53" s="25" t="b">
        <f>IF(D45,F52)</f>
        <v>0</v>
      </c>
      <c r="G53" s="5"/>
      <c r="H53" s="6"/>
    </row>
    <row r="54" spans="2:8" x14ac:dyDescent="0.2">
      <c r="B54" s="4" t="s">
        <v>23</v>
      </c>
      <c r="C54" s="5"/>
      <c r="D54" s="23" t="b">
        <f>IF(D45,IF(E53+D47&lt;0,TRUE))</f>
        <v>0</v>
      </c>
      <c r="E54" s="5"/>
      <c r="F54" s="5"/>
      <c r="G54" s="5"/>
      <c r="H54" s="6"/>
    </row>
    <row r="55" spans="2:8" x14ac:dyDescent="0.2">
      <c r="B55" s="4" t="s">
        <v>24</v>
      </c>
      <c r="C55" s="5"/>
      <c r="D55" s="5" t="b">
        <f>IF(D45,-D47)</f>
        <v>0</v>
      </c>
      <c r="E55" s="5"/>
      <c r="F55" s="5"/>
      <c r="G55" s="5"/>
      <c r="H55" s="6"/>
    </row>
    <row r="56" spans="2:8" x14ac:dyDescent="0.2">
      <c r="B56" s="4" t="s">
        <v>25</v>
      </c>
      <c r="C56" s="5"/>
      <c r="D56" s="5" t="b">
        <f>IF(D45,0)</f>
        <v>0</v>
      </c>
      <c r="E56" s="5"/>
      <c r="F56" s="5"/>
      <c r="G56" s="5" t="b">
        <f>D48</f>
        <v>0</v>
      </c>
      <c r="H56" s="6">
        <f>D51</f>
        <v>0</v>
      </c>
    </row>
    <row r="57" spans="2:8" x14ac:dyDescent="0.2">
      <c r="B57" s="4" t="s">
        <v>26</v>
      </c>
      <c r="C57" s="5"/>
      <c r="D57" s="5" t="b">
        <f>IF(D45,0)</f>
        <v>0</v>
      </c>
      <c r="E57" s="5"/>
      <c r="F57" s="5"/>
      <c r="G57" s="5" t="b">
        <f>E48</f>
        <v>0</v>
      </c>
      <c r="H57" s="6" t="b">
        <f>E51</f>
        <v>0</v>
      </c>
    </row>
    <row r="58" spans="2:8" x14ac:dyDescent="0.2">
      <c r="B58" s="4" t="s">
        <v>28</v>
      </c>
      <c r="C58" s="5"/>
      <c r="D58" s="23" t="b">
        <f>IF(NOT(D54),TRUE)</f>
        <v>1</v>
      </c>
      <c r="E58" s="5"/>
      <c r="F58" s="5"/>
      <c r="G58" s="5"/>
      <c r="H58" s="6"/>
    </row>
    <row r="59" spans="2:8" x14ac:dyDescent="0.2">
      <c r="B59" s="4" t="s">
        <v>29</v>
      </c>
      <c r="C59" s="5"/>
      <c r="D59" s="5" t="b">
        <f>IF(D45,IF(D58,IF(D54,-(D55+D47),-(D47+E53))))</f>
        <v>0</v>
      </c>
      <c r="E59" s="5"/>
      <c r="F59" s="5"/>
      <c r="G59" s="5"/>
      <c r="H59" s="6"/>
    </row>
    <row r="60" spans="2:8" x14ac:dyDescent="0.2">
      <c r="B60" s="4" t="s">
        <v>40</v>
      </c>
      <c r="C60" s="5"/>
      <c r="D60" s="5" t="b">
        <f>IF(D45,IF(D58,-1.3))</f>
        <v>0</v>
      </c>
      <c r="E60" s="5"/>
      <c r="F60" s="5"/>
      <c r="G60" s="5"/>
      <c r="H60" s="6"/>
    </row>
    <row r="61" spans="2:8" x14ac:dyDescent="0.2">
      <c r="B61" s="24" t="s">
        <v>46</v>
      </c>
      <c r="C61" s="25"/>
      <c r="D61" s="5" t="b">
        <f>IF(D45,IF(D54,D55,E53))</f>
        <v>0</v>
      </c>
      <c r="E61" s="5"/>
      <c r="F61" s="5"/>
      <c r="G61" s="5"/>
      <c r="H61" s="6"/>
    </row>
    <row r="62" spans="2:8" x14ac:dyDescent="0.2">
      <c r="B62" s="24" t="s">
        <v>41</v>
      </c>
      <c r="C62" s="25"/>
      <c r="D62" s="5" t="b">
        <f>IF(D45,IF(D54,D56,D59))</f>
        <v>0</v>
      </c>
      <c r="E62" s="5"/>
      <c r="F62" s="5"/>
      <c r="G62" s="5"/>
      <c r="H62" s="6"/>
    </row>
    <row r="63" spans="2:8" x14ac:dyDescent="0.2">
      <c r="B63" s="24" t="s">
        <v>42</v>
      </c>
      <c r="C63" s="25"/>
      <c r="D63" s="5" t="b">
        <f>IF(D45,IF(D54,D57,D60))</f>
        <v>0</v>
      </c>
      <c r="E63" s="5"/>
      <c r="F63" s="5"/>
      <c r="G63" s="5"/>
      <c r="H63" s="6"/>
    </row>
    <row r="64" spans="2:8" x14ac:dyDescent="0.2">
      <c r="B64" s="4"/>
      <c r="C64" s="5"/>
      <c r="D64" s="5"/>
      <c r="E64" s="5"/>
      <c r="F64" s="5"/>
      <c r="G64" s="5"/>
      <c r="H64" s="6"/>
    </row>
    <row r="65" spans="2:8" x14ac:dyDescent="0.2">
      <c r="B65" s="4"/>
      <c r="C65" s="5"/>
      <c r="D65" s="5"/>
      <c r="E65" s="5"/>
      <c r="F65" s="5"/>
      <c r="G65" s="5"/>
      <c r="H65" s="6"/>
    </row>
    <row r="66" spans="2:8" x14ac:dyDescent="0.2">
      <c r="B66" s="4" t="s">
        <v>30</v>
      </c>
      <c r="C66" s="5"/>
      <c r="D66" s="23" t="b">
        <f>IF(NOT(D45),TRUE)</f>
        <v>1</v>
      </c>
      <c r="E66" s="5"/>
      <c r="F66" s="5"/>
      <c r="G66" s="5"/>
      <c r="H66" s="6"/>
    </row>
    <row r="67" spans="2:8" x14ac:dyDescent="0.2">
      <c r="B67" s="4" t="s">
        <v>20</v>
      </c>
      <c r="C67" s="5"/>
      <c r="D67" s="5">
        <f>IF(D66,C9)</f>
        <v>24</v>
      </c>
      <c r="E67" s="5">
        <f>IF(D66,C10)</f>
        <v>72</v>
      </c>
      <c r="F67" s="5"/>
      <c r="G67" s="5"/>
      <c r="H67" s="6"/>
    </row>
    <row r="68" spans="2:8" x14ac:dyDescent="0.2">
      <c r="B68" s="4" t="s">
        <v>31</v>
      </c>
      <c r="C68" s="5"/>
      <c r="D68" s="5">
        <f>IF(D66,D38)</f>
        <v>665.29481833284092</v>
      </c>
      <c r="E68" s="5">
        <f>IF(D66,E10)</f>
        <v>545.31653062677083</v>
      </c>
      <c r="F68" s="5"/>
      <c r="G68" s="5"/>
      <c r="H68" s="6"/>
    </row>
    <row r="69" spans="2:8" x14ac:dyDescent="0.2">
      <c r="B69" s="4" t="s">
        <v>27</v>
      </c>
      <c r="C69" s="5"/>
      <c r="D69" s="5">
        <f>IF(D68&lt;0,-1,1)</f>
        <v>1</v>
      </c>
      <c r="E69" s="5"/>
      <c r="F69" s="5"/>
      <c r="G69" s="5"/>
      <c r="H69" s="6"/>
    </row>
    <row r="70" spans="2:8" x14ac:dyDescent="0.2">
      <c r="B70" s="4" t="s">
        <v>21</v>
      </c>
      <c r="C70" s="5"/>
      <c r="D70" s="5">
        <f>IF(D68,D68*D69)</f>
        <v>665.29481833284092</v>
      </c>
      <c r="E70" s="5">
        <f>E68</f>
        <v>545.31653062677083</v>
      </c>
      <c r="F70" s="5"/>
      <c r="G70" s="5"/>
      <c r="H70" s="6"/>
    </row>
    <row r="71" spans="2:8" x14ac:dyDescent="0.2">
      <c r="B71" s="4" t="s">
        <v>33</v>
      </c>
      <c r="C71" s="5"/>
      <c r="D71" s="5">
        <f t="array" ref="D71:E71">IF(D66,LOGEST(D70:E70,D67:E67,TRUE,TRUE))</f>
        <v>0.99586557324700498</v>
      </c>
      <c r="E71" s="5">
        <v>734.84692283495383</v>
      </c>
      <c r="F71" s="5">
        <f>IF(D66,LN(D71))</f>
        <v>-4.14299712582552E-3</v>
      </c>
      <c r="G71" s="5"/>
      <c r="H71" s="6"/>
    </row>
    <row r="72" spans="2:8" x14ac:dyDescent="0.2">
      <c r="B72" s="4" t="s">
        <v>33</v>
      </c>
      <c r="C72" s="5"/>
      <c r="D72" s="5">
        <f>IF(D66,D71)</f>
        <v>0.99586557324700498</v>
      </c>
      <c r="E72" s="5">
        <f>IF(D66,E71*D69)</f>
        <v>734.84692283495383</v>
      </c>
      <c r="F72" s="5">
        <f>F71</f>
        <v>-4.14299712582552E-3</v>
      </c>
      <c r="G72" s="5"/>
      <c r="H72" s="6"/>
    </row>
    <row r="73" spans="2:8" x14ac:dyDescent="0.2">
      <c r="B73" s="4" t="s">
        <v>50</v>
      </c>
      <c r="C73" s="5"/>
      <c r="D73" s="23" t="b">
        <f>IF(D66,IF(F72&gt;-0.001,TRUE))</f>
        <v>0</v>
      </c>
      <c r="E73" s="5"/>
      <c r="F73" s="5"/>
      <c r="G73" s="5"/>
      <c r="H73" s="6"/>
    </row>
    <row r="74" spans="2:8" x14ac:dyDescent="0.2">
      <c r="B74" s="4" t="s">
        <v>49</v>
      </c>
      <c r="C74" s="5"/>
      <c r="D74" s="5" t="b">
        <f>IF(D66,IF(D73,-0.001))</f>
        <v>0</v>
      </c>
      <c r="E74" s="5"/>
      <c r="F74" s="5"/>
      <c r="G74" s="5"/>
      <c r="H74" s="6"/>
    </row>
    <row r="75" spans="2:8" x14ac:dyDescent="0.2">
      <c r="B75" s="4" t="s">
        <v>34</v>
      </c>
      <c r="C75" s="5"/>
      <c r="D75" s="5" t="b">
        <f>IF(D66,IF(D73,E10/(EXP(D74*C10))))</f>
        <v>0</v>
      </c>
      <c r="E75" s="5"/>
      <c r="F75" s="5"/>
      <c r="G75" s="5"/>
      <c r="H75" s="6"/>
    </row>
    <row r="76" spans="2:8" x14ac:dyDescent="0.2">
      <c r="B76" s="24" t="s">
        <v>37</v>
      </c>
      <c r="C76" s="25"/>
      <c r="D76" s="5">
        <f>IF(D66,IF(D73,D75,E72))</f>
        <v>734.84692283495383</v>
      </c>
      <c r="E76" s="5"/>
      <c r="F76" s="5"/>
      <c r="G76" s="5"/>
      <c r="H76" s="6"/>
    </row>
    <row r="77" spans="2:8" x14ac:dyDescent="0.2">
      <c r="B77" s="24" t="s">
        <v>39</v>
      </c>
      <c r="C77" s="25"/>
      <c r="D77" s="5">
        <f>IF(D66,IF(D73,D74,F72))</f>
        <v>-4.14299712582552E-3</v>
      </c>
      <c r="E77" s="5"/>
      <c r="F77" s="5"/>
      <c r="G77" s="5"/>
      <c r="H77" s="6"/>
    </row>
    <row r="78" spans="2:8" x14ac:dyDescent="0.2">
      <c r="B78" s="4" t="s">
        <v>35</v>
      </c>
      <c r="C78" s="5"/>
      <c r="D78" s="5">
        <f>IF(D66,C8)</f>
        <v>4</v>
      </c>
      <c r="E78" s="5">
        <f>IF(D66,C9)</f>
        <v>24</v>
      </c>
      <c r="F78" s="5"/>
      <c r="G78" s="5"/>
      <c r="H78" s="6"/>
    </row>
    <row r="79" spans="2:8" x14ac:dyDescent="0.2">
      <c r="B79" s="4" t="s">
        <v>36</v>
      </c>
      <c r="C79" s="5"/>
      <c r="D79" s="5">
        <f>IF(D66,E8-(D76*EXP(D77*C8)))</f>
        <v>498.06960121979273</v>
      </c>
      <c r="E79" s="5">
        <f>IF(D66,0.01*D38)</f>
        <v>6.6529481833284096</v>
      </c>
      <c r="F79" s="5"/>
      <c r="G79" s="5"/>
      <c r="H79" s="6"/>
    </row>
    <row r="80" spans="2:8" x14ac:dyDescent="0.2">
      <c r="B80" s="4" t="s">
        <v>27</v>
      </c>
      <c r="C80" s="5"/>
      <c r="D80" s="5">
        <f>IF(D79&lt;0,-1,1)</f>
        <v>1</v>
      </c>
      <c r="E80" s="5"/>
      <c r="F80" s="5"/>
      <c r="G80" s="5"/>
      <c r="H80" s="6"/>
    </row>
    <row r="81" spans="2:8" x14ac:dyDescent="0.2">
      <c r="B81" s="4" t="s">
        <v>36</v>
      </c>
      <c r="C81" s="5"/>
      <c r="D81" s="5">
        <f>IF(D79,D79*D80)</f>
        <v>498.06960121979273</v>
      </c>
      <c r="E81" s="5">
        <f>IF(E79,E79)</f>
        <v>6.6529481833284096</v>
      </c>
      <c r="F81" s="5"/>
      <c r="G81" s="5"/>
      <c r="H81" s="6"/>
    </row>
    <row r="82" spans="2:8" x14ac:dyDescent="0.2">
      <c r="B82" s="4" t="s">
        <v>22</v>
      </c>
      <c r="C82" s="5"/>
      <c r="D82" s="5">
        <f t="array" ref="D82:E82">IF(D66,LOGEST(D81:E81,D78:E78,TRUE,TRUE))</f>
        <v>0.8059093701148069</v>
      </c>
      <c r="E82" s="5">
        <v>1180.7153658806974</v>
      </c>
      <c r="F82" s="5">
        <f>IF(D66,LN(D82))</f>
        <v>-0.21578398682410641</v>
      </c>
      <c r="G82" s="5"/>
      <c r="H82" s="6"/>
    </row>
    <row r="83" spans="2:8" x14ac:dyDescent="0.2">
      <c r="B83" s="4" t="s">
        <v>45</v>
      </c>
      <c r="C83" s="5"/>
      <c r="D83" s="5">
        <f>IF(D66,D82)</f>
        <v>0.8059093701148069</v>
      </c>
      <c r="E83" s="5">
        <f>IF(D66,E82*D80)</f>
        <v>1180.7153658806974</v>
      </c>
      <c r="F83" s="25">
        <f>IF(D66,F82)</f>
        <v>-0.21578398682410641</v>
      </c>
      <c r="G83" s="5"/>
      <c r="H83" s="6"/>
    </row>
    <row r="84" spans="2:8" x14ac:dyDescent="0.2">
      <c r="B84" s="4" t="s">
        <v>32</v>
      </c>
      <c r="C84" s="5"/>
      <c r="D84" s="23" t="b">
        <f>IF(D66,IF((E83+D76)&lt;0,TRUE))</f>
        <v>0</v>
      </c>
      <c r="E84" s="5"/>
      <c r="F84" s="5"/>
      <c r="G84" s="5"/>
      <c r="H84" s="6"/>
    </row>
    <row r="85" spans="2:8" x14ac:dyDescent="0.2">
      <c r="B85" s="4" t="s">
        <v>24</v>
      </c>
      <c r="C85" s="5"/>
      <c r="D85" s="5" t="b">
        <f>IF(D66,IF(D84,-D76))</f>
        <v>0</v>
      </c>
      <c r="E85" s="5"/>
      <c r="F85" s="5"/>
      <c r="G85" s="5"/>
      <c r="H85" s="6"/>
    </row>
    <row r="86" spans="2:8" x14ac:dyDescent="0.2">
      <c r="B86" s="4" t="s">
        <v>25</v>
      </c>
      <c r="C86" s="5"/>
      <c r="D86" s="5" t="b">
        <f>IF(D66,IF(D84,0))</f>
        <v>0</v>
      </c>
      <c r="E86" s="5"/>
      <c r="F86" s="5"/>
      <c r="G86" s="5"/>
      <c r="H86" s="6"/>
    </row>
    <row r="87" spans="2:8" x14ac:dyDescent="0.2">
      <c r="B87" s="4" t="s">
        <v>26</v>
      </c>
      <c r="C87" s="5"/>
      <c r="D87" s="5" t="b">
        <f>IF(D66,IF(D84,0))</f>
        <v>0</v>
      </c>
      <c r="E87" s="5"/>
      <c r="F87" s="5"/>
      <c r="G87" s="5"/>
      <c r="H87" s="6"/>
    </row>
    <row r="88" spans="2:8" x14ac:dyDescent="0.2">
      <c r="B88" s="4" t="s">
        <v>28</v>
      </c>
      <c r="C88" s="5"/>
      <c r="D88" s="23" t="b">
        <f>IF(D66,IF(NOT(D84),TRUE))</f>
        <v>1</v>
      </c>
      <c r="E88" s="5"/>
      <c r="F88" s="5"/>
      <c r="G88" s="5"/>
      <c r="H88" s="6"/>
    </row>
    <row r="89" spans="2:8" x14ac:dyDescent="0.2">
      <c r="B89" s="4" t="s">
        <v>29</v>
      </c>
      <c r="C89" s="5"/>
      <c r="D89" s="5">
        <f>IF(D66,IF(D88,-(E83+D76)))</f>
        <v>-1915.5622887156512</v>
      </c>
      <c r="E89" s="5"/>
      <c r="F89" s="5"/>
      <c r="G89" s="5"/>
      <c r="H89" s="6"/>
    </row>
    <row r="90" spans="2:8" x14ac:dyDescent="0.2">
      <c r="B90" s="4" t="s">
        <v>40</v>
      </c>
      <c r="C90" s="5"/>
      <c r="D90" s="5">
        <f>IF(D66,IF(D88,-1.3))</f>
        <v>-1.3</v>
      </c>
      <c r="E90" s="5"/>
      <c r="F90" s="5"/>
      <c r="G90" s="5"/>
      <c r="H90" s="6"/>
    </row>
    <row r="91" spans="2:8" x14ac:dyDescent="0.2">
      <c r="B91" s="24" t="s">
        <v>41</v>
      </c>
      <c r="C91" s="25"/>
      <c r="D91" s="5">
        <f>IF(D66,IF(D84,D86,D89))</f>
        <v>-1915.5622887156512</v>
      </c>
      <c r="E91" s="5"/>
      <c r="F91" s="5"/>
      <c r="G91" s="5"/>
      <c r="H91" s="6"/>
    </row>
    <row r="92" spans="2:8" x14ac:dyDescent="0.2">
      <c r="B92" s="24" t="s">
        <v>42</v>
      </c>
      <c r="C92" s="25"/>
      <c r="D92" s="5">
        <f>IF(D66,IF(D84,D87,D90))</f>
        <v>-1.3</v>
      </c>
      <c r="E92" s="5"/>
      <c r="F92" s="5"/>
      <c r="G92" s="5"/>
      <c r="H92" s="6"/>
    </row>
    <row r="93" spans="2:8" ht="13.5" thickBot="1" x14ac:dyDescent="0.25">
      <c r="B93" s="20" t="s">
        <v>46</v>
      </c>
      <c r="C93" s="26"/>
      <c r="D93" s="8">
        <f>IF(D66,IF(D84,D85,E83))</f>
        <v>1180.7153658806974</v>
      </c>
      <c r="E93" s="8"/>
      <c r="F93" s="8"/>
      <c r="G93" s="8"/>
      <c r="H93" s="9"/>
    </row>
  </sheetData>
  <pageMargins left="0.7" right="0.7" top="0.75" bottom="0.75" header="0.3" footer="0.3"/>
  <pageSetup paperSize="9" orientation="portrait" verticalDpi="598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P110"/>
  <sheetViews>
    <sheetView workbookViewId="0">
      <selection activeCell="I8" sqref="I8:P110"/>
    </sheetView>
  </sheetViews>
  <sheetFormatPr defaultRowHeight="12.75" x14ac:dyDescent="0.2"/>
  <sheetData>
    <row r="3" spans="2:16" x14ac:dyDescent="0.2">
      <c r="B3" t="s">
        <v>17</v>
      </c>
    </row>
    <row r="4" spans="2:16" x14ac:dyDescent="0.2">
      <c r="B4">
        <f t="array" ref="B4:C4">LOGEST(TriExpAlgorithm!$E$9:$E$10,TriExpAlgorithm!$C$9:$C$10)</f>
        <v>0.99586557324700498</v>
      </c>
      <c r="C4">
        <v>734.84692283495383</v>
      </c>
    </row>
    <row r="5" spans="2:16" x14ac:dyDescent="0.2">
      <c r="B5">
        <f>LN(B4)</f>
        <v>-4.14299712582552E-3</v>
      </c>
    </row>
    <row r="8" spans="2:16" x14ac:dyDescent="0.2">
      <c r="B8" t="s">
        <v>18</v>
      </c>
      <c r="C8" t="s">
        <v>19</v>
      </c>
      <c r="D8" t="s">
        <v>55</v>
      </c>
      <c r="E8" t="s">
        <v>56</v>
      </c>
      <c r="F8" t="s">
        <v>57</v>
      </c>
      <c r="L8" t="s">
        <v>58</v>
      </c>
      <c r="M8" t="s">
        <v>61</v>
      </c>
      <c r="N8" t="s">
        <v>62</v>
      </c>
      <c r="O8" t="s">
        <v>59</v>
      </c>
      <c r="P8" t="s">
        <v>60</v>
      </c>
    </row>
    <row r="9" spans="2:16" x14ac:dyDescent="0.2">
      <c r="B9">
        <v>0</v>
      </c>
      <c r="C9">
        <f>TriExpAlgorithm!C$13*EXP(TriExpAlgorithm!C$14*TriPlotData!B9)+TriExpAlgorithm!C$15*EXP(TriExpAlgorithm!C$16*TriPlotData!B9)+TriExpAlgorithm!C$17*EXP(TriExpAlgorithm!C$18*TriPlotData!B9)</f>
        <v>0</v>
      </c>
      <c r="D9">
        <f>C9*(2^(-B9/161.04))</f>
        <v>0</v>
      </c>
      <c r="F9">
        <f>TriExpAlgorithm!D29</f>
        <v>586.02732384439753</v>
      </c>
      <c r="I9">
        <v>0</v>
      </c>
      <c r="J9">
        <f>(((TriExpAlgorithm!E$10-TriExpAlgorithm!E$8)/(TriExpAlgorithm!C$10-TriExpAlgorithm!C$8))*I9+(TriExpAlgorithm!E$8-((TriExpAlgorithm!E$10-TriExpAlgorithm!E$8)/((TriExpAlgorithm!C$10-TriExpAlgorithm!C$8))*TriExpAlgorithm!C$8)))</f>
        <v>1260.5756158417837</v>
      </c>
      <c r="K9">
        <f>TriExpAlgorithm!$E$52*EXP(TriExpAlgorithm!$F$52*I9)</f>
        <v>0</v>
      </c>
      <c r="L9">
        <f>TriExpAlgorithm!$C$17*EXP(TriExpAlgorithm!C$18*I9)</f>
        <v>734.84692283495383</v>
      </c>
      <c r="M9">
        <f>TriExpAlgorithm!C$15*EXP(TriExpAlgorithm!C$16*I9)</f>
        <v>1180.7153658806974</v>
      </c>
      <c r="N9">
        <f>TriExpAlgorithm!C$13*EXP(TriExpAlgorithm!C$14*I9)</f>
        <v>-1915.5622887156512</v>
      </c>
      <c r="O9">
        <f t="shared" ref="O9:O18" si="0">L9+M9</f>
        <v>1915.5622887156512</v>
      </c>
      <c r="P9">
        <f t="shared" ref="P9:P18" si="1">L9+M9+N9</f>
        <v>0</v>
      </c>
    </row>
    <row r="10" spans="2:16" x14ac:dyDescent="0.2">
      <c r="B10">
        <v>1</v>
      </c>
      <c r="C10">
        <f>TriExpAlgorithm!C$13*EXP(TriExpAlgorithm!C$14*TriPlotData!B10)+TriExpAlgorithm!C$15*EXP(TriExpAlgorithm!C$16*TriPlotData!B10)+TriExpAlgorithm!C$17*EXP(TriExpAlgorithm!C$18*TriPlotData!B10)</f>
        <v>1161.3067036476023</v>
      </c>
      <c r="D10">
        <f t="shared" ref="D10:D73" si="2">C10*(2^(-B10/161.04))</f>
        <v>1156.3189577066685</v>
      </c>
      <c r="F10">
        <f>F$9*EXP(-0.001*B10)</f>
        <v>585.44158943656828</v>
      </c>
      <c r="I10">
        <v>1</v>
      </c>
      <c r="J10">
        <f>(((TriExpAlgorithm!E$10-TriExpAlgorithm!E$8)/(TriExpAlgorithm!C$10-TriExpAlgorithm!C$8))*I10+(TriExpAlgorithm!E$8-((TriExpAlgorithm!E$10-TriExpAlgorithm!E$8)/((TriExpAlgorithm!C$10-TriExpAlgorithm!C$8))*TriExpAlgorithm!C$8)))</f>
        <v>1250.641461880464</v>
      </c>
      <c r="K10">
        <f>TriExpAlgorithm!$E$52*EXP(TriExpAlgorithm!$F$52*I10)</f>
        <v>0</v>
      </c>
      <c r="L10">
        <f>TriExpAlgorithm!$C$17*EXP(TriExpAlgorithm!C$18*I10)</f>
        <v>731.80875205782888</v>
      </c>
      <c r="M10">
        <f>TriExpAlgorithm!C$15*EXP(TriExpAlgorithm!C$16*I10)</f>
        <v>951.54957680178666</v>
      </c>
      <c r="N10">
        <f>TriExpAlgorithm!C$13*EXP(TriExpAlgorithm!C$14*I10)</f>
        <v>-522.05162521201328</v>
      </c>
      <c r="O10">
        <f t="shared" si="0"/>
        <v>1683.3583288596155</v>
      </c>
      <c r="P10">
        <f t="shared" si="1"/>
        <v>1161.3067036476023</v>
      </c>
    </row>
    <row r="11" spans="2:16" x14ac:dyDescent="0.2">
      <c r="B11">
        <v>2</v>
      </c>
      <c r="C11">
        <f>TriExpAlgorithm!C$13*EXP(TriExpAlgorithm!C$14*TriPlotData!B11)+TriExpAlgorithm!C$15*EXP(TriExpAlgorithm!C$16*TriPlotData!B11)+TriExpAlgorithm!C$17*EXP(TriExpAlgorithm!C$18*TriPlotData!B11)</f>
        <v>1353.3701969732338</v>
      </c>
      <c r="D11">
        <f t="shared" si="2"/>
        <v>1341.7698666204285</v>
      </c>
      <c r="F11">
        <f t="shared" ref="F11:F74" si="3">F$9*EXP(-0.001*B11)</f>
        <v>584.85644047037715</v>
      </c>
      <c r="I11">
        <v>2</v>
      </c>
      <c r="J11">
        <f>(((TriExpAlgorithm!E$10-TriExpAlgorithm!E$8)/(TriExpAlgorithm!C$10-TriExpAlgorithm!C$8))*I11+(TriExpAlgorithm!E$8-((TriExpAlgorithm!E$10-TriExpAlgorithm!E$8)/((TriExpAlgorithm!C$10-TriExpAlgorithm!C$8))*TriExpAlgorithm!C$8)))</f>
        <v>1240.7073079191446</v>
      </c>
      <c r="K11">
        <f>TriExpAlgorithm!$E$52*EXP(TriExpAlgorithm!$F$52*I11)</f>
        <v>0</v>
      </c>
      <c r="L11">
        <f>TriExpAlgorithm!$C$17*EXP(TriExpAlgorithm!C$18*I11)</f>
        <v>728.78314237524512</v>
      </c>
      <c r="M11">
        <f>TriExpAlgorithm!C$15*EXP(TriExpAlgorithm!C$16*I11)</f>
        <v>766.86272007333889</v>
      </c>
      <c r="N11">
        <f>TriExpAlgorithm!C$13*EXP(TriExpAlgorithm!C$14*I11)</f>
        <v>-142.27566547535034</v>
      </c>
      <c r="O11">
        <f t="shared" si="0"/>
        <v>1495.645862448584</v>
      </c>
      <c r="P11">
        <f t="shared" si="1"/>
        <v>1353.3701969732338</v>
      </c>
    </row>
    <row r="12" spans="2:16" x14ac:dyDescent="0.2">
      <c r="B12">
        <v>3</v>
      </c>
      <c r="C12">
        <f>TriExpAlgorithm!C$13*EXP(TriExpAlgorithm!C$14*TriPlotData!B12)+TriExpAlgorithm!C$15*EXP(TriExpAlgorithm!C$16*TriPlotData!B12)+TriExpAlgorithm!C$17*EXP(TriExpAlgorithm!C$18*TriPlotData!B12)</f>
        <v>1305.0172513360046</v>
      </c>
      <c r="D12">
        <f t="shared" si="2"/>
        <v>1288.2744434827102</v>
      </c>
      <c r="F12">
        <f t="shared" si="3"/>
        <v>584.27187636067538</v>
      </c>
      <c r="I12">
        <v>3</v>
      </c>
      <c r="J12">
        <f>(((TriExpAlgorithm!E$10-TriExpAlgorithm!E$8)/(TriExpAlgorithm!C$10-TriExpAlgorithm!C$8))*I12+(TriExpAlgorithm!E$8-((TriExpAlgorithm!E$10-TriExpAlgorithm!E$8)/((TriExpAlgorithm!C$10-TriExpAlgorithm!C$8))*TriExpAlgorithm!C$8)))</f>
        <v>1230.7731539578249</v>
      </c>
      <c r="K12">
        <f>TriExpAlgorithm!$E$52*EXP(TriExpAlgorithm!$F$52*I12)</f>
        <v>0</v>
      </c>
      <c r="L12">
        <f>TriExpAlgorithm!$C$17*EXP(TriExpAlgorithm!C$18*I12)</f>
        <v>725.77004185427711</v>
      </c>
      <c r="M12">
        <f>TriExpAlgorithm!C$15*EXP(TriExpAlgorithm!C$16*I12)</f>
        <v>618.02185169883205</v>
      </c>
      <c r="N12">
        <f>TriExpAlgorithm!C$13*EXP(TriExpAlgorithm!C$14*I12)</f>
        <v>-38.774642217104578</v>
      </c>
      <c r="O12">
        <f t="shared" si="0"/>
        <v>1343.7918935531093</v>
      </c>
      <c r="P12">
        <f t="shared" si="1"/>
        <v>1305.0172513360046</v>
      </c>
    </row>
    <row r="13" spans="2:16" x14ac:dyDescent="0.2">
      <c r="B13">
        <v>4</v>
      </c>
      <c r="C13">
        <f>TriExpAlgorithm!C$13*EXP(TriExpAlgorithm!C$14*TriPlotData!B13)+TriExpAlgorithm!C$15*EXP(TriExpAlgorithm!C$16*TriPlotData!B13)+TriExpAlgorithm!C$17*EXP(TriExpAlgorithm!C$18*TriPlotData!B13)</f>
        <v>1210.271677228825</v>
      </c>
      <c r="D13">
        <f t="shared" si="2"/>
        <v>1189.613055184793</v>
      </c>
      <c r="F13">
        <f t="shared" si="3"/>
        <v>583.68789652289854</v>
      </c>
      <c r="I13">
        <v>4</v>
      </c>
      <c r="J13">
        <f>(((TriExpAlgorithm!E$10-TriExpAlgorithm!E$8)/(TriExpAlgorithm!C$10-TriExpAlgorithm!C$8))*I13+(TriExpAlgorithm!E$8-((TriExpAlgorithm!E$10-TriExpAlgorithm!E$8)/((TriExpAlgorithm!C$10-TriExpAlgorithm!C$8))*TriExpAlgorithm!C$8)))</f>
        <v>1220.8389999965052</v>
      </c>
      <c r="K13">
        <f>TriExpAlgorithm!$E$52*EXP(TriExpAlgorithm!$F$52*I13)</f>
        <v>0</v>
      </c>
      <c r="L13">
        <f>TriExpAlgorithm!$C$17*EXP(TriExpAlgorithm!C$18*I13)</f>
        <v>722.76939877671248</v>
      </c>
      <c r="M13">
        <f>TriExpAlgorithm!C$15*EXP(TriExpAlgorithm!C$16*I13)</f>
        <v>498.06960121979233</v>
      </c>
      <c r="N13">
        <f>TriExpAlgorithm!C$13*EXP(TriExpAlgorithm!C$14*I13)</f>
        <v>-10.567322767679835</v>
      </c>
      <c r="O13">
        <f t="shared" si="0"/>
        <v>1220.8389999965048</v>
      </c>
      <c r="P13">
        <f t="shared" si="1"/>
        <v>1210.271677228825</v>
      </c>
    </row>
    <row r="14" spans="2:16" x14ac:dyDescent="0.2">
      <c r="B14">
        <v>5</v>
      </c>
      <c r="C14">
        <f>TriExpAlgorithm!C$13*EXP(TriExpAlgorithm!C$14*TriPlotData!B14)+TriExpAlgorithm!C$15*EXP(TriExpAlgorithm!C$16*TriPlotData!B14)+TriExpAlgorithm!C$17*EXP(TriExpAlgorithm!C$18*TriPlotData!B14)</f>
        <v>1118.3001888090948</v>
      </c>
      <c r="D14">
        <f t="shared" si="2"/>
        <v>1094.4904152590839</v>
      </c>
      <c r="F14">
        <f t="shared" si="3"/>
        <v>583.10450037306691</v>
      </c>
      <c r="I14">
        <v>5</v>
      </c>
      <c r="J14">
        <f>(((TriExpAlgorithm!E$10-TriExpAlgorithm!E$8)/(TriExpAlgorithm!C$10-TriExpAlgorithm!C$8))*I14+(TriExpAlgorithm!E$8-((TriExpAlgorithm!E$10-TriExpAlgorithm!E$8)/((TriExpAlgorithm!C$10-TriExpAlgorithm!C$8))*TriExpAlgorithm!C$8)))</f>
        <v>1210.9048460351855</v>
      </c>
      <c r="K14">
        <f>TriExpAlgorithm!$E$52*EXP(TriExpAlgorithm!$F$52*I14)</f>
        <v>0</v>
      </c>
      <c r="L14">
        <f>TriExpAlgorithm!$C$17*EXP(TriExpAlgorithm!C$18*I14)</f>
        <v>719.78116163816389</v>
      </c>
      <c r="M14">
        <f>TriExpAlgorithm!C$15*EXP(TriExpAlgorithm!C$16*I14)</f>
        <v>401.39895859237589</v>
      </c>
      <c r="N14">
        <f>TriExpAlgorithm!C$13*EXP(TriExpAlgorithm!C$14*I14)</f>
        <v>-2.8799314214449301</v>
      </c>
      <c r="O14">
        <f t="shared" si="0"/>
        <v>1121.1801202305398</v>
      </c>
      <c r="P14">
        <f t="shared" si="1"/>
        <v>1118.3001888090948</v>
      </c>
    </row>
    <row r="15" spans="2:16" x14ac:dyDescent="0.2">
      <c r="B15">
        <v>6</v>
      </c>
      <c r="C15">
        <f>TriExpAlgorithm!C$13*EXP(TriExpAlgorithm!C$14*TriPlotData!B15)+TriExpAlgorithm!C$15*EXP(TriExpAlgorithm!C$16*TriPlotData!B15)+TriExpAlgorithm!C$17*EXP(TriExpAlgorithm!C$18*TriPlotData!B15)</f>
        <v>1039.511588157005</v>
      </c>
      <c r="D15">
        <f t="shared" si="2"/>
        <v>1013.0097198291074</v>
      </c>
      <c r="F15">
        <f t="shared" si="3"/>
        <v>582.52168732778421</v>
      </c>
      <c r="I15">
        <v>6</v>
      </c>
      <c r="J15">
        <f>(((TriExpAlgorithm!E$10-TriExpAlgorithm!E$8)/(TriExpAlgorithm!C$10-TriExpAlgorithm!C$8))*I15+(TriExpAlgorithm!E$8-((TriExpAlgorithm!E$10-TriExpAlgorithm!E$8)/((TriExpAlgorithm!C$10-TriExpAlgorithm!C$8))*TriExpAlgorithm!C$8)))</f>
        <v>1200.9706920738658</v>
      </c>
      <c r="K15">
        <f>TriExpAlgorithm!$E$52*EXP(TriExpAlgorithm!$F$52*I15)</f>
        <v>0</v>
      </c>
      <c r="L15">
        <f>TriExpAlgorithm!$C$17*EXP(TriExpAlgorithm!C$18*I15)</f>
        <v>716.80527914718527</v>
      </c>
      <c r="M15">
        <f>TriExpAlgorithm!C$15*EXP(TriExpAlgorithm!C$16*I15)</f>
        <v>323.49118188392106</v>
      </c>
      <c r="N15">
        <f>TriExpAlgorithm!C$13*EXP(TriExpAlgorithm!C$14*I15)</f>
        <v>-0.78487287410137896</v>
      </c>
      <c r="O15">
        <f t="shared" si="0"/>
        <v>1040.2964610311064</v>
      </c>
      <c r="P15">
        <f t="shared" si="1"/>
        <v>1039.511588157005</v>
      </c>
    </row>
    <row r="16" spans="2:16" x14ac:dyDescent="0.2">
      <c r="B16">
        <v>7</v>
      </c>
      <c r="C16">
        <f>TriExpAlgorithm!C$13*EXP(TriExpAlgorithm!C$14*TriPlotData!B16)+TriExpAlgorithm!C$15*EXP(TriExpAlgorithm!C$16*TriPlotData!B16)+TriExpAlgorithm!C$17*EXP(TriExpAlgorithm!C$18*TriPlotData!B16)</f>
        <v>974.33237204247371</v>
      </c>
      <c r="D16">
        <f t="shared" si="2"/>
        <v>945.41420293083559</v>
      </c>
      <c r="F16">
        <f t="shared" si="3"/>
        <v>581.93945680423747</v>
      </c>
      <c r="I16">
        <v>7</v>
      </c>
      <c r="J16">
        <f>(((TriExpAlgorithm!E$10-TriExpAlgorithm!E$8)/(TriExpAlgorithm!C$10-TriExpAlgorithm!C$8))*I16+(TriExpAlgorithm!E$8-((TriExpAlgorithm!E$10-TriExpAlgorithm!E$8)/((TriExpAlgorithm!C$10-TriExpAlgorithm!C$8))*TriExpAlgorithm!C$8)))</f>
        <v>1191.0365381125464</v>
      </c>
      <c r="K16">
        <f>TriExpAlgorithm!$E$52*EXP(TriExpAlgorithm!$F$52*I16)</f>
        <v>0</v>
      </c>
      <c r="L16">
        <f>TriExpAlgorithm!$C$17*EXP(TriExpAlgorithm!C$18*I16)</f>
        <v>713.84170022439105</v>
      </c>
      <c r="M16">
        <f>TriExpAlgorithm!C$15*EXP(TriExpAlgorithm!C$16*I16)</f>
        <v>260.70457462976532</v>
      </c>
      <c r="N16">
        <f>TriExpAlgorithm!C$13*EXP(TriExpAlgorithm!C$14*I16)</f>
        <v>-0.21390281168260786</v>
      </c>
      <c r="O16">
        <f t="shared" si="0"/>
        <v>974.54627485415631</v>
      </c>
      <c r="P16">
        <f t="shared" si="1"/>
        <v>974.33237204247371</v>
      </c>
    </row>
    <row r="17" spans="2:16" x14ac:dyDescent="0.2">
      <c r="B17">
        <v>8</v>
      </c>
      <c r="C17">
        <f>TriExpAlgorithm!C$13*EXP(TriExpAlgorithm!C$14*TriPlotData!B17)+TriExpAlgorithm!C$15*EXP(TriExpAlgorithm!C$16*TriPlotData!B17)+TriExpAlgorithm!C$17*EXP(TriExpAlgorithm!C$18*TriPlotData!B17)</f>
        <v>920.93633821069989</v>
      </c>
      <c r="D17">
        <f t="shared" si="2"/>
        <v>889.76498885525064</v>
      </c>
      <c r="F17">
        <f t="shared" si="3"/>
        <v>581.35780822019592</v>
      </c>
      <c r="I17">
        <v>8</v>
      </c>
      <c r="J17">
        <f>(((TriExpAlgorithm!E$10-TriExpAlgorithm!E$8)/(TriExpAlgorithm!C$10-TriExpAlgorithm!C$8))*I17+(TriExpAlgorithm!E$8-((TriExpAlgorithm!E$10-TriExpAlgorithm!E$8)/((TriExpAlgorithm!C$10-TriExpAlgorithm!C$8))*TriExpAlgorithm!C$8)))</f>
        <v>1181.1023841512267</v>
      </c>
      <c r="K17">
        <f>TriExpAlgorithm!$E$52*EXP(TriExpAlgorithm!$F$52*I17)</f>
        <v>0</v>
      </c>
      <c r="L17">
        <f>TriExpAlgorithm!$C$17*EXP(TriExpAlgorithm!C$18*I17)</f>
        <v>710.89037400157997</v>
      </c>
      <c r="M17">
        <f>TriExpAlgorithm!C$15*EXP(TriExpAlgorithm!C$16*I17)</f>
        <v>210.10425952592283</v>
      </c>
      <c r="N17">
        <f>TriExpAlgorithm!C$13*EXP(TriExpAlgorithm!C$14*I17)</f>
        <v>-5.8295316802877813E-2</v>
      </c>
      <c r="O17">
        <f t="shared" si="0"/>
        <v>920.99463352750286</v>
      </c>
      <c r="P17">
        <f t="shared" si="1"/>
        <v>920.9363382107</v>
      </c>
    </row>
    <row r="18" spans="2:16" x14ac:dyDescent="0.2">
      <c r="B18">
        <v>9</v>
      </c>
      <c r="C18">
        <f>TriExpAlgorithm!C$13*EXP(TriExpAlgorithm!C$14*TriPlotData!B18)+TriExpAlgorithm!C$15*EXP(TriExpAlgorithm!C$16*TriPlotData!B18)+TriExpAlgorithm!C$17*EXP(TriExpAlgorithm!C$18*TriPlotData!B18)</f>
        <v>877.26035394662176</v>
      </c>
      <c r="D18">
        <f t="shared" si="2"/>
        <v>843.92707217564202</v>
      </c>
      <c r="F18">
        <f t="shared" si="3"/>
        <v>580.77674099401111</v>
      </c>
      <c r="I18">
        <v>9</v>
      </c>
      <c r="J18">
        <f>(((TriExpAlgorithm!E$10-TriExpAlgorithm!E$8)/(TriExpAlgorithm!C$10-TriExpAlgorithm!C$8))*I18+(TriExpAlgorithm!E$8-((TriExpAlgorithm!E$10-TriExpAlgorithm!E$8)/((TriExpAlgorithm!C$10-TriExpAlgorithm!C$8))*TriExpAlgorithm!C$8)))</f>
        <v>1171.168230189907</v>
      </c>
      <c r="K18">
        <f>TriExpAlgorithm!$E$52*EXP(TriExpAlgorithm!$F$52*I18)</f>
        <v>0</v>
      </c>
      <c r="L18">
        <f>TriExpAlgorithm!$C$17*EXP(TriExpAlgorithm!C$18*I18)</f>
        <v>707.95124982086111</v>
      </c>
      <c r="M18">
        <f>TriExpAlgorithm!C$15*EXP(TriExpAlgorithm!C$16*I18)</f>
        <v>169.32499145297436</v>
      </c>
      <c r="N18">
        <f>TriExpAlgorithm!C$13*EXP(TriExpAlgorithm!C$14*I18)</f>
        <v>-1.5887327213774085E-2</v>
      </c>
      <c r="O18">
        <f t="shared" si="0"/>
        <v>877.27624127383547</v>
      </c>
      <c r="P18">
        <f t="shared" si="1"/>
        <v>877.26035394662165</v>
      </c>
    </row>
    <row r="19" spans="2:16" x14ac:dyDescent="0.2">
      <c r="B19">
        <v>10</v>
      </c>
      <c r="C19">
        <f>TriExpAlgorithm!C$13*EXP(TriExpAlgorithm!C$14*TriPlotData!B19)+TriExpAlgorithm!C$15*EXP(TriExpAlgorithm!C$16*TriPlotData!B19)+TriExpAlgorithm!C$17*EXP(TriExpAlgorithm!C$18*TriPlotData!B19)</f>
        <v>841.480544638575</v>
      </c>
      <c r="D19">
        <f t="shared" si="2"/>
        <v>806.03000369371364</v>
      </c>
      <c r="F19">
        <f t="shared" si="3"/>
        <v>580.19625454461573</v>
      </c>
    </row>
    <row r="20" spans="2:16" x14ac:dyDescent="0.2">
      <c r="B20">
        <v>11</v>
      </c>
      <c r="C20">
        <f>TriExpAlgorithm!C$13*EXP(TriExpAlgorithm!C$14*TriPlotData!B20)+TriExpAlgorithm!C$15*EXP(TriExpAlgorithm!C$16*TriPlotData!B20)+TriExpAlgorithm!C$17*EXP(TriExpAlgorithm!C$18*TriPlotData!B20)</f>
        <v>812.0830999320691</v>
      </c>
      <c r="D20">
        <f t="shared" si="2"/>
        <v>774.53012553439623</v>
      </c>
      <c r="F20">
        <f t="shared" si="3"/>
        <v>579.61634829152308</v>
      </c>
      <c r="I20">
        <v>10</v>
      </c>
      <c r="J20">
        <f>(((TriExpAlgorithm!E$10-TriExpAlgorithm!E$8)/(TriExpAlgorithm!C$10-TriExpAlgorithm!C$8))*I20+(TriExpAlgorithm!E$8-((TriExpAlgorithm!E$10-TriExpAlgorithm!E$8)/((TriExpAlgorithm!C$10-TriExpAlgorithm!C$8))*TriExpAlgorithm!C$8)))</f>
        <v>1161.2340762285876</v>
      </c>
      <c r="K20">
        <f>TriExpAlgorithm!$E$52*EXP(TriExpAlgorithm!$F$52*I20)</f>
        <v>0</v>
      </c>
      <c r="L20">
        <f>TriExpAlgorithm!$C$17*EXP(TriExpAlgorithm!C$18*I20)</f>
        <v>705.02427723378548</v>
      </c>
      <c r="M20">
        <f>TriExpAlgorithm!C$15*EXP(TriExpAlgorithm!C$16*I20)</f>
        <v>136.46059720656163</v>
      </c>
      <c r="N20">
        <f>TriExpAlgorithm!C$13*EXP(TriExpAlgorithm!C$14*I20)</f>
        <v>-4.3298017720879191E-3</v>
      </c>
      <c r="O20">
        <f t="shared" ref="O20:O51" si="4">L20+M20</f>
        <v>841.48487444034708</v>
      </c>
      <c r="P20">
        <f t="shared" ref="P20:P51" si="5">L20+M20+N20</f>
        <v>841.480544638575</v>
      </c>
    </row>
    <row r="21" spans="2:16" x14ac:dyDescent="0.2">
      <c r="B21">
        <v>12</v>
      </c>
      <c r="C21">
        <f>TriExpAlgorithm!C$13*EXP(TriExpAlgorithm!C$14*TriPlotData!B21)+TriExpAlgorithm!C$15*EXP(TriExpAlgorithm!C$16*TriPlotData!B21)+TriExpAlgorithm!C$17*EXP(TriExpAlgorithm!C$18*TriPlotData!B21)</f>
        <v>787.83604588453727</v>
      </c>
      <c r="D21">
        <f t="shared" si="2"/>
        <v>748.17708386794652</v>
      </c>
      <c r="F21">
        <f t="shared" si="3"/>
        <v>579.03702165482707</v>
      </c>
      <c r="I21">
        <v>11</v>
      </c>
      <c r="J21">
        <f>(((TriExpAlgorithm!E$10-TriExpAlgorithm!E$8)/(TriExpAlgorithm!C$10-TriExpAlgorithm!C$8))*I21+(TriExpAlgorithm!E$8-((TriExpAlgorithm!E$10-TriExpAlgorithm!E$8)/((TriExpAlgorithm!C$10-TriExpAlgorithm!C$8))*TriExpAlgorithm!C$8)))</f>
        <v>1151.2999222672679</v>
      </c>
      <c r="K21">
        <f>TriExpAlgorithm!$E$52*EXP(TriExpAlgorithm!$F$52*I21)</f>
        <v>0</v>
      </c>
      <c r="L21">
        <f>TriExpAlgorithm!$C$17*EXP(TriExpAlgorithm!C$18*I21)</f>
        <v>702.10940600047911</v>
      </c>
      <c r="M21">
        <f>TriExpAlgorithm!C$15*EXP(TriExpAlgorithm!C$16*I21)</f>
        <v>109.97487394023045</v>
      </c>
      <c r="N21">
        <f>TriExpAlgorithm!C$13*EXP(TriExpAlgorithm!C$14*I21)</f>
        <v>-1.1800086404289648E-3</v>
      </c>
      <c r="O21">
        <f t="shared" si="4"/>
        <v>812.08427994070962</v>
      </c>
      <c r="P21">
        <f t="shared" si="5"/>
        <v>812.08309993206922</v>
      </c>
    </row>
    <row r="22" spans="2:16" x14ac:dyDescent="0.2">
      <c r="B22">
        <v>13</v>
      </c>
      <c r="C22">
        <f>TriExpAlgorithm!C$13*EXP(TriExpAlgorithm!C$14*TriPlotData!B22)+TriExpAlgorithm!C$15*EXP(TriExpAlgorithm!C$16*TriPlotData!B22)+TriExpAlgorithm!C$17*EXP(TriExpAlgorithm!C$18*TriPlotData!B22)</f>
        <v>767.74325131982482</v>
      </c>
      <c r="D22">
        <f t="shared" si="2"/>
        <v>725.96431805570808</v>
      </c>
      <c r="F22">
        <f t="shared" si="3"/>
        <v>578.45827405520106</v>
      </c>
      <c r="I22">
        <v>12</v>
      </c>
      <c r="J22">
        <f>(((TriExpAlgorithm!E$10-TriExpAlgorithm!E$8)/(TriExpAlgorithm!C$10-TriExpAlgorithm!C$8))*I22+(TriExpAlgorithm!E$8-((TriExpAlgorithm!E$10-TriExpAlgorithm!E$8)/((TriExpAlgorithm!C$10-TriExpAlgorithm!C$8))*TriExpAlgorithm!C$8)))</f>
        <v>1141.3657683059482</v>
      </c>
      <c r="K22">
        <f>TriExpAlgorithm!$E$52*EXP(TriExpAlgorithm!$F$52*I22)</f>
        <v>0</v>
      </c>
      <c r="L22">
        <f>TriExpAlgorithm!$C$17*EXP(TriExpAlgorithm!C$18*I22)</f>
        <v>699.20658608878136</v>
      </c>
      <c r="M22">
        <f>TriExpAlgorithm!C$15*EXP(TriExpAlgorithm!C$16*I22)</f>
        <v>88.629781385626416</v>
      </c>
      <c r="N22">
        <f>TriExpAlgorithm!C$13*EXP(TriExpAlgorithm!C$14*I22)</f>
        <v>-3.2158987057173308E-4</v>
      </c>
      <c r="O22">
        <f t="shared" si="4"/>
        <v>787.83636747440778</v>
      </c>
      <c r="P22">
        <f t="shared" si="5"/>
        <v>787.83604588453716</v>
      </c>
    </row>
    <row r="23" spans="2:16" x14ac:dyDescent="0.2">
      <c r="B23">
        <v>14</v>
      </c>
      <c r="C23">
        <f>TriExpAlgorithm!C$13*EXP(TriExpAlgorithm!C$14*TriPlotData!B23)+TriExpAlgorithm!C$15*EXP(TriExpAlgorithm!C$16*TriPlotData!B23)+TriExpAlgorithm!C$17*EXP(TriExpAlgorithm!C$18*TriPlotData!B23)</f>
        <v>751.00102623643045</v>
      </c>
      <c r="D23">
        <f t="shared" si="2"/>
        <v>707.08318739568574</v>
      </c>
      <c r="F23">
        <f t="shared" si="3"/>
        <v>577.8801049138973</v>
      </c>
      <c r="I23">
        <v>13</v>
      </c>
      <c r="J23">
        <f>(((TriExpAlgorithm!E$10-TriExpAlgorithm!E$8)/(TriExpAlgorithm!C$10-TriExpAlgorithm!C$8))*I23+(TriExpAlgorithm!E$8-((TriExpAlgorithm!E$10-TriExpAlgorithm!E$8)/((TriExpAlgorithm!C$10-TriExpAlgorithm!C$8))*TriExpAlgorithm!C$8)))</f>
        <v>1131.4316143446285</v>
      </c>
      <c r="K23">
        <f>TriExpAlgorithm!$E$52*EXP(TriExpAlgorithm!$F$52*I23)</f>
        <v>0</v>
      </c>
      <c r="L23">
        <f>TriExpAlgorithm!$C$17*EXP(TriExpAlgorithm!C$18*I23)</f>
        <v>696.31576767338561</v>
      </c>
      <c r="M23">
        <f>TriExpAlgorithm!C$15*EXP(TriExpAlgorithm!C$16*I23)</f>
        <v>71.427571289903213</v>
      </c>
      <c r="N23">
        <f>TriExpAlgorithm!C$13*EXP(TriExpAlgorithm!C$14*I23)</f>
        <v>-8.764346404849039E-5</v>
      </c>
      <c r="O23">
        <f t="shared" si="4"/>
        <v>767.74333896328881</v>
      </c>
      <c r="P23">
        <f t="shared" si="5"/>
        <v>767.74325131982471</v>
      </c>
    </row>
    <row r="24" spans="2:16" x14ac:dyDescent="0.2">
      <c r="B24">
        <v>15</v>
      </c>
      <c r="C24">
        <f>TriExpAlgorithm!C$13*EXP(TriExpAlgorithm!C$14*TriPlotData!B24)+TriExpAlgorithm!C$15*EXP(TriExpAlgorithm!C$16*TriPlotData!B24)+TriExpAlgorithm!C$17*EXP(TriExpAlgorithm!C$18*TriPlotData!B24)</f>
        <v>736.96141760119394</v>
      </c>
      <c r="D24">
        <f t="shared" si="2"/>
        <v>690.88449314382763</v>
      </c>
      <c r="F24">
        <f t="shared" si="3"/>
        <v>577.3025136527466</v>
      </c>
      <c r="I24">
        <v>14</v>
      </c>
      <c r="J24">
        <f>(((TriExpAlgorithm!E$10-TriExpAlgorithm!E$8)/(TriExpAlgorithm!C$10-TriExpAlgorithm!C$8))*I24+(TriExpAlgorithm!E$8-((TriExpAlgorithm!E$10-TriExpAlgorithm!E$8)/((TriExpAlgorithm!C$10-TriExpAlgorithm!C$8))*TriExpAlgorithm!C$8)))</f>
        <v>1121.4974603833089</v>
      </c>
      <c r="K24">
        <f>TriExpAlgorithm!$E$52*EXP(TriExpAlgorithm!$F$52*I24)</f>
        <v>0</v>
      </c>
      <c r="L24">
        <f>TriExpAlgorithm!$C$17*EXP(TriExpAlgorithm!C$18*I24)</f>
        <v>693.43690113498451</v>
      </c>
      <c r="M24">
        <f>TriExpAlgorithm!C$15*EXP(TriExpAlgorithm!C$16*I24)</f>
        <v>57.564148987076379</v>
      </c>
      <c r="N24">
        <f>TriExpAlgorithm!C$13*EXP(TriExpAlgorithm!C$14*I24)</f>
        <v>-2.3885630404847172E-5</v>
      </c>
      <c r="O24">
        <f t="shared" si="4"/>
        <v>751.00105012206086</v>
      </c>
      <c r="P24">
        <f t="shared" si="5"/>
        <v>751.00102623643045</v>
      </c>
    </row>
    <row r="25" spans="2:16" x14ac:dyDescent="0.2">
      <c r="B25">
        <v>16</v>
      </c>
      <c r="C25">
        <f>TriExpAlgorithm!C$13*EXP(TriExpAlgorithm!C$14*TriPlotData!B25)+TriExpAlgorithm!C$15*EXP(TriExpAlgorithm!C$16*TriPlotData!B25)+TriExpAlgorithm!C$17*EXP(TriExpAlgorithm!C$18*TriPlotData!B25)</f>
        <v>725.10215857101264</v>
      </c>
      <c r="D25">
        <f t="shared" si="2"/>
        <v>676.8471495518537</v>
      </c>
      <c r="F25">
        <f t="shared" si="3"/>
        <v>576.72549969415763</v>
      </c>
      <c r="I25">
        <v>15</v>
      </c>
      <c r="J25">
        <f>(((TriExpAlgorithm!E$10-TriExpAlgorithm!E$8)/(TriExpAlgorithm!C$10-TriExpAlgorithm!C$8))*I25+(TriExpAlgorithm!E$8-((TriExpAlgorithm!E$10-TriExpAlgorithm!E$8)/((TriExpAlgorithm!C$10-TriExpAlgorithm!C$8))*TriExpAlgorithm!C$8)))</f>
        <v>1111.5633064219894</v>
      </c>
      <c r="K25">
        <f>TriExpAlgorithm!$E$52*EXP(TriExpAlgorithm!$F$52*I25)</f>
        <v>0</v>
      </c>
      <c r="L25">
        <f>TriExpAlgorithm!$C$17*EXP(TriExpAlgorithm!C$18*I25)</f>
        <v>690.56993705941795</v>
      </c>
      <c r="M25">
        <f>TriExpAlgorithm!C$15*EXP(TriExpAlgorithm!C$16*I25)</f>
        <v>46.391487051369623</v>
      </c>
      <c r="N25">
        <f>TriExpAlgorithm!C$13*EXP(TriExpAlgorithm!C$14*I25)</f>
        <v>-6.5095936819807241E-6</v>
      </c>
      <c r="O25">
        <f t="shared" si="4"/>
        <v>736.96142411078756</v>
      </c>
      <c r="P25">
        <f t="shared" si="5"/>
        <v>736.96141760119383</v>
      </c>
    </row>
    <row r="26" spans="2:16" x14ac:dyDescent="0.2">
      <c r="B26">
        <v>17</v>
      </c>
      <c r="C26">
        <f>TriExpAlgorithm!C$13*EXP(TriExpAlgorithm!C$14*TriPlotData!B26)+TriExpAlgorithm!C$15*EXP(TriExpAlgorithm!C$16*TriPlotData!B26)+TriExpAlgorithm!C$17*EXP(TriExpAlgorithm!C$18*TriPlotData!B26)</f>
        <v>715.00232205876819</v>
      </c>
      <c r="D26">
        <f t="shared" si="2"/>
        <v>664.55292123980246</v>
      </c>
      <c r="F26">
        <f t="shared" si="3"/>
        <v>576.14906246111639</v>
      </c>
      <c r="I26">
        <v>16</v>
      </c>
      <c r="J26">
        <f>(((TriExpAlgorithm!E$10-TriExpAlgorithm!E$8)/(TriExpAlgorithm!C$10-TriExpAlgorithm!C$8))*I26+(TriExpAlgorithm!E$8-((TriExpAlgorithm!E$10-TriExpAlgorithm!E$8)/((TriExpAlgorithm!C$10-TriExpAlgorithm!C$8))*TriExpAlgorithm!C$8)))</f>
        <v>1101.6291524606697</v>
      </c>
      <c r="K26">
        <f>TriExpAlgorithm!$E$52*EXP(TriExpAlgorithm!$F$52*I26)</f>
        <v>0</v>
      </c>
      <c r="L26">
        <f>TriExpAlgorithm!$C$17*EXP(TriExpAlgorithm!C$18*I26)</f>
        <v>687.71482623682539</v>
      </c>
      <c r="M26">
        <f>TriExpAlgorithm!C$15*EXP(TriExpAlgorithm!C$16*I26)</f>
        <v>37.387334108258507</v>
      </c>
      <c r="N26">
        <f>TriExpAlgorithm!C$13*EXP(TriExpAlgorithm!C$14*I26)</f>
        <v>-1.7740712380730855E-6</v>
      </c>
      <c r="O26">
        <f t="shared" si="4"/>
        <v>725.10216034508392</v>
      </c>
      <c r="P26">
        <f t="shared" si="5"/>
        <v>725.10215857101264</v>
      </c>
    </row>
    <row r="27" spans="2:16" x14ac:dyDescent="0.2">
      <c r="B27">
        <v>18</v>
      </c>
      <c r="C27">
        <f>TriExpAlgorithm!C$13*EXP(TriExpAlgorithm!C$14*TriPlotData!B27)+TriExpAlgorithm!C$15*EXP(TriExpAlgorithm!C$16*TriPlotData!B27)+TriExpAlgorithm!C$17*EXP(TriExpAlgorithm!C$18*TriPlotData!B27)</f>
        <v>706.32266476703364</v>
      </c>
      <c r="D27">
        <f t="shared" si="2"/>
        <v>653.66611793320919</v>
      </c>
      <c r="F27">
        <f t="shared" si="3"/>
        <v>575.57320137718568</v>
      </c>
      <c r="I27">
        <v>17</v>
      </c>
      <c r="J27">
        <f>(((TriExpAlgorithm!E$10-TriExpAlgorithm!E$8)/(TriExpAlgorithm!C$10-TriExpAlgorithm!C$8))*I27+(TriExpAlgorithm!E$8-((TriExpAlgorithm!E$10-TriExpAlgorithm!E$8)/((TriExpAlgorithm!C$10-TriExpAlgorithm!C$8))*TriExpAlgorithm!C$8)))</f>
        <v>1091.69499849935</v>
      </c>
      <c r="K27">
        <f>TriExpAlgorithm!$E$52*EXP(TriExpAlgorithm!$F$52*I27)</f>
        <v>0</v>
      </c>
      <c r="L27">
        <f>TriExpAlgorithm!$C$17*EXP(TriExpAlgorithm!C$18*I27)</f>
        <v>684.87151966080057</v>
      </c>
      <c r="M27">
        <f>TriExpAlgorithm!C$15*EXP(TriExpAlgorithm!C$16*I27)</f>
        <v>30.130802881458447</v>
      </c>
      <c r="N27">
        <f>TriExpAlgorithm!C$13*EXP(TriExpAlgorithm!C$14*I27)</f>
        <v>-4.8349081548212834E-7</v>
      </c>
      <c r="O27">
        <f t="shared" si="4"/>
        <v>715.00232254225898</v>
      </c>
      <c r="P27">
        <f t="shared" si="5"/>
        <v>715.00232205876819</v>
      </c>
    </row>
    <row r="28" spans="2:16" x14ac:dyDescent="0.2">
      <c r="B28">
        <v>19</v>
      </c>
      <c r="C28">
        <f>TriExpAlgorithm!C$13*EXP(TriExpAlgorithm!C$14*TriPlotData!B28)+TriExpAlgorithm!C$15*EXP(TriExpAlgorithm!C$16*TriPlotData!B28)+TriExpAlgorithm!C$17*EXP(TriExpAlgorithm!C$18*TriPlotData!B28)</f>
        <v>698.78977673639076</v>
      </c>
      <c r="D28">
        <f t="shared" si="2"/>
        <v>643.91729150008189</v>
      </c>
      <c r="F28">
        <f t="shared" si="3"/>
        <v>574.99791586650429</v>
      </c>
      <c r="I28">
        <v>18</v>
      </c>
      <c r="J28">
        <f>(((TriExpAlgorithm!E$10-TriExpAlgorithm!E$8)/(TriExpAlgorithm!C$10-TriExpAlgorithm!C$8))*I28+(TriExpAlgorithm!E$8-((TriExpAlgorithm!E$10-TriExpAlgorithm!E$8)/((TriExpAlgorithm!C$10-TriExpAlgorithm!C$8))*TriExpAlgorithm!C$8)))</f>
        <v>1081.7608445380306</v>
      </c>
      <c r="K28">
        <f>TriExpAlgorithm!$E$52*EXP(TriExpAlgorithm!$F$52*I28)</f>
        <v>0</v>
      </c>
      <c r="L28">
        <f>TriExpAlgorithm!$C$17*EXP(TriExpAlgorithm!C$18*I28)</f>
        <v>682.03996852755063</v>
      </c>
      <c r="M28">
        <f>TriExpAlgorithm!C$15*EXP(TriExpAlgorithm!C$16*I28)</f>
        <v>24.282696371249585</v>
      </c>
      <c r="N28">
        <f>TriExpAlgorithm!C$13*EXP(TriExpAlgorithm!C$14*I28)</f>
        <v>-1.3176661885882127E-7</v>
      </c>
      <c r="O28">
        <f t="shared" si="4"/>
        <v>706.32266489880021</v>
      </c>
      <c r="P28">
        <f t="shared" si="5"/>
        <v>706.32266476703364</v>
      </c>
    </row>
    <row r="29" spans="2:16" x14ac:dyDescent="0.2">
      <c r="B29">
        <v>20</v>
      </c>
      <c r="C29">
        <f>TriExpAlgorithm!C$13*EXP(TriExpAlgorithm!C$14*TriPlotData!B29)+TriExpAlgorithm!C$15*EXP(TriExpAlgorithm!C$16*TriPlotData!B29)+TriExpAlgorithm!C$17*EXP(TriExpAlgorithm!C$18*TriPlotData!B29)</f>
        <v>692.18330472211665</v>
      </c>
      <c r="D29">
        <f t="shared" si="2"/>
        <v>635.0901512120729</v>
      </c>
      <c r="F29">
        <f t="shared" si="3"/>
        <v>574.42320535378667</v>
      </c>
      <c r="I29">
        <v>19</v>
      </c>
      <c r="J29">
        <f>(((TriExpAlgorithm!E$10-TriExpAlgorithm!E$8)/(TriExpAlgorithm!C$10-TriExpAlgorithm!C$8))*I29+(TriExpAlgorithm!E$8-((TriExpAlgorithm!E$10-TriExpAlgorithm!E$8)/((TriExpAlgorithm!C$10-TriExpAlgorithm!C$8))*TriExpAlgorithm!C$8)))</f>
        <v>1071.8266905767109</v>
      </c>
      <c r="K29">
        <f>TriExpAlgorithm!$E$52*EXP(TriExpAlgorithm!$F$52*I29)</f>
        <v>0</v>
      </c>
      <c r="L29">
        <f>TriExpAlgorithm!$C$17*EXP(TriExpAlgorithm!C$18*I29)</f>
        <v>679.22012423505851</v>
      </c>
      <c r="M29">
        <f>TriExpAlgorithm!C$15*EXP(TriExpAlgorithm!C$16*I29)</f>
        <v>19.56965253724286</v>
      </c>
      <c r="N29">
        <f>TriExpAlgorithm!C$13*EXP(TriExpAlgorithm!C$14*I29)</f>
        <v>-3.5910592899624004E-8</v>
      </c>
      <c r="O29">
        <f t="shared" si="4"/>
        <v>698.78977677230137</v>
      </c>
      <c r="P29">
        <f t="shared" si="5"/>
        <v>698.78977673639076</v>
      </c>
    </row>
    <row r="30" spans="2:16" x14ac:dyDescent="0.2">
      <c r="B30">
        <v>21</v>
      </c>
      <c r="C30">
        <f>TriExpAlgorithm!C$13*EXP(TriExpAlgorithm!C$14*TriPlotData!B30)+TriExpAlgorithm!C$15*EXP(TriExpAlgorithm!C$16*TriPlotData!B30)+TriExpAlgorithm!C$17*EXP(TriExpAlgorithm!C$18*TriPlotData!B30)</f>
        <v>686.32565468618873</v>
      </c>
      <c r="D30">
        <f t="shared" si="2"/>
        <v>627.01106325071396</v>
      </c>
      <c r="F30">
        <f t="shared" si="3"/>
        <v>573.84906926432234</v>
      </c>
      <c r="I30">
        <v>20</v>
      </c>
      <c r="J30">
        <f>(((TriExpAlgorithm!E$10-TriExpAlgorithm!E$8)/(TriExpAlgorithm!C$10-TriExpAlgorithm!C$8))*I30+(TriExpAlgorithm!E$8-((TriExpAlgorithm!E$10-TriExpAlgorithm!E$8)/((TriExpAlgorithm!C$10-TriExpAlgorithm!C$8))*TriExpAlgorithm!C$8)))</f>
        <v>1061.8925366153912</v>
      </c>
      <c r="K30">
        <f>TriExpAlgorithm!$E$52*EXP(TriExpAlgorithm!$F$52*I30)</f>
        <v>0</v>
      </c>
      <c r="L30">
        <f>TriExpAlgorithm!$C$17*EXP(TriExpAlgorithm!C$18*I30)</f>
        <v>676.41193838224842</v>
      </c>
      <c r="M30">
        <f>TriExpAlgorithm!C$15*EXP(TriExpAlgorithm!C$16*I30)</f>
        <v>15.771366349655031</v>
      </c>
      <c r="N30">
        <f>TriExpAlgorithm!C$13*EXP(TriExpAlgorithm!C$14*I30)</f>
        <v>-9.7867782718490046E-9</v>
      </c>
      <c r="O30">
        <f t="shared" si="4"/>
        <v>692.18330473190349</v>
      </c>
      <c r="P30">
        <f t="shared" si="5"/>
        <v>692.18330472211676</v>
      </c>
    </row>
    <row r="31" spans="2:16" x14ac:dyDescent="0.2">
      <c r="B31">
        <v>22</v>
      </c>
      <c r="C31">
        <f>TriExpAlgorithm!C$13*EXP(TriExpAlgorithm!C$14*TriPlotData!B31)+TriExpAlgorithm!C$15*EXP(TriExpAlgorithm!C$16*TriPlotData!B31)+TriExpAlgorithm!C$17*EXP(TriExpAlgorithm!C$18*TriPlotData!B31)</f>
        <v>681.07369274615849</v>
      </c>
      <c r="D31">
        <f t="shared" si="2"/>
        <v>619.54062442107966</v>
      </c>
      <c r="F31">
        <f t="shared" si="3"/>
        <v>573.27550702397502</v>
      </c>
      <c r="I31">
        <v>21</v>
      </c>
      <c r="J31">
        <f>(((TriExpAlgorithm!E$10-TriExpAlgorithm!E$8)/(TriExpAlgorithm!C$10-TriExpAlgorithm!C$8))*I31+(TriExpAlgorithm!E$8-((TriExpAlgorithm!E$10-TriExpAlgorithm!E$8)/((TriExpAlgorithm!C$10-TriExpAlgorithm!C$8))*TriExpAlgorithm!C$8)))</f>
        <v>1051.9583826540716</v>
      </c>
      <c r="K31">
        <f>TriExpAlgorithm!$E$52*EXP(TriExpAlgorithm!$F$52*I31)</f>
        <v>0</v>
      </c>
      <c r="L31">
        <f>TriExpAlgorithm!$C$17*EXP(TriExpAlgorithm!C$18*I31)</f>
        <v>673.61536276815559</v>
      </c>
      <c r="M31">
        <f>TriExpAlgorithm!C$15*EXP(TriExpAlgorithm!C$16*I31)</f>
        <v>12.710291920700339</v>
      </c>
      <c r="N31">
        <f>TriExpAlgorithm!C$13*EXP(TriExpAlgorithm!C$14*I31)</f>
        <v>-2.6672082304533224E-9</v>
      </c>
      <c r="O31">
        <f t="shared" si="4"/>
        <v>686.32565468885593</v>
      </c>
      <c r="P31">
        <f t="shared" si="5"/>
        <v>686.32565468618873</v>
      </c>
    </row>
    <row r="32" spans="2:16" x14ac:dyDescent="0.2">
      <c r="B32">
        <v>23</v>
      </c>
      <c r="C32">
        <f>TriExpAlgorithm!C$13*EXP(TriExpAlgorithm!C$14*TriPlotData!B32)+TriExpAlgorithm!C$15*EXP(TriExpAlgorithm!C$16*TriPlotData!B32)+TriExpAlgorithm!C$17*EXP(TriExpAlgorithm!C$18*TriPlotData!B32)</f>
        <v>676.3120568393889</v>
      </c>
      <c r="D32">
        <f t="shared" si="2"/>
        <v>612.56690044078607</v>
      </c>
      <c r="F32">
        <f t="shared" si="3"/>
        <v>572.70251805918258</v>
      </c>
      <c r="I32">
        <v>22</v>
      </c>
      <c r="J32">
        <f>(((TriExpAlgorithm!E$10-TriExpAlgorithm!E$8)/(TriExpAlgorithm!C$10-TriExpAlgorithm!C$8))*I32+(TriExpAlgorithm!E$8-((TriExpAlgorithm!E$10-TriExpAlgorithm!E$8)/((TriExpAlgorithm!C$10-TriExpAlgorithm!C$8))*TriExpAlgorithm!C$8)))</f>
        <v>1042.0242286927519</v>
      </c>
      <c r="K32">
        <f>TriExpAlgorithm!$E$52*EXP(TriExpAlgorithm!$F$52*I32)</f>
        <v>0</v>
      </c>
      <c r="L32">
        <f>TriExpAlgorithm!$C$17*EXP(TriExpAlgorithm!C$18*I32)</f>
        <v>670.83034939109848</v>
      </c>
      <c r="M32">
        <f>TriExpAlgorithm!C$15*EXP(TriExpAlgorithm!C$16*I32)</f>
        <v>10.243343355786934</v>
      </c>
      <c r="N32">
        <f>TriExpAlgorithm!C$13*EXP(TriExpAlgorithm!C$14*I32)</f>
        <v>-7.2689904144051933E-10</v>
      </c>
      <c r="O32">
        <f t="shared" si="4"/>
        <v>681.0736927468854</v>
      </c>
      <c r="P32">
        <f t="shared" si="5"/>
        <v>681.07369274615849</v>
      </c>
    </row>
    <row r="33" spans="2:16" x14ac:dyDescent="0.2">
      <c r="B33">
        <v>24</v>
      </c>
      <c r="C33">
        <f>TriExpAlgorithm!C$13*EXP(TriExpAlgorithm!C$14*TriPlotData!B33)+TriExpAlgorithm!C$15*EXP(TriExpAlgorithm!C$16*TriPlotData!B33)+TriExpAlgorithm!C$17*EXP(TriExpAlgorithm!C$18*TriPlotData!B33)</f>
        <v>671.94776651611619</v>
      </c>
      <c r="D33">
        <f t="shared" si="2"/>
        <v>605.99999999995202</v>
      </c>
      <c r="F33">
        <f t="shared" si="3"/>
        <v>572.13010179695584</v>
      </c>
      <c r="I33">
        <v>23</v>
      </c>
      <c r="J33">
        <f>(((TriExpAlgorithm!E$10-TriExpAlgorithm!E$8)/(TriExpAlgorithm!C$10-TriExpAlgorithm!C$8))*I33+(TriExpAlgorithm!E$8-((TriExpAlgorithm!E$10-TriExpAlgorithm!E$8)/((TriExpAlgorithm!C$10-TriExpAlgorithm!C$8))*TriExpAlgorithm!C$8)))</f>
        <v>1032.0900747314324</v>
      </c>
      <c r="K33">
        <f>TriExpAlgorithm!$E$52*EXP(TriExpAlgorithm!$F$52*I33)</f>
        <v>0</v>
      </c>
      <c r="L33">
        <f>TriExpAlgorithm!$C$17*EXP(TriExpAlgorithm!C$18*I33)</f>
        <v>668.05685044785503</v>
      </c>
      <c r="M33">
        <f>TriExpAlgorithm!C$15*EXP(TriExpAlgorithm!C$16*I33)</f>
        <v>8.255206391731944</v>
      </c>
      <c r="N33">
        <f>TriExpAlgorithm!C$13*EXP(TriExpAlgorithm!C$14*I33)</f>
        <v>-1.9810309911848965E-10</v>
      </c>
      <c r="O33">
        <f t="shared" si="4"/>
        <v>676.31205683958694</v>
      </c>
      <c r="P33">
        <f t="shared" si="5"/>
        <v>676.31205683938879</v>
      </c>
    </row>
    <row r="34" spans="2:16" x14ac:dyDescent="0.2">
      <c r="B34">
        <v>25</v>
      </c>
      <c r="C34">
        <f>TriExpAlgorithm!C$13*EXP(TriExpAlgorithm!C$14*TriPlotData!B34)+TriExpAlgorithm!C$15*EXP(TriExpAlgorithm!C$16*TriPlotData!B34)+TriExpAlgorithm!C$17*EXP(TriExpAlgorithm!C$18*TriPlotData!B34)</f>
        <v>667.9058789171155</v>
      </c>
      <c r="D34">
        <f t="shared" si="2"/>
        <v>599.76772071768221</v>
      </c>
      <c r="F34">
        <f t="shared" si="3"/>
        <v>571.55825766487851</v>
      </c>
      <c r="I34">
        <v>24</v>
      </c>
      <c r="J34">
        <f>(((TriExpAlgorithm!E$10-TriExpAlgorithm!E$8)/(TriExpAlgorithm!C$10-TriExpAlgorithm!C$8))*I34+(TriExpAlgorithm!E$8-((TriExpAlgorithm!E$10-TriExpAlgorithm!E$8)/((TriExpAlgorithm!C$10-TriExpAlgorithm!C$8))*TriExpAlgorithm!C$8)))</f>
        <v>1022.1559207701127</v>
      </c>
      <c r="K34">
        <f>TriExpAlgorithm!$E$52*EXP(TriExpAlgorithm!$F$52*I34)</f>
        <v>0</v>
      </c>
      <c r="L34">
        <f>TriExpAlgorithm!$C$17*EXP(TriExpAlgorithm!C$18*I34)</f>
        <v>665.29481833284171</v>
      </c>
      <c r="M34">
        <f>TriExpAlgorithm!C$15*EXP(TriExpAlgorithm!C$16*I34)</f>
        <v>6.6529481833284141</v>
      </c>
      <c r="N34">
        <f>TriExpAlgorithm!C$13*EXP(TriExpAlgorithm!C$14*I34)</f>
        <v>-5.3989392808356661E-11</v>
      </c>
      <c r="O34">
        <f t="shared" si="4"/>
        <v>671.94776651617008</v>
      </c>
      <c r="P34">
        <f t="shared" si="5"/>
        <v>671.94776651611608</v>
      </c>
    </row>
    <row r="35" spans="2:16" x14ac:dyDescent="0.2">
      <c r="B35">
        <v>26</v>
      </c>
      <c r="C35">
        <f>TriExpAlgorithm!C$13*EXP(TriExpAlgorithm!C$14*TriPlotData!B35)+TriExpAlgorithm!C$15*EXP(TriExpAlgorithm!C$16*TriPlotData!B35)+TriExpAlgorithm!C$17*EXP(TriExpAlgorithm!C$18*TriPlotData!B35)</f>
        <v>664.12598788417608</v>
      </c>
      <c r="D35">
        <f t="shared" si="2"/>
        <v>593.81205524247548</v>
      </c>
      <c r="F35">
        <f t="shared" si="3"/>
        <v>570.9869850911067</v>
      </c>
      <c r="I35">
        <v>25</v>
      </c>
      <c r="J35">
        <f>(((TriExpAlgorithm!E$10-TriExpAlgorithm!E$8)/(TriExpAlgorithm!C$10-TriExpAlgorithm!C$8))*I35+(TriExpAlgorithm!E$8-((TriExpAlgorithm!E$10-TriExpAlgorithm!E$8)/((TriExpAlgorithm!C$10-TriExpAlgorithm!C$8))*TriExpAlgorithm!C$8)))</f>
        <v>1012.2217668087931</v>
      </c>
      <c r="K35">
        <f>TriExpAlgorithm!$E$52*EXP(TriExpAlgorithm!$F$52*I35)</f>
        <v>0</v>
      </c>
      <c r="L35">
        <f>TriExpAlgorithm!$C$17*EXP(TriExpAlgorithm!C$18*I35)</f>
        <v>662.54420563729752</v>
      </c>
      <c r="M35">
        <f>TriExpAlgorithm!C$15*EXP(TriExpAlgorithm!C$16*I35)</f>
        <v>5.3616732798326527</v>
      </c>
      <c r="N35">
        <f>TriExpAlgorithm!C$13*EXP(TriExpAlgorithm!C$14*I35)</f>
        <v>-1.471382602687911E-11</v>
      </c>
      <c r="O35">
        <f t="shared" si="4"/>
        <v>667.90587891713017</v>
      </c>
      <c r="P35">
        <f t="shared" si="5"/>
        <v>667.9058789171155</v>
      </c>
    </row>
    <row r="36" spans="2:16" x14ac:dyDescent="0.2">
      <c r="B36">
        <v>27</v>
      </c>
      <c r="C36">
        <f>TriExpAlgorithm!C$13*EXP(TriExpAlgorithm!C$14*TriPlotData!B36)+TriExpAlgorithm!C$15*EXP(TriExpAlgorithm!C$16*TriPlotData!B36)+TriExpAlgorithm!C$17*EXP(TriExpAlgorithm!C$18*TriPlotData!B36)</f>
        <v>660.5594025599878</v>
      </c>
      <c r="D36">
        <f t="shared" si="2"/>
        <v>588.08638757419726</v>
      </c>
      <c r="F36">
        <f t="shared" si="3"/>
        <v>570.41628350436736</v>
      </c>
      <c r="I36">
        <v>26</v>
      </c>
      <c r="J36">
        <f>(((TriExpAlgorithm!E$10-TriExpAlgorithm!E$8)/(TriExpAlgorithm!C$10-TriExpAlgorithm!C$8))*I36+(TriExpAlgorithm!E$8-((TriExpAlgorithm!E$10-TriExpAlgorithm!E$8)/((TriExpAlgorithm!C$10-TriExpAlgorithm!C$8))*TriExpAlgorithm!C$8)))</f>
        <v>1002.2876128474735</v>
      </c>
      <c r="K36">
        <f>TriExpAlgorithm!$E$52*EXP(TriExpAlgorithm!$F$52*I36)</f>
        <v>0</v>
      </c>
      <c r="L36">
        <f>TriExpAlgorithm!$C$17*EXP(TriExpAlgorithm!C$18*I36)</f>
        <v>659.8049651484688</v>
      </c>
      <c r="M36">
        <f>TriExpAlgorithm!C$15*EXP(TriExpAlgorithm!C$16*I36)</f>
        <v>4.3210227357113222</v>
      </c>
      <c r="N36">
        <f>TriExpAlgorithm!C$13*EXP(TriExpAlgorithm!C$14*I36)</f>
        <v>-4.0099853894958682E-12</v>
      </c>
      <c r="O36">
        <f t="shared" si="4"/>
        <v>664.12598788418006</v>
      </c>
      <c r="P36">
        <f t="shared" si="5"/>
        <v>664.12598788417608</v>
      </c>
    </row>
    <row r="37" spans="2:16" x14ac:dyDescent="0.2">
      <c r="B37">
        <v>28</v>
      </c>
      <c r="C37">
        <f>TriExpAlgorithm!C$13*EXP(TriExpAlgorithm!C$14*TriPlotData!B37)+TriExpAlgorithm!C$15*EXP(TriExpAlgorithm!C$16*TriPlotData!B37)+TriExpAlgorithm!C$17*EXP(TriExpAlgorithm!C$18*TriPlotData!B37)</f>
        <v>657.16687359511764</v>
      </c>
      <c r="D37">
        <f t="shared" si="2"/>
        <v>582.55324325321908</v>
      </c>
      <c r="F37">
        <f t="shared" si="3"/>
        <v>569.84615233395914</v>
      </c>
      <c r="I37">
        <v>27</v>
      </c>
      <c r="J37">
        <f>(((TriExpAlgorithm!E$10-TriExpAlgorithm!E$8)/(TriExpAlgorithm!C$10-TriExpAlgorithm!C$8))*I37+(TriExpAlgorithm!E$8-((TriExpAlgorithm!E$10-TriExpAlgorithm!E$8)/((TriExpAlgorithm!C$10-TriExpAlgorithm!C$8))*TriExpAlgorithm!C$8)))</f>
        <v>992.35345888615393</v>
      </c>
      <c r="K37">
        <f>TriExpAlgorithm!$E$52*EXP(TriExpAlgorithm!$F$52*I37)</f>
        <v>0</v>
      </c>
      <c r="L37">
        <f>TriExpAlgorithm!$C$17*EXP(TriExpAlgorithm!C$18*I37)</f>
        <v>657.07704984880002</v>
      </c>
      <c r="M37">
        <f>TriExpAlgorithm!C$15*EXP(TriExpAlgorithm!C$16*I37)</f>
        <v>3.4823527111888728</v>
      </c>
      <c r="N37">
        <f>TriExpAlgorithm!C$13*EXP(TriExpAlgorithm!C$14*I37)</f>
        <v>-1.0928485082395054E-12</v>
      </c>
      <c r="O37">
        <f t="shared" si="4"/>
        <v>660.55940255998894</v>
      </c>
      <c r="P37">
        <f t="shared" si="5"/>
        <v>660.5594025599878</v>
      </c>
    </row>
    <row r="38" spans="2:16" x14ac:dyDescent="0.2">
      <c r="B38">
        <v>29</v>
      </c>
      <c r="C38">
        <f>TriExpAlgorithm!C$13*EXP(TriExpAlgorithm!C$14*TriPlotData!B38)+TriExpAlgorithm!C$15*EXP(TriExpAlgorithm!C$16*TriPlotData!B38)+TriExpAlgorithm!C$17*EXP(TriExpAlgorithm!C$18*TriPlotData!B38)</f>
        <v>653.91676067673302</v>
      </c>
      <c r="D38">
        <f t="shared" si="2"/>
        <v>577.18248399927666</v>
      </c>
      <c r="F38">
        <f t="shared" si="3"/>
        <v>569.27659100975075</v>
      </c>
      <c r="I38">
        <v>28</v>
      </c>
      <c r="J38">
        <f>(((TriExpAlgorithm!E$10-TriExpAlgorithm!E$8)/(TriExpAlgorithm!C$10-TriExpAlgorithm!C$8))*I38+(TriExpAlgorithm!E$8-((TriExpAlgorithm!E$10-TriExpAlgorithm!E$8)/((TriExpAlgorithm!C$10-TriExpAlgorithm!C$8))*TriExpAlgorithm!C$8)))</f>
        <v>982.41930492483425</v>
      </c>
      <c r="K38">
        <f>TriExpAlgorithm!$E$52*EXP(TriExpAlgorithm!$F$52*I38)</f>
        <v>0</v>
      </c>
      <c r="L38">
        <f>TriExpAlgorithm!$C$17*EXP(TriExpAlgorithm!C$18*I38)</f>
        <v>654.36041291512606</v>
      </c>
      <c r="M38">
        <f>TriExpAlgorithm!C$15*EXP(TriExpAlgorithm!C$16*I38)</f>
        <v>2.8064606799918153</v>
      </c>
      <c r="N38">
        <f>TriExpAlgorithm!C$13*EXP(TriExpAlgorithm!C$14*I38)</f>
        <v>-2.9783596346505912E-13</v>
      </c>
      <c r="O38">
        <f t="shared" si="4"/>
        <v>657.16687359511786</v>
      </c>
      <c r="P38">
        <f t="shared" si="5"/>
        <v>657.16687359511752</v>
      </c>
    </row>
    <row r="39" spans="2:16" x14ac:dyDescent="0.2">
      <c r="B39">
        <v>30</v>
      </c>
      <c r="C39">
        <f>TriExpAlgorithm!C$13*EXP(TriExpAlgorithm!C$14*TriPlotData!B39)+TriExpAlgorithm!C$15*EXP(TriExpAlgorithm!C$16*TriPlotData!B39)+TriExpAlgorithm!C$17*EXP(TriExpAlgorithm!C$18*TriPlotData!B39)</f>
        <v>650.78355572267049</v>
      </c>
      <c r="D39">
        <f t="shared" si="2"/>
        <v>571.94985899818278</v>
      </c>
      <c r="F39">
        <f t="shared" si="3"/>
        <v>568.70759896218078</v>
      </c>
      <c r="I39">
        <v>29</v>
      </c>
      <c r="J39">
        <f>(((TriExpAlgorithm!E$10-TriExpAlgorithm!E$8)/(TriExpAlgorithm!C$10-TriExpAlgorithm!C$8))*I39+(TriExpAlgorithm!E$8-((TriExpAlgorithm!E$10-TriExpAlgorithm!E$8)/((TriExpAlgorithm!C$10-TriExpAlgorithm!C$8))*TriExpAlgorithm!C$8)))</f>
        <v>972.48515096351457</v>
      </c>
      <c r="K39">
        <f>TriExpAlgorithm!$E$52*EXP(TriExpAlgorithm!$F$52*I39)</f>
        <v>0</v>
      </c>
      <c r="L39">
        <f>TriExpAlgorithm!$C$17*EXP(TriExpAlgorithm!C$18*I39)</f>
        <v>651.6550077178689</v>
      </c>
      <c r="M39">
        <f>TriExpAlgorithm!C$15*EXP(TriExpAlgorithm!C$16*I39)</f>
        <v>2.2617529588641752</v>
      </c>
      <c r="N39">
        <f>TriExpAlgorithm!C$13*EXP(TriExpAlgorithm!C$14*I39)</f>
        <v>-8.1169769153144894E-14</v>
      </c>
      <c r="O39">
        <f t="shared" si="4"/>
        <v>653.91676067673302</v>
      </c>
      <c r="P39">
        <f t="shared" si="5"/>
        <v>653.91676067673291</v>
      </c>
    </row>
    <row r="40" spans="2:16" x14ac:dyDescent="0.2">
      <c r="B40">
        <v>31</v>
      </c>
      <c r="C40">
        <f>TriExpAlgorithm!C$13*EXP(TriExpAlgorithm!C$14*TriPlotData!B40)+TriExpAlgorithm!C$15*EXP(TriExpAlgorithm!C$16*TriPlotData!B40)+TriExpAlgorithm!C$17*EXP(TriExpAlgorithm!C$18*TriPlotData!B40)</f>
        <v>647.74669270954405</v>
      </c>
      <c r="D40">
        <f t="shared" si="2"/>
        <v>566.83584237995672</v>
      </c>
      <c r="F40">
        <f t="shared" si="3"/>
        <v>568.13917562225708</v>
      </c>
      <c r="I40">
        <v>30</v>
      </c>
      <c r="J40">
        <f>(((TriExpAlgorithm!E$10-TriExpAlgorithm!E$8)/(TriExpAlgorithm!C$10-TriExpAlgorithm!C$8))*I40+(TriExpAlgorithm!E$8-((TriExpAlgorithm!E$10-TriExpAlgorithm!E$8)/((TriExpAlgorithm!C$10-TriExpAlgorithm!C$8))*TriExpAlgorithm!C$8)))</f>
        <v>962.550997002195</v>
      </c>
      <c r="K40">
        <f>TriExpAlgorithm!$E$52*EXP(TriExpAlgorithm!$F$52*I40)</f>
        <v>0</v>
      </c>
      <c r="L40">
        <f>TriExpAlgorithm!$C$17*EXP(TriExpAlgorithm!C$18*I40)</f>
        <v>648.96078782023699</v>
      </c>
      <c r="M40">
        <f>TriExpAlgorithm!C$15*EXP(TriExpAlgorithm!C$16*I40)</f>
        <v>1.8227679024335288</v>
      </c>
      <c r="N40">
        <f>TriExpAlgorithm!C$13*EXP(TriExpAlgorithm!C$14*I40)</f>
        <v>-2.2121342727463529E-14</v>
      </c>
      <c r="O40">
        <f t="shared" si="4"/>
        <v>650.78355572267049</v>
      </c>
      <c r="P40">
        <f t="shared" si="5"/>
        <v>650.78355572267049</v>
      </c>
    </row>
    <row r="41" spans="2:16" x14ac:dyDescent="0.2">
      <c r="B41">
        <v>32</v>
      </c>
      <c r="C41">
        <f>TriExpAlgorithm!C$13*EXP(TriExpAlgorithm!C$14*TriPlotData!B41)+TriExpAlgorithm!C$15*EXP(TriExpAlgorithm!C$16*TriPlotData!B41)+TriExpAlgorithm!C$17*EXP(TriExpAlgorithm!C$18*TriPlotData!B41)</f>
        <v>644.7895885019135</v>
      </c>
      <c r="D41">
        <f t="shared" si="2"/>
        <v>561.824700350733</v>
      </c>
      <c r="F41">
        <f t="shared" si="3"/>
        <v>567.57132042155649</v>
      </c>
      <c r="I41">
        <v>31</v>
      </c>
      <c r="J41">
        <f>(((TriExpAlgorithm!E$10-TriExpAlgorithm!E$8)/(TriExpAlgorithm!C$10-TriExpAlgorithm!C$8))*I41+(TriExpAlgorithm!E$8-((TriExpAlgorithm!E$10-TriExpAlgorithm!E$8)/((TriExpAlgorithm!C$10-TriExpAlgorithm!C$8))*TriExpAlgorithm!C$8)))</f>
        <v>952.61684304087544</v>
      </c>
      <c r="K41">
        <f>TriExpAlgorithm!$E$52*EXP(TriExpAlgorithm!$F$52*I41)</f>
        <v>0</v>
      </c>
      <c r="L41">
        <f>TriExpAlgorithm!$C$17*EXP(TriExpAlgorithm!C$18*I41)</f>
        <v>646.27770697742835</v>
      </c>
      <c r="M41">
        <f>TriExpAlgorithm!C$15*EXP(TriExpAlgorithm!C$16*I41)</f>
        <v>1.4689857321156923</v>
      </c>
      <c r="N41">
        <f>TriExpAlgorithm!C$13*EXP(TriExpAlgorithm!C$14*I41)</f>
        <v>-6.0287691978355247E-15</v>
      </c>
      <c r="O41">
        <f t="shared" si="4"/>
        <v>647.74669270954405</v>
      </c>
      <c r="P41">
        <f t="shared" si="5"/>
        <v>647.74669270954405</v>
      </c>
    </row>
    <row r="42" spans="2:16" x14ac:dyDescent="0.2">
      <c r="B42">
        <v>33</v>
      </c>
      <c r="C42">
        <f>TriExpAlgorithm!C$13*EXP(TriExpAlgorithm!C$14*TriPlotData!B42)+TriExpAlgorithm!C$15*EXP(TriExpAlgorithm!C$16*TriPlotData!B42)+TriExpAlgorithm!C$17*EXP(TriExpAlgorithm!C$18*TriPlotData!B42)</f>
        <v>641.89886984737404</v>
      </c>
      <c r="D42">
        <f t="shared" si="2"/>
        <v>556.9037426099361</v>
      </c>
      <c r="F42">
        <f t="shared" si="3"/>
        <v>567.0040327922236</v>
      </c>
      <c r="I42">
        <v>32</v>
      </c>
      <c r="J42">
        <f>(((TriExpAlgorithm!E$10-TriExpAlgorithm!E$8)/(TriExpAlgorithm!C$10-TriExpAlgorithm!C$8))*I42+(TriExpAlgorithm!E$8-((TriExpAlgorithm!E$10-TriExpAlgorithm!E$8)/((TriExpAlgorithm!C$10-TriExpAlgorithm!C$8))*TriExpAlgorithm!C$8)))</f>
        <v>942.68268907955576</v>
      </c>
      <c r="K42">
        <f>TriExpAlgorithm!$E$52*EXP(TriExpAlgorithm!$F$52*I42)</f>
        <v>0</v>
      </c>
      <c r="L42">
        <f>TriExpAlgorithm!$C$17*EXP(TriExpAlgorithm!C$18*I42)</f>
        <v>643.60571913583647</v>
      </c>
      <c r="M42">
        <f>TriExpAlgorithm!C$15*EXP(TriExpAlgorithm!C$16*I42)</f>
        <v>1.1838693660769966</v>
      </c>
      <c r="N42">
        <f>TriExpAlgorithm!C$13*EXP(TriExpAlgorithm!C$14*I42)</f>
        <v>-1.6430312792743459E-15</v>
      </c>
      <c r="O42">
        <f t="shared" si="4"/>
        <v>644.7895885019135</v>
      </c>
      <c r="P42">
        <f t="shared" si="5"/>
        <v>644.7895885019135</v>
      </c>
    </row>
    <row r="43" spans="2:16" x14ac:dyDescent="0.2">
      <c r="B43">
        <v>34</v>
      </c>
      <c r="C43">
        <f>TriExpAlgorithm!C$13*EXP(TriExpAlgorithm!C$14*TriPlotData!B43)+TriExpAlgorithm!C$15*EXP(TriExpAlgorithm!C$16*TriPlotData!B43)+TriExpAlgorithm!C$17*EXP(TriExpAlgorithm!C$18*TriPlotData!B43)</f>
        <v>639.06375040450382</v>
      </c>
      <c r="D43">
        <f t="shared" si="2"/>
        <v>552.06272164684071</v>
      </c>
      <c r="F43">
        <f t="shared" si="3"/>
        <v>566.43731216697074</v>
      </c>
      <c r="I43">
        <v>33</v>
      </c>
      <c r="J43">
        <f>(((TriExpAlgorithm!E$10-TriExpAlgorithm!E$8)/(TriExpAlgorithm!C$10-TriExpAlgorithm!C$8))*I43+(TriExpAlgorithm!E$8-((TriExpAlgorithm!E$10-TriExpAlgorithm!E$8)/((TriExpAlgorithm!C$10-TriExpAlgorithm!C$8))*TriExpAlgorithm!C$8)))</f>
        <v>932.74853511823608</v>
      </c>
      <c r="K43">
        <f>TriExpAlgorithm!$E$52*EXP(TriExpAlgorithm!$F$52*I43)</f>
        <v>0</v>
      </c>
      <c r="L43">
        <f>TriExpAlgorithm!$C$17*EXP(TriExpAlgorithm!C$18*I43)</f>
        <v>640.9447784322607</v>
      </c>
      <c r="M43">
        <f>TriExpAlgorithm!C$15*EXP(TriExpAlgorithm!C$16*I43)</f>
        <v>0.9540914151133284</v>
      </c>
      <c r="N43">
        <f>TriExpAlgorithm!C$13*EXP(TriExpAlgorithm!C$14*I43)</f>
        <v>-4.4777826055160632E-16</v>
      </c>
      <c r="O43">
        <f t="shared" si="4"/>
        <v>641.89886984737404</v>
      </c>
      <c r="P43">
        <f t="shared" si="5"/>
        <v>641.89886984737404</v>
      </c>
    </row>
    <row r="44" spans="2:16" x14ac:dyDescent="0.2">
      <c r="B44">
        <v>35</v>
      </c>
      <c r="C44">
        <f>TriExpAlgorithm!C$13*EXP(TriExpAlgorithm!C$14*TriPlotData!B44)+TriExpAlgorithm!C$15*EXP(TriExpAlgorithm!C$16*TriPlotData!B44)+TriExpAlgorithm!C$17*EXP(TriExpAlgorithm!C$18*TriPlotData!B44)</f>
        <v>636.27552868370151</v>
      </c>
      <c r="D44">
        <f t="shared" si="2"/>
        <v>547.29335070269815</v>
      </c>
      <c r="F44">
        <f t="shared" si="3"/>
        <v>565.87115797907722</v>
      </c>
      <c r="I44">
        <v>34</v>
      </c>
      <c r="J44">
        <f>(((TriExpAlgorithm!E$10-TriExpAlgorithm!E$8)/(TriExpAlgorithm!C$10-TriExpAlgorithm!C$8))*I44+(TriExpAlgorithm!E$8-((TriExpAlgorithm!E$10-TriExpAlgorithm!E$8)/((TriExpAlgorithm!C$10-TriExpAlgorithm!C$8))*TriExpAlgorithm!C$8)))</f>
        <v>922.81438115691651</v>
      </c>
      <c r="K44">
        <f>TriExpAlgorithm!$E$52*EXP(TriExpAlgorithm!$F$52*I44)</f>
        <v>0</v>
      </c>
      <c r="L44">
        <f>TriExpAlgorithm!$C$17*EXP(TriExpAlgorithm!C$18*I44)</f>
        <v>638.29483919311792</v>
      </c>
      <c r="M44">
        <f>TriExpAlgorithm!C$15*EXP(TriExpAlgorithm!C$16*I44)</f>
        <v>0.76891121138592677</v>
      </c>
      <c r="N44">
        <f>TriExpAlgorithm!C$13*EXP(TriExpAlgorithm!C$14*I44)</f>
        <v>-1.2203381222978E-16</v>
      </c>
      <c r="O44">
        <f t="shared" si="4"/>
        <v>639.06375040450382</v>
      </c>
      <c r="P44">
        <f t="shared" si="5"/>
        <v>639.06375040450382</v>
      </c>
    </row>
    <row r="45" spans="2:16" x14ac:dyDescent="0.2">
      <c r="B45">
        <v>36</v>
      </c>
      <c r="C45">
        <f>TriExpAlgorithm!C$13*EXP(TriExpAlgorithm!C$14*TriPlotData!B45)+TriExpAlgorithm!C$15*EXP(TriExpAlgorithm!C$16*TriPlotData!B45)+TriExpAlgorithm!C$17*EXP(TriExpAlgorithm!C$18*TriPlotData!B45)</f>
        <v>633.52718343285301</v>
      </c>
      <c r="D45">
        <f t="shared" si="2"/>
        <v>542.58891695584589</v>
      </c>
      <c r="F45">
        <f t="shared" si="3"/>
        <v>565.30556966238885</v>
      </c>
      <c r="I45">
        <v>35</v>
      </c>
      <c r="J45">
        <f>(((TriExpAlgorithm!E$10-TriExpAlgorithm!E$8)/(TriExpAlgorithm!C$10-TriExpAlgorithm!C$8))*I45+(TriExpAlgorithm!E$8-((TriExpAlgorithm!E$10-TriExpAlgorithm!E$8)/((TriExpAlgorithm!C$10-TriExpAlgorithm!C$8))*TriExpAlgorithm!C$8)))</f>
        <v>912.88022719559694</v>
      </c>
      <c r="K45">
        <f>TriExpAlgorithm!$E$52*EXP(TriExpAlgorithm!$F$52*I45)</f>
        <v>0</v>
      </c>
      <c r="L45">
        <f>TriExpAlgorithm!$C$17*EXP(TriExpAlgorithm!C$18*I45)</f>
        <v>635.65585593365927</v>
      </c>
      <c r="M45">
        <f>TriExpAlgorithm!C$15*EXP(TriExpAlgorithm!C$16*I45)</f>
        <v>0.61967275004224565</v>
      </c>
      <c r="N45">
        <f>TriExpAlgorithm!C$13*EXP(TriExpAlgorithm!C$14*I45)</f>
        <v>-3.3258093657758058E-17</v>
      </c>
      <c r="O45">
        <f t="shared" si="4"/>
        <v>636.27552868370151</v>
      </c>
      <c r="P45">
        <f t="shared" si="5"/>
        <v>636.27552868370151</v>
      </c>
    </row>
    <row r="46" spans="2:16" x14ac:dyDescent="0.2">
      <c r="B46">
        <v>37</v>
      </c>
      <c r="C46">
        <f>TriExpAlgorithm!C$13*EXP(TriExpAlgorithm!C$14*TriPlotData!B46)+TriExpAlgorithm!C$15*EXP(TriExpAlgorithm!C$16*TriPlotData!B46)+TriExpAlgorithm!C$17*EXP(TriExpAlgorithm!C$18*TriPlotData!B46)</f>
        <v>630.81304755470148</v>
      </c>
      <c r="D46">
        <f t="shared" si="2"/>
        <v>537.94397111835679</v>
      </c>
      <c r="F46">
        <f t="shared" si="3"/>
        <v>564.74054665131723</v>
      </c>
      <c r="I46">
        <v>36</v>
      </c>
      <c r="J46">
        <f>(((TriExpAlgorithm!E$10-TriExpAlgorithm!E$8)/(TriExpAlgorithm!C$10-TriExpAlgorithm!C$8))*I46+(TriExpAlgorithm!E$8-((TriExpAlgorithm!E$10-TriExpAlgorithm!E$8)/((TriExpAlgorithm!C$10-TriExpAlgorithm!C$8))*TriExpAlgorithm!C$8)))</f>
        <v>902.94607323427726</v>
      </c>
      <c r="K46">
        <f>TriExpAlgorithm!$E$52*EXP(TriExpAlgorithm!$F$52*I46)</f>
        <v>0</v>
      </c>
      <c r="L46">
        <f>TriExpAlgorithm!$C$17*EXP(TriExpAlgorithm!C$18*I46)</f>
        <v>633.02778335718915</v>
      </c>
      <c r="M46">
        <f>TriExpAlgorithm!C$15*EXP(TriExpAlgorithm!C$16*I46)</f>
        <v>0.49940007566385608</v>
      </c>
      <c r="N46">
        <f>TriExpAlgorithm!C$13*EXP(TriExpAlgorithm!C$14*I46)</f>
        <v>-9.0638878974418882E-18</v>
      </c>
      <c r="O46">
        <f t="shared" si="4"/>
        <v>633.52718343285301</v>
      </c>
      <c r="P46">
        <f t="shared" si="5"/>
        <v>633.52718343285301</v>
      </c>
    </row>
    <row r="47" spans="2:16" x14ac:dyDescent="0.2">
      <c r="B47">
        <v>38</v>
      </c>
      <c r="C47">
        <f>TriExpAlgorithm!C$13*EXP(TriExpAlgorithm!C$14*TriPlotData!B47)+TriExpAlgorithm!C$15*EXP(TriExpAlgorithm!C$16*TriPlotData!B47)+TriExpAlgorithm!C$17*EXP(TriExpAlgorithm!C$18*TriPlotData!B47)</f>
        <v>628.12854531365258</v>
      </c>
      <c r="D47">
        <f t="shared" si="2"/>
        <v>533.35407834901139</v>
      </c>
      <c r="F47">
        <f t="shared" si="3"/>
        <v>564.17608838083936</v>
      </c>
      <c r="I47">
        <v>37</v>
      </c>
      <c r="J47">
        <f>(((TriExpAlgorithm!E$10-TriExpAlgorithm!E$8)/(TriExpAlgorithm!C$10-TriExpAlgorithm!C$8))*I47+(TriExpAlgorithm!E$8-((TriExpAlgorithm!E$10-TriExpAlgorithm!E$8)/((TriExpAlgorithm!C$10-TriExpAlgorithm!C$8))*TriExpAlgorithm!C$8)))</f>
        <v>893.01191927295758</v>
      </c>
      <c r="K47">
        <f>TriExpAlgorithm!$E$52*EXP(TriExpAlgorithm!$F$52*I47)</f>
        <v>0</v>
      </c>
      <c r="L47">
        <f>TriExpAlgorithm!$C$17*EXP(TriExpAlgorithm!C$18*I47)</f>
        <v>630.41057635428797</v>
      </c>
      <c r="M47">
        <f>TriExpAlgorithm!C$15*EXP(TriExpAlgorithm!C$16*I47)</f>
        <v>0.40247120041354534</v>
      </c>
      <c r="N47">
        <f>TriExpAlgorithm!C$13*EXP(TriExpAlgorithm!C$14*I47)</f>
        <v>-2.4701976205491312E-18</v>
      </c>
      <c r="O47">
        <f t="shared" si="4"/>
        <v>630.81304755470148</v>
      </c>
      <c r="P47">
        <f t="shared" si="5"/>
        <v>630.81304755470148</v>
      </c>
    </row>
    <row r="48" spans="2:16" x14ac:dyDescent="0.2">
      <c r="B48">
        <v>39</v>
      </c>
      <c r="C48">
        <f>TriExpAlgorithm!C$13*EXP(TriExpAlgorithm!C$14*TriPlotData!B48)+TriExpAlgorithm!C$15*EXP(TriExpAlgorithm!C$16*TriPlotData!B48)+TriExpAlgorithm!C$17*EXP(TriExpAlgorithm!C$18*TriPlotData!B48)</f>
        <v>625.46998054812786</v>
      </c>
      <c r="D48">
        <f t="shared" si="2"/>
        <v>528.81561836947355</v>
      </c>
      <c r="F48">
        <f t="shared" si="3"/>
        <v>563.61219428649679</v>
      </c>
      <c r="I48">
        <v>38</v>
      </c>
      <c r="J48">
        <f>(((TriExpAlgorithm!E$10-TriExpAlgorithm!E$8)/(TriExpAlgorithm!C$10-TriExpAlgorithm!C$8))*I48+(TriExpAlgorithm!E$8-((TriExpAlgorithm!E$10-TriExpAlgorithm!E$8)/((TriExpAlgorithm!C$10-TriExpAlgorithm!C$8))*TriExpAlgorithm!C$8)))</f>
        <v>883.07776531163802</v>
      </c>
      <c r="K48">
        <f>TriExpAlgorithm!$E$52*EXP(TriExpAlgorithm!$F$52*I48)</f>
        <v>0</v>
      </c>
      <c r="L48">
        <f>TriExpAlgorithm!$C$17*EXP(TriExpAlgorithm!C$18*I48)</f>
        <v>627.8041900020379</v>
      </c>
      <c r="M48">
        <f>TriExpAlgorithm!C$15*EXP(TriExpAlgorithm!C$16*I48)</f>
        <v>0.32435531161463027</v>
      </c>
      <c r="N48">
        <f>TriExpAlgorithm!C$13*EXP(TriExpAlgorithm!C$14*I48)</f>
        <v>-6.7320738667660816E-19</v>
      </c>
      <c r="O48">
        <f t="shared" si="4"/>
        <v>628.12854531365258</v>
      </c>
      <c r="P48">
        <f t="shared" si="5"/>
        <v>628.12854531365258</v>
      </c>
    </row>
    <row r="49" spans="2:16" x14ac:dyDescent="0.2">
      <c r="B49">
        <v>40</v>
      </c>
      <c r="C49">
        <f>TriExpAlgorithm!C$13*EXP(TriExpAlgorithm!C$14*TriPlotData!B49)+TriExpAlgorithm!C$15*EXP(TriExpAlgorithm!C$16*TriPlotData!B49)+TriExpAlgorithm!C$17*EXP(TriExpAlgorithm!C$18*TriPlotData!B49)</f>
        <v>622.83436598877211</v>
      </c>
      <c r="D49">
        <f t="shared" si="2"/>
        <v>524.32562506351735</v>
      </c>
      <c r="F49">
        <f t="shared" si="3"/>
        <v>563.04886380439552</v>
      </c>
      <c r="I49">
        <v>39</v>
      </c>
      <c r="J49">
        <f>(((TriExpAlgorithm!E$10-TriExpAlgorithm!E$8)/(TriExpAlgorithm!C$10-TriExpAlgorithm!C$8))*I49+(TriExpAlgorithm!E$8-((TriExpAlgorithm!E$10-TriExpAlgorithm!E$8)/((TriExpAlgorithm!C$10-TriExpAlgorithm!C$8))*TriExpAlgorithm!C$8)))</f>
        <v>873.14361135031845</v>
      </c>
      <c r="K49">
        <f>TriExpAlgorithm!$E$52*EXP(TriExpAlgorithm!$F$52*I49)</f>
        <v>0</v>
      </c>
      <c r="L49">
        <f>TriExpAlgorithm!$C$17*EXP(TriExpAlgorithm!C$18*I49)</f>
        <v>625.20857956325108</v>
      </c>
      <c r="M49">
        <f>TriExpAlgorithm!C$15*EXP(TriExpAlgorithm!C$16*I49)</f>
        <v>0.26140098487673896</v>
      </c>
      <c r="N49">
        <f>TriExpAlgorithm!C$13*EXP(TriExpAlgorithm!C$14*I49)</f>
        <v>-1.8347041617471707E-19</v>
      </c>
      <c r="O49">
        <f t="shared" si="4"/>
        <v>625.46998054812786</v>
      </c>
      <c r="P49">
        <f t="shared" si="5"/>
        <v>625.46998054812786</v>
      </c>
    </row>
    <row r="50" spans="2:16" x14ac:dyDescent="0.2">
      <c r="B50">
        <v>41</v>
      </c>
      <c r="C50">
        <f>TriExpAlgorithm!C$13*EXP(TriExpAlgorithm!C$14*TriPlotData!B50)+TriExpAlgorithm!C$15*EXP(TriExpAlgorithm!C$16*TriPlotData!B50)+TriExpAlgorithm!C$17*EXP(TriExpAlgorithm!C$18*TriPlotData!B50)</f>
        <v>620.2192857042495</v>
      </c>
      <c r="D50">
        <f t="shared" si="2"/>
        <v>519.88165775938523</v>
      </c>
      <c r="F50">
        <f t="shared" si="3"/>
        <v>562.48609637120501</v>
      </c>
      <c r="I50">
        <v>40</v>
      </c>
      <c r="J50">
        <f>(((TriExpAlgorithm!E$10-TriExpAlgorithm!E$8)/(TriExpAlgorithm!C$10-TriExpAlgorithm!C$8))*I50+(TriExpAlgorithm!E$8-((TriExpAlgorithm!E$10-TriExpAlgorithm!E$8)/((TriExpAlgorithm!C$10-TriExpAlgorithm!C$8))*TriExpAlgorithm!C$8)))</f>
        <v>863.20945738899877</v>
      </c>
      <c r="K50">
        <f>TriExpAlgorithm!$E$52*EXP(TriExpAlgorithm!$F$52*I50)</f>
        <v>0</v>
      </c>
      <c r="L50">
        <f>TriExpAlgorithm!$C$17*EXP(TriExpAlgorithm!C$18*I50)</f>
        <v>622.62370048570267</v>
      </c>
      <c r="M50">
        <f>TriExpAlgorithm!C$15*EXP(TriExpAlgorithm!C$16*I50)</f>
        <v>0.21066550306940277</v>
      </c>
      <c r="N50">
        <f>TriExpAlgorithm!C$13*EXP(TriExpAlgorithm!C$14*I50)</f>
        <v>-5.0001521488792294E-20</v>
      </c>
      <c r="O50">
        <f t="shared" si="4"/>
        <v>622.83436598877211</v>
      </c>
      <c r="P50">
        <f t="shared" si="5"/>
        <v>622.83436598877211</v>
      </c>
    </row>
    <row r="51" spans="2:16" x14ac:dyDescent="0.2">
      <c r="B51">
        <v>42</v>
      </c>
      <c r="C51">
        <f>TriExpAlgorithm!C$13*EXP(TriExpAlgorithm!C$14*TriPlotData!B51)+TriExpAlgorithm!C$15*EXP(TriExpAlgorithm!C$16*TriPlotData!B51)+TriExpAlgorithm!C$17*EXP(TriExpAlgorithm!C$18*TriPlotData!B51)</f>
        <v>617.62278424487658</v>
      </c>
      <c r="D51">
        <f t="shared" si="2"/>
        <v>515.48169793625186</v>
      </c>
      <c r="F51">
        <f t="shared" si="3"/>
        <v>561.92389142415777</v>
      </c>
      <c r="I51">
        <v>41</v>
      </c>
      <c r="J51">
        <f>(((TriExpAlgorithm!E$10-TriExpAlgorithm!E$8)/(TriExpAlgorithm!C$10-TriExpAlgorithm!C$8))*I51+(TriExpAlgorithm!E$8-((TriExpAlgorithm!E$10-TriExpAlgorithm!E$8)/((TriExpAlgorithm!C$10-TriExpAlgorithm!C$8))*TriExpAlgorithm!C$8)))</f>
        <v>853.27530342767909</v>
      </c>
      <c r="K51">
        <f>TriExpAlgorithm!$E$52*EXP(TriExpAlgorithm!$F$52*I51)</f>
        <v>0</v>
      </c>
      <c r="L51">
        <f>TriExpAlgorithm!$C$17*EXP(TriExpAlgorithm!C$18*I51)</f>
        <v>620.04950840136587</v>
      </c>
      <c r="M51">
        <f>TriExpAlgorithm!C$15*EXP(TriExpAlgorithm!C$16*I51)</f>
        <v>0.16977730288358117</v>
      </c>
      <c r="N51">
        <f>TriExpAlgorithm!C$13*EXP(TriExpAlgorithm!C$14*I51)</f>
        <v>-1.3627004305769218E-20</v>
      </c>
      <c r="O51">
        <f t="shared" si="4"/>
        <v>620.2192857042495</v>
      </c>
      <c r="P51">
        <f t="shared" si="5"/>
        <v>620.2192857042495</v>
      </c>
    </row>
    <row r="52" spans="2:16" x14ac:dyDescent="0.2">
      <c r="B52">
        <v>43</v>
      </c>
      <c r="C52">
        <f>TriExpAlgorithm!C$13*EXP(TriExpAlgorithm!C$14*TriPlotData!B52)+TriExpAlgorithm!C$15*EXP(TriExpAlgorithm!C$16*TriPlotData!B52)+TriExpAlgorithm!C$17*EXP(TriExpAlgorithm!C$18*TriPlotData!B52)</f>
        <v>615.04327730229386</v>
      </c>
      <c r="D52">
        <f t="shared" si="2"/>
        <v>511.1240663322472</v>
      </c>
      <c r="F52">
        <f t="shared" si="3"/>
        <v>561.36224840104876</v>
      </c>
      <c r="I52">
        <v>42</v>
      </c>
      <c r="J52">
        <f>(((TriExpAlgorithm!E$10-TriExpAlgorithm!E$8)/(TriExpAlgorithm!C$10-TriExpAlgorithm!C$8))*I52+(TriExpAlgorithm!E$8-((TriExpAlgorithm!E$10-TriExpAlgorithm!E$8)/((TriExpAlgorithm!C$10-TriExpAlgorithm!C$8))*TriExpAlgorithm!C$8)))</f>
        <v>843.34114946635952</v>
      </c>
      <c r="K52">
        <f>TriExpAlgorithm!$E$52*EXP(TriExpAlgorithm!$F$52*I52)</f>
        <v>0</v>
      </c>
      <c r="L52">
        <f>TriExpAlgorithm!$C$17*EXP(TriExpAlgorithm!C$18*I52)</f>
        <v>617.48595912564986</v>
      </c>
      <c r="M52">
        <f>TriExpAlgorithm!C$15*EXP(TriExpAlgorithm!C$16*I52)</f>
        <v>0.13682511922669763</v>
      </c>
      <c r="N52">
        <f>TriExpAlgorithm!C$13*EXP(TriExpAlgorithm!C$14*I52)</f>
        <v>-3.7137919171335048E-21</v>
      </c>
      <c r="O52">
        <f t="shared" ref="O52:O83" si="6">L52+M52</f>
        <v>617.62278424487658</v>
      </c>
      <c r="P52">
        <f t="shared" ref="P52:P83" si="7">L52+M52+N52</f>
        <v>617.62278424487658</v>
      </c>
    </row>
    <row r="53" spans="2:16" x14ac:dyDescent="0.2">
      <c r="B53">
        <v>44</v>
      </c>
      <c r="C53">
        <f>TriExpAlgorithm!C$13*EXP(TriExpAlgorithm!C$14*TriPlotData!B53)+TriExpAlgorithm!C$15*EXP(TriExpAlgorithm!C$16*TriPlotData!B53)+TriExpAlgorithm!C$17*EXP(TriExpAlgorithm!C$18*TriPlotData!B53)</f>
        <v>612.47947970911309</v>
      </c>
      <c r="D53">
        <f t="shared" si="2"/>
        <v>506.80735642370666</v>
      </c>
      <c r="F53">
        <f t="shared" si="3"/>
        <v>560.80116674023498</v>
      </c>
      <c r="I53">
        <v>43</v>
      </c>
      <c r="J53">
        <f>(((TriExpAlgorithm!E$10-TriExpAlgorithm!E$8)/(TriExpAlgorithm!C$10-TriExpAlgorithm!C$8))*I53+(TriExpAlgorithm!E$8-((TriExpAlgorithm!E$10-TriExpAlgorithm!E$8)/((TriExpAlgorithm!C$10-TriExpAlgorithm!C$8))*TriExpAlgorithm!C$8)))</f>
        <v>833.40699550503996</v>
      </c>
      <c r="K53">
        <f>TriExpAlgorithm!$E$52*EXP(TriExpAlgorithm!$F$52*I53)</f>
        <v>0</v>
      </c>
      <c r="L53">
        <f>TriExpAlgorithm!$C$17*EXP(TriExpAlgorithm!C$18*I53)</f>
        <v>614.93300865664196</v>
      </c>
      <c r="M53">
        <f>TriExpAlgorithm!C$15*EXP(TriExpAlgorithm!C$16*I53)</f>
        <v>0.11026864565187139</v>
      </c>
      <c r="N53">
        <f>TriExpAlgorithm!C$13*EXP(TriExpAlgorithm!C$14*I53)</f>
        <v>-1.0121263701316202E-21</v>
      </c>
      <c r="O53">
        <f t="shared" si="6"/>
        <v>615.04327730229386</v>
      </c>
      <c r="P53">
        <f t="shared" si="7"/>
        <v>615.04327730229386</v>
      </c>
    </row>
    <row r="54" spans="2:16" x14ac:dyDescent="0.2">
      <c r="B54">
        <v>45</v>
      </c>
      <c r="C54">
        <f>TriExpAlgorithm!C$13*EXP(TriExpAlgorithm!C$14*TriPlotData!B54)+TriExpAlgorithm!C$15*EXP(TriExpAlgorithm!C$16*TriPlotData!B54)+TriExpAlgorithm!C$17*EXP(TriExpAlgorithm!C$18*TriPlotData!B54)</f>
        <v>609.93034741301449</v>
      </c>
      <c r="D54">
        <f t="shared" si="2"/>
        <v>502.5303810415142</v>
      </c>
      <c r="F54">
        <f t="shared" si="3"/>
        <v>560.24064588063459</v>
      </c>
      <c r="I54">
        <v>44</v>
      </c>
      <c r="J54">
        <f>(((TriExpAlgorithm!E$10-TriExpAlgorithm!E$8)/(TriExpAlgorithm!C$10-TriExpAlgorithm!C$8))*I54+(TriExpAlgorithm!E$8-((TriExpAlgorithm!E$10-TriExpAlgorithm!E$8)/((TriExpAlgorithm!C$10-TriExpAlgorithm!C$8))*TriExpAlgorithm!C$8)))</f>
        <v>823.47284154372028</v>
      </c>
      <c r="K54">
        <f>TriExpAlgorithm!$E$52*EXP(TriExpAlgorithm!$F$52*I54)</f>
        <v>0</v>
      </c>
      <c r="L54">
        <f>TriExpAlgorithm!$C$17*EXP(TriExpAlgorithm!C$18*I54)</f>
        <v>612.39061317435232</v>
      </c>
      <c r="M54">
        <f>TriExpAlgorithm!C$15*EXP(TriExpAlgorithm!C$16*I54)</f>
        <v>8.8866534760712462E-2</v>
      </c>
      <c r="N54">
        <f>TriExpAlgorithm!C$13*EXP(TriExpAlgorithm!C$14*I54)</f>
        <v>-2.75836614428976E-22</v>
      </c>
      <c r="O54">
        <f t="shared" si="6"/>
        <v>612.47947970911309</v>
      </c>
      <c r="P54">
        <f t="shared" si="7"/>
        <v>612.47947970911309</v>
      </c>
    </row>
    <row r="55" spans="2:16" x14ac:dyDescent="0.2">
      <c r="B55">
        <v>46</v>
      </c>
      <c r="C55">
        <f>TriExpAlgorithm!C$13*EXP(TriExpAlgorithm!C$14*TriPlotData!B55)+TriExpAlgorithm!C$15*EXP(TriExpAlgorithm!C$16*TriPlotData!B55)+TriExpAlgorithm!C$17*EXP(TriExpAlgorithm!C$18*TriPlotData!B55)</f>
        <v>607.39503071298691</v>
      </c>
      <c r="D55">
        <f t="shared" si="2"/>
        <v>498.29212952931977</v>
      </c>
      <c r="F55">
        <f t="shared" si="3"/>
        <v>559.68068526172681</v>
      </c>
      <c r="I55">
        <v>45</v>
      </c>
      <c r="J55">
        <f>(((TriExpAlgorithm!E$10-TriExpAlgorithm!E$8)/(TriExpAlgorithm!C$10-TriExpAlgorithm!C$8))*I55+(TriExpAlgorithm!E$8-((TriExpAlgorithm!E$10-TriExpAlgorithm!E$8)/((TriExpAlgorithm!C$10-TriExpAlgorithm!C$8))*TriExpAlgorithm!C$8)))</f>
        <v>813.5386875824006</v>
      </c>
      <c r="K55">
        <f>TriExpAlgorithm!$E$52*EXP(TriExpAlgorithm!$F$52*I55)</f>
        <v>0</v>
      </c>
      <c r="L55">
        <f>TriExpAlgorithm!$C$17*EXP(TriExpAlgorithm!C$18*I55)</f>
        <v>609.85872903996119</v>
      </c>
      <c r="M55">
        <f>TriExpAlgorithm!C$15*EXP(TriExpAlgorithm!C$16*I55)</f>
        <v>7.1618373053291329E-2</v>
      </c>
      <c r="N55">
        <f>TriExpAlgorithm!C$13*EXP(TriExpAlgorithm!C$14*I55)</f>
        <v>-7.5174247114760641E-23</v>
      </c>
      <c r="O55">
        <f t="shared" si="6"/>
        <v>609.93034741301449</v>
      </c>
      <c r="P55">
        <f t="shared" si="7"/>
        <v>609.93034741301449</v>
      </c>
    </row>
    <row r="56" spans="2:16" x14ac:dyDescent="0.2">
      <c r="B56">
        <v>47</v>
      </c>
      <c r="C56">
        <f>TriExpAlgorithm!C$13*EXP(TriExpAlgorithm!C$14*TriPlotData!B56)+TriExpAlgorithm!C$15*EXP(TriExpAlgorithm!C$16*TriPlotData!B56)+TriExpAlgorithm!C$17*EXP(TriExpAlgorithm!C$18*TriPlotData!B56)</f>
        <v>604.87283657183093</v>
      </c>
      <c r="D56">
        <f t="shared" si="2"/>
        <v>494.09173336109279</v>
      </c>
      <c r="F56">
        <f t="shared" si="3"/>
        <v>559.12128432355087</v>
      </c>
      <c r="I56">
        <v>46</v>
      </c>
      <c r="J56">
        <f>(((TriExpAlgorithm!E$10-TriExpAlgorithm!E$8)/(TriExpAlgorithm!C$10-TriExpAlgorithm!C$8))*I56+(TriExpAlgorithm!E$8-((TriExpAlgorithm!E$10-TriExpAlgorithm!E$8)/((TriExpAlgorithm!C$10-TriExpAlgorithm!C$8))*TriExpAlgorithm!C$8)))</f>
        <v>803.60453362108103</v>
      </c>
      <c r="K56">
        <f>TriExpAlgorithm!$E$52*EXP(TriExpAlgorithm!$F$52*I56)</f>
        <v>0</v>
      </c>
      <c r="L56">
        <f>TriExpAlgorithm!$C$17*EXP(TriExpAlgorithm!C$18*I56)</f>
        <v>607.33731279507083</v>
      </c>
      <c r="M56">
        <f>TriExpAlgorithm!C$15*EXP(TriExpAlgorithm!C$16*I56)</f>
        <v>5.7717917916025346E-2</v>
      </c>
      <c r="N56">
        <f>TriExpAlgorithm!C$13*EXP(TriExpAlgorithm!C$14*I56)</f>
        <v>-2.0487372356167577E-23</v>
      </c>
      <c r="O56">
        <f t="shared" si="6"/>
        <v>607.39503071298691</v>
      </c>
      <c r="P56">
        <f t="shared" si="7"/>
        <v>607.39503071298691</v>
      </c>
    </row>
    <row r="57" spans="2:16" x14ac:dyDescent="0.2">
      <c r="B57">
        <v>48</v>
      </c>
      <c r="C57">
        <f>TriExpAlgorithm!C$13*EXP(TriExpAlgorithm!C$14*TriPlotData!B57)+TriExpAlgorithm!C$15*EXP(TriExpAlgorithm!C$16*TriPlotData!B57)+TriExpAlgorithm!C$17*EXP(TriExpAlgorithm!C$18*TriPlotData!B57)</f>
        <v>602.3631982433119</v>
      </c>
      <c r="D57">
        <f t="shared" si="2"/>
        <v>489.92843854689187</v>
      </c>
      <c r="F57">
        <f t="shared" si="3"/>
        <v>558.56244250670591</v>
      </c>
      <c r="I57">
        <v>47</v>
      </c>
      <c r="J57">
        <f>(((TriExpAlgorithm!E$10-TriExpAlgorithm!E$8)/(TriExpAlgorithm!C$10-TriExpAlgorithm!C$8))*I57+(TriExpAlgorithm!E$8-((TriExpAlgorithm!E$10-TriExpAlgorithm!E$8)/((TriExpAlgorithm!C$10-TriExpAlgorithm!C$8))*TriExpAlgorithm!C$8)))</f>
        <v>793.67037965976147</v>
      </c>
      <c r="K57">
        <f>TriExpAlgorithm!$E$52*EXP(TriExpAlgorithm!$F$52*I57)</f>
        <v>0</v>
      </c>
      <c r="L57">
        <f>TriExpAlgorithm!$C$17*EXP(TriExpAlgorithm!C$18*I57)</f>
        <v>604.82632116095886</v>
      </c>
      <c r="M57">
        <f>TriExpAlgorithm!C$15*EXP(TriExpAlgorithm!C$16*I57)</f>
        <v>4.6515410872042091E-2</v>
      </c>
      <c r="N57">
        <f>TriExpAlgorithm!C$13*EXP(TriExpAlgorithm!C$14*I57)</f>
        <v>-5.5834603227818295E-24</v>
      </c>
      <c r="O57">
        <f t="shared" si="6"/>
        <v>604.87283657183093</v>
      </c>
      <c r="P57">
        <f t="shared" si="7"/>
        <v>604.87283657183093</v>
      </c>
    </row>
    <row r="58" spans="2:16" x14ac:dyDescent="0.2">
      <c r="B58">
        <v>49</v>
      </c>
      <c r="C58">
        <f>TriExpAlgorithm!C$13*EXP(TriExpAlgorithm!C$14*TriPlotData!B58)+TriExpAlgorithm!C$15*EXP(TriExpAlgorithm!C$16*TriPlotData!B58)+TriExpAlgorithm!C$17*EXP(TriExpAlgorithm!C$18*TriPlotData!B58)</f>
        <v>599.86565079425668</v>
      </c>
      <c r="D58">
        <f t="shared" si="2"/>
        <v>485.80158348585911</v>
      </c>
      <c r="F58">
        <f t="shared" si="3"/>
        <v>558.00415925234995</v>
      </c>
      <c r="I58">
        <v>48</v>
      </c>
      <c r="J58">
        <f>(((TriExpAlgorithm!E$10-TriExpAlgorithm!E$8)/(TriExpAlgorithm!C$10-TriExpAlgorithm!C$8))*I58+(TriExpAlgorithm!E$8-((TriExpAlgorithm!E$10-TriExpAlgorithm!E$8)/((TriExpAlgorithm!C$10-TriExpAlgorithm!C$8))*TriExpAlgorithm!C$8)))</f>
        <v>783.73622569844179</v>
      </c>
      <c r="K58">
        <f>TriExpAlgorithm!$E$52*EXP(TriExpAlgorithm!$F$52*I58)</f>
        <v>0</v>
      </c>
      <c r="L58">
        <f>TriExpAlgorithm!$C$17*EXP(TriExpAlgorithm!C$18*I58)</f>
        <v>602.32571103783539</v>
      </c>
      <c r="M58">
        <f>TriExpAlgorithm!C$15*EXP(TriExpAlgorithm!C$16*I58)</f>
        <v>3.7487205476518862E-2</v>
      </c>
      <c r="N58">
        <f>TriExpAlgorithm!C$13*EXP(TriExpAlgorithm!C$14*I58)</f>
        <v>-1.5216704531019921E-24</v>
      </c>
      <c r="O58">
        <f t="shared" si="6"/>
        <v>602.3631982433119</v>
      </c>
      <c r="P58">
        <f t="shared" si="7"/>
        <v>602.3631982433119</v>
      </c>
    </row>
    <row r="59" spans="2:16" x14ac:dyDescent="0.2">
      <c r="B59">
        <v>50</v>
      </c>
      <c r="C59">
        <f>TriExpAlgorithm!C$13*EXP(TriExpAlgorithm!C$14*TriPlotData!B59)+TriExpAlgorithm!C$15*EXP(TriExpAlgorithm!C$16*TriPlotData!B59)+TriExpAlgorithm!C$17*EXP(TriExpAlgorithm!C$18*TriPlotData!B59)</f>
        <v>597.379811377441</v>
      </c>
      <c r="D59">
        <f t="shared" si="2"/>
        <v>481.71058119036132</v>
      </c>
      <c r="F59">
        <f t="shared" si="3"/>
        <v>557.44643400219979</v>
      </c>
      <c r="I59">
        <v>49</v>
      </c>
      <c r="J59">
        <f>(((TriExpAlgorithm!E$10-TriExpAlgorithm!E$8)/(TriExpAlgorithm!C$10-TriExpAlgorithm!C$8))*I59+(TriExpAlgorithm!E$8-((TriExpAlgorithm!E$10-TriExpAlgorithm!E$8)/((TriExpAlgorithm!C$10-TriExpAlgorithm!C$8))*TriExpAlgorithm!C$8)))</f>
        <v>773.80207173712211</v>
      </c>
      <c r="K59">
        <f>TriExpAlgorithm!$E$52*EXP(TriExpAlgorithm!$F$52*I59)</f>
        <v>0</v>
      </c>
      <c r="L59">
        <f>TriExpAlgorithm!$C$17*EXP(TriExpAlgorithm!C$18*I59)</f>
        <v>599.83543950410376</v>
      </c>
      <c r="M59">
        <f>TriExpAlgorithm!C$15*EXP(TriExpAlgorithm!C$16*I59)</f>
        <v>3.0211290152945693E-2</v>
      </c>
      <c r="N59">
        <f>TriExpAlgorithm!C$13*EXP(TriExpAlgorithm!C$14*I59)</f>
        <v>-4.1470357699076548E-25</v>
      </c>
      <c r="O59">
        <f t="shared" si="6"/>
        <v>599.86565079425668</v>
      </c>
      <c r="P59">
        <f t="shared" si="7"/>
        <v>599.86565079425668</v>
      </c>
    </row>
    <row r="60" spans="2:16" x14ac:dyDescent="0.2">
      <c r="B60">
        <v>51</v>
      </c>
      <c r="C60">
        <f>TriExpAlgorithm!C$13*EXP(TriExpAlgorithm!C$14*TriPlotData!B60)+TriExpAlgorithm!C$15*EXP(TriExpAlgorithm!C$16*TriPlotData!B60)+TriExpAlgorithm!C$17*EXP(TriExpAlgorithm!C$18*TriPlotData!B60)</f>
        <v>594.9053633331846</v>
      </c>
      <c r="D60">
        <f t="shared" si="2"/>
        <v>477.65490501778606</v>
      </c>
      <c r="F60">
        <f t="shared" si="3"/>
        <v>556.88926619853009</v>
      </c>
      <c r="I60">
        <v>50</v>
      </c>
      <c r="J60">
        <f>(((TriExpAlgorithm!E$10-TriExpAlgorithm!E$8)/(TriExpAlgorithm!C$10-TriExpAlgorithm!C$8))*I60+(TriExpAlgorithm!E$8-((TriExpAlgorithm!E$10-TriExpAlgorithm!E$8)/((TriExpAlgorithm!C$10-TriExpAlgorithm!C$8))*TriExpAlgorithm!C$8)))</f>
        <v>763.86791777580254</v>
      </c>
      <c r="K60">
        <f>TriExpAlgorithm!$E$52*EXP(TriExpAlgorithm!$F$52*I60)</f>
        <v>0</v>
      </c>
      <c r="L60">
        <f>TriExpAlgorithm!$C$17*EXP(TriExpAlgorithm!C$18*I60)</f>
        <v>597.35546381562347</v>
      </c>
      <c r="M60">
        <f>TriExpAlgorithm!C$15*EXP(TriExpAlgorithm!C$16*I60)</f>
        <v>2.4347561817516118E-2</v>
      </c>
      <c r="N60">
        <f>TriExpAlgorithm!C$13*EXP(TriExpAlgorithm!C$14*I60)</f>
        <v>-1.1301990941491232E-25</v>
      </c>
      <c r="O60">
        <f t="shared" si="6"/>
        <v>597.379811377441</v>
      </c>
      <c r="P60">
        <f t="shared" si="7"/>
        <v>597.379811377441</v>
      </c>
    </row>
    <row r="61" spans="2:16" x14ac:dyDescent="0.2">
      <c r="B61">
        <v>52</v>
      </c>
      <c r="C61">
        <f>TriExpAlgorithm!C$13*EXP(TriExpAlgorithm!C$14*TriPlotData!B61)+TriExpAlgorithm!C$15*EXP(TriExpAlgorithm!C$16*TriPlotData!B61)+TriExpAlgorithm!C$17*EXP(TriExpAlgorithm!C$18*TriPlotData!B61)</f>
        <v>592.44204337653912</v>
      </c>
      <c r="D61">
        <f t="shared" si="2"/>
        <v>473.63407721708052</v>
      </c>
      <c r="F61">
        <f t="shared" si="3"/>
        <v>556.33265528417292</v>
      </c>
      <c r="I61">
        <v>51</v>
      </c>
      <c r="J61">
        <f>(((TriExpAlgorithm!E$10-TriExpAlgorithm!E$8)/(TriExpAlgorithm!C$10-TriExpAlgorithm!C$8))*I61+(TriExpAlgorithm!E$8-((TriExpAlgorithm!E$10-TriExpAlgorithm!E$8)/((TriExpAlgorithm!C$10-TriExpAlgorithm!C$8))*TriExpAlgorithm!C$8)))</f>
        <v>753.93376381448297</v>
      </c>
      <c r="K61">
        <f>TriExpAlgorithm!$E$52*EXP(TriExpAlgorithm!$F$52*I61)</f>
        <v>0</v>
      </c>
      <c r="L61">
        <f>TriExpAlgorithm!$C$17*EXP(TriExpAlgorithm!C$18*I61)</f>
        <v>594.88574140497644</v>
      </c>
      <c r="M61">
        <f>TriExpAlgorithm!C$15*EXP(TriExpAlgorithm!C$16*I61)</f>
        <v>1.9621928208185726E-2</v>
      </c>
      <c r="N61">
        <f>TriExpAlgorithm!C$13*EXP(TriExpAlgorithm!C$14*I61)</f>
        <v>-3.0801518561387828E-26</v>
      </c>
      <c r="O61">
        <f t="shared" si="6"/>
        <v>594.9053633331846</v>
      </c>
      <c r="P61">
        <f t="shared" si="7"/>
        <v>594.9053633331846</v>
      </c>
    </row>
    <row r="62" spans="2:16" x14ac:dyDescent="0.2">
      <c r="B62">
        <v>53</v>
      </c>
      <c r="C62">
        <f>TriExpAlgorithm!C$13*EXP(TriExpAlgorithm!C$14*TriPlotData!B62)+TriExpAlgorithm!C$15*EXP(TriExpAlgorithm!C$16*TriPlotData!B62)+TriExpAlgorithm!C$17*EXP(TriExpAlgorithm!C$18*TriPlotData!B62)</f>
        <v>589.98963127118327</v>
      </c>
      <c r="D62">
        <f t="shared" si="2"/>
        <v>469.64765973400927</v>
      </c>
      <c r="F62">
        <f t="shared" si="3"/>
        <v>555.7766007025175</v>
      </c>
      <c r="I62">
        <v>52</v>
      </c>
      <c r="J62">
        <f>(((TriExpAlgorithm!E$10-TriExpAlgorithm!E$8)/(TriExpAlgorithm!C$10-TriExpAlgorithm!C$8))*I62+(TriExpAlgorithm!E$8-((TriExpAlgorithm!E$10-TriExpAlgorithm!E$8)/((TriExpAlgorithm!C$10-TriExpAlgorithm!C$8))*TriExpAlgorithm!C$8)))</f>
        <v>743.99960985316329</v>
      </c>
      <c r="K62">
        <f>TriExpAlgorithm!$E$52*EXP(TriExpAlgorithm!$F$52*I62)</f>
        <v>0</v>
      </c>
      <c r="L62">
        <f>TriExpAlgorithm!$C$17*EXP(TriExpAlgorithm!C$18*I62)</f>
        <v>592.4262298807364</v>
      </c>
      <c r="M62">
        <f>TriExpAlgorithm!C$15*EXP(TriExpAlgorithm!C$16*I62)</f>
        <v>1.5813495802696913E-2</v>
      </c>
      <c r="N62">
        <f>TriExpAlgorithm!C$13*EXP(TriExpAlgorithm!C$14*I62)</f>
        <v>-8.39439308170535E-27</v>
      </c>
      <c r="O62">
        <f t="shared" si="6"/>
        <v>592.44204337653912</v>
      </c>
      <c r="P62">
        <f t="shared" si="7"/>
        <v>592.44204337653912</v>
      </c>
    </row>
    <row r="63" spans="2:16" x14ac:dyDescent="0.2">
      <c r="B63">
        <v>54</v>
      </c>
      <c r="C63">
        <f>TriExpAlgorithm!C$13*EXP(TriExpAlgorithm!C$14*TriPlotData!B63)+TriExpAlgorithm!C$15*EXP(TriExpAlgorithm!C$16*TriPlotData!B63)+TriExpAlgorithm!C$17*EXP(TriExpAlgorithm!C$18*TriPlotData!B63)</f>
        <v>587.54794150737996</v>
      </c>
      <c r="D63">
        <f t="shared" si="2"/>
        <v>465.69524682894905</v>
      </c>
      <c r="F63">
        <f t="shared" si="3"/>
        <v>555.22110189750913</v>
      </c>
      <c r="I63">
        <v>53</v>
      </c>
      <c r="J63">
        <f>(((TriExpAlgorithm!E$10-TriExpAlgorithm!E$8)/(TriExpAlgorithm!C$10-TriExpAlgorithm!C$8))*I63+(TriExpAlgorithm!E$8-((TriExpAlgorithm!E$10-TriExpAlgorithm!E$8)/((TriExpAlgorithm!C$10-TriExpAlgorithm!C$8))*TriExpAlgorithm!C$8)))</f>
        <v>734.06545589184361</v>
      </c>
      <c r="K63">
        <f>TriExpAlgorithm!$E$52*EXP(TriExpAlgorithm!$F$52*I63)</f>
        <v>0</v>
      </c>
      <c r="L63">
        <f>TriExpAlgorithm!$C$17*EXP(TriExpAlgorithm!C$18*I63)</f>
        <v>589.97688702674157</v>
      </c>
      <c r="M63">
        <f>TriExpAlgorithm!C$15*EXP(TriExpAlgorithm!C$16*I63)</f>
        <v>1.2744244441664627E-2</v>
      </c>
      <c r="N63">
        <f>TriExpAlgorithm!C$13*EXP(TriExpAlgorithm!C$14*I63)</f>
        <v>-2.2877389979894759E-27</v>
      </c>
      <c r="O63">
        <f t="shared" si="6"/>
        <v>589.98963127118327</v>
      </c>
      <c r="P63">
        <f t="shared" si="7"/>
        <v>589.98963127118327</v>
      </c>
    </row>
    <row r="64" spans="2:16" x14ac:dyDescent="0.2">
      <c r="B64">
        <v>55</v>
      </c>
      <c r="C64">
        <f>TriExpAlgorithm!C$13*EXP(TriExpAlgorithm!C$14*TriPlotData!B64)+TriExpAlgorithm!C$15*EXP(TriExpAlgorithm!C$16*TriPlotData!B64)+TriExpAlgorithm!C$17*EXP(TriExpAlgorithm!C$18*TriPlotData!B64)</f>
        <v>585.11681659502744</v>
      </c>
      <c r="D64">
        <f t="shared" si="2"/>
        <v>461.77645914918429</v>
      </c>
      <c r="F64">
        <f t="shared" si="3"/>
        <v>554.66615831364879</v>
      </c>
      <c r="I64">
        <v>54</v>
      </c>
      <c r="J64">
        <f>(((TriExpAlgorithm!E$10-TriExpAlgorithm!E$8)/(TriExpAlgorithm!C$10-TriExpAlgorithm!C$8))*I64+(TriExpAlgorithm!E$8-((TriExpAlgorithm!E$10-TriExpAlgorithm!E$8)/((TriExpAlgorithm!C$10-TriExpAlgorithm!C$8))*TriExpAlgorithm!C$8)))</f>
        <v>724.13130193052405</v>
      </c>
      <c r="K64">
        <f>TriExpAlgorithm!$E$52*EXP(TriExpAlgorithm!$F$52*I64)</f>
        <v>0</v>
      </c>
      <c r="L64">
        <f>TriExpAlgorithm!$C$17*EXP(TriExpAlgorithm!C$18*I64)</f>
        <v>587.53767080136936</v>
      </c>
      <c r="M64">
        <f>TriExpAlgorithm!C$15*EXP(TriExpAlgorithm!C$16*I64)</f>
        <v>1.0270706010571062E-2</v>
      </c>
      <c r="N64">
        <f>TriExpAlgorithm!C$13*EXP(TriExpAlgorithm!C$14*I64)</f>
        <v>-6.2348161111590905E-28</v>
      </c>
      <c r="O64">
        <f t="shared" si="6"/>
        <v>587.54794150737996</v>
      </c>
      <c r="P64">
        <f t="shared" si="7"/>
        <v>587.54794150737996</v>
      </c>
    </row>
    <row r="65" spans="2:16" x14ac:dyDescent="0.2">
      <c r="B65">
        <v>56</v>
      </c>
      <c r="C65">
        <f>TriExpAlgorithm!C$13*EXP(TriExpAlgorithm!C$14*TriPlotData!B65)+TriExpAlgorithm!C$15*EXP(TriExpAlgorithm!C$16*TriPlotData!B65)+TriExpAlgorithm!C$17*EXP(TriExpAlgorithm!C$18*TriPlotData!B65)</f>
        <v>582.69612165832746</v>
      </c>
      <c r="D65">
        <f t="shared" si="2"/>
        <v>457.89093896839444</v>
      </c>
      <c r="F65">
        <f t="shared" si="3"/>
        <v>554.11176939599306</v>
      </c>
      <c r="I65">
        <v>55</v>
      </c>
      <c r="J65">
        <f>(((TriExpAlgorithm!E$10-TriExpAlgorithm!E$8)/(TriExpAlgorithm!C$10-TriExpAlgorithm!C$8))*I65+(TriExpAlgorithm!E$8-((TriExpAlgorithm!E$10-TriExpAlgorithm!E$8)/((TriExpAlgorithm!C$10-TriExpAlgorithm!C$8))*TriExpAlgorithm!C$8)))</f>
        <v>714.19714796920448</v>
      </c>
      <c r="K65">
        <f>TriExpAlgorithm!$E$52*EXP(TriExpAlgorithm!$F$52*I65)</f>
        <v>0</v>
      </c>
      <c r="L65">
        <f>TriExpAlgorithm!$C$17*EXP(TriExpAlgorithm!C$18*I65)</f>
        <v>585.10853933681585</v>
      </c>
      <c r="M65">
        <f>TriExpAlgorithm!C$15*EXP(TriExpAlgorithm!C$16*I65)</f>
        <v>8.2772582116136823E-3</v>
      </c>
      <c r="N65">
        <f>TriExpAlgorithm!C$13*EXP(TriExpAlgorithm!C$14*I65)</f>
        <v>-1.6991856140115414E-28</v>
      </c>
      <c r="O65">
        <f t="shared" si="6"/>
        <v>585.11681659502744</v>
      </c>
      <c r="P65">
        <f t="shared" si="7"/>
        <v>585.11681659502744</v>
      </c>
    </row>
    <row r="66" spans="2:16" x14ac:dyDescent="0.2">
      <c r="B66">
        <v>57</v>
      </c>
      <c r="C66">
        <f>TriExpAlgorithm!C$13*EXP(TriExpAlgorithm!C$14*TriPlotData!B66)+TriExpAlgorithm!C$15*EXP(TriExpAlgorithm!C$16*TriPlotData!B66)+TriExpAlgorithm!C$17*EXP(TriExpAlgorithm!C$18*TriPlotData!B66)</f>
        <v>580.28574007944269</v>
      </c>
      <c r="D66">
        <f t="shared" si="2"/>
        <v>454.0383463627868</v>
      </c>
      <c r="F66">
        <f t="shared" si="3"/>
        <v>553.55793459015285</v>
      </c>
      <c r="I66">
        <v>56</v>
      </c>
      <c r="J66">
        <f>(((TriExpAlgorithm!E$10-TriExpAlgorithm!E$8)/(TriExpAlgorithm!C$10-TriExpAlgorithm!C$8))*I66+(TriExpAlgorithm!E$8-((TriExpAlgorithm!E$10-TriExpAlgorithm!E$8)/((TriExpAlgorithm!C$10-TriExpAlgorithm!C$8))*TriExpAlgorithm!C$8)))</f>
        <v>704.2629940078848</v>
      </c>
      <c r="K66">
        <f>TriExpAlgorithm!$E$52*EXP(TriExpAlgorithm!$F$52*I66)</f>
        <v>0</v>
      </c>
      <c r="L66">
        <f>TriExpAlgorithm!$C$17*EXP(TriExpAlgorithm!C$18*I66)</f>
        <v>582.6894509383759</v>
      </c>
      <c r="M66">
        <f>TriExpAlgorithm!C$15*EXP(TriExpAlgorithm!C$16*I66)</f>
        <v>6.6707199515992043E-3</v>
      </c>
      <c r="N66">
        <f>TriExpAlgorithm!C$13*EXP(TriExpAlgorithm!C$14*I66)</f>
        <v>-4.6308210208416632E-29</v>
      </c>
      <c r="O66">
        <f t="shared" si="6"/>
        <v>582.69612165832746</v>
      </c>
      <c r="P66">
        <f t="shared" si="7"/>
        <v>582.69612165832746</v>
      </c>
    </row>
    <row r="67" spans="2:16" x14ac:dyDescent="0.2">
      <c r="B67">
        <v>58</v>
      </c>
      <c r="C67">
        <f>TriExpAlgorithm!C$13*EXP(TriExpAlgorithm!C$14*TriPlotData!B67)+TriExpAlgorithm!C$15*EXP(TriExpAlgorithm!C$16*TriPlotData!B67)+TriExpAlgorithm!C$17*EXP(TriExpAlgorithm!C$18*TriPlotData!B67)</f>
        <v>577.88556998754279</v>
      </c>
      <c r="D67">
        <f t="shared" si="2"/>
        <v>450.21835613886873</v>
      </c>
      <c r="F67">
        <f t="shared" si="3"/>
        <v>553.00465334229341</v>
      </c>
      <c r="I67">
        <v>57</v>
      </c>
      <c r="J67">
        <f>(((TriExpAlgorithm!E$10-TriExpAlgorithm!E$8)/(TriExpAlgorithm!C$10-TriExpAlgorithm!C$8))*I67+(TriExpAlgorithm!E$8-((TriExpAlgorithm!E$10-TriExpAlgorithm!E$8)/((TriExpAlgorithm!C$10-TriExpAlgorithm!C$8))*TriExpAlgorithm!C$8)))</f>
        <v>694.32884004656512</v>
      </c>
      <c r="K67">
        <f>TriExpAlgorithm!$E$52*EXP(TriExpAlgorithm!$F$52*I67)</f>
        <v>0</v>
      </c>
      <c r="L67">
        <f>TriExpAlgorithm!$C$17*EXP(TriExpAlgorithm!C$18*I67)</f>
        <v>580.28036408372827</v>
      </c>
      <c r="M67">
        <f>TriExpAlgorithm!C$15*EXP(TriExpAlgorithm!C$16*I67)</f>
        <v>5.3759957144055865E-3</v>
      </c>
      <c r="N67">
        <f>TriExpAlgorithm!C$13*EXP(TriExpAlgorithm!C$14*I67)</f>
        <v>-1.2620459560295607E-29</v>
      </c>
      <c r="O67">
        <f t="shared" si="6"/>
        <v>580.28574007944269</v>
      </c>
      <c r="P67">
        <f t="shared" si="7"/>
        <v>580.28574007944269</v>
      </c>
    </row>
    <row r="68" spans="2:16" x14ac:dyDescent="0.2">
      <c r="B68">
        <v>59</v>
      </c>
      <c r="C68">
        <f>TriExpAlgorithm!C$13*EXP(TriExpAlgorithm!C$14*TriPlotData!B68)+TriExpAlgorithm!C$15*EXP(TriExpAlgorithm!C$16*TriPlotData!B68)+TriExpAlgorithm!C$17*EXP(TriExpAlgorithm!C$18*TriPlotData!B68)</f>
        <v>575.49552142915854</v>
      </c>
      <c r="D68">
        <f t="shared" si="2"/>
        <v>446.43065536440434</v>
      </c>
      <c r="F68">
        <f t="shared" si="3"/>
        <v>552.4519250991334</v>
      </c>
      <c r="I68">
        <v>58</v>
      </c>
      <c r="J68">
        <f>(((TriExpAlgorithm!E$10-TriExpAlgorithm!E$8)/(TriExpAlgorithm!C$10-TriExpAlgorithm!C$8))*I68+(TriExpAlgorithm!E$8-((TriExpAlgorithm!E$10-TriExpAlgorithm!E$8)/((TriExpAlgorithm!C$10-TriExpAlgorithm!C$8))*TriExpAlgorithm!C$8)))</f>
        <v>684.39468608524555</v>
      </c>
      <c r="K68">
        <f>TriExpAlgorithm!$E$52*EXP(TriExpAlgorithm!$F$52*I68)</f>
        <v>0</v>
      </c>
      <c r="L68">
        <f>TriExpAlgorithm!$C$17*EXP(TriExpAlgorithm!C$18*I68)</f>
        <v>577.88123742222285</v>
      </c>
      <c r="M68">
        <f>TriExpAlgorithm!C$15*EXP(TriExpAlgorithm!C$16*I68)</f>
        <v>4.3325653199365053E-3</v>
      </c>
      <c r="N68">
        <f>TriExpAlgorithm!C$13*EXP(TriExpAlgorithm!C$14*I68)</f>
        <v>-3.439476472880618E-30</v>
      </c>
      <c r="O68">
        <f t="shared" si="6"/>
        <v>577.88556998754279</v>
      </c>
      <c r="P68">
        <f t="shared" si="7"/>
        <v>577.88556998754279</v>
      </c>
    </row>
    <row r="69" spans="2:16" x14ac:dyDescent="0.2">
      <c r="B69">
        <v>60</v>
      </c>
      <c r="C69">
        <f>TriExpAlgorithm!C$13*EXP(TriExpAlgorithm!C$14*TriPlotData!B69)+TriExpAlgorithm!C$15*EXP(TriExpAlgorithm!C$16*TriPlotData!B69)+TriExpAlgorithm!C$17*EXP(TriExpAlgorithm!C$18*TriPlotData!B69)</f>
        <v>573.11551408760874</v>
      </c>
      <c r="D69">
        <f t="shared" si="2"/>
        <v>442.67494138342585</v>
      </c>
      <c r="F69">
        <f t="shared" si="3"/>
        <v>551.89974930794449</v>
      </c>
      <c r="I69">
        <v>59</v>
      </c>
      <c r="J69">
        <f>(((TriExpAlgorithm!E$10-TriExpAlgorithm!E$8)/(TriExpAlgorithm!C$10-TriExpAlgorithm!C$8))*I69+(TriExpAlgorithm!E$8-((TriExpAlgorithm!E$10-TriExpAlgorithm!E$8)/((TriExpAlgorithm!C$10-TriExpAlgorithm!C$8))*TriExpAlgorithm!C$8)))</f>
        <v>674.46053212392599</v>
      </c>
      <c r="K69">
        <f>TriExpAlgorithm!$E$52*EXP(TriExpAlgorithm!$F$52*I69)</f>
        <v>0</v>
      </c>
      <c r="L69">
        <f>TriExpAlgorithm!$C$17*EXP(TriExpAlgorithm!C$18*I69)</f>
        <v>575.49202977417053</v>
      </c>
      <c r="M69">
        <f>TriExpAlgorithm!C$15*EXP(TriExpAlgorithm!C$16*I69)</f>
        <v>3.4916549879712906E-3</v>
      </c>
      <c r="N69">
        <f>TriExpAlgorithm!C$13*EXP(TriExpAlgorithm!C$14*I69)</f>
        <v>-9.3736669025245898E-31</v>
      </c>
      <c r="O69">
        <f t="shared" si="6"/>
        <v>575.49552142915854</v>
      </c>
      <c r="P69">
        <f t="shared" si="7"/>
        <v>575.49552142915854</v>
      </c>
    </row>
    <row r="70" spans="2:16" x14ac:dyDescent="0.2">
      <c r="B70">
        <v>61</v>
      </c>
      <c r="C70">
        <f>TriExpAlgorithm!C$13*EXP(TriExpAlgorithm!C$14*TriPlotData!B70)+TriExpAlgorithm!C$15*EXP(TriExpAlgorithm!C$16*TriPlotData!B70)+TriExpAlgorithm!C$17*EXP(TriExpAlgorithm!C$18*TriPlotData!B70)</f>
        <v>570.74547544493134</v>
      </c>
      <c r="D70">
        <f t="shared" si="2"/>
        <v>438.95092021970606</v>
      </c>
      <c r="F70">
        <f t="shared" si="3"/>
        <v>551.34812541655094</v>
      </c>
      <c r="I70">
        <v>60</v>
      </c>
      <c r="J70">
        <f>(((TriExpAlgorithm!E$10-TriExpAlgorithm!E$8)/(TriExpAlgorithm!C$10-TriExpAlgorithm!C$8))*I70+(TriExpAlgorithm!E$8-((TriExpAlgorithm!E$10-TriExpAlgorithm!E$8)/((TriExpAlgorithm!C$10-TriExpAlgorithm!C$8))*TriExpAlgorithm!C$8)))</f>
        <v>664.52637816260631</v>
      </c>
      <c r="K70">
        <f>TriExpAlgorithm!$E$52*EXP(TriExpAlgorithm!$F$52*I70)</f>
        <v>0</v>
      </c>
      <c r="L70">
        <f>TriExpAlgorithm!$C$17*EXP(TriExpAlgorithm!C$18*I70)</f>
        <v>573.11270013013677</v>
      </c>
      <c r="M70">
        <f>TriExpAlgorithm!C$15*EXP(TriExpAlgorithm!C$16*I70)</f>
        <v>2.8139574720141649E-3</v>
      </c>
      <c r="N70">
        <f>TriExpAlgorithm!C$13*EXP(TriExpAlgorithm!C$14*I70)</f>
        <v>-2.5546222482486127E-31</v>
      </c>
      <c r="O70">
        <f t="shared" si="6"/>
        <v>573.11551408760874</v>
      </c>
      <c r="P70">
        <f t="shared" si="7"/>
        <v>573.11551408760874</v>
      </c>
    </row>
    <row r="71" spans="2:16" x14ac:dyDescent="0.2">
      <c r="B71">
        <v>62</v>
      </c>
      <c r="C71">
        <f>TriExpAlgorithm!C$13*EXP(TriExpAlgorithm!C$14*TriPlotData!B71)+TriExpAlgorithm!C$15*EXP(TriExpAlgorithm!C$16*TriPlotData!B71)+TriExpAlgorithm!C$17*EXP(TriExpAlgorithm!C$18*TriPlotData!B71)</f>
        <v>568.38533930043138</v>
      </c>
      <c r="D71">
        <f t="shared" si="2"/>
        <v>435.25830529198015</v>
      </c>
      <c r="F71">
        <f t="shared" si="3"/>
        <v>550.79705287332865</v>
      </c>
      <c r="I71">
        <v>61</v>
      </c>
      <c r="J71">
        <f>(((TriExpAlgorithm!E$10-TriExpAlgorithm!E$8)/(TriExpAlgorithm!C$10-TriExpAlgorithm!C$8))*I71+(TriExpAlgorithm!E$8-((TriExpAlgorithm!E$10-TriExpAlgorithm!E$8)/((TriExpAlgorithm!C$10-TriExpAlgorithm!C$8))*TriExpAlgorithm!C$8)))</f>
        <v>654.59222420128663</v>
      </c>
      <c r="K71">
        <f>TriExpAlgorithm!$E$52*EXP(TriExpAlgorithm!$F$52*I71)</f>
        <v>0</v>
      </c>
      <c r="L71">
        <f>TriExpAlgorithm!$C$17*EXP(TriExpAlgorithm!C$18*I71)</f>
        <v>570.74320765023754</v>
      </c>
      <c r="M71">
        <f>TriExpAlgorithm!C$15*EXP(TriExpAlgorithm!C$16*I71)</f>
        <v>2.2677946938007886E-3</v>
      </c>
      <c r="N71">
        <f>TriExpAlgorithm!C$13*EXP(TriExpAlgorithm!C$14*I71)</f>
        <v>-6.962157818397769E-32</v>
      </c>
      <c r="O71">
        <f t="shared" si="6"/>
        <v>570.74547544493134</v>
      </c>
      <c r="P71">
        <f t="shared" si="7"/>
        <v>570.74547544493134</v>
      </c>
    </row>
    <row r="72" spans="2:16" x14ac:dyDescent="0.2">
      <c r="B72">
        <v>63</v>
      </c>
      <c r="C72">
        <f>TriExpAlgorithm!C$13*EXP(TriExpAlgorithm!C$14*TriPlotData!B72)+TriExpAlgorithm!C$15*EXP(TriExpAlgorithm!C$16*TriPlotData!B72)+TriExpAlgorithm!C$17*EXP(TriExpAlgorithm!C$18*TriPlotData!B72)</f>
        <v>566.0350445766336</v>
      </c>
      <c r="D72">
        <f t="shared" si="2"/>
        <v>431.59681637936274</v>
      </c>
      <c r="F72">
        <f t="shared" si="3"/>
        <v>550.24653112720523</v>
      </c>
      <c r="I72">
        <v>62</v>
      </c>
      <c r="J72">
        <f>(((TriExpAlgorithm!E$10-TriExpAlgorithm!E$8)/(TriExpAlgorithm!C$10-TriExpAlgorithm!C$8))*I72+(TriExpAlgorithm!E$8-((TriExpAlgorithm!E$10-TriExpAlgorithm!E$8)/((TriExpAlgorithm!C$10-TriExpAlgorithm!C$8))*TriExpAlgorithm!C$8)))</f>
        <v>644.65807023996706</v>
      </c>
      <c r="K72">
        <f>TriExpAlgorithm!$E$52*EXP(TriExpAlgorithm!$F$52*I72)</f>
        <v>0</v>
      </c>
      <c r="L72">
        <f>TriExpAlgorithm!$C$17*EXP(TriExpAlgorithm!C$18*I72)</f>
        <v>568.38351166343818</v>
      </c>
      <c r="M72">
        <f>TriExpAlgorithm!C$15*EXP(TriExpAlgorithm!C$16*I72)</f>
        <v>1.827636993230694E-3</v>
      </c>
      <c r="N72">
        <f>TriExpAlgorithm!C$13*EXP(TriExpAlgorithm!C$14*I72)</f>
        <v>-1.8974093536336916E-32</v>
      </c>
      <c r="O72">
        <f t="shared" si="6"/>
        <v>568.38533930043138</v>
      </c>
      <c r="P72">
        <f t="shared" si="7"/>
        <v>568.38533930043138</v>
      </c>
    </row>
    <row r="73" spans="2:16" x14ac:dyDescent="0.2">
      <c r="B73">
        <v>64</v>
      </c>
      <c r="C73">
        <f>TriExpAlgorithm!C$13*EXP(TriExpAlgorithm!C$14*TriPlotData!B73)+TriExpAlgorithm!C$15*EXP(TriExpAlgorithm!C$16*TriPlotData!B73)+TriExpAlgorithm!C$17*EXP(TriExpAlgorithm!C$18*TriPlotData!B73)</f>
        <v>563.69453435685421</v>
      </c>
      <c r="D73">
        <f t="shared" si="2"/>
        <v>427.96617878756155</v>
      </c>
      <c r="F73">
        <f t="shared" si="3"/>
        <v>549.69655962765876</v>
      </c>
      <c r="I73">
        <v>63</v>
      </c>
      <c r="J73">
        <f>(((TriExpAlgorithm!E$10-TriExpAlgorithm!E$8)/(TriExpAlgorithm!C$10-TriExpAlgorithm!C$8))*I73+(TriExpAlgorithm!E$8-((TriExpAlgorithm!E$10-TriExpAlgorithm!E$8)/((TriExpAlgorithm!C$10-TriExpAlgorithm!C$8))*TriExpAlgorithm!C$8)))</f>
        <v>634.72391627864749</v>
      </c>
      <c r="K73">
        <f>TriExpAlgorithm!$E$52*EXP(TriExpAlgorithm!$F$52*I73)</f>
        <v>0</v>
      </c>
      <c r="L73">
        <f>TriExpAlgorithm!$C$17*EXP(TriExpAlgorithm!C$18*I73)</f>
        <v>566.03357166685555</v>
      </c>
      <c r="M73">
        <f>TriExpAlgorithm!C$15*EXP(TriExpAlgorithm!C$16*I73)</f>
        <v>1.4729097780130699E-3</v>
      </c>
      <c r="N73">
        <f>TriExpAlgorithm!C$13*EXP(TriExpAlgorithm!C$14*I73)</f>
        <v>-5.171043732652984E-33</v>
      </c>
      <c r="O73">
        <f t="shared" si="6"/>
        <v>566.0350445766336</v>
      </c>
      <c r="P73">
        <f t="shared" si="7"/>
        <v>566.0350445766336</v>
      </c>
    </row>
    <row r="74" spans="2:16" x14ac:dyDescent="0.2">
      <c r="B74">
        <v>65</v>
      </c>
      <c r="C74">
        <f>TriExpAlgorithm!C$13*EXP(TriExpAlgorithm!C$14*TriPlotData!B74)+TriExpAlgorithm!C$15*EXP(TriExpAlgorithm!C$16*TriPlotData!B74)+TriExpAlgorithm!C$17*EXP(TriExpAlgorithm!C$18*TriPlotData!B74)</f>
        <v>561.36375510944015</v>
      </c>
      <c r="D74">
        <f t="shared" ref="D74:D109" si="8">C74*(2^(-B74/161.04))</f>
        <v>424.36612267625264</v>
      </c>
      <c r="F74">
        <f t="shared" si="3"/>
        <v>549.14713782471767</v>
      </c>
      <c r="I74">
        <v>64</v>
      </c>
      <c r="J74">
        <f>(((TriExpAlgorithm!E$10-TriExpAlgorithm!E$8)/(TriExpAlgorithm!C$10-TriExpAlgorithm!C$8))*I74+(TriExpAlgorithm!E$8-((TriExpAlgorithm!E$10-TriExpAlgorithm!E$8)/((TriExpAlgorithm!C$10-TriExpAlgorithm!C$8))*TriExpAlgorithm!C$8)))</f>
        <v>624.78976231732781</v>
      </c>
      <c r="K74">
        <f>TriExpAlgorithm!$E$52*EXP(TriExpAlgorithm!$F$52*I74)</f>
        <v>0</v>
      </c>
      <c r="L74">
        <f>TriExpAlgorithm!$C$17*EXP(TriExpAlgorithm!C$18*I74)</f>
        <v>563.69334732506275</v>
      </c>
      <c r="M74">
        <f>TriExpAlgorithm!C$15*EXP(TriExpAlgorithm!C$16*I74)</f>
        <v>1.1870317914344528E-3</v>
      </c>
      <c r="N74">
        <f>TriExpAlgorithm!C$13*EXP(TriExpAlgorithm!C$14*I74)</f>
        <v>-1.4092738203172151E-33</v>
      </c>
      <c r="O74">
        <f t="shared" si="6"/>
        <v>563.69453435685421</v>
      </c>
      <c r="P74">
        <f t="shared" si="7"/>
        <v>563.69453435685421</v>
      </c>
    </row>
    <row r="75" spans="2:16" x14ac:dyDescent="0.2">
      <c r="B75">
        <v>66</v>
      </c>
      <c r="C75">
        <f>TriExpAlgorithm!C$13*EXP(TriExpAlgorithm!C$14*TriPlotData!B75)+TriExpAlgorithm!C$15*EXP(TriExpAlgorithm!C$16*TriPlotData!B75)+TriExpAlgorithm!C$17*EXP(TriExpAlgorithm!C$18*TriPlotData!B75)</f>
        <v>559.04265606244348</v>
      </c>
      <c r="D75">
        <f t="shared" si="8"/>
        <v>420.79638251580701</v>
      </c>
      <c r="F75">
        <f t="shared" ref="F75:F109" si="9">F$9*EXP(-0.001*B75)</f>
        <v>548.59826516896032</v>
      </c>
      <c r="I75">
        <v>65</v>
      </c>
      <c r="J75">
        <f>(((TriExpAlgorithm!E$10-TriExpAlgorithm!E$8)/(TriExpAlgorithm!C$10-TriExpAlgorithm!C$8))*I75+(TriExpAlgorithm!E$8-((TriExpAlgorithm!E$10-TriExpAlgorithm!E$8)/((TriExpAlgorithm!C$10-TriExpAlgorithm!C$8))*TriExpAlgorithm!C$8)))</f>
        <v>614.85560835600813</v>
      </c>
      <c r="K75">
        <f>TriExpAlgorithm!$E$52*EXP(TriExpAlgorithm!$F$52*I75)</f>
        <v>0</v>
      </c>
      <c r="L75">
        <f>TriExpAlgorithm!$C$17*EXP(TriExpAlgorithm!C$18*I75)</f>
        <v>561.36279846939681</v>
      </c>
      <c r="M75">
        <f>TriExpAlgorithm!C$15*EXP(TriExpAlgorithm!C$16*I75)</f>
        <v>9.5664004334119015E-4</v>
      </c>
      <c r="N75">
        <f>TriExpAlgorithm!C$13*EXP(TriExpAlgorithm!C$14*I75)</f>
        <v>-3.840719211269446E-34</v>
      </c>
      <c r="O75">
        <f t="shared" si="6"/>
        <v>561.36375510944015</v>
      </c>
      <c r="P75">
        <f t="shared" si="7"/>
        <v>561.36375510944015</v>
      </c>
    </row>
    <row r="76" spans="2:16" x14ac:dyDescent="0.2">
      <c r="B76">
        <v>67</v>
      </c>
      <c r="C76">
        <f>TriExpAlgorithm!C$13*EXP(TriExpAlgorithm!C$14*TriPlotData!B76)+TriExpAlgorithm!C$15*EXP(TriExpAlgorithm!C$16*TriPlotData!B76)+TriExpAlgorithm!C$17*EXP(TriExpAlgorithm!C$18*TriPlotData!B76)</f>
        <v>556.73118869953623</v>
      </c>
      <c r="D76">
        <f t="shared" si="8"/>
        <v>417.25669664784726</v>
      </c>
      <c r="F76">
        <f t="shared" si="9"/>
        <v>548.0499411115137</v>
      </c>
      <c r="I76">
        <v>66</v>
      </c>
      <c r="J76">
        <f>(((TriExpAlgorithm!E$10-TriExpAlgorithm!E$8)/(TriExpAlgorithm!C$10-TriExpAlgorithm!C$8))*I76+(TriExpAlgorithm!E$8-((TriExpAlgorithm!E$10-TriExpAlgorithm!E$8)/((TriExpAlgorithm!C$10-TriExpAlgorithm!C$8))*TriExpAlgorithm!C$8)))</f>
        <v>604.92145439468857</v>
      </c>
      <c r="K76">
        <f>TriExpAlgorithm!$E$52*EXP(TriExpAlgorithm!$F$52*I76)</f>
        <v>0</v>
      </c>
      <c r="L76">
        <f>TriExpAlgorithm!$C$17*EXP(TriExpAlgorithm!C$18*I76)</f>
        <v>559.04188509726873</v>
      </c>
      <c r="M76">
        <f>TriExpAlgorithm!C$15*EXP(TriExpAlgorithm!C$16*I76)</f>
        <v>7.709651747557011E-4</v>
      </c>
      <c r="N76">
        <f>TriExpAlgorithm!C$13*EXP(TriExpAlgorithm!C$14*I76)</f>
        <v>-1.0467180931874438E-34</v>
      </c>
      <c r="O76">
        <f t="shared" si="6"/>
        <v>559.04265606244348</v>
      </c>
      <c r="P76">
        <f t="shared" si="7"/>
        <v>559.04265606244348</v>
      </c>
    </row>
    <row r="77" spans="2:16" x14ac:dyDescent="0.2">
      <c r="B77">
        <v>68</v>
      </c>
      <c r="C77">
        <f>TriExpAlgorithm!C$13*EXP(TriExpAlgorithm!C$14*TriPlotData!B77)+TriExpAlgorithm!C$15*EXP(TriExpAlgorithm!C$16*TriPlotData!B77)+TriExpAlgorithm!C$17*EXP(TriExpAlgorithm!C$18*TriPlotData!B77)</f>
        <v>554.42930635363132</v>
      </c>
      <c r="D77">
        <f t="shared" si="8"/>
        <v>413.7468069291487</v>
      </c>
      <c r="F77">
        <f t="shared" si="9"/>
        <v>547.50216510405392</v>
      </c>
      <c r="I77">
        <v>67</v>
      </c>
      <c r="J77">
        <f>(((TriExpAlgorithm!E$10-TriExpAlgorithm!E$8)/(TriExpAlgorithm!C$10-TriExpAlgorithm!C$8))*I77+(TriExpAlgorithm!E$8-((TriExpAlgorithm!E$10-TriExpAlgorithm!E$8)/((TriExpAlgorithm!C$10-TriExpAlgorithm!C$8))*TriExpAlgorithm!C$8)))</f>
        <v>594.987300433369</v>
      </c>
      <c r="K77">
        <f>TriExpAlgorithm!$E$52*EXP(TriExpAlgorithm!$F$52*I77)</f>
        <v>0</v>
      </c>
      <c r="L77">
        <f>TriExpAlgorithm!$C$17*EXP(TriExpAlgorithm!C$18*I77)</f>
        <v>556.73056737147783</v>
      </c>
      <c r="M77">
        <f>TriExpAlgorithm!C$15*EXP(TriExpAlgorithm!C$16*I77)</f>
        <v>6.213280583678187E-4</v>
      </c>
      <c r="N77">
        <f>TriExpAlgorithm!C$13*EXP(TriExpAlgorithm!C$14*I77)</f>
        <v>-2.8526395873751349E-35</v>
      </c>
      <c r="O77">
        <f t="shared" si="6"/>
        <v>556.73118869953623</v>
      </c>
      <c r="P77">
        <f t="shared" si="7"/>
        <v>556.73118869953623</v>
      </c>
    </row>
    <row r="78" spans="2:16" x14ac:dyDescent="0.2">
      <c r="B78">
        <v>69</v>
      </c>
      <c r="C78">
        <f>TriExpAlgorithm!C$13*EXP(TriExpAlgorithm!C$14*TriPlotData!B78)+TriExpAlgorithm!C$15*EXP(TriExpAlgorithm!C$16*TriPlotData!B78)+TriExpAlgorithm!C$17*EXP(TriExpAlgorithm!C$18*TriPlotData!B78)</f>
        <v>552.13696387924915</v>
      </c>
      <c r="D78">
        <f t="shared" si="8"/>
        <v>410.26645844245184</v>
      </c>
      <c r="F78">
        <f t="shared" si="9"/>
        <v>546.95493659880492</v>
      </c>
      <c r="I78">
        <v>68</v>
      </c>
      <c r="J78">
        <f>(((TriExpAlgorithm!E$10-TriExpAlgorithm!E$8)/(TriExpAlgorithm!C$10-TriExpAlgorithm!C$8))*I78+(TriExpAlgorithm!E$8-((TriExpAlgorithm!E$10-TriExpAlgorithm!E$8)/((TriExpAlgorithm!C$10-TriExpAlgorithm!C$8))*TriExpAlgorithm!C$8)))</f>
        <v>585.05314647204932</v>
      </c>
      <c r="K78">
        <f>TriExpAlgorithm!$E$52*EXP(TriExpAlgorithm!$F$52*I78)</f>
        <v>0</v>
      </c>
      <c r="L78">
        <f>TriExpAlgorithm!$C$17*EXP(TriExpAlgorithm!C$18*I78)</f>
        <v>554.42880561952711</v>
      </c>
      <c r="M78">
        <f>TriExpAlgorithm!C$15*EXP(TriExpAlgorithm!C$16*I78)</f>
        <v>5.0073410415386454E-4</v>
      </c>
      <c r="N78">
        <f>TriExpAlgorithm!C$13*EXP(TriExpAlgorithm!C$14*I78)</f>
        <v>-7.7743498162715364E-36</v>
      </c>
      <c r="O78">
        <f t="shared" si="6"/>
        <v>554.42930635363132</v>
      </c>
      <c r="P78">
        <f t="shared" si="7"/>
        <v>554.42930635363132</v>
      </c>
    </row>
    <row r="79" spans="2:16" x14ac:dyDescent="0.2">
      <c r="B79">
        <v>70</v>
      </c>
      <c r="C79">
        <f>TriExpAlgorithm!C$13*EXP(TriExpAlgorithm!C$14*TriPlotData!B79)+TriExpAlgorithm!C$15*EXP(TriExpAlgorithm!C$16*TriPlotData!B79)+TriExpAlgorithm!C$17*EXP(TriExpAlgorithm!C$18*TriPlotData!B79)</f>
        <v>549.85411738834523</v>
      </c>
      <c r="D79">
        <f t="shared" si="8"/>
        <v>406.81539926099595</v>
      </c>
      <c r="F79">
        <f t="shared" si="9"/>
        <v>546.40825504853797</v>
      </c>
      <c r="I79">
        <v>69</v>
      </c>
      <c r="J79">
        <f>(((TriExpAlgorithm!E$10-TriExpAlgorithm!E$8)/(TriExpAlgorithm!C$10-TriExpAlgorithm!C$8))*I79+(TriExpAlgorithm!E$8-((TriExpAlgorithm!E$10-TriExpAlgorithm!E$8)/((TriExpAlgorithm!C$10-TriExpAlgorithm!C$8))*TriExpAlgorithm!C$8)))</f>
        <v>575.11899251072964</v>
      </c>
      <c r="K79">
        <f>TriExpAlgorithm!$E$52*EXP(TriExpAlgorithm!$F$52*I79)</f>
        <v>0</v>
      </c>
      <c r="L79">
        <f>TriExpAlgorithm!$C$17*EXP(TriExpAlgorithm!C$18*I79)</f>
        <v>552.13656033294262</v>
      </c>
      <c r="M79">
        <f>TriExpAlgorithm!C$15*EXP(TriExpAlgorithm!C$16*I79)</f>
        <v>4.0354630647364287E-4</v>
      </c>
      <c r="N79">
        <f>TriExpAlgorithm!C$13*EXP(TriExpAlgorithm!C$14*I79)</f>
        <v>-2.1187574951021342E-36</v>
      </c>
      <c r="O79">
        <f t="shared" si="6"/>
        <v>552.13696387924915</v>
      </c>
      <c r="P79">
        <f t="shared" si="7"/>
        <v>552.13696387924915</v>
      </c>
    </row>
    <row r="80" spans="2:16" x14ac:dyDescent="0.2">
      <c r="B80">
        <v>71</v>
      </c>
      <c r="C80">
        <f>TriExpAlgorithm!C$13*EXP(TriExpAlgorithm!C$14*TriPlotData!B80)+TriExpAlgorithm!C$15*EXP(TriExpAlgorithm!C$16*TriPlotData!B80)+TriExpAlgorithm!C$17*EXP(TriExpAlgorithm!C$18*TriPlotData!B80)</f>
        <v>547.58072403728158</v>
      </c>
      <c r="D80">
        <f t="shared" si="8"/>
        <v>403.39338025618827</v>
      </c>
      <c r="F80">
        <f t="shared" si="9"/>
        <v>545.86211990657171</v>
      </c>
      <c r="I80">
        <v>70</v>
      </c>
      <c r="J80">
        <f>(((TriExpAlgorithm!E$10-TriExpAlgorithm!E$8)/(TriExpAlgorithm!C$10-TriExpAlgorithm!C$8))*I80+(TriExpAlgorithm!E$8-((TriExpAlgorithm!E$10-TriExpAlgorithm!E$8)/((TriExpAlgorithm!C$10-TriExpAlgorithm!C$8))*TriExpAlgorithm!C$8)))</f>
        <v>565.18483854941007</v>
      </c>
      <c r="K80">
        <f>TriExpAlgorithm!$E$52*EXP(TriExpAlgorithm!$F$52*I80)</f>
        <v>0</v>
      </c>
      <c r="L80">
        <f>TriExpAlgorithm!$C$17*EXP(TriExpAlgorithm!C$18*I80)</f>
        <v>549.85379216659555</v>
      </c>
      <c r="M80">
        <f>TriExpAlgorithm!C$15*EXP(TriExpAlgorithm!C$16*I80)</f>
        <v>3.2522174966233069E-4</v>
      </c>
      <c r="N80">
        <f>TriExpAlgorithm!C$13*EXP(TriExpAlgorithm!C$14*I80)</f>
        <v>-5.7742877914443941E-37</v>
      </c>
      <c r="O80">
        <f t="shared" si="6"/>
        <v>549.85411738834523</v>
      </c>
      <c r="P80">
        <f t="shared" si="7"/>
        <v>549.85411738834523</v>
      </c>
    </row>
    <row r="81" spans="2:16" x14ac:dyDescent="0.2">
      <c r="B81">
        <v>72</v>
      </c>
      <c r="C81">
        <f>TriExpAlgorithm!C$13*EXP(TriExpAlgorithm!C$14*TriPlotData!B81)+TriExpAlgorithm!C$15*EXP(TriExpAlgorithm!C$16*TriPlotData!B81)+TriExpAlgorithm!C$17*EXP(TriExpAlgorithm!C$18*TriPlotData!B81)</f>
        <v>545.31674185501799</v>
      </c>
      <c r="D81">
        <f t="shared" si="8"/>
        <v>400.00015493991862</v>
      </c>
      <c r="F81">
        <f t="shared" si="9"/>
        <v>545.31653062677083</v>
      </c>
      <c r="I81">
        <v>71</v>
      </c>
      <c r="J81">
        <f>(((TriExpAlgorithm!E$10-TriExpAlgorithm!E$8)/(TriExpAlgorithm!C$10-TriExpAlgorithm!C$8))*I81+(TriExpAlgorithm!E$8-((TriExpAlgorithm!E$10-TriExpAlgorithm!E$8)/((TriExpAlgorithm!C$10-TriExpAlgorithm!C$8))*TriExpAlgorithm!C$8)))</f>
        <v>555.25068458809051</v>
      </c>
      <c r="K81">
        <f>TriExpAlgorithm!$E$52*EXP(TriExpAlgorithm!$F$52*I81)</f>
        <v>0</v>
      </c>
      <c r="L81">
        <f>TriExpAlgorithm!$C$17*EXP(TriExpAlgorithm!C$18*I81)</f>
        <v>547.58046193802613</v>
      </c>
      <c r="M81">
        <f>TriExpAlgorithm!C$15*EXP(TriExpAlgorithm!C$16*I81)</f>
        <v>2.620992554180042E-4</v>
      </c>
      <c r="N81">
        <f>TriExpAlgorithm!C$13*EXP(TriExpAlgorithm!C$14*I81)</f>
        <v>-1.5736770052967539E-37</v>
      </c>
      <c r="O81">
        <f t="shared" si="6"/>
        <v>547.58072403728158</v>
      </c>
      <c r="P81">
        <f t="shared" si="7"/>
        <v>547.58072403728158</v>
      </c>
    </row>
    <row r="82" spans="2:16" x14ac:dyDescent="0.2">
      <c r="B82">
        <v>73</v>
      </c>
      <c r="C82">
        <f>TriExpAlgorithm!C$13*EXP(TriExpAlgorithm!C$14*TriPlotData!B82)+TriExpAlgorithm!C$15*EXP(TriExpAlgorithm!C$16*TriPlotData!B82)+TriExpAlgorithm!C$17*EXP(TriExpAlgorithm!C$18*TriPlotData!B82)</f>
        <v>543.06212960452092</v>
      </c>
      <c r="D82">
        <f t="shared" si="8"/>
        <v>396.63547933470011</v>
      </c>
      <c r="F82">
        <f t="shared" si="9"/>
        <v>544.77148666354594</v>
      </c>
      <c r="I82">
        <v>72</v>
      </c>
      <c r="J82">
        <f>(((TriExpAlgorithm!E$10-TriExpAlgorithm!E$8)/(TriExpAlgorithm!C$10-TriExpAlgorithm!C$8))*I82+(TriExpAlgorithm!E$8-((TriExpAlgorithm!E$10-TriExpAlgorithm!E$8)/((TriExpAlgorithm!C$10-TriExpAlgorithm!C$8))*TriExpAlgorithm!C$8)))</f>
        <v>545.31653062677083</v>
      </c>
      <c r="K82">
        <f>TriExpAlgorithm!$E$52*EXP(TriExpAlgorithm!$F$52*I82)</f>
        <v>0</v>
      </c>
      <c r="L82">
        <f>TriExpAlgorithm!$C$17*EXP(TriExpAlgorithm!C$18*I82)</f>
        <v>545.31653062677219</v>
      </c>
      <c r="M82">
        <f>TriExpAlgorithm!C$15*EXP(TriExpAlgorithm!C$16*I82)</f>
        <v>2.1122824584148358E-4</v>
      </c>
      <c r="N82">
        <f>TriExpAlgorithm!C$13*EXP(TriExpAlgorithm!C$14*I82)</f>
        <v>-4.2887701590991484E-38</v>
      </c>
      <c r="O82">
        <f t="shared" si="6"/>
        <v>545.31674185501799</v>
      </c>
      <c r="P82">
        <f t="shared" si="7"/>
        <v>545.31674185501799</v>
      </c>
    </row>
    <row r="83" spans="2:16" x14ac:dyDescent="0.2">
      <c r="B83">
        <v>74</v>
      </c>
      <c r="C83">
        <f>TriExpAlgorithm!C$13*EXP(TriExpAlgorithm!C$14*TriPlotData!B83)+TriExpAlgorithm!C$15*EXP(TriExpAlgorithm!C$16*TriPlotData!B83)+TriExpAlgorithm!C$17*EXP(TriExpAlgorithm!C$18*TriPlotData!B83)</f>
        <v>540.81684667094487</v>
      </c>
      <c r="D83">
        <f t="shared" si="8"/>
        <v>393.29911186616926</v>
      </c>
      <c r="F83">
        <f t="shared" si="9"/>
        <v>544.22698747185325</v>
      </c>
      <c r="I83">
        <v>73</v>
      </c>
      <c r="J83">
        <f>(((TriExpAlgorithm!E$10-TriExpAlgorithm!E$8)/(TriExpAlgorithm!C$10-TriExpAlgorithm!C$8))*I83+(TriExpAlgorithm!E$8-((TriExpAlgorithm!E$10-TriExpAlgorithm!E$8)/((TriExpAlgorithm!C$10-TriExpAlgorithm!C$8))*TriExpAlgorithm!C$8)))</f>
        <v>535.38237666545115</v>
      </c>
      <c r="K83">
        <f>TriExpAlgorithm!$E$52*EXP(TriExpAlgorithm!$F$52*I83)</f>
        <v>0</v>
      </c>
      <c r="L83">
        <f>TriExpAlgorithm!$C$17*EXP(TriExpAlgorithm!C$18*I83)</f>
        <v>543.06195937369841</v>
      </c>
      <c r="M83">
        <f>TriExpAlgorithm!C$15*EXP(TriExpAlgorithm!C$16*I83)</f>
        <v>1.702308225565658E-4</v>
      </c>
      <c r="N83">
        <f>TriExpAlgorithm!C$13*EXP(TriExpAlgorithm!C$14*I83)</f>
        <v>-1.1688262213700617E-38</v>
      </c>
      <c r="O83">
        <f t="shared" si="6"/>
        <v>543.06212960452092</v>
      </c>
      <c r="P83">
        <f t="shared" si="7"/>
        <v>543.06212960452092</v>
      </c>
    </row>
    <row r="84" spans="2:16" x14ac:dyDescent="0.2">
      <c r="B84">
        <v>75</v>
      </c>
      <c r="C84">
        <f>TriExpAlgorithm!C$13*EXP(TriExpAlgorithm!C$14*TriPlotData!B84)+TriExpAlgorithm!C$15*EXP(TriExpAlgorithm!C$16*TriPlotData!B84)+TriExpAlgorithm!C$17*EXP(TriExpAlgorithm!C$18*TriPlotData!B84)</f>
        <v>538.58085297138985</v>
      </c>
      <c r="D84">
        <f t="shared" si="8"/>
        <v>389.99081327355486</v>
      </c>
      <c r="F84">
        <f t="shared" si="9"/>
        <v>543.68303250719327</v>
      </c>
      <c r="I84">
        <v>74</v>
      </c>
      <c r="J84">
        <f>(((TriExpAlgorithm!E$10-TriExpAlgorithm!E$8)/(TriExpAlgorithm!C$10-TriExpAlgorithm!C$8))*I84+(TriExpAlgorithm!E$8-((TriExpAlgorithm!E$10-TriExpAlgorithm!E$8)/((TriExpAlgorithm!C$10-TriExpAlgorithm!C$8))*TriExpAlgorithm!C$8)))</f>
        <v>525.44822270413158</v>
      </c>
      <c r="K84">
        <f>TriExpAlgorithm!$E$52*EXP(TriExpAlgorithm!$F$52*I84)</f>
        <v>0</v>
      </c>
      <c r="L84">
        <f>TriExpAlgorithm!$C$17*EXP(TriExpAlgorithm!C$18*I84)</f>
        <v>540.81670948032991</v>
      </c>
      <c r="M84">
        <f>TriExpAlgorithm!C$15*EXP(TriExpAlgorithm!C$16*I84)</f>
        <v>1.3719061498068734E-4</v>
      </c>
      <c r="N84">
        <f>TriExpAlgorithm!C$13*EXP(TriExpAlgorithm!C$14*I84)</f>
        <v>-3.1854230585515353E-39</v>
      </c>
      <c r="O84">
        <f t="shared" ref="O84:O110" si="10">L84+M84</f>
        <v>540.81684667094487</v>
      </c>
      <c r="P84">
        <f t="shared" ref="P84:P110" si="11">L84+M84+N84</f>
        <v>540.81684667094487</v>
      </c>
    </row>
    <row r="85" spans="2:16" x14ac:dyDescent="0.2">
      <c r="B85">
        <v>76</v>
      </c>
      <c r="C85">
        <f>TriExpAlgorithm!C$13*EXP(TriExpAlgorithm!C$14*TriPlotData!B85)+TriExpAlgorithm!C$15*EXP(TriExpAlgorithm!C$16*TriPlotData!B85)+TriExpAlgorithm!C$17*EXP(TriExpAlgorithm!C$18*TriPlotData!B85)</f>
        <v>536.35410888204797</v>
      </c>
      <c r="D85">
        <f t="shared" si="8"/>
        <v>386.71034653459378</v>
      </c>
      <c r="F85">
        <f t="shared" si="9"/>
        <v>543.13962122561111</v>
      </c>
      <c r="I85">
        <v>75</v>
      </c>
      <c r="J85">
        <f>(((TriExpAlgorithm!E$10-TriExpAlgorithm!E$8)/(TriExpAlgorithm!C$10-TriExpAlgorithm!C$8))*I85+(TriExpAlgorithm!E$8-((TriExpAlgorithm!E$10-TriExpAlgorithm!E$8)/((TriExpAlgorithm!C$10-TriExpAlgorithm!C$8))*TriExpAlgorithm!C$8)))</f>
        <v>515.51406874281201</v>
      </c>
      <c r="K85">
        <f>TriExpAlgorithm!$E$52*EXP(TriExpAlgorithm!$F$52*I85)</f>
        <v>0</v>
      </c>
      <c r="L85">
        <f>TriExpAlgorithm!$C$17*EXP(TriExpAlgorithm!C$18*I85)</f>
        <v>538.58074240818769</v>
      </c>
      <c r="M85">
        <f>TriExpAlgorithm!C$15*EXP(TriExpAlgorithm!C$16*I85)</f>
        <v>1.1056320210474866E-4</v>
      </c>
      <c r="N85">
        <f>TriExpAlgorithm!C$13*EXP(TriExpAlgorithm!C$14*I85)</f>
        <v>-8.6812905771894104E-40</v>
      </c>
      <c r="O85">
        <f t="shared" si="10"/>
        <v>538.58085297138985</v>
      </c>
      <c r="P85">
        <f t="shared" si="11"/>
        <v>538.58085297138985</v>
      </c>
    </row>
    <row r="86" spans="2:16" x14ac:dyDescent="0.2">
      <c r="B86">
        <v>77</v>
      </c>
      <c r="C86">
        <f>TriExpAlgorithm!C$13*EXP(TriExpAlgorithm!C$14*TriPlotData!B86)+TriExpAlgorithm!C$15*EXP(TriExpAlgorithm!C$16*TriPlotData!B86)+TriExpAlgorithm!C$17*EXP(TriExpAlgorithm!C$18*TriPlotData!B86)</f>
        <v>534.13657517936474</v>
      </c>
      <c r="D86">
        <f t="shared" si="8"/>
        <v>383.45747680206694</v>
      </c>
      <c r="F86">
        <f t="shared" si="9"/>
        <v>542.59675308369549</v>
      </c>
      <c r="I86">
        <v>76</v>
      </c>
      <c r="J86">
        <f>(((TriExpAlgorithm!E$10-TriExpAlgorithm!E$8)/(TriExpAlgorithm!C$10-TriExpAlgorithm!C$8))*I86+(TriExpAlgorithm!E$8-((TriExpAlgorithm!E$10-TriExpAlgorithm!E$8)/((TriExpAlgorithm!C$10-TriExpAlgorithm!C$8))*TriExpAlgorithm!C$8)))</f>
        <v>505.57991478149233</v>
      </c>
      <c r="K86">
        <f>TriExpAlgorithm!$E$52*EXP(TriExpAlgorithm!$F$52*I86)</f>
        <v>0</v>
      </c>
      <c r="L86">
        <f>TriExpAlgorithm!$C$17*EXP(TriExpAlgorithm!C$18*I86)</f>
        <v>536.35401977812739</v>
      </c>
      <c r="M86">
        <f>TriExpAlgorithm!C$15*EXP(TriExpAlgorithm!C$16*I86)</f>
        <v>8.9103920566114037E-5</v>
      </c>
      <c r="N86">
        <f>TriExpAlgorithm!C$13*EXP(TriExpAlgorithm!C$14*I86)</f>
        <v>-2.3659276868507148E-40</v>
      </c>
      <c r="O86">
        <f t="shared" si="10"/>
        <v>536.35410888204797</v>
      </c>
      <c r="P86">
        <f t="shared" si="11"/>
        <v>536.35410888204797</v>
      </c>
    </row>
    <row r="87" spans="2:16" x14ac:dyDescent="0.2">
      <c r="B87">
        <v>78</v>
      </c>
      <c r="C87">
        <f>TriExpAlgorithm!C$13*EXP(TriExpAlgorithm!C$14*TriPlotData!B87)+TriExpAlgorithm!C$15*EXP(TriExpAlgorithm!C$16*TriPlotData!B87)+TriExpAlgorithm!C$17*EXP(TriExpAlgorithm!C$18*TriPlotData!B87)</f>
        <v>531.92821299249511</v>
      </c>
      <c r="D87">
        <f t="shared" si="8"/>
        <v>380.23197134968643</v>
      </c>
      <c r="F87">
        <f t="shared" si="9"/>
        <v>542.05442753857812</v>
      </c>
      <c r="I87">
        <v>77</v>
      </c>
      <c r="J87">
        <f>(((TriExpAlgorithm!E$10-TriExpAlgorithm!E$8)/(TriExpAlgorithm!C$10-TriExpAlgorithm!C$8))*I87+(TriExpAlgorithm!E$8-((TriExpAlgorithm!E$10-TriExpAlgorithm!E$8)/((TriExpAlgorithm!C$10-TriExpAlgorithm!C$8))*TriExpAlgorithm!C$8)))</f>
        <v>495.64576082017265</v>
      </c>
      <c r="K87">
        <f>TriExpAlgorithm!$E$52*EXP(TriExpAlgorithm!$F$52*I87)</f>
        <v>0</v>
      </c>
      <c r="L87">
        <f>TriExpAlgorithm!$C$17*EXP(TriExpAlgorithm!C$18*I87)</f>
        <v>534.13650336968021</v>
      </c>
      <c r="M87">
        <f>TriExpAlgorithm!C$15*EXP(TriExpAlgorithm!C$16*I87)</f>
        <v>7.1809684498196706E-5</v>
      </c>
      <c r="N87">
        <f>TriExpAlgorithm!C$13*EXP(TriExpAlgorithm!C$14*I87)</f>
        <v>-6.4479051468623184E-41</v>
      </c>
      <c r="O87">
        <f t="shared" si="10"/>
        <v>534.13657517936474</v>
      </c>
      <c r="P87">
        <f t="shared" si="11"/>
        <v>534.13657517936474</v>
      </c>
    </row>
    <row r="88" spans="2:16" x14ac:dyDescent="0.2">
      <c r="B88">
        <v>79</v>
      </c>
      <c r="C88">
        <f>TriExpAlgorithm!C$13*EXP(TriExpAlgorithm!C$14*TriPlotData!B88)+TriExpAlgorithm!C$15*EXP(TriExpAlgorithm!C$16*TriPlotData!B88)+TriExpAlgorithm!C$17*EXP(TriExpAlgorithm!C$18*TriPlotData!B88)</f>
        <v>529.72898376486205</v>
      </c>
      <c r="D88">
        <f t="shared" si="8"/>
        <v>377.03359952551341</v>
      </c>
      <c r="F88">
        <f t="shared" si="9"/>
        <v>541.51264404793346</v>
      </c>
      <c r="I88">
        <v>78</v>
      </c>
      <c r="J88">
        <f>(((TriExpAlgorithm!E$10-TriExpAlgorithm!E$8)/(TriExpAlgorithm!C$10-TriExpAlgorithm!C$8))*I88+(TriExpAlgorithm!E$8-((TriExpAlgorithm!E$10-TriExpAlgorithm!E$8)/((TriExpAlgorithm!C$10-TriExpAlgorithm!C$8))*TriExpAlgorithm!C$8)))</f>
        <v>485.71160685885309</v>
      </c>
      <c r="K88">
        <f>TriExpAlgorithm!$E$52*EXP(TriExpAlgorithm!$F$52*I88)</f>
        <v>0</v>
      </c>
      <c r="L88">
        <f>TriExpAlgorithm!$C$17*EXP(TriExpAlgorithm!C$18*I88)</f>
        <v>531.92815512039749</v>
      </c>
      <c r="M88">
        <f>TriExpAlgorithm!C$15*EXP(TriExpAlgorithm!C$16*I88)</f>
        <v>5.7872097602084906E-5</v>
      </c>
      <c r="N88">
        <f>TriExpAlgorithm!C$13*EXP(TriExpAlgorithm!C$14*I88)</f>
        <v>-1.757259150987631E-41</v>
      </c>
      <c r="O88">
        <f t="shared" si="10"/>
        <v>531.92821299249511</v>
      </c>
      <c r="P88">
        <f t="shared" si="11"/>
        <v>531.92821299249511</v>
      </c>
    </row>
    <row r="89" spans="2:16" x14ac:dyDescent="0.2">
      <c r="B89">
        <v>80</v>
      </c>
      <c r="C89">
        <f>TriExpAlgorithm!C$13*EXP(TriExpAlgorithm!C$14*TriPlotData!B89)+TriExpAlgorithm!C$15*EXP(TriExpAlgorithm!C$16*TriPlotData!B89)+TriExpAlgorithm!C$17*EXP(TriExpAlgorithm!C$18*TriPlotData!B89)</f>
        <v>527.53884922305394</v>
      </c>
      <c r="D89">
        <f t="shared" si="8"/>
        <v>373.86213271144698</v>
      </c>
      <c r="F89">
        <f t="shared" si="9"/>
        <v>540.97140206997801</v>
      </c>
      <c r="I89">
        <v>79</v>
      </c>
      <c r="J89">
        <f>(((TriExpAlgorithm!E$10-TriExpAlgorithm!E$8)/(TriExpAlgorithm!C$10-TriExpAlgorithm!C$8))*I89+(TriExpAlgorithm!E$8-((TriExpAlgorithm!E$10-TriExpAlgorithm!E$8)/((TriExpAlgorithm!C$10-TriExpAlgorithm!C$8))*TriExpAlgorithm!C$8)))</f>
        <v>475.77745289753352</v>
      </c>
      <c r="K89">
        <f>TriExpAlgorithm!$E$52*EXP(TriExpAlgorithm!$F$52*I89)</f>
        <v>0</v>
      </c>
      <c r="L89">
        <f>TriExpAlgorithm!$C$17*EXP(TriExpAlgorithm!C$18*I89)</f>
        <v>529.72893712519635</v>
      </c>
      <c r="M89">
        <f>TriExpAlgorithm!C$15*EXP(TriExpAlgorithm!C$16*I89)</f>
        <v>4.6639665725718846E-5</v>
      </c>
      <c r="N89">
        <f>TriExpAlgorithm!C$13*EXP(TriExpAlgorithm!C$14*I89)</f>
        <v>-4.7890898724408708E-42</v>
      </c>
      <c r="O89">
        <f t="shared" si="10"/>
        <v>529.72898376486205</v>
      </c>
      <c r="P89">
        <f t="shared" si="11"/>
        <v>529.72898376486205</v>
      </c>
    </row>
    <row r="90" spans="2:16" x14ac:dyDescent="0.2">
      <c r="B90">
        <v>81</v>
      </c>
      <c r="C90">
        <f>TriExpAlgorithm!C$13*EXP(TriExpAlgorithm!C$14*TriPlotData!B90)+TriExpAlgorithm!C$15*EXP(TriExpAlgorithm!C$16*TriPlotData!B90)+TriExpAlgorithm!C$17*EXP(TriExpAlgorithm!C$18*TriPlotData!B90)</f>
        <v>525.35777135163289</v>
      </c>
      <c r="D90">
        <f t="shared" si="8"/>
        <v>370.7173442876084</v>
      </c>
      <c r="F90">
        <f t="shared" si="9"/>
        <v>540.43070106346977</v>
      </c>
      <c r="I90">
        <v>80</v>
      </c>
      <c r="J90">
        <f>(((TriExpAlgorithm!E$10-TriExpAlgorithm!E$8)/(TriExpAlgorithm!C$10-TriExpAlgorithm!C$8))*I90+(TriExpAlgorithm!E$8-((TriExpAlgorithm!E$10-TriExpAlgorithm!E$8)/((TriExpAlgorithm!C$10-TriExpAlgorithm!C$8))*TriExpAlgorithm!C$8)))</f>
        <v>465.84329893621384</v>
      </c>
      <c r="K90">
        <f>TriExpAlgorithm!$E$52*EXP(TriExpAlgorithm!$F$52*I90)</f>
        <v>0</v>
      </c>
      <c r="L90">
        <f>TriExpAlgorithm!$C$17*EXP(TriExpAlgorithm!C$18*I90)</f>
        <v>527.53881163571032</v>
      </c>
      <c r="M90">
        <f>TriExpAlgorithm!C$15*EXP(TriExpAlgorithm!C$16*I90)</f>
        <v>3.7587343627379201E-5</v>
      </c>
      <c r="N90">
        <f>TriExpAlgorithm!C$13*EXP(TriExpAlgorithm!C$14*I90)</f>
        <v>-1.3051792499373449E-42</v>
      </c>
      <c r="O90">
        <f t="shared" si="10"/>
        <v>527.53884922305394</v>
      </c>
      <c r="P90">
        <f t="shared" si="11"/>
        <v>527.53884922305394</v>
      </c>
    </row>
    <row r="91" spans="2:16" x14ac:dyDescent="0.2">
      <c r="B91">
        <v>82</v>
      </c>
      <c r="C91">
        <f>TriExpAlgorithm!C$13*EXP(TriExpAlgorithm!C$14*TriPlotData!B91)+TriExpAlgorithm!C$15*EXP(TriExpAlgorithm!C$16*TriPlotData!B91)+TriExpAlgorithm!C$17*EXP(TriExpAlgorithm!C$18*TriPlotData!B91)</f>
        <v>523.18571237271101</v>
      </c>
      <c r="D91">
        <f t="shared" si="8"/>
        <v>367.59900960068171</v>
      </c>
      <c r="F91">
        <f t="shared" si="9"/>
        <v>539.89054048770754</v>
      </c>
      <c r="I91">
        <v>81</v>
      </c>
      <c r="J91">
        <f>(((TriExpAlgorithm!E$10-TriExpAlgorithm!E$8)/(TriExpAlgorithm!C$10-TriExpAlgorithm!C$8))*I91+(TriExpAlgorithm!E$8-((TriExpAlgorithm!E$10-TriExpAlgorithm!E$8)/((TriExpAlgorithm!C$10-TriExpAlgorithm!C$8))*TriExpAlgorithm!C$8)))</f>
        <v>455.90914497489416</v>
      </c>
      <c r="K91">
        <f>TriExpAlgorithm!$E$52*EXP(TriExpAlgorithm!$F$52*I91)</f>
        <v>0</v>
      </c>
      <c r="L91">
        <f>TriExpAlgorithm!$C$17*EXP(TriExpAlgorithm!C$18*I91)</f>
        <v>525.35774105964049</v>
      </c>
      <c r="M91">
        <f>TriExpAlgorithm!C$15*EXP(TriExpAlgorithm!C$16*I91)</f>
        <v>3.0291992427029958E-5</v>
      </c>
      <c r="N91">
        <f>TriExpAlgorithm!C$13*EXP(TriExpAlgorithm!C$14*I91)</f>
        <v>-3.5570284121621331E-43</v>
      </c>
      <c r="O91">
        <f t="shared" si="10"/>
        <v>525.35777135163289</v>
      </c>
      <c r="P91">
        <f t="shared" si="11"/>
        <v>525.35777135163289</v>
      </c>
    </row>
    <row r="92" spans="2:16" x14ac:dyDescent="0.2">
      <c r="B92">
        <v>83</v>
      </c>
      <c r="C92">
        <f>TriExpAlgorithm!C$13*EXP(TriExpAlgorithm!C$14*TriPlotData!B92)+TriExpAlgorithm!C$15*EXP(TriExpAlgorithm!C$16*TriPlotData!B92)+TriExpAlgorithm!C$17*EXP(TriExpAlgorithm!C$18*TriPlotData!B92)</f>
        <v>521.02263472936761</v>
      </c>
      <c r="D92">
        <f t="shared" si="8"/>
        <v>364.50690593545505</v>
      </c>
      <c r="F92">
        <f t="shared" si="9"/>
        <v>539.35091980253083</v>
      </c>
      <c r="I92">
        <v>82</v>
      </c>
      <c r="J92">
        <f>(((TriExpAlgorithm!E$10-TriExpAlgorithm!E$8)/(TriExpAlgorithm!C$10-TriExpAlgorithm!C$8))*I92+(TriExpAlgorithm!E$8-((TriExpAlgorithm!E$10-TriExpAlgorithm!E$8)/((TriExpAlgorithm!C$10-TriExpAlgorithm!C$8))*TriExpAlgorithm!C$8)))</f>
        <v>445.97499101357459</v>
      </c>
      <c r="K92">
        <f>TriExpAlgorithm!$E$52*EXP(TriExpAlgorithm!$F$52*I92)</f>
        <v>0</v>
      </c>
      <c r="L92">
        <f>TriExpAlgorithm!$C$17*EXP(TriExpAlgorithm!C$18*I92)</f>
        <v>523.1856879601105</v>
      </c>
      <c r="M92">
        <f>TriExpAlgorithm!C$15*EXP(TriExpAlgorithm!C$16*I92)</f>
        <v>2.4412600536390201E-5</v>
      </c>
      <c r="N92">
        <f>TriExpAlgorithm!C$13*EXP(TriExpAlgorithm!C$14*I92)</f>
        <v>-9.6940333103946186E-44</v>
      </c>
      <c r="O92">
        <f t="shared" si="10"/>
        <v>523.18571237271101</v>
      </c>
      <c r="P92">
        <f t="shared" si="11"/>
        <v>523.18571237271101</v>
      </c>
    </row>
    <row r="93" spans="2:16" x14ac:dyDescent="0.2">
      <c r="B93">
        <v>84</v>
      </c>
      <c r="C93">
        <f>TriExpAlgorithm!C$13*EXP(TriExpAlgorithm!C$14*TriPlotData!B93)+TriExpAlgorithm!C$15*EXP(TriExpAlgorithm!C$16*TriPlotData!B93)+TriExpAlgorithm!C$17*EXP(TriExpAlgorithm!C$18*TriPlotData!B93)</f>
        <v>518.86850107216299</v>
      </c>
      <c r="D93">
        <f t="shared" si="8"/>
        <v>361.44081248895475</v>
      </c>
      <c r="F93">
        <f t="shared" si="9"/>
        <v>538.8118384683188</v>
      </c>
      <c r="I93">
        <v>83</v>
      </c>
      <c r="J93">
        <f>(((TriExpAlgorithm!E$10-TriExpAlgorithm!E$8)/(TriExpAlgorithm!C$10-TriExpAlgorithm!C$8))*I93+(TriExpAlgorithm!E$8-((TriExpAlgorithm!E$10-TriExpAlgorithm!E$8)/((TriExpAlgorithm!C$10-TriExpAlgorithm!C$8))*TriExpAlgorithm!C$8)))</f>
        <v>436.04083705225503</v>
      </c>
      <c r="K93">
        <f>TriExpAlgorithm!$E$52*EXP(TriExpAlgorithm!$F$52*I93)</f>
        <v>0</v>
      </c>
      <c r="L93">
        <f>TriExpAlgorithm!$C$17*EXP(TriExpAlgorithm!C$18*I93)</f>
        <v>521.02261505502406</v>
      </c>
      <c r="M93">
        <f>TriExpAlgorithm!C$15*EXP(TriExpAlgorithm!C$16*I93)</f>
        <v>1.9674343521146616E-5</v>
      </c>
      <c r="N93">
        <f>TriExpAlgorithm!C$13*EXP(TriExpAlgorithm!C$14*I93)</f>
        <v>-2.6419322798132977E-44</v>
      </c>
      <c r="O93">
        <f t="shared" si="10"/>
        <v>521.02263472936761</v>
      </c>
      <c r="P93">
        <f t="shared" si="11"/>
        <v>521.02263472936761</v>
      </c>
    </row>
    <row r="94" spans="2:16" x14ac:dyDescent="0.2">
      <c r="B94">
        <v>85</v>
      </c>
      <c r="C94">
        <f>TriExpAlgorithm!C$13*EXP(TriExpAlgorithm!C$14*TriPlotData!B94)+TriExpAlgorithm!C$15*EXP(TriExpAlgorithm!C$16*TriPlotData!B94)+TriExpAlgorithm!C$17*EXP(TriExpAlgorithm!C$18*TriPlotData!B94)</f>
        <v>516.72327424814807</v>
      </c>
      <c r="D94">
        <f t="shared" si="8"/>
        <v>358.40051034668676</v>
      </c>
      <c r="F94">
        <f t="shared" si="9"/>
        <v>538.27329594599018</v>
      </c>
      <c r="I94">
        <v>84</v>
      </c>
      <c r="J94">
        <f>(((TriExpAlgorithm!E$10-TriExpAlgorithm!E$8)/(TriExpAlgorithm!C$10-TriExpAlgorithm!C$8))*I94+(TriExpAlgorithm!E$8-((TriExpAlgorithm!E$10-TriExpAlgorithm!E$8)/((TriExpAlgorithm!C$10-TriExpAlgorithm!C$8))*TriExpAlgorithm!C$8)))</f>
        <v>426.10668309093535</v>
      </c>
      <c r="K94">
        <f>TriExpAlgorithm!$E$52*EXP(TriExpAlgorithm!$F$52*I94)</f>
        <v>0</v>
      </c>
      <c r="L94">
        <f>TriExpAlgorithm!$C$17*EXP(TriExpAlgorithm!C$18*I94)</f>
        <v>518.86848521642514</v>
      </c>
      <c r="M94">
        <f>TriExpAlgorithm!C$15*EXP(TriExpAlgorithm!C$16*I94)</f>
        <v>1.5855737794549589E-5</v>
      </c>
      <c r="N94">
        <f>TriExpAlgorithm!C$13*EXP(TriExpAlgorithm!C$14*I94)</f>
        <v>-7.2001054129195691E-45</v>
      </c>
      <c r="O94">
        <f t="shared" si="10"/>
        <v>518.86850107216299</v>
      </c>
      <c r="P94">
        <f t="shared" si="11"/>
        <v>518.86850107216299</v>
      </c>
    </row>
    <row r="95" spans="2:16" x14ac:dyDescent="0.2">
      <c r="B95">
        <v>86</v>
      </c>
      <c r="C95">
        <f>TriExpAlgorithm!C$13*EXP(TriExpAlgorithm!C$14*TriPlotData!B95)+TriExpAlgorithm!C$15*EXP(TriExpAlgorithm!C$16*TriPlotData!B95)+TriExpAlgorithm!C$17*EXP(TriExpAlgorithm!C$18*TriPlotData!B95)</f>
        <v>514.58691729188627</v>
      </c>
      <c r="D95">
        <f t="shared" si="8"/>
        <v>355.38578246059365</v>
      </c>
      <c r="F95">
        <f t="shared" si="9"/>
        <v>537.73529169700237</v>
      </c>
      <c r="I95">
        <v>85</v>
      </c>
      <c r="J95">
        <f>(((TriExpAlgorithm!E$10-TriExpAlgorithm!E$8)/(TriExpAlgorithm!C$10-TriExpAlgorithm!C$8))*I95+(TriExpAlgorithm!E$8-((TriExpAlgorithm!E$10-TriExpAlgorithm!E$8)/((TriExpAlgorithm!C$10-TriExpAlgorithm!C$8))*TriExpAlgorithm!C$8)))</f>
        <v>416.17252912961567</v>
      </c>
      <c r="K95">
        <f>TriExpAlgorithm!$E$52*EXP(TriExpAlgorithm!$F$52*I95)</f>
        <v>0</v>
      </c>
      <c r="L95">
        <f>TriExpAlgorithm!$C$17*EXP(TriExpAlgorithm!C$18*I95)</f>
        <v>516.7232614698604</v>
      </c>
      <c r="M95">
        <f>TriExpAlgorithm!C$15*EXP(TriExpAlgorithm!C$16*I95)</f>
        <v>1.2778287658711037E-5</v>
      </c>
      <c r="N95">
        <f>TriExpAlgorithm!C$13*EXP(TriExpAlgorithm!C$14*I95)</f>
        <v>-1.9622576382168754E-45</v>
      </c>
      <c r="O95">
        <f t="shared" si="10"/>
        <v>516.72327424814807</v>
      </c>
      <c r="P95">
        <f t="shared" si="11"/>
        <v>516.72327424814807</v>
      </c>
    </row>
    <row r="96" spans="2:16" x14ac:dyDescent="0.2">
      <c r="B96">
        <v>87</v>
      </c>
      <c r="C96">
        <f>TriExpAlgorithm!C$13*EXP(TriExpAlgorithm!C$14*TriPlotData!B96)+TriExpAlgorithm!C$15*EXP(TriExpAlgorithm!C$16*TriPlotData!B96)+TriExpAlgorithm!C$17*EXP(TriExpAlgorithm!C$18*TriPlotData!B96)</f>
        <v>512.45939341809753</v>
      </c>
      <c r="D96">
        <f t="shared" si="8"/>
        <v>352.3964136284136</v>
      </c>
      <c r="F96">
        <f t="shared" si="9"/>
        <v>537.19782518335103</v>
      </c>
      <c r="I96">
        <v>86</v>
      </c>
      <c r="J96">
        <f>(((TriExpAlgorithm!E$10-TriExpAlgorithm!E$8)/(TriExpAlgorithm!C$10-TriExpAlgorithm!C$8))*I96+(TriExpAlgorithm!E$8-((TriExpAlgorithm!E$10-TriExpAlgorithm!E$8)/((TriExpAlgorithm!C$10-TriExpAlgorithm!C$8))*TriExpAlgorithm!C$8)))</f>
        <v>406.2383751682961</v>
      </c>
      <c r="K96">
        <f>TriExpAlgorithm!$E$52*EXP(TriExpAlgorithm!$F$52*I96)</f>
        <v>0</v>
      </c>
      <c r="L96">
        <f>TriExpAlgorithm!$C$17*EXP(TriExpAlgorithm!C$18*I96)</f>
        <v>514.58690699374449</v>
      </c>
      <c r="M96">
        <f>TriExpAlgorithm!C$15*EXP(TriExpAlgorithm!C$16*I96)</f>
        <v>1.0298141758177617E-5</v>
      </c>
      <c r="N96">
        <f>TriExpAlgorithm!C$13*EXP(TriExpAlgorithm!C$14*I96)</f>
        <v>-5.3477759253793331E-46</v>
      </c>
      <c r="O96">
        <f t="shared" si="10"/>
        <v>514.58691729188627</v>
      </c>
      <c r="P96">
        <f t="shared" si="11"/>
        <v>514.58691729188627</v>
      </c>
    </row>
    <row r="97" spans="2:16" x14ac:dyDescent="0.2">
      <c r="B97">
        <v>88</v>
      </c>
      <c r="C97">
        <f>TriExpAlgorithm!C$13*EXP(TriExpAlgorithm!C$14*TriPlotData!B97)+TriExpAlgorithm!C$15*EXP(TriExpAlgorithm!C$16*TriPlotData!B97)+TriExpAlgorithm!C$17*EXP(TriExpAlgorithm!C$18*TriPlotData!B97)</f>
        <v>510.34066601560954</v>
      </c>
      <c r="D97">
        <f t="shared" si="8"/>
        <v>349.43219047418876</v>
      </c>
      <c r="F97">
        <f t="shared" si="9"/>
        <v>536.66089586756971</v>
      </c>
      <c r="I97">
        <v>87</v>
      </c>
      <c r="J97">
        <f>(((TriExpAlgorithm!E$10-TriExpAlgorithm!E$8)/(TriExpAlgorithm!C$10-TriExpAlgorithm!C$8))*I97+(TriExpAlgorithm!E$8-((TriExpAlgorithm!E$10-TriExpAlgorithm!E$8)/((TriExpAlgorithm!C$10-TriExpAlgorithm!C$8))*TriExpAlgorithm!C$8)))</f>
        <v>396.30422120697654</v>
      </c>
      <c r="K97">
        <f>TriExpAlgorithm!$E$52*EXP(TriExpAlgorithm!$F$52*I97)</f>
        <v>0</v>
      </c>
      <c r="L97">
        <f>TriExpAlgorithm!$C$17*EXP(TriExpAlgorithm!C$18*I97)</f>
        <v>512.45938511872862</v>
      </c>
      <c r="M97">
        <f>TriExpAlgorithm!C$15*EXP(TriExpAlgorithm!C$16*I97)</f>
        <v>8.2993689376859095E-6</v>
      </c>
      <c r="N97">
        <f>TriExpAlgorithm!C$13*EXP(TriExpAlgorithm!C$14*I97)</f>
        <v>-1.4574389616877392E-46</v>
      </c>
      <c r="O97">
        <f t="shared" si="10"/>
        <v>512.45939341809753</v>
      </c>
      <c r="P97">
        <f t="shared" si="11"/>
        <v>512.45939341809753</v>
      </c>
    </row>
    <row r="98" spans="2:16" x14ac:dyDescent="0.2">
      <c r="B98">
        <v>89</v>
      </c>
      <c r="C98">
        <f>TriExpAlgorithm!C$13*EXP(TriExpAlgorithm!C$14*TriPlotData!B98)+TriExpAlgorithm!C$15*EXP(TriExpAlgorithm!C$16*TriPlotData!B98)+TriExpAlgorithm!C$17*EXP(TriExpAlgorithm!C$18*TriPlotData!B98)</f>
        <v>508.23069864236385</v>
      </c>
      <c r="D98">
        <f t="shared" si="8"/>
        <v>346.49290142972205</v>
      </c>
      <c r="F98">
        <f t="shared" si="9"/>
        <v>536.124503212729</v>
      </c>
      <c r="I98">
        <v>88</v>
      </c>
      <c r="J98">
        <f>(((TriExpAlgorithm!E$10-TriExpAlgorithm!E$8)/(TriExpAlgorithm!C$10-TriExpAlgorithm!C$8))*I98+(TriExpAlgorithm!E$8-((TriExpAlgorithm!E$10-TriExpAlgorithm!E$8)/((TriExpAlgorithm!C$10-TriExpAlgorithm!C$8))*TriExpAlgorithm!C$8)))</f>
        <v>386.37006724565686</v>
      </c>
      <c r="K98">
        <f>TriExpAlgorithm!$E$52*EXP(TriExpAlgorithm!$F$52*I98)</f>
        <v>0</v>
      </c>
      <c r="L98">
        <f>TriExpAlgorithm!$C$17*EXP(TriExpAlgorithm!C$18*I98)</f>
        <v>510.34065932707034</v>
      </c>
      <c r="M98">
        <f>TriExpAlgorithm!C$15*EXP(TriExpAlgorithm!C$16*I98)</f>
        <v>6.688539192920842E-6</v>
      </c>
      <c r="N98">
        <f>TriExpAlgorithm!C$13*EXP(TriExpAlgorithm!C$14*I98)</f>
        <v>-3.9719845346639031E-47</v>
      </c>
      <c r="O98">
        <f t="shared" si="10"/>
        <v>510.34066601560954</v>
      </c>
      <c r="P98">
        <f t="shared" si="11"/>
        <v>510.34066601560954</v>
      </c>
    </row>
    <row r="99" spans="2:16" x14ac:dyDescent="0.2">
      <c r="B99">
        <v>90</v>
      </c>
      <c r="C99">
        <f>TriExpAlgorithm!C$13*EXP(TriExpAlgorithm!C$14*TriPlotData!B99)+TriExpAlgorithm!C$15*EXP(TriExpAlgorithm!C$16*TriPlotData!B99)+TriExpAlgorithm!C$17*EXP(TriExpAlgorithm!C$18*TriPlotData!B99)</f>
        <v>506.12945502127184</v>
      </c>
      <c r="D99">
        <f t="shared" si="8"/>
        <v>343.57833671681686</v>
      </c>
      <c r="F99">
        <f t="shared" si="9"/>
        <v>535.58864668243609</v>
      </c>
      <c r="I99">
        <v>89</v>
      </c>
      <c r="J99">
        <f>(((TriExpAlgorithm!E$10-TriExpAlgorithm!E$8)/(TriExpAlgorithm!C$10-TriExpAlgorithm!C$8))*I99+(TriExpAlgorithm!E$8-((TriExpAlgorithm!E$10-TriExpAlgorithm!E$8)/((TriExpAlgorithm!C$10-TriExpAlgorithm!C$8))*TriExpAlgorithm!C$8)))</f>
        <v>376.43591328433718</v>
      </c>
      <c r="K99">
        <f>TriExpAlgorithm!$E$52*EXP(TriExpAlgorithm!$F$52*I99)</f>
        <v>0</v>
      </c>
      <c r="L99">
        <f>TriExpAlgorithm!$C$17*EXP(TriExpAlgorithm!C$18*I99)</f>
        <v>508.23069325200743</v>
      </c>
      <c r="M99">
        <f>TriExpAlgorithm!C$15*EXP(TriExpAlgorithm!C$16*I99)</f>
        <v>5.3903564079550314E-6</v>
      </c>
      <c r="N99">
        <f>TriExpAlgorithm!C$13*EXP(TriExpAlgorithm!C$14*I99)</f>
        <v>-1.0824920671353246E-47</v>
      </c>
      <c r="O99">
        <f t="shared" si="10"/>
        <v>508.23069864236385</v>
      </c>
      <c r="P99">
        <f t="shared" si="11"/>
        <v>508.23069864236385</v>
      </c>
    </row>
    <row r="100" spans="2:16" x14ac:dyDescent="0.2">
      <c r="B100">
        <v>91</v>
      </c>
      <c r="C100">
        <f>TriExpAlgorithm!C$13*EXP(TriExpAlgorithm!C$14*TriPlotData!B100)+TriExpAlgorithm!C$15*EXP(TriExpAlgorithm!C$16*TriPlotData!B100)+TriExpAlgorithm!C$17*EXP(TriExpAlgorithm!C$18*TriPlotData!B100)</f>
        <v>504.03689903675701</v>
      </c>
      <c r="D100">
        <f t="shared" si="8"/>
        <v>340.6882883301721</v>
      </c>
      <c r="F100">
        <f t="shared" si="9"/>
        <v>535.05332574083457</v>
      </c>
      <c r="I100">
        <v>90</v>
      </c>
      <c r="J100">
        <f>(((TriExpAlgorithm!E$10-TriExpAlgorithm!E$8)/(TriExpAlgorithm!C$10-TriExpAlgorithm!C$8))*I100+(TriExpAlgorithm!E$8-((TriExpAlgorithm!E$10-TriExpAlgorithm!E$8)/((TriExpAlgorithm!C$10-TriExpAlgorithm!C$8))*TriExpAlgorithm!C$8)))</f>
        <v>366.50175932301761</v>
      </c>
      <c r="K100">
        <f>TriExpAlgorithm!$E$52*EXP(TriExpAlgorithm!$F$52*I100)</f>
        <v>0</v>
      </c>
      <c r="L100">
        <f>TriExpAlgorithm!$C$17*EXP(TriExpAlgorithm!C$18*I100)</f>
        <v>506.12945067713309</v>
      </c>
      <c r="M100">
        <f>TriExpAlgorithm!C$15*EXP(TriExpAlgorithm!C$16*I100)</f>
        <v>4.3441387374293498E-6</v>
      </c>
      <c r="N100">
        <f>TriExpAlgorithm!C$13*EXP(TriExpAlgorithm!C$14*I100)</f>
        <v>-2.9501350400148565E-48</v>
      </c>
      <c r="O100">
        <f t="shared" si="10"/>
        <v>506.12945502127184</v>
      </c>
      <c r="P100">
        <f t="shared" si="11"/>
        <v>506.12945502127184</v>
      </c>
    </row>
    <row r="101" spans="2:16" x14ac:dyDescent="0.2">
      <c r="B101">
        <v>92</v>
      </c>
      <c r="C101">
        <f>TriExpAlgorithm!C$13*EXP(TriExpAlgorithm!C$14*TriPlotData!B101)+TriExpAlgorithm!C$15*EXP(TriExpAlgorithm!C$16*TriPlotData!B101)+TriExpAlgorithm!C$17*EXP(TriExpAlgorithm!C$18*TriPlotData!B101)</f>
        <v>501.95299473184957</v>
      </c>
      <c r="D101">
        <f t="shared" si="8"/>
        <v>337.82255002082485</v>
      </c>
      <c r="F101">
        <f t="shared" si="9"/>
        <v>534.51853985260334</v>
      </c>
      <c r="I101">
        <v>91</v>
      </c>
      <c r="J101">
        <f>(((TriExpAlgorithm!E$10-TriExpAlgorithm!E$8)/(TriExpAlgorithm!C$10-TriExpAlgorithm!C$8))*I101+(TriExpAlgorithm!E$8-((TriExpAlgorithm!E$10-TriExpAlgorithm!E$8)/((TriExpAlgorithm!C$10-TriExpAlgorithm!C$8))*TriExpAlgorithm!C$8)))</f>
        <v>356.56760536169804</v>
      </c>
      <c r="K101">
        <f>TriExpAlgorithm!$E$52*EXP(TriExpAlgorithm!$F$52*I101)</f>
        <v>0</v>
      </c>
      <c r="L101">
        <f>TriExpAlgorithm!$C$17*EXP(TriExpAlgorithm!C$18*I101)</f>
        <v>504.03689553577487</v>
      </c>
      <c r="M101">
        <f>TriExpAlgorithm!C$15*EXP(TriExpAlgorithm!C$16*I101)</f>
        <v>3.5009821135730303E-6</v>
      </c>
      <c r="N101">
        <f>TriExpAlgorithm!C$13*EXP(TriExpAlgorithm!C$14*I101)</f>
        <v>-8.0400559214771962E-49</v>
      </c>
      <c r="O101">
        <f t="shared" si="10"/>
        <v>504.03689903675701</v>
      </c>
      <c r="P101">
        <f t="shared" si="11"/>
        <v>504.03689903675701</v>
      </c>
    </row>
    <row r="102" spans="2:16" x14ac:dyDescent="0.2">
      <c r="B102">
        <v>93</v>
      </c>
      <c r="C102">
        <f>TriExpAlgorithm!C$13*EXP(TriExpAlgorithm!C$14*TriPlotData!B102)+TriExpAlgorithm!C$15*EXP(TriExpAlgorithm!C$16*TriPlotData!B102)+TriExpAlgorithm!C$17*EXP(TriExpAlgorithm!C$18*TriPlotData!B102)</f>
        <v>499.87770630572766</v>
      </c>
      <c r="D102">
        <f t="shared" si="8"/>
        <v>334.98091728005721</v>
      </c>
      <c r="F102">
        <f t="shared" si="9"/>
        <v>533.98428848295646</v>
      </c>
      <c r="I102">
        <v>92</v>
      </c>
      <c r="J102">
        <f>(((TriExpAlgorithm!E$10-TriExpAlgorithm!E$8)/(TriExpAlgorithm!C$10-TriExpAlgorithm!C$8))*I102+(TriExpAlgorithm!E$8-((TriExpAlgorithm!E$10-TriExpAlgorithm!E$8)/((TriExpAlgorithm!C$10-TriExpAlgorithm!C$8))*TriExpAlgorithm!C$8)))</f>
        <v>346.63345140037836</v>
      </c>
      <c r="K102">
        <f>TriExpAlgorithm!$E$52*EXP(TriExpAlgorithm!$F$52*I102)</f>
        <v>0</v>
      </c>
      <c r="L102">
        <f>TriExpAlgorithm!$C$17*EXP(TriExpAlgorithm!C$18*I102)</f>
        <v>501.95299191037526</v>
      </c>
      <c r="M102">
        <f>TriExpAlgorithm!C$15*EXP(TriExpAlgorithm!C$16*I102)</f>
        <v>2.8214742899328452E-6</v>
      </c>
      <c r="N102">
        <f>TriExpAlgorithm!C$13*EXP(TriExpAlgorithm!C$14*I102)</f>
        <v>-2.1911708563738857E-49</v>
      </c>
      <c r="O102">
        <f t="shared" si="10"/>
        <v>501.95299473184957</v>
      </c>
      <c r="P102">
        <f t="shared" si="11"/>
        <v>501.95299473184957</v>
      </c>
    </row>
    <row r="103" spans="2:16" x14ac:dyDescent="0.2">
      <c r="B103">
        <v>94</v>
      </c>
      <c r="C103">
        <f>TriExpAlgorithm!C$13*EXP(TriExpAlgorithm!C$14*TriPlotData!B103)+TriExpAlgorithm!C$15*EXP(TriExpAlgorithm!C$16*TriPlotData!B103)+TriExpAlgorithm!C$17*EXP(TriExpAlgorithm!C$18*TriPlotData!B103)</f>
        <v>497.81099811161903</v>
      </c>
      <c r="D103">
        <f t="shared" si="8"/>
        <v>332.16318732370019</v>
      </c>
      <c r="F103">
        <f t="shared" si="9"/>
        <v>533.45057109764264</v>
      </c>
      <c r="I103">
        <v>93</v>
      </c>
      <c r="J103">
        <f>(((TriExpAlgorithm!E$10-TriExpAlgorithm!E$8)/(TriExpAlgorithm!C$10-TriExpAlgorithm!C$8))*I103+(TriExpAlgorithm!E$8-((TriExpAlgorithm!E$10-TriExpAlgorithm!E$8)/((TriExpAlgorithm!C$10-TriExpAlgorithm!C$8))*TriExpAlgorithm!C$8)))</f>
        <v>336.69929743905868</v>
      </c>
      <c r="K103">
        <f>TriExpAlgorithm!$E$52*EXP(TriExpAlgorithm!$F$52*I103)</f>
        <v>0</v>
      </c>
      <c r="L103">
        <f>TriExpAlgorithm!$C$17*EXP(TriExpAlgorithm!C$18*I103)</f>
        <v>499.87770403187511</v>
      </c>
      <c r="M103">
        <f>TriExpAlgorithm!C$15*EXP(TriExpAlgorithm!C$16*I103)</f>
        <v>2.2738525677949001E-6</v>
      </c>
      <c r="N103">
        <f>TriExpAlgorithm!C$13*EXP(TriExpAlgorithm!C$14*I103)</f>
        <v>-5.9716372233144972E-50</v>
      </c>
      <c r="O103">
        <f t="shared" si="10"/>
        <v>499.87770630572766</v>
      </c>
      <c r="P103">
        <f t="shared" si="11"/>
        <v>499.87770630572766</v>
      </c>
    </row>
    <row r="104" spans="2:16" x14ac:dyDescent="0.2">
      <c r="B104">
        <v>95</v>
      </c>
      <c r="C104">
        <f>TriExpAlgorithm!C$13*EXP(TriExpAlgorithm!C$14*TriPlotData!B104)+TriExpAlgorithm!C$15*EXP(TriExpAlgorithm!C$16*TriPlotData!B104)+TriExpAlgorithm!C$17*EXP(TriExpAlgorithm!C$18*TriPlotData!B104)</f>
        <v>495.75283465499285</v>
      </c>
      <c r="D104">
        <f t="shared" si="8"/>
        <v>329.36915907677678</v>
      </c>
      <c r="F104">
        <f t="shared" si="9"/>
        <v>532.91738716294435</v>
      </c>
      <c r="I104">
        <v>94</v>
      </c>
      <c r="J104">
        <f>(((TriExpAlgorithm!E$10-TriExpAlgorithm!E$8)/(TriExpAlgorithm!C$10-TriExpAlgorithm!C$8))*I104+(TriExpAlgorithm!E$8-((TriExpAlgorithm!E$10-TriExpAlgorithm!E$8)/((TriExpAlgorithm!C$10-TriExpAlgorithm!C$8))*TriExpAlgorithm!C$8)))</f>
        <v>326.76514347773912</v>
      </c>
      <c r="K104">
        <f>TriExpAlgorithm!$E$52*EXP(TriExpAlgorithm!$F$52*I104)</f>
        <v>0</v>
      </c>
      <c r="L104">
        <f>TriExpAlgorithm!$C$17*EXP(TriExpAlgorithm!C$18*I104)</f>
        <v>497.81099627909992</v>
      </c>
      <c r="M104">
        <f>TriExpAlgorithm!C$15*EXP(TriExpAlgorithm!C$16*I104)</f>
        <v>1.832519090645523E-6</v>
      </c>
      <c r="N104">
        <f>TriExpAlgorithm!C$13*EXP(TriExpAlgorithm!C$14*I104)</f>
        <v>-1.6274609998185568E-50</v>
      </c>
      <c r="O104">
        <f t="shared" si="10"/>
        <v>497.81099811161903</v>
      </c>
      <c r="P104">
        <f t="shared" si="11"/>
        <v>497.81099811161903</v>
      </c>
    </row>
    <row r="105" spans="2:16" x14ac:dyDescent="0.2">
      <c r="B105">
        <v>96</v>
      </c>
      <c r="C105">
        <f>TriExpAlgorithm!C$13*EXP(TriExpAlgorithm!C$14*TriPlotData!B105)+TriExpAlgorithm!C$15*EXP(TriExpAlgorithm!C$16*TriPlotData!B105)+TriExpAlgorithm!C$17*EXP(TriExpAlgorithm!C$18*TriPlotData!B105)</f>
        <v>493.70318059198638</v>
      </c>
      <c r="D105">
        <f t="shared" si="8"/>
        <v>326.59863315844422</v>
      </c>
      <c r="F105">
        <f t="shared" si="9"/>
        <v>532.38473614567761</v>
      </c>
      <c r="I105">
        <v>95</v>
      </c>
      <c r="J105">
        <f>(((TriExpAlgorithm!E$10-TriExpAlgorithm!E$8)/(TriExpAlgorithm!C$10-TriExpAlgorithm!C$8))*I105+(TriExpAlgorithm!E$8-((TriExpAlgorithm!E$10-TriExpAlgorithm!E$8)/((TriExpAlgorithm!C$10-TriExpAlgorithm!C$8))*TriExpAlgorithm!C$8)))</f>
        <v>316.83098951641955</v>
      </c>
      <c r="K105">
        <f>TriExpAlgorithm!$E$52*EXP(TriExpAlgorithm!$F$52*I105)</f>
        <v>0</v>
      </c>
      <c r="L105">
        <f>TriExpAlgorithm!$C$17*EXP(TriExpAlgorithm!C$18*I105)</f>
        <v>495.75283317814853</v>
      </c>
      <c r="M105">
        <f>TriExpAlgorithm!C$15*EXP(TriExpAlgorithm!C$16*I105)</f>
        <v>1.4768443060654915E-6</v>
      </c>
      <c r="N105">
        <f>TriExpAlgorithm!C$13*EXP(TriExpAlgorithm!C$14*I105)</f>
        <v>-4.4353486437347942E-51</v>
      </c>
      <c r="O105">
        <f t="shared" si="10"/>
        <v>495.75283465499285</v>
      </c>
      <c r="P105">
        <f t="shared" si="11"/>
        <v>495.75283465499285</v>
      </c>
    </row>
    <row r="106" spans="2:16" x14ac:dyDescent="0.2">
      <c r="B106">
        <v>97</v>
      </c>
      <c r="C106">
        <f>TriExpAlgorithm!C$13*EXP(TriExpAlgorithm!C$14*TriPlotData!B106)+TriExpAlgorithm!C$15*EXP(TriExpAlgorithm!C$16*TriPlotData!B106)+TriExpAlgorithm!C$17*EXP(TriExpAlgorithm!C$18*TriPlotData!B106)</f>
        <v>491.66200072802172</v>
      </c>
      <c r="D106">
        <f t="shared" si="8"/>
        <v>323.85141186719602</v>
      </c>
      <c r="F106">
        <f t="shared" si="9"/>
        <v>531.85261751319138</v>
      </c>
      <c r="I106">
        <v>96</v>
      </c>
      <c r="J106">
        <f>(((TriExpAlgorithm!E$10-TriExpAlgorithm!E$8)/(TriExpAlgorithm!C$10-TriExpAlgorithm!C$8))*I106+(TriExpAlgorithm!E$8-((TriExpAlgorithm!E$10-TriExpAlgorithm!E$8)/((TriExpAlgorithm!C$10-TriExpAlgorithm!C$8))*TriExpAlgorithm!C$8)))</f>
        <v>306.89683555509987</v>
      </c>
      <c r="K106">
        <f>TriExpAlgorithm!$E$52*EXP(TriExpAlgorithm!$F$52*I106)</f>
        <v>0</v>
      </c>
      <c r="L106">
        <f>TriExpAlgorithm!$C$17*EXP(TriExpAlgorithm!C$18*I106)</f>
        <v>493.7031794017837</v>
      </c>
      <c r="M106">
        <f>TriExpAlgorithm!C$15*EXP(TriExpAlgorithm!C$16*I106)</f>
        <v>1.1902026644588786E-6</v>
      </c>
      <c r="N106">
        <f>TriExpAlgorithm!C$13*EXP(TriExpAlgorithm!C$14*I106)</f>
        <v>-1.2087735186080056E-51</v>
      </c>
      <c r="O106">
        <f t="shared" si="10"/>
        <v>493.70318059198638</v>
      </c>
      <c r="P106">
        <f t="shared" si="11"/>
        <v>493.70318059198638</v>
      </c>
    </row>
    <row r="107" spans="2:16" x14ac:dyDescent="0.2">
      <c r="B107">
        <v>98</v>
      </c>
      <c r="C107">
        <f>TriExpAlgorithm!C$13*EXP(TriExpAlgorithm!C$14*TriPlotData!B107)+TriExpAlgorithm!C$15*EXP(TriExpAlgorithm!C$16*TriPlotData!B107)+TriExpAlgorithm!C$17*EXP(TriExpAlgorithm!C$18*TriPlotData!B107)</f>
        <v>489.62926001657564</v>
      </c>
      <c r="D107">
        <f t="shared" si="8"/>
        <v>321.12729916629723</v>
      </c>
      <c r="F107">
        <f t="shared" si="9"/>
        <v>531.32103073336702</v>
      </c>
      <c r="I107">
        <v>97</v>
      </c>
      <c r="J107">
        <f>(((TriExpAlgorithm!E$10-TriExpAlgorithm!E$8)/(TriExpAlgorithm!C$10-TriExpAlgorithm!C$8))*I107+(TriExpAlgorithm!E$8-((TriExpAlgorithm!E$10-TriExpAlgorithm!E$8)/((TriExpAlgorithm!C$10-TriExpAlgorithm!C$8))*TriExpAlgorithm!C$8)))</f>
        <v>296.96268159378019</v>
      </c>
      <c r="K107">
        <f>TriExpAlgorithm!$E$52*EXP(TriExpAlgorithm!$F$52*I107)</f>
        <v>0</v>
      </c>
      <c r="L107">
        <f>TriExpAlgorithm!$C$17*EXP(TriExpAlgorithm!C$18*I107)</f>
        <v>491.66199976882626</v>
      </c>
      <c r="M107">
        <f>TriExpAlgorithm!C$15*EXP(TriExpAlgorithm!C$16*I107)</f>
        <v>9.5919547962301928E-7</v>
      </c>
      <c r="N107">
        <f>TriExpAlgorithm!C$13*EXP(TriExpAlgorithm!C$14*I107)</f>
        <v>-3.2942921439827308E-52</v>
      </c>
      <c r="O107">
        <f t="shared" si="10"/>
        <v>491.66200072802172</v>
      </c>
      <c r="P107">
        <f t="shared" si="11"/>
        <v>491.66200072802172</v>
      </c>
    </row>
    <row r="108" spans="2:16" x14ac:dyDescent="0.2">
      <c r="B108">
        <v>99</v>
      </c>
      <c r="C108">
        <f>TriExpAlgorithm!C$13*EXP(TriExpAlgorithm!C$14*TriPlotData!B108)+TriExpAlgorithm!C$15*EXP(TriExpAlgorithm!C$16*TriPlotData!B108)+TriExpAlgorithm!C$17*EXP(TriExpAlgorithm!C$18*TriPlotData!B108)</f>
        <v>487.60492355807315</v>
      </c>
      <c r="D108">
        <f t="shared" si="8"/>
        <v>318.42610066942876</v>
      </c>
      <c r="F108">
        <f t="shared" si="9"/>
        <v>530.78997527461763</v>
      </c>
      <c r="I108">
        <v>98</v>
      </c>
      <c r="J108">
        <f>(((TriExpAlgorithm!E$10-TriExpAlgorithm!E$8)/(TriExpAlgorithm!C$10-TriExpAlgorithm!C$8))*I108+(TriExpAlgorithm!E$8-((TriExpAlgorithm!E$10-TriExpAlgorithm!E$8)/((TriExpAlgorithm!C$10-TriExpAlgorithm!C$8))*TriExpAlgorithm!C$8)))</f>
        <v>287.02852763246062</v>
      </c>
      <c r="K108">
        <f>TriExpAlgorithm!$E$52*EXP(TriExpAlgorithm!$F$52*I108)</f>
        <v>0</v>
      </c>
      <c r="L108">
        <f>TriExpAlgorithm!$C$17*EXP(TriExpAlgorithm!C$18*I108)</f>
        <v>489.62925924355102</v>
      </c>
      <c r="M108">
        <f>TriExpAlgorithm!C$15*EXP(TriExpAlgorithm!C$16*I108)</f>
        <v>7.7302462479995985E-7</v>
      </c>
      <c r="N108">
        <f>TriExpAlgorithm!C$13*EXP(TriExpAlgorithm!C$14*I108)</f>
        <v>-8.9779934477747796E-53</v>
      </c>
      <c r="O108">
        <f t="shared" si="10"/>
        <v>489.62926001657564</v>
      </c>
      <c r="P108">
        <f t="shared" si="11"/>
        <v>489.62926001657564</v>
      </c>
    </row>
    <row r="109" spans="2:16" x14ac:dyDescent="0.2">
      <c r="B109">
        <v>100</v>
      </c>
      <c r="C109">
        <f>TriExpAlgorithm!C$13*EXP(TriExpAlgorithm!C$14*TriPlotData!B109)+TriExpAlgorithm!C$15*EXP(TriExpAlgorithm!C$16*TriPlotData!B109)+TriExpAlgorithm!C$17*EXP(TriExpAlgorithm!C$18*TriPlotData!B109)</f>
        <v>485.58895659888219</v>
      </c>
      <c r="D109">
        <f t="shared" si="8"/>
        <v>315.747623626522</v>
      </c>
      <c r="F109">
        <f t="shared" si="9"/>
        <v>530.25945060588776</v>
      </c>
      <c r="I109">
        <v>99</v>
      </c>
      <c r="J109">
        <f>(((TriExpAlgorithm!E$10-TriExpAlgorithm!E$8)/(TriExpAlgorithm!C$10-TriExpAlgorithm!C$8))*I109+(TriExpAlgorithm!E$8-((TriExpAlgorithm!E$10-TriExpAlgorithm!E$8)/((TriExpAlgorithm!C$10-TriExpAlgorithm!C$8))*TriExpAlgorithm!C$8)))</f>
        <v>277.09437367114106</v>
      </c>
      <c r="K109">
        <f>TriExpAlgorithm!$E$52*EXP(TriExpAlgorithm!$F$52*I109)</f>
        <v>0</v>
      </c>
      <c r="L109">
        <f>TriExpAlgorithm!$C$17*EXP(TriExpAlgorithm!C$18*I109)</f>
        <v>487.60492293508537</v>
      </c>
      <c r="M109">
        <f>TriExpAlgorithm!C$15*EXP(TriExpAlgorithm!C$16*I109)</f>
        <v>6.2298778845577018E-7</v>
      </c>
      <c r="N109">
        <f>TriExpAlgorithm!C$13*EXP(TriExpAlgorithm!C$14*I109)</f>
        <v>-2.4467886521696496E-53</v>
      </c>
      <c r="O109">
        <f t="shared" si="10"/>
        <v>487.60492355807315</v>
      </c>
      <c r="P109">
        <f t="shared" si="11"/>
        <v>487.60492355807315</v>
      </c>
    </row>
    <row r="110" spans="2:16" x14ac:dyDescent="0.2">
      <c r="I110">
        <v>100</v>
      </c>
      <c r="J110">
        <f>(((TriExpAlgorithm!E$10-TriExpAlgorithm!E$8)/(TriExpAlgorithm!C$10-TriExpAlgorithm!C$8))*I110+(TriExpAlgorithm!E$8-((TriExpAlgorithm!E$10-TriExpAlgorithm!E$8)/((TriExpAlgorithm!C$10-TriExpAlgorithm!C$8))*TriExpAlgorithm!C$8)))</f>
        <v>267.16021970982138</v>
      </c>
      <c r="K110">
        <f>TriExpAlgorithm!$E$52*EXP(TriExpAlgorithm!$F$52*I110)</f>
        <v>0</v>
      </c>
      <c r="L110">
        <f>TriExpAlgorithm!$C$17*EXP(TriExpAlgorithm!C$18*I110)</f>
        <v>485.58895609681048</v>
      </c>
      <c r="M110">
        <f>TriExpAlgorithm!C$15*EXP(TriExpAlgorithm!C$16*I110)</f>
        <v>5.020716961836061E-7</v>
      </c>
      <c r="N110">
        <f>TriExpAlgorithm!C$13*EXP(TriExpAlgorithm!C$14*I110)</f>
        <v>-6.6682769855108085E-54</v>
      </c>
      <c r="O110">
        <f t="shared" si="10"/>
        <v>485.58895659888219</v>
      </c>
      <c r="P110">
        <f t="shared" si="11"/>
        <v>485.58895659888219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TriExpAlgorithm</vt:lpstr>
      <vt:lpstr>TriPlotData</vt:lpstr>
    </vt:vector>
  </TitlesOfParts>
  <Company>Peter MacCallum Cancer Centre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Price Jackson</dc:creator>
  <cp:lastModifiedBy>Jackson Price</cp:lastModifiedBy>
  <dcterms:created xsi:type="dcterms:W3CDTF">2017-04-12T23:29:10Z</dcterms:created>
  <dcterms:modified xsi:type="dcterms:W3CDTF">2019-11-20T02:40:37Z</dcterms:modified>
</cp:coreProperties>
</file>