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vsdx" ContentType="application/vnd.ms-visio.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RT7216\Autotemp\data\光寶\"/>
    </mc:Choice>
  </mc:AlternateContent>
  <xr:revisionPtr revIDLastSave="0" documentId="13_ncr:1_{67E77FB0-6C1D-457B-8613-0D8E1C881DD9}" xr6:coauthVersionLast="47" xr6:coauthVersionMax="47" xr10:uidLastSave="{00000000-0000-0000-0000-000000000000}"/>
  <bookViews>
    <workbookView xWindow="14400" yWindow="0" windowWidth="14400" windowHeight="15600" firstSheet="4" activeTab="4" xr2:uid="{00000000-000D-0000-FFFF-FFFF00000000}"/>
  </bookViews>
  <sheets>
    <sheet name="客戶R_TC" sheetId="1" state="hidden" r:id="rId1"/>
    <sheet name="RTC" sheetId="2" state="hidden" r:id="rId2"/>
    <sheet name="客戶RGB_TC" sheetId="5" state="hidden" r:id="rId3"/>
    <sheet name="RGBTC" sheetId="6" state="hidden" r:id="rId4"/>
    <sheet name="客戶RB_TC" sheetId="8" r:id="rId5"/>
    <sheet name="RBTC" sheetId="9" r:id="rId6"/>
    <sheet name="工作表1" sheetId="10" r:id="rId7"/>
  </sheets>
  <calcPr calcId="191029"/>
</workbook>
</file>

<file path=xl/calcChain.xml><?xml version="1.0" encoding="utf-8"?>
<calcChain xmlns="http://schemas.openxmlformats.org/spreadsheetml/2006/main">
  <c r="D79" i="8" l="1"/>
  <c r="D80" i="8"/>
  <c r="D81" i="8"/>
  <c r="D82" i="8"/>
  <c r="D83" i="8"/>
  <c r="D84" i="8"/>
  <c r="D85" i="8"/>
  <c r="D86" i="8"/>
  <c r="D87" i="8"/>
  <c r="D88" i="8"/>
  <c r="D78" i="8"/>
  <c r="E45" i="9"/>
  <c r="T66" i="9"/>
  <c r="T65" i="9"/>
  <c r="T64" i="9"/>
  <c r="T63" i="9"/>
  <c r="T62" i="9"/>
  <c r="T61" i="9"/>
  <c r="T60" i="9"/>
  <c r="T59" i="9"/>
  <c r="T58" i="9"/>
  <c r="T57" i="9"/>
  <c r="T56" i="9"/>
  <c r="T55" i="9"/>
  <c r="T54" i="9"/>
  <c r="T53" i="9"/>
  <c r="T52" i="9"/>
  <c r="T51" i="9"/>
  <c r="T50" i="9"/>
  <c r="T49" i="9"/>
  <c r="T48" i="9"/>
  <c r="T47" i="9"/>
  <c r="T46" i="9"/>
  <c r="T45" i="9"/>
  <c r="T44" i="9"/>
  <c r="T43" i="9"/>
  <c r="T42" i="9"/>
  <c r="T41" i="9"/>
  <c r="T40" i="9"/>
  <c r="T39" i="9"/>
  <c r="T38" i="9"/>
  <c r="T37" i="9"/>
  <c r="T36" i="9"/>
  <c r="T35" i="9"/>
  <c r="T34" i="9"/>
  <c r="T33" i="9"/>
  <c r="T32" i="9"/>
  <c r="T31" i="9"/>
  <c r="T30" i="9"/>
  <c r="T29" i="9"/>
  <c r="T28" i="9"/>
  <c r="T27" i="9"/>
  <c r="T26" i="9"/>
  <c r="T25" i="9"/>
  <c r="T24" i="9"/>
  <c r="T23" i="9"/>
  <c r="T22" i="9"/>
  <c r="T21" i="9"/>
  <c r="T20" i="9"/>
  <c r="T19" i="9"/>
  <c r="T18" i="9"/>
  <c r="T17" i="9"/>
  <c r="T16" i="9"/>
  <c r="T15" i="9"/>
  <c r="T14" i="9"/>
  <c r="T13" i="9"/>
  <c r="T12" i="9"/>
  <c r="T11" i="9"/>
  <c r="T10" i="9"/>
  <c r="T9" i="9"/>
  <c r="T8" i="9"/>
  <c r="T7" i="9"/>
  <c r="T6" i="9"/>
  <c r="T5" i="9"/>
  <c r="T4" i="9"/>
  <c r="T3" i="9"/>
  <c r="E34" i="9" l="1"/>
  <c r="C84" i="9"/>
  <c r="D84" i="9"/>
  <c r="E84" i="9"/>
  <c r="F84" i="9"/>
  <c r="G84" i="9"/>
  <c r="H84" i="9"/>
  <c r="I84" i="9"/>
  <c r="J84" i="9"/>
  <c r="K84" i="9"/>
  <c r="B84" i="9"/>
  <c r="C83" i="9"/>
  <c r="D83" i="9"/>
  <c r="E83" i="9"/>
  <c r="F83" i="9"/>
  <c r="G83" i="9"/>
  <c r="H83" i="9"/>
  <c r="I83" i="9"/>
  <c r="J83" i="9"/>
  <c r="K83" i="9"/>
  <c r="B83" i="9"/>
  <c r="B113" i="9" s="1"/>
  <c r="B98" i="9"/>
  <c r="B99" i="9"/>
  <c r="B100" i="9"/>
  <c r="B101" i="9"/>
  <c r="B102" i="9"/>
  <c r="B103" i="9"/>
  <c r="B104" i="9"/>
  <c r="B105" i="9"/>
  <c r="B106" i="9"/>
  <c r="B107" i="9"/>
  <c r="B108" i="9"/>
  <c r="B97" i="9"/>
  <c r="O97" i="9"/>
  <c r="C65" i="8" l="1"/>
  <c r="C66" i="8"/>
  <c r="C67" i="8"/>
  <c r="C68" i="8"/>
  <c r="C69" i="8"/>
  <c r="C70" i="8"/>
  <c r="C71" i="8"/>
  <c r="C72" i="8"/>
  <c r="C73" i="8"/>
  <c r="C74" i="8"/>
  <c r="C64" i="8"/>
  <c r="C22" i="9" l="1"/>
  <c r="B128" i="9"/>
  <c r="B142" i="9" s="1"/>
  <c r="C160" i="9" s="1"/>
  <c r="B176" i="9" s="1"/>
  <c r="B129" i="9"/>
  <c r="B143" i="9" s="1"/>
  <c r="C161" i="9" s="1"/>
  <c r="B177" i="9" s="1"/>
  <c r="B130" i="9"/>
  <c r="B144" i="9" s="1"/>
  <c r="C162" i="9" s="1"/>
  <c r="B178" i="9" s="1"/>
  <c r="B131" i="9"/>
  <c r="B145" i="9" s="1"/>
  <c r="C163" i="9" s="1"/>
  <c r="B179" i="9" s="1"/>
  <c r="B132" i="9"/>
  <c r="B146" i="9" s="1"/>
  <c r="C164" i="9" s="1"/>
  <c r="B180" i="9" s="1"/>
  <c r="B133" i="9"/>
  <c r="B147" i="9" s="1"/>
  <c r="C165" i="9" s="1"/>
  <c r="B181" i="9" s="1"/>
  <c r="B134" i="9"/>
  <c r="B148" i="9" s="1"/>
  <c r="C166" i="9" s="1"/>
  <c r="B182" i="9" s="1"/>
  <c r="B135" i="9"/>
  <c r="B149" i="9" s="1"/>
  <c r="C167" i="9" s="1"/>
  <c r="B183" i="9" s="1"/>
  <c r="B136" i="9"/>
  <c r="B150" i="9" s="1"/>
  <c r="C168" i="9" s="1"/>
  <c r="B184" i="9" s="1"/>
  <c r="B137" i="9"/>
  <c r="B151" i="9" s="1"/>
  <c r="C169" i="9" s="1"/>
  <c r="B185" i="9" s="1"/>
  <c r="B138" i="9"/>
  <c r="B152" i="9" s="1"/>
  <c r="C170" i="9" s="1"/>
  <c r="B186" i="9" s="1"/>
  <c r="B127" i="9"/>
  <c r="B141" i="9" s="1"/>
  <c r="C159" i="9" s="1"/>
  <c r="B175" i="9" s="1"/>
  <c r="K61" i="9"/>
  <c r="H61" i="9"/>
  <c r="C61" i="9"/>
  <c r="D61" i="9"/>
  <c r="E61" i="9"/>
  <c r="F61" i="9"/>
  <c r="G61" i="9"/>
  <c r="I61" i="9"/>
  <c r="J61" i="9"/>
  <c r="D34" i="9"/>
  <c r="C34" i="9"/>
  <c r="H33" i="9"/>
  <c r="I33" i="9" s="1"/>
  <c r="D28" i="9"/>
  <c r="D64" i="9" s="1"/>
  <c r="E28" i="9"/>
  <c r="E64" i="9" s="1"/>
  <c r="C28" i="9"/>
  <c r="C64" i="9" s="1"/>
  <c r="C66" i="9" s="1"/>
  <c r="D36" i="9" l="1"/>
  <c r="E36" i="9"/>
  <c r="C36" i="9"/>
  <c r="E22" i="5" l="1"/>
  <c r="M41" i="6"/>
  <c r="N41" i="6" s="1"/>
  <c r="N44" i="6" s="1"/>
  <c r="P44" i="6" s="1"/>
  <c r="P46" i="6" s="1"/>
  <c r="B22" i="6"/>
  <c r="K22" i="5" l="1"/>
  <c r="H2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230" i="6"/>
  <c r="B246" i="6" s="1"/>
  <c r="C91" i="5" s="1"/>
  <c r="B229" i="6"/>
  <c r="B245" i="6" s="1"/>
  <c r="C90" i="5" s="1"/>
  <c r="B228" i="6"/>
  <c r="B244" i="6" s="1"/>
  <c r="C89" i="5" s="1"/>
  <c r="B227" i="6"/>
  <c r="B243" i="6" s="1"/>
  <c r="C88" i="5" s="1"/>
  <c r="B226" i="6"/>
  <c r="B242" i="6" s="1"/>
  <c r="C87" i="5" s="1"/>
  <c r="B225" i="6"/>
  <c r="B241" i="6" s="1"/>
  <c r="C86" i="5" s="1"/>
  <c r="B224" i="6"/>
  <c r="B240" i="6" s="1"/>
  <c r="C85" i="5" s="1"/>
  <c r="B223" i="6"/>
  <c r="B239" i="6" s="1"/>
  <c r="C84" i="5" s="1"/>
  <c r="B222" i="6"/>
  <c r="B238" i="6" s="1"/>
  <c r="C83" i="5" s="1"/>
  <c r="B221" i="6"/>
  <c r="C67" i="5" s="1"/>
  <c r="B220" i="6"/>
  <c r="C66" i="5" s="1"/>
  <c r="B219" i="6"/>
  <c r="B235" i="6" s="1"/>
  <c r="C80" i="5" s="1"/>
  <c r="A80" i="6"/>
  <c r="A81" i="6"/>
  <c r="C81" i="6"/>
  <c r="D81" i="6"/>
  <c r="E81" i="6"/>
  <c r="F81" i="6"/>
  <c r="G81" i="6"/>
  <c r="H81" i="6"/>
  <c r="I81" i="6"/>
  <c r="J81" i="6"/>
  <c r="B81" i="6"/>
  <c r="C80" i="6"/>
  <c r="D80" i="6"/>
  <c r="E80" i="6"/>
  <c r="F80" i="6"/>
  <c r="G80" i="6"/>
  <c r="H80" i="6"/>
  <c r="I80" i="6"/>
  <c r="J80" i="6"/>
  <c r="B80" i="6"/>
  <c r="K54" i="5"/>
  <c r="H54" i="5"/>
  <c r="E54" i="5"/>
  <c r="B58" i="6"/>
  <c r="C58" i="6"/>
  <c r="D58" i="6"/>
  <c r="E58" i="6"/>
  <c r="F58" i="6"/>
  <c r="G58" i="6"/>
  <c r="H58" i="6"/>
  <c r="I58" i="6"/>
  <c r="J58" i="6"/>
  <c r="C28" i="6"/>
  <c r="C61" i="6" s="1"/>
  <c r="D28" i="6"/>
  <c r="D61" i="6" s="1"/>
  <c r="B28" i="6"/>
  <c r="B61" i="6" s="1"/>
  <c r="A12" i="6"/>
  <c r="B12" i="6" s="1"/>
  <c r="C11" i="6" s="1"/>
  <c r="C19" i="6"/>
  <c r="E19" i="6"/>
  <c r="F19" i="6"/>
  <c r="H19" i="6"/>
  <c r="I19" i="6"/>
  <c r="B19" i="6"/>
  <c r="D11" i="6" l="1"/>
  <c r="C70" i="5"/>
  <c r="C69" i="5"/>
  <c r="C68" i="5"/>
  <c r="C76" i="5"/>
  <c r="C74" i="5"/>
  <c r="C65" i="5"/>
  <c r="C73" i="5"/>
  <c r="C75" i="5"/>
  <c r="B237" i="6"/>
  <c r="C82" i="5" s="1"/>
  <c r="C72" i="5"/>
  <c r="B236" i="6"/>
  <c r="C81" i="5" s="1"/>
  <c r="C71" i="5"/>
  <c r="F66" i="6"/>
  <c r="D66" i="6"/>
  <c r="B66" i="6"/>
  <c r="C66" i="6"/>
  <c r="E66" i="6"/>
  <c r="G66" i="6"/>
  <c r="A19" i="6"/>
  <c r="G33" i="6"/>
  <c r="D22" i="6"/>
  <c r="B14" i="5" s="1"/>
  <c r="D63" i="8"/>
  <c r="K113" i="9"/>
  <c r="H113" i="9"/>
  <c r="E113" i="9"/>
  <c r="E22" i="9"/>
  <c r="B14" i="8" s="1"/>
  <c r="C19" i="9"/>
  <c r="C19" i="5" l="1"/>
  <c r="D19" i="6" s="1"/>
  <c r="L113" i="9"/>
  <c r="H66" i="6"/>
  <c r="C22" i="6"/>
  <c r="E24" i="6" s="1"/>
  <c r="D22" i="9"/>
  <c r="F24" i="9" s="1"/>
  <c r="H22" i="9" s="1"/>
  <c r="E132" i="9" l="1"/>
  <c r="E131" i="9"/>
  <c r="F24" i="6"/>
  <c r="E22" i="6" s="1"/>
  <c r="F22" i="6" s="1"/>
  <c r="G22" i="6"/>
  <c r="D14" i="5" s="1"/>
  <c r="G24" i="9"/>
  <c r="J113" i="9"/>
  <c r="I113" i="9"/>
  <c r="G113" i="9"/>
  <c r="F113" i="9"/>
  <c r="D113" i="9"/>
  <c r="C113" i="9"/>
  <c r="C90" i="9" l="1"/>
  <c r="C91" i="9" s="1"/>
  <c r="E119" i="9"/>
  <c r="B119" i="9"/>
  <c r="F22" i="9"/>
  <c r="G22" i="9" s="1"/>
  <c r="D14" i="8"/>
  <c r="D119" i="9"/>
  <c r="F119" i="9"/>
  <c r="I119" i="9"/>
  <c r="G119" i="9"/>
  <c r="C119" i="9"/>
  <c r="J119" i="9" l="1"/>
  <c r="H119" i="9"/>
  <c r="K119" i="9" l="1"/>
  <c r="C129" i="9" s="1"/>
  <c r="L119" i="9"/>
  <c r="D131" i="9" s="1"/>
  <c r="D63" i="6"/>
  <c r="C63" i="6"/>
  <c r="B63" i="6"/>
  <c r="D19" i="9"/>
  <c r="F19" i="9"/>
  <c r="G19" i="9"/>
  <c r="I19" i="9"/>
  <c r="J19" i="9"/>
  <c r="G63" i="6" l="1"/>
  <c r="F63" i="6"/>
  <c r="E63" i="6"/>
  <c r="D66" i="9"/>
  <c r="E66" i="9"/>
  <c r="C128" i="9"/>
  <c r="C132" i="9"/>
  <c r="C131" i="9"/>
  <c r="I131" i="9" s="1"/>
  <c r="D133" i="9"/>
  <c r="D132" i="9"/>
  <c r="L120" i="9"/>
  <c r="D136" i="9"/>
  <c r="D129" i="9"/>
  <c r="I129" i="9" s="1"/>
  <c r="D127" i="9"/>
  <c r="D137" i="9"/>
  <c r="D135" i="9"/>
  <c r="D130" i="9"/>
  <c r="D128" i="9"/>
  <c r="D138" i="9"/>
  <c r="C133" i="9"/>
  <c r="D134" i="9"/>
  <c r="F28" i="9"/>
  <c r="F31" i="9"/>
  <c r="G31" i="9"/>
  <c r="E31" i="9"/>
  <c r="B12" i="9"/>
  <c r="C12" i="9" s="1"/>
  <c r="D11" i="9" s="1"/>
  <c r="B4" i="9"/>
  <c r="B6" i="9" s="1"/>
  <c r="C233" i="9"/>
  <c r="C253" i="9" s="1"/>
  <c r="B269" i="9" s="1"/>
  <c r="X269" i="9" s="1"/>
  <c r="C232" i="9"/>
  <c r="C252" i="9" s="1"/>
  <c r="B268" i="9" s="1"/>
  <c r="X268" i="9" s="1"/>
  <c r="C231" i="9"/>
  <c r="C251" i="9" s="1"/>
  <c r="B267" i="9" s="1"/>
  <c r="X267" i="9" s="1"/>
  <c r="C230" i="9"/>
  <c r="C250" i="9" s="1"/>
  <c r="B266" i="9" s="1"/>
  <c r="X266" i="9" s="1"/>
  <c r="C229" i="9"/>
  <c r="C249" i="9" s="1"/>
  <c r="B265" i="9" s="1"/>
  <c r="X265" i="9" s="1"/>
  <c r="C228" i="9"/>
  <c r="C248" i="9" s="1"/>
  <c r="B264" i="9" s="1"/>
  <c r="X264" i="9" s="1"/>
  <c r="C227" i="9"/>
  <c r="C247" i="9" s="1"/>
  <c r="B263" i="9" s="1"/>
  <c r="X263" i="9" s="1"/>
  <c r="C226" i="9"/>
  <c r="C246" i="9" s="1"/>
  <c r="B262" i="9" s="1"/>
  <c r="X262" i="9" s="1"/>
  <c r="C225" i="9"/>
  <c r="C245" i="9" s="1"/>
  <c r="B261" i="9" s="1"/>
  <c r="X261" i="9" s="1"/>
  <c r="C224" i="9"/>
  <c r="C244" i="9" s="1"/>
  <c r="B260" i="9" s="1"/>
  <c r="X260" i="9" s="1"/>
  <c r="C223" i="9"/>
  <c r="C243" i="9" s="1"/>
  <c r="B259" i="9" s="1"/>
  <c r="X259" i="9" s="1"/>
  <c r="C222" i="9"/>
  <c r="C242" i="9" s="1"/>
  <c r="B258" i="9" s="1"/>
  <c r="X258" i="9" s="1"/>
  <c r="B219" i="9"/>
  <c r="B218" i="9"/>
  <c r="B217" i="9"/>
  <c r="B216" i="9"/>
  <c r="B215" i="9"/>
  <c r="B214" i="9"/>
  <c r="B213" i="9"/>
  <c r="B212" i="9"/>
  <c r="B211" i="9"/>
  <c r="B210" i="9"/>
  <c r="B209" i="9"/>
  <c r="B208" i="9"/>
  <c r="B189" i="9"/>
  <c r="B201" i="9"/>
  <c r="B200" i="9"/>
  <c r="B199" i="9"/>
  <c r="B198" i="9"/>
  <c r="B197" i="9"/>
  <c r="B196" i="9"/>
  <c r="B195" i="9"/>
  <c r="B194" i="9"/>
  <c r="B193" i="9"/>
  <c r="B192" i="9"/>
  <c r="B191" i="9"/>
  <c r="B190" i="9"/>
  <c r="D69" i="9"/>
  <c r="E69" i="9"/>
  <c r="G69" i="9"/>
  <c r="C69" i="9"/>
  <c r="G28" i="9"/>
  <c r="H28" i="9"/>
  <c r="B19" i="9"/>
  <c r="E10" i="9"/>
  <c r="B10" i="9"/>
  <c r="C6" i="9"/>
  <c r="B2" i="9"/>
  <c r="B88" i="8"/>
  <c r="B87" i="8"/>
  <c r="B86" i="8"/>
  <c r="B85" i="8"/>
  <c r="B84" i="8"/>
  <c r="B83" i="8"/>
  <c r="B82" i="8"/>
  <c r="B81" i="8"/>
  <c r="B80" i="8"/>
  <c r="B79" i="8"/>
  <c r="B78" i="8"/>
  <c r="B77" i="8"/>
  <c r="K56" i="8"/>
  <c r="H56" i="8"/>
  <c r="E56" i="8"/>
  <c r="B36" i="8"/>
  <c r="E11" i="9" l="1"/>
  <c r="H19" i="9" s="1"/>
  <c r="E39" i="9" s="1"/>
  <c r="I128" i="9"/>
  <c r="AA2" i="9"/>
  <c r="AA10" i="9"/>
  <c r="AA18" i="9"/>
  <c r="AA26" i="9"/>
  <c r="AA34" i="9"/>
  <c r="AA42" i="9"/>
  <c r="AA50" i="9"/>
  <c r="AA58" i="9"/>
  <c r="AA66" i="9"/>
  <c r="AA74" i="9"/>
  <c r="AA82" i="9"/>
  <c r="AA90" i="9"/>
  <c r="AA98" i="9"/>
  <c r="AA106" i="9"/>
  <c r="AA114" i="9"/>
  <c r="AA122" i="9"/>
  <c r="AA130" i="9"/>
  <c r="AA138" i="9"/>
  <c r="AA146" i="9"/>
  <c r="AA154" i="9"/>
  <c r="AA162" i="9"/>
  <c r="AA170" i="9"/>
  <c r="AA178" i="9"/>
  <c r="AA186" i="9"/>
  <c r="AA194" i="9"/>
  <c r="AA202" i="9"/>
  <c r="AA210" i="9"/>
  <c r="AA218" i="9"/>
  <c r="AA226" i="9"/>
  <c r="AA234" i="9"/>
  <c r="AA242" i="9"/>
  <c r="AA250" i="9"/>
  <c r="AA258" i="9"/>
  <c r="AA266" i="9"/>
  <c r="AA274" i="9"/>
  <c r="AA282" i="9"/>
  <c r="AA290" i="9"/>
  <c r="AA298" i="9"/>
  <c r="AA306" i="9"/>
  <c r="AA314" i="9"/>
  <c r="AA322" i="9"/>
  <c r="AA330" i="9"/>
  <c r="AA338" i="9"/>
  <c r="AA346" i="9"/>
  <c r="AA354" i="9"/>
  <c r="AA362" i="9"/>
  <c r="AA140" i="9"/>
  <c r="AA204" i="9"/>
  <c r="AA244" i="9"/>
  <c r="AA292" i="9"/>
  <c r="AA332" i="9"/>
  <c r="AA41" i="9"/>
  <c r="AA225" i="9"/>
  <c r="AA92" i="9"/>
  <c r="AA188" i="9"/>
  <c r="AA228" i="9"/>
  <c r="AA276" i="9"/>
  <c r="AA324" i="9"/>
  <c r="AA113" i="9"/>
  <c r="AA193" i="9"/>
  <c r="AA281" i="9"/>
  <c r="AA345" i="9"/>
  <c r="AA3" i="9"/>
  <c r="AA11" i="9"/>
  <c r="AA19" i="9"/>
  <c r="AA27" i="9"/>
  <c r="AA35" i="9"/>
  <c r="AA43" i="9"/>
  <c r="AA51" i="9"/>
  <c r="AA59" i="9"/>
  <c r="AA67" i="9"/>
  <c r="AA75" i="9"/>
  <c r="AA83" i="9"/>
  <c r="AA91" i="9"/>
  <c r="AA99" i="9"/>
  <c r="AA107" i="9"/>
  <c r="AA115" i="9"/>
  <c r="AA123" i="9"/>
  <c r="AA131" i="9"/>
  <c r="AA139" i="9"/>
  <c r="AA147" i="9"/>
  <c r="AA155" i="9"/>
  <c r="AA163" i="9"/>
  <c r="AA171" i="9"/>
  <c r="AA179" i="9"/>
  <c r="AA187" i="9"/>
  <c r="AA195" i="9"/>
  <c r="AA203" i="9"/>
  <c r="AA211" i="9"/>
  <c r="AA219" i="9"/>
  <c r="AA227" i="9"/>
  <c r="AA235" i="9"/>
  <c r="AA243" i="9"/>
  <c r="AA251" i="9"/>
  <c r="AA259" i="9"/>
  <c r="AA267" i="9"/>
  <c r="AA275" i="9"/>
  <c r="AA283" i="9"/>
  <c r="AA291" i="9"/>
  <c r="AA299" i="9"/>
  <c r="AA307" i="9"/>
  <c r="AA315" i="9"/>
  <c r="AA323" i="9"/>
  <c r="AA331" i="9"/>
  <c r="AA339" i="9"/>
  <c r="AA347" i="9"/>
  <c r="AA355" i="9"/>
  <c r="AA363" i="9"/>
  <c r="AA76" i="9"/>
  <c r="AA172" i="9"/>
  <c r="AA220" i="9"/>
  <c r="AA260" i="9"/>
  <c r="AA308" i="9"/>
  <c r="AA356" i="9"/>
  <c r="AA105" i="9"/>
  <c r="AA209" i="9"/>
  <c r="AA329" i="9"/>
  <c r="AA108" i="9"/>
  <c r="AA164" i="9"/>
  <c r="AA196" i="9"/>
  <c r="AA236" i="9"/>
  <c r="AA268" i="9"/>
  <c r="AA300" i="9"/>
  <c r="AA340" i="9"/>
  <c r="AA89" i="9"/>
  <c r="AA201" i="9"/>
  <c r="AA321" i="9"/>
  <c r="AA4" i="9"/>
  <c r="AA12" i="9"/>
  <c r="AA20" i="9"/>
  <c r="AA28" i="9"/>
  <c r="AA36" i="9"/>
  <c r="AA44" i="9"/>
  <c r="AA52" i="9"/>
  <c r="AA60" i="9"/>
  <c r="AA68" i="9"/>
  <c r="AA84" i="9"/>
  <c r="AA100" i="9"/>
  <c r="AA116" i="9"/>
  <c r="AA124" i="9"/>
  <c r="AA132" i="9"/>
  <c r="AA148" i="9"/>
  <c r="AA156" i="9"/>
  <c r="AA180" i="9"/>
  <c r="AA212" i="9"/>
  <c r="AA252" i="9"/>
  <c r="AA284" i="9"/>
  <c r="AA316" i="9"/>
  <c r="AA348" i="9"/>
  <c r="AA153" i="9"/>
  <c r="AA273" i="9"/>
  <c r="AA361" i="9"/>
  <c r="AA103" i="9"/>
  <c r="AA151" i="9"/>
  <c r="AA199" i="9"/>
  <c r="AA247" i="9"/>
  <c r="AA287" i="9"/>
  <c r="AA319" i="9"/>
  <c r="AA351" i="9"/>
  <c r="AA25" i="9"/>
  <c r="AA233" i="9"/>
  <c r="AA5" i="9"/>
  <c r="AA13" i="9"/>
  <c r="AA21" i="9"/>
  <c r="AA29" i="9"/>
  <c r="AA37" i="9"/>
  <c r="AA45" i="9"/>
  <c r="AA53" i="9"/>
  <c r="AA61" i="9"/>
  <c r="AA69" i="9"/>
  <c r="AA77" i="9"/>
  <c r="AA85" i="9"/>
  <c r="AA93" i="9"/>
  <c r="AA101" i="9"/>
  <c r="AA109" i="9"/>
  <c r="AA117" i="9"/>
  <c r="AA125" i="9"/>
  <c r="AA133" i="9"/>
  <c r="AA141" i="9"/>
  <c r="AA149" i="9"/>
  <c r="AA157" i="9"/>
  <c r="AA165" i="9"/>
  <c r="AA173" i="9"/>
  <c r="AA181" i="9"/>
  <c r="AA189" i="9"/>
  <c r="AA197" i="9"/>
  <c r="AA205" i="9"/>
  <c r="AA213" i="9"/>
  <c r="AA221" i="9"/>
  <c r="AA229" i="9"/>
  <c r="AA237" i="9"/>
  <c r="AA245" i="9"/>
  <c r="AA253" i="9"/>
  <c r="AA261" i="9"/>
  <c r="AA269" i="9"/>
  <c r="AA277" i="9"/>
  <c r="AA285" i="9"/>
  <c r="AA293" i="9"/>
  <c r="AA301" i="9"/>
  <c r="AA309" i="9"/>
  <c r="AA317" i="9"/>
  <c r="AA325" i="9"/>
  <c r="AA333" i="9"/>
  <c r="AA341" i="9"/>
  <c r="AA349" i="9"/>
  <c r="AA357" i="9"/>
  <c r="AA79" i="9"/>
  <c r="AA167" i="9"/>
  <c r="AA223" i="9"/>
  <c r="AA279" i="9"/>
  <c r="AA343" i="9"/>
  <c r="AA57" i="9"/>
  <c r="AA265" i="9"/>
  <c r="AA87" i="9"/>
  <c r="AA183" i="9"/>
  <c r="AA231" i="9"/>
  <c r="AA295" i="9"/>
  <c r="AA359" i="9"/>
  <c r="AA65" i="9"/>
  <c r="AA249" i="9"/>
  <c r="AA353" i="9"/>
  <c r="AA6" i="9"/>
  <c r="AA14" i="9"/>
  <c r="AA22" i="9"/>
  <c r="AA30" i="9"/>
  <c r="AA38" i="9"/>
  <c r="AA46" i="9"/>
  <c r="AA54" i="9"/>
  <c r="AA62" i="9"/>
  <c r="AA70" i="9"/>
  <c r="AA78" i="9"/>
  <c r="AA86" i="9"/>
  <c r="AA94" i="9"/>
  <c r="AA102" i="9"/>
  <c r="AA110" i="9"/>
  <c r="AA118" i="9"/>
  <c r="AA126" i="9"/>
  <c r="AA134" i="9"/>
  <c r="AA142" i="9"/>
  <c r="AA150" i="9"/>
  <c r="AA158" i="9"/>
  <c r="AA166" i="9"/>
  <c r="AA174" i="9"/>
  <c r="AA182" i="9"/>
  <c r="AA190" i="9"/>
  <c r="AA198" i="9"/>
  <c r="AA206" i="9"/>
  <c r="AA214" i="9"/>
  <c r="AA222" i="9"/>
  <c r="AA230" i="9"/>
  <c r="AA238" i="9"/>
  <c r="AA246" i="9"/>
  <c r="AA254" i="9"/>
  <c r="AA262" i="9"/>
  <c r="AA270" i="9"/>
  <c r="AA278" i="9"/>
  <c r="AA286" i="9"/>
  <c r="AA294" i="9"/>
  <c r="AA302" i="9"/>
  <c r="AA310" i="9"/>
  <c r="AA318" i="9"/>
  <c r="AA326" i="9"/>
  <c r="AA334" i="9"/>
  <c r="AA342" i="9"/>
  <c r="AA350" i="9"/>
  <c r="AA358" i="9"/>
  <c r="AA71" i="9"/>
  <c r="AA191" i="9"/>
  <c r="AA255" i="9"/>
  <c r="AA303" i="9"/>
  <c r="AA335" i="9"/>
  <c r="AA97" i="9"/>
  <c r="AA177" i="9"/>
  <c r="AA305" i="9"/>
  <c r="AA63" i="9"/>
  <c r="AA175" i="9"/>
  <c r="AA215" i="9"/>
  <c r="AA263" i="9"/>
  <c r="AA327" i="9"/>
  <c r="AA81" i="9"/>
  <c r="AA241" i="9"/>
  <c r="AA337" i="9"/>
  <c r="AA7" i="9"/>
  <c r="AA15" i="9"/>
  <c r="AA23" i="9"/>
  <c r="AA31" i="9"/>
  <c r="AA39" i="9"/>
  <c r="AA47" i="9"/>
  <c r="AA55" i="9"/>
  <c r="AA95" i="9"/>
  <c r="AA111" i="9"/>
  <c r="AA119" i="9"/>
  <c r="AA127" i="9"/>
  <c r="AA135" i="9"/>
  <c r="AA143" i="9"/>
  <c r="AA159" i="9"/>
  <c r="AA207" i="9"/>
  <c r="AA239" i="9"/>
  <c r="AA271" i="9"/>
  <c r="AA311" i="9"/>
  <c r="AA129" i="9"/>
  <c r="AA289" i="9"/>
  <c r="AA9" i="9"/>
  <c r="AA73" i="9"/>
  <c r="AA137" i="9"/>
  <c r="AA169" i="9"/>
  <c r="AA217" i="9"/>
  <c r="AA297" i="9"/>
  <c r="AA8" i="9"/>
  <c r="AA16" i="9"/>
  <c r="AA24" i="9"/>
  <c r="AA32" i="9"/>
  <c r="AA40" i="9"/>
  <c r="AA48" i="9"/>
  <c r="AA56" i="9"/>
  <c r="AA64" i="9"/>
  <c r="AA72" i="9"/>
  <c r="AA80" i="9"/>
  <c r="AA88" i="9"/>
  <c r="AA96" i="9"/>
  <c r="AA104" i="9"/>
  <c r="AA112" i="9"/>
  <c r="AA120" i="9"/>
  <c r="AA128" i="9"/>
  <c r="AA136" i="9"/>
  <c r="AA144" i="9"/>
  <c r="AA152" i="9"/>
  <c r="AA160" i="9"/>
  <c r="AA168" i="9"/>
  <c r="AA176" i="9"/>
  <c r="AA184" i="9"/>
  <c r="AA192" i="9"/>
  <c r="AA200" i="9"/>
  <c r="AA208" i="9"/>
  <c r="AA216" i="9"/>
  <c r="AA224" i="9"/>
  <c r="AA232" i="9"/>
  <c r="AA240" i="9"/>
  <c r="AA248" i="9"/>
  <c r="AA256" i="9"/>
  <c r="AA264" i="9"/>
  <c r="AA272" i="9"/>
  <c r="AA280" i="9"/>
  <c r="AA288" i="9"/>
  <c r="AA296" i="9"/>
  <c r="AA304" i="9"/>
  <c r="AA312" i="9"/>
  <c r="AA320" i="9"/>
  <c r="AA328" i="9"/>
  <c r="AA336" i="9"/>
  <c r="AA344" i="9"/>
  <c r="AA352" i="9"/>
  <c r="AA360" i="9"/>
  <c r="AA17" i="9"/>
  <c r="AA33" i="9"/>
  <c r="AA49" i="9"/>
  <c r="AA121" i="9"/>
  <c r="AA145" i="9"/>
  <c r="AA161" i="9"/>
  <c r="AA185" i="9"/>
  <c r="AA257" i="9"/>
  <c r="AA313" i="9"/>
  <c r="I132" i="9"/>
  <c r="I133" i="9"/>
  <c r="C20" i="8"/>
  <c r="I66" i="6"/>
  <c r="L66" i="6" s="1"/>
  <c r="B72" i="6" s="1"/>
  <c r="K66" i="6"/>
  <c r="N66" i="6" s="1"/>
  <c r="D72" i="6" s="1"/>
  <c r="J66" i="6"/>
  <c r="M66" i="6" s="1"/>
  <c r="C72" i="6" s="1"/>
  <c r="G132" i="9"/>
  <c r="G66" i="9"/>
  <c r="H66" i="9"/>
  <c r="F66" i="9"/>
  <c r="G131" i="9"/>
  <c r="K85" i="9"/>
  <c r="H85" i="9"/>
  <c r="D31" i="9"/>
  <c r="C31" i="9"/>
  <c r="D6" i="9"/>
  <c r="F3" i="9" s="1"/>
  <c r="H31" i="9"/>
  <c r="F69" i="9"/>
  <c r="E85" i="9"/>
  <c r="H69" i="9"/>
  <c r="K19" i="9" l="1"/>
  <c r="G39" i="9" s="1"/>
  <c r="E19" i="9"/>
  <c r="C39" i="9" s="1"/>
  <c r="B36" i="6"/>
  <c r="J19" i="6"/>
  <c r="F36" i="6" s="1"/>
  <c r="G19" i="6"/>
  <c r="D36" i="6" s="1"/>
  <c r="C74" i="6"/>
  <c r="C43" i="5" s="1"/>
  <c r="C73" i="6"/>
  <c r="C40" i="5" s="1"/>
  <c r="D73" i="6"/>
  <c r="D40" i="5" s="1"/>
  <c r="D74" i="6"/>
  <c r="D43" i="5" s="1"/>
  <c r="B74" i="6"/>
  <c r="B43" i="5" s="1"/>
  <c r="B73" i="6"/>
  <c r="B40" i="5" s="1"/>
  <c r="L69" i="9"/>
  <c r="J69" i="9"/>
  <c r="I31" i="9"/>
  <c r="L31" i="9"/>
  <c r="K31" i="9"/>
  <c r="J31" i="9"/>
  <c r="K69" i="9"/>
  <c r="F4" i="9"/>
  <c r="H3" i="9"/>
  <c r="G3" i="9"/>
  <c r="I69" i="9"/>
  <c r="A186" i="6"/>
  <c r="N31" i="9" l="1"/>
  <c r="F39" i="9" s="1"/>
  <c r="E42" i="9" s="1"/>
  <c r="D49" i="9" s="1"/>
  <c r="D53" i="9" s="1"/>
  <c r="D56" i="9" s="1"/>
  <c r="O31" i="9"/>
  <c r="H39" i="9" s="1"/>
  <c r="G42" i="9" s="1"/>
  <c r="O69" i="9"/>
  <c r="E75" i="9" s="1"/>
  <c r="M31" i="9"/>
  <c r="D39" i="9" s="1"/>
  <c r="C42" i="9" s="1"/>
  <c r="C49" i="9" s="1"/>
  <c r="C50" i="9" s="1"/>
  <c r="B27" i="8" s="1"/>
  <c r="N69" i="9"/>
  <c r="M69" i="9"/>
  <c r="C75" i="9" s="1"/>
  <c r="H4" i="9"/>
  <c r="I3" i="9" s="1"/>
  <c r="G4" i="9"/>
  <c r="C110" i="6"/>
  <c r="D110" i="6"/>
  <c r="E110" i="6"/>
  <c r="F110" i="6"/>
  <c r="G110" i="6"/>
  <c r="H110" i="6"/>
  <c r="I110" i="6"/>
  <c r="J110" i="6"/>
  <c r="B110" i="6"/>
  <c r="C71" i="2"/>
  <c r="D71" i="2"/>
  <c r="E71" i="2"/>
  <c r="F71" i="2"/>
  <c r="G71" i="2"/>
  <c r="H71" i="2"/>
  <c r="I71" i="2"/>
  <c r="J71" i="2"/>
  <c r="K71" i="2"/>
  <c r="E49" i="9" l="1"/>
  <c r="E53" i="9" s="1"/>
  <c r="E56" i="9" s="1"/>
  <c r="D30" i="8" s="1"/>
  <c r="D75" i="9"/>
  <c r="D77" i="9" s="1"/>
  <c r="C44" i="8" s="1"/>
  <c r="E77" i="9"/>
  <c r="D44" i="8" s="1"/>
  <c r="C30" i="8"/>
  <c r="A116" i="6"/>
  <c r="D116" i="6"/>
  <c r="J111" i="6"/>
  <c r="H116" i="6"/>
  <c r="F116" i="6"/>
  <c r="C116" i="6"/>
  <c r="B116" i="6"/>
  <c r="E116" i="6"/>
  <c r="D50" i="9"/>
  <c r="C27" i="8" s="1"/>
  <c r="C53" i="9"/>
  <c r="C56" i="9" s="1"/>
  <c r="C76" i="9"/>
  <c r="B41" i="8" s="1"/>
  <c r="C77" i="9"/>
  <c r="B44" i="8" s="1"/>
  <c r="D82" i="6"/>
  <c r="G82" i="6"/>
  <c r="J82" i="6"/>
  <c r="A4" i="6"/>
  <c r="A6" i="6" s="1"/>
  <c r="A216" i="6"/>
  <c r="A215" i="6"/>
  <c r="A214" i="6"/>
  <c r="A209" i="6"/>
  <c r="A205" i="6"/>
  <c r="A183" i="6"/>
  <c r="A198" i="6" s="1"/>
  <c r="A182" i="6"/>
  <c r="A197" i="6" s="1"/>
  <c r="A181" i="6"/>
  <c r="A196" i="6" s="1"/>
  <c r="A176" i="6"/>
  <c r="A191" i="6" s="1"/>
  <c r="A172" i="6"/>
  <c r="A187" i="6" s="1"/>
  <c r="A135" i="6"/>
  <c r="A134" i="6"/>
  <c r="A133" i="6"/>
  <c r="A128" i="6"/>
  <c r="A124" i="6"/>
  <c r="A129" i="6"/>
  <c r="A173" i="6"/>
  <c r="A188" i="6" s="1"/>
  <c r="D10" i="6"/>
  <c r="A10" i="6"/>
  <c r="B6" i="6"/>
  <c r="A2" i="6"/>
  <c r="E50" i="9" l="1"/>
  <c r="D27" i="8" s="1"/>
  <c r="D76" i="9"/>
  <c r="C41" i="8" s="1"/>
  <c r="E76" i="9"/>
  <c r="D41" i="8" s="1"/>
  <c r="J112" i="6"/>
  <c r="D125" i="6"/>
  <c r="D130" i="6"/>
  <c r="D128" i="6"/>
  <c r="D131" i="6"/>
  <c r="D124" i="6"/>
  <c r="D126" i="6"/>
  <c r="D129" i="6"/>
  <c r="D132" i="6"/>
  <c r="D134" i="6"/>
  <c r="D127" i="6"/>
  <c r="D133" i="6"/>
  <c r="D135" i="6"/>
  <c r="I116" i="6"/>
  <c r="G116" i="6"/>
  <c r="B30" i="8"/>
  <c r="A156" i="6"/>
  <c r="A138" i="6"/>
  <c r="A142" i="6"/>
  <c r="A160" i="6"/>
  <c r="A143" i="6"/>
  <c r="A161" i="6"/>
  <c r="A165" i="6"/>
  <c r="A147" i="6"/>
  <c r="A167" i="6"/>
  <c r="A149" i="6"/>
  <c r="A166" i="6"/>
  <c r="A148" i="6"/>
  <c r="G31" i="6"/>
  <c r="E31" i="6"/>
  <c r="C6" i="6"/>
  <c r="E3" i="6" s="1"/>
  <c r="A210" i="6"/>
  <c r="A177" i="6"/>
  <c r="A192" i="6" s="1"/>
  <c r="C31" i="6"/>
  <c r="G28" i="6"/>
  <c r="B31" i="6"/>
  <c r="A206" i="6"/>
  <c r="D31" i="6"/>
  <c r="A125" i="6"/>
  <c r="F31" i="6"/>
  <c r="E28" i="6"/>
  <c r="F28" i="6"/>
  <c r="J116" i="6" l="1"/>
  <c r="J117" i="6" s="1"/>
  <c r="K116" i="6"/>
  <c r="A157" i="6"/>
  <c r="A139" i="6"/>
  <c r="F125" i="6"/>
  <c r="F128" i="6"/>
  <c r="F126" i="6"/>
  <c r="F135" i="6"/>
  <c r="F131" i="6"/>
  <c r="F132" i="6"/>
  <c r="F130" i="6"/>
  <c r="F127" i="6"/>
  <c r="F124" i="6"/>
  <c r="F134" i="6"/>
  <c r="F129" i="6"/>
  <c r="F133" i="6"/>
  <c r="H31" i="6"/>
  <c r="J31" i="6"/>
  <c r="E4" i="6"/>
  <c r="G3" i="6"/>
  <c r="F3" i="6"/>
  <c r="I31" i="6"/>
  <c r="A178" i="6"/>
  <c r="A193" i="6" s="1"/>
  <c r="A130" i="6"/>
  <c r="A211" i="6"/>
  <c r="K31" i="6"/>
  <c r="A126" i="6"/>
  <c r="A174" i="6"/>
  <c r="A189" i="6" s="1"/>
  <c r="A207" i="6"/>
  <c r="A132" i="6"/>
  <c r="A213" i="6"/>
  <c r="A180" i="6"/>
  <c r="A195" i="6" s="1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25" i="6" l="1"/>
  <c r="B128" i="6"/>
  <c r="B126" i="6"/>
  <c r="B135" i="6"/>
  <c r="B127" i="6"/>
  <c r="B131" i="6"/>
  <c r="B129" i="6"/>
  <c r="B124" i="6"/>
  <c r="B134" i="6"/>
  <c r="B130" i="6"/>
  <c r="B133" i="6"/>
  <c r="B132" i="6"/>
  <c r="K117" i="6"/>
  <c r="C127" i="6"/>
  <c r="C128" i="6"/>
  <c r="C131" i="6"/>
  <c r="C135" i="6"/>
  <c r="C129" i="6"/>
  <c r="C130" i="6"/>
  <c r="C124" i="6"/>
  <c r="C132" i="6"/>
  <c r="C133" i="6"/>
  <c r="C125" i="6"/>
  <c r="C126" i="6"/>
  <c r="C134" i="6"/>
  <c r="A144" i="6"/>
  <c r="A162" i="6"/>
  <c r="A164" i="6"/>
  <c r="A146" i="6"/>
  <c r="A140" i="6"/>
  <c r="A158" i="6"/>
  <c r="M31" i="6"/>
  <c r="L31" i="6"/>
  <c r="N31" i="6"/>
  <c r="A175" i="6"/>
  <c r="A190" i="6" s="1"/>
  <c r="A208" i="6"/>
  <c r="A127" i="6"/>
  <c r="G4" i="6"/>
  <c r="H3" i="6" s="1"/>
  <c r="F4" i="6"/>
  <c r="A212" i="6"/>
  <c r="A179" i="6"/>
  <c r="A194" i="6" s="1"/>
  <c r="A131" i="6"/>
  <c r="L50" i="1"/>
  <c r="I50" i="1"/>
  <c r="F50" i="1"/>
  <c r="E126" i="6" l="1"/>
  <c r="H125" i="6"/>
  <c r="H124" i="6"/>
  <c r="H132" i="6"/>
  <c r="G135" i="6"/>
  <c r="H126" i="6"/>
  <c r="G125" i="6"/>
  <c r="G124" i="6"/>
  <c r="G126" i="6"/>
  <c r="E125" i="6"/>
  <c r="E132" i="6"/>
  <c r="E130" i="6"/>
  <c r="H130" i="6"/>
  <c r="G133" i="6"/>
  <c r="H133" i="6"/>
  <c r="E133" i="6"/>
  <c r="G129" i="6"/>
  <c r="E129" i="6"/>
  <c r="H129" i="6"/>
  <c r="G128" i="6"/>
  <c r="E128" i="6"/>
  <c r="H128" i="6"/>
  <c r="G127" i="6"/>
  <c r="E127" i="6"/>
  <c r="H127" i="6"/>
  <c r="G131" i="6"/>
  <c r="E131" i="6"/>
  <c r="H131" i="6"/>
  <c r="H135" i="6"/>
  <c r="E135" i="6"/>
  <c r="E124" i="6"/>
  <c r="G130" i="6"/>
  <c r="H134" i="6"/>
  <c r="G134" i="6"/>
  <c r="G132" i="6"/>
  <c r="E134" i="6"/>
  <c r="G36" i="6"/>
  <c r="F39" i="6" s="1"/>
  <c r="D46" i="6" s="1"/>
  <c r="C36" i="6"/>
  <c r="B39" i="6" s="1"/>
  <c r="B46" i="6" s="1"/>
  <c r="E36" i="6"/>
  <c r="D39" i="6" s="1"/>
  <c r="C46" i="6" s="1"/>
  <c r="C6" i="5"/>
  <c r="A141" i="6"/>
  <c r="A159" i="6"/>
  <c r="A145" i="6"/>
  <c r="A163" i="6"/>
  <c r="E57" i="2"/>
  <c r="D57" i="2"/>
  <c r="D101" i="2" s="1"/>
  <c r="C57" i="2"/>
  <c r="C106" i="2" s="1"/>
  <c r="E20" i="2"/>
  <c r="D20" i="2"/>
  <c r="C20" i="2"/>
  <c r="B47" i="6" l="1"/>
  <c r="B50" i="6"/>
  <c r="B53" i="6" s="1"/>
  <c r="B29" i="5" s="1"/>
  <c r="C50" i="6"/>
  <c r="C53" i="6" s="1"/>
  <c r="C29" i="5" s="1"/>
  <c r="C47" i="6"/>
  <c r="D50" i="6"/>
  <c r="D53" i="6" s="1"/>
  <c r="D29" i="5" s="1"/>
  <c r="D47" i="6"/>
  <c r="E100" i="2"/>
  <c r="G100" i="2" s="1"/>
  <c r="C105" i="2"/>
  <c r="D96" i="2"/>
  <c r="D107" i="2"/>
  <c r="D104" i="2"/>
  <c r="D100" i="2"/>
  <c r="C104" i="2"/>
  <c r="C99" i="2"/>
  <c r="C103" i="2"/>
  <c r="D106" i="2"/>
  <c r="C98" i="2"/>
  <c r="C102" i="2"/>
  <c r="D105" i="2"/>
  <c r="C96" i="2"/>
  <c r="D99" i="2"/>
  <c r="D103" i="2"/>
  <c r="C101" i="2"/>
  <c r="C107" i="2"/>
  <c r="D98" i="2"/>
  <c r="D102" i="2"/>
  <c r="C97" i="2"/>
  <c r="C100" i="2"/>
  <c r="D97" i="2"/>
  <c r="D26" i="5" l="1"/>
  <c r="C26" i="5"/>
  <c r="B26" i="5"/>
  <c r="F100" i="2"/>
  <c r="H100" i="2"/>
  <c r="N78" i="2"/>
  <c r="P78" i="2"/>
  <c r="D72" i="2"/>
  <c r="E72" i="2"/>
  <c r="F72" i="2"/>
  <c r="G72" i="2"/>
  <c r="H72" i="2"/>
  <c r="I72" i="2"/>
  <c r="J72" i="2"/>
  <c r="K72" i="2"/>
  <c r="C72" i="2"/>
  <c r="N77" i="2"/>
  <c r="O77" i="2"/>
  <c r="P77" i="2"/>
  <c r="O78" i="2" l="1"/>
  <c r="Q78" i="2" s="1"/>
  <c r="R78" i="2" s="1"/>
  <c r="Q77" i="2"/>
  <c r="R77" i="2" s="1"/>
  <c r="B72" i="2"/>
  <c r="M78" i="2" s="1"/>
  <c r="S78" i="2" l="1"/>
  <c r="S77" i="2"/>
  <c r="H42" i="1" l="1"/>
  <c r="G42" i="1"/>
  <c r="F42" i="1"/>
  <c r="B12" i="2" l="1"/>
  <c r="C12" i="2" s="1"/>
  <c r="D11" i="2" s="1"/>
  <c r="E11" i="2" s="1"/>
  <c r="E10" i="2"/>
  <c r="B10" i="2"/>
  <c r="B4" i="2"/>
  <c r="B6" i="2" s="1"/>
  <c r="C6" i="2"/>
  <c r="B2" i="2"/>
  <c r="D12" i="1" l="1"/>
  <c r="K18" i="2" s="1"/>
  <c r="I101" i="2"/>
  <c r="I99" i="2"/>
  <c r="D6" i="2"/>
  <c r="H18" i="2" l="1"/>
  <c r="E18" i="2"/>
  <c r="I98" i="2"/>
  <c r="I102" i="2"/>
  <c r="F3" i="2"/>
  <c r="F4" i="2" s="1"/>
  <c r="C73" i="1"/>
  <c r="C74" i="1"/>
  <c r="C75" i="1"/>
  <c r="C76" i="1"/>
  <c r="C77" i="1"/>
  <c r="C78" i="1"/>
  <c r="C79" i="1"/>
  <c r="C80" i="1"/>
  <c r="C81" i="1"/>
  <c r="C82" i="1"/>
  <c r="C83" i="1"/>
  <c r="C84" i="1"/>
  <c r="C72" i="1"/>
  <c r="B81" i="2"/>
  <c r="B77" i="2"/>
  <c r="B78" i="2" l="1"/>
  <c r="B82" i="2"/>
  <c r="I103" i="2"/>
  <c r="I97" i="2"/>
  <c r="I96" i="2"/>
  <c r="H3" i="2"/>
  <c r="G3" i="2"/>
  <c r="B83" i="2" l="1"/>
  <c r="B79" i="2"/>
  <c r="I104" i="2"/>
  <c r="G4" i="2"/>
  <c r="H4" i="2"/>
  <c r="I3" i="2" s="1"/>
  <c r="D8" i="1" l="1"/>
  <c r="I105" i="2"/>
  <c r="B84" i="2"/>
  <c r="C159" i="2"/>
  <c r="C160" i="2"/>
  <c r="C161" i="2"/>
  <c r="C162" i="2"/>
  <c r="C179" i="2" s="1"/>
  <c r="C82" i="8" s="1"/>
  <c r="C163" i="2"/>
  <c r="C180" i="2" s="1"/>
  <c r="C83" i="8" s="1"/>
  <c r="C164" i="2"/>
  <c r="C181" i="2" s="1"/>
  <c r="C84" i="8" s="1"/>
  <c r="C165" i="2"/>
  <c r="C182" i="2" s="1"/>
  <c r="C85" i="8" s="1"/>
  <c r="C158" i="2"/>
  <c r="B143" i="2"/>
  <c r="B144" i="2"/>
  <c r="B145" i="2"/>
  <c r="B146" i="2"/>
  <c r="B147" i="2"/>
  <c r="B148" i="2"/>
  <c r="B149" i="2"/>
  <c r="B142" i="2"/>
  <c r="B127" i="2"/>
  <c r="B128" i="2"/>
  <c r="B129" i="2"/>
  <c r="B130" i="2"/>
  <c r="B131" i="2"/>
  <c r="B132" i="2"/>
  <c r="B133" i="2"/>
  <c r="B126" i="2"/>
  <c r="B111" i="2"/>
  <c r="B112" i="2"/>
  <c r="B113" i="2"/>
  <c r="B114" i="2"/>
  <c r="B115" i="2"/>
  <c r="B116" i="2"/>
  <c r="B117" i="2"/>
  <c r="B110" i="2"/>
  <c r="B97" i="2"/>
  <c r="B98" i="2"/>
  <c r="B99" i="2"/>
  <c r="B100" i="2"/>
  <c r="B101" i="2"/>
  <c r="B102" i="2"/>
  <c r="B103" i="2"/>
  <c r="B96" i="2"/>
  <c r="I100" i="2"/>
  <c r="D54" i="2"/>
  <c r="D68" i="2" s="1"/>
  <c r="E54" i="2"/>
  <c r="F54" i="2"/>
  <c r="F68" i="2" s="1"/>
  <c r="G54" i="2"/>
  <c r="G68" i="2" s="1"/>
  <c r="H54" i="2"/>
  <c r="I54" i="2"/>
  <c r="I68" i="2" s="1"/>
  <c r="J54" i="2"/>
  <c r="J68" i="2" s="1"/>
  <c r="K54" i="2"/>
  <c r="C54" i="2"/>
  <c r="C68" i="2" s="1"/>
  <c r="C30" i="1"/>
  <c r="I26" i="2"/>
  <c r="E28" i="2" s="1"/>
  <c r="B18" i="2"/>
  <c r="J18" i="2"/>
  <c r="I18" i="2"/>
  <c r="G18" i="2"/>
  <c r="F18" i="2"/>
  <c r="D18" i="2"/>
  <c r="C18" i="2"/>
  <c r="G90" i="9" l="1"/>
  <c r="G91" i="9" s="1"/>
  <c r="D90" i="9"/>
  <c r="E90" i="9"/>
  <c r="K90" i="9"/>
  <c r="F90" i="9"/>
  <c r="J90" i="9"/>
  <c r="I90" i="9"/>
  <c r="H90" i="9"/>
  <c r="D64" i="1"/>
  <c r="D79" i="1" s="1"/>
  <c r="C129" i="5"/>
  <c r="C144" i="5" s="1"/>
  <c r="D62" i="1"/>
  <c r="D77" i="1" s="1"/>
  <c r="C127" i="5"/>
  <c r="C142" i="5" s="1"/>
  <c r="D63" i="1"/>
  <c r="D78" i="1" s="1"/>
  <c r="C128" i="5"/>
  <c r="C143" i="5" s="1"/>
  <c r="D65" i="1"/>
  <c r="D80" i="1" s="1"/>
  <c r="C130" i="5"/>
  <c r="C145" i="5" s="1"/>
  <c r="B71" i="2"/>
  <c r="M77" i="2" s="1"/>
  <c r="C169" i="2"/>
  <c r="C186" i="2" s="1"/>
  <c r="B153" i="2"/>
  <c r="C166" i="2"/>
  <c r="C183" i="2" s="1"/>
  <c r="C86" i="8" s="1"/>
  <c r="C168" i="2"/>
  <c r="C185" i="2" s="1"/>
  <c r="B106" i="2"/>
  <c r="B105" i="2"/>
  <c r="B104" i="2"/>
  <c r="B118" i="2"/>
  <c r="B119" i="2"/>
  <c r="B136" i="2"/>
  <c r="B135" i="2"/>
  <c r="C167" i="2"/>
  <c r="C184" i="2" s="1"/>
  <c r="C87" i="8" s="1"/>
  <c r="B134" i="2"/>
  <c r="B121" i="2"/>
  <c r="B151" i="2"/>
  <c r="B120" i="2"/>
  <c r="B150" i="2"/>
  <c r="B152" i="2"/>
  <c r="B107" i="2"/>
  <c r="B137" i="2"/>
  <c r="I107" i="2"/>
  <c r="I106" i="2"/>
  <c r="C175" i="2"/>
  <c r="C78" i="8" s="1"/>
  <c r="C178" i="2"/>
  <c r="C81" i="8" s="1"/>
  <c r="C177" i="2"/>
  <c r="C80" i="8" s="1"/>
  <c r="C176" i="2"/>
  <c r="C79" i="8" s="1"/>
  <c r="C28" i="2"/>
  <c r="C31" i="2" s="1"/>
  <c r="F60" i="2"/>
  <c r="H60" i="2"/>
  <c r="G31" i="2"/>
  <c r="G60" i="2"/>
  <c r="C60" i="2"/>
  <c r="F57" i="2"/>
  <c r="H57" i="2"/>
  <c r="G57" i="2"/>
  <c r="D60" i="2"/>
  <c r="E60" i="2"/>
  <c r="D28" i="2"/>
  <c r="E31" i="2" s="1"/>
  <c r="D23" i="2"/>
  <c r="E23" i="2"/>
  <c r="H20" i="2"/>
  <c r="C23" i="2"/>
  <c r="F20" i="2"/>
  <c r="G20" i="2"/>
  <c r="F23" i="2"/>
  <c r="G23" i="2"/>
  <c r="H23" i="2"/>
  <c r="H91" i="9" l="1"/>
  <c r="H107" i="9" s="1"/>
  <c r="I91" i="9"/>
  <c r="I97" i="9" s="1"/>
  <c r="C97" i="9"/>
  <c r="J91" i="9"/>
  <c r="J106" i="9" s="1"/>
  <c r="F91" i="9"/>
  <c r="F102" i="9" s="1"/>
  <c r="E91" i="9"/>
  <c r="E104" i="9" s="1"/>
  <c r="K91" i="9"/>
  <c r="K98" i="9" s="1"/>
  <c r="D91" i="9"/>
  <c r="D107" i="9" s="1"/>
  <c r="D268" i="9" s="1"/>
  <c r="C133" i="5"/>
  <c r="C148" i="5" s="1"/>
  <c r="C88" i="8"/>
  <c r="C134" i="5"/>
  <c r="C149" i="5" s="1"/>
  <c r="M72" i="2"/>
  <c r="M73" i="2" s="1"/>
  <c r="C81" i="2" s="1"/>
  <c r="S72" i="2"/>
  <c r="S73" i="2" s="1"/>
  <c r="I83" i="2" s="1"/>
  <c r="I201" i="2" s="1"/>
  <c r="U72" i="2"/>
  <c r="U73" i="2" s="1"/>
  <c r="K81" i="2" s="1"/>
  <c r="V101" i="2" s="1"/>
  <c r="N72" i="2"/>
  <c r="N73" i="2" s="1"/>
  <c r="D78" i="2" s="1"/>
  <c r="D196" i="2" s="1"/>
  <c r="T72" i="2"/>
  <c r="T73" i="2" s="1"/>
  <c r="J81" i="2" s="1"/>
  <c r="P72" i="2"/>
  <c r="P73" i="2" s="1"/>
  <c r="F85" i="2" s="1"/>
  <c r="F203" i="2" s="1"/>
  <c r="Q72" i="2"/>
  <c r="Q73" i="2" s="1"/>
  <c r="G85" i="2" s="1"/>
  <c r="G203" i="2" s="1"/>
  <c r="R72" i="2"/>
  <c r="R73" i="2" s="1"/>
  <c r="H83" i="2" s="1"/>
  <c r="U103" i="2" s="1"/>
  <c r="C132" i="5"/>
  <c r="C147" i="5" s="1"/>
  <c r="D59" i="1"/>
  <c r="D74" i="1" s="1"/>
  <c r="C124" i="5"/>
  <c r="C139" i="5" s="1"/>
  <c r="D60" i="1"/>
  <c r="D75" i="1" s="1"/>
  <c r="C125" i="5"/>
  <c r="C140" i="5" s="1"/>
  <c r="D61" i="1"/>
  <c r="D76" i="1" s="1"/>
  <c r="C126" i="5"/>
  <c r="C141" i="5" s="1"/>
  <c r="D58" i="1"/>
  <c r="D73" i="1" s="1"/>
  <c r="C123" i="5"/>
  <c r="C138" i="5" s="1"/>
  <c r="O72" i="2"/>
  <c r="A87" i="6"/>
  <c r="E87" i="6"/>
  <c r="D87" i="6"/>
  <c r="H87" i="6"/>
  <c r="B87" i="6"/>
  <c r="G87" i="6"/>
  <c r="F87" i="6"/>
  <c r="I87" i="6"/>
  <c r="C87" i="6"/>
  <c r="C131" i="5"/>
  <c r="C146" i="5" s="1"/>
  <c r="D66" i="1"/>
  <c r="D81" i="1" s="1"/>
  <c r="D67" i="1"/>
  <c r="D82" i="1" s="1"/>
  <c r="D69" i="1"/>
  <c r="D84" i="1" s="1"/>
  <c r="D68" i="1"/>
  <c r="D83" i="1" s="1"/>
  <c r="I60" i="2"/>
  <c r="J60" i="2"/>
  <c r="K60" i="2"/>
  <c r="L60" i="2"/>
  <c r="I23" i="2"/>
  <c r="K23" i="2"/>
  <c r="J23" i="2"/>
  <c r="L23" i="2"/>
  <c r="H102" i="9" l="1"/>
  <c r="C180" i="9" s="1"/>
  <c r="H98" i="9"/>
  <c r="C176" i="9" s="1"/>
  <c r="H105" i="9"/>
  <c r="H100" i="9"/>
  <c r="H101" i="9"/>
  <c r="C179" i="9" s="1"/>
  <c r="H99" i="9"/>
  <c r="C177" i="9" s="1"/>
  <c r="H108" i="9"/>
  <c r="H97" i="9"/>
  <c r="H104" i="9"/>
  <c r="F263" i="9"/>
  <c r="D99" i="9"/>
  <c r="D260" i="9" s="1"/>
  <c r="D108" i="9"/>
  <c r="D269" i="9" s="1"/>
  <c r="D101" i="9"/>
  <c r="D262" i="9" s="1"/>
  <c r="H103" i="9"/>
  <c r="C181" i="9" s="1"/>
  <c r="D105" i="9"/>
  <c r="D266" i="9" s="1"/>
  <c r="D104" i="9"/>
  <c r="D265" i="9" s="1"/>
  <c r="F107" i="9"/>
  <c r="I105" i="9"/>
  <c r="F101" i="9"/>
  <c r="F108" i="9"/>
  <c r="F100" i="9"/>
  <c r="F104" i="9"/>
  <c r="F99" i="9"/>
  <c r="I103" i="9"/>
  <c r="E97" i="9"/>
  <c r="E190" i="9" s="1"/>
  <c r="D100" i="9"/>
  <c r="D261" i="9" s="1"/>
  <c r="D97" i="9"/>
  <c r="J127" i="9" s="1"/>
  <c r="J107" i="9"/>
  <c r="J105" i="9"/>
  <c r="E99" i="9"/>
  <c r="J98" i="9"/>
  <c r="J108" i="9"/>
  <c r="J103" i="9"/>
  <c r="F106" i="9"/>
  <c r="J100" i="9"/>
  <c r="D144" i="9" s="1"/>
  <c r="F97" i="9"/>
  <c r="F258" i="9" s="1"/>
  <c r="J99" i="9"/>
  <c r="F105" i="9"/>
  <c r="J101" i="9"/>
  <c r="D106" i="9"/>
  <c r="D267" i="9" s="1"/>
  <c r="D98" i="9"/>
  <c r="D259" i="9" s="1"/>
  <c r="F103" i="9"/>
  <c r="J102" i="9"/>
  <c r="C105" i="9"/>
  <c r="C98" i="9"/>
  <c r="C101" i="9"/>
  <c r="K101" i="9"/>
  <c r="H155" i="9" s="1"/>
  <c r="I155" i="9" s="1"/>
  <c r="C100" i="9"/>
  <c r="C99" i="9"/>
  <c r="K107" i="9"/>
  <c r="C108" i="9"/>
  <c r="K100" i="9"/>
  <c r="K97" i="9"/>
  <c r="F159" i="9" s="1"/>
  <c r="K106" i="9"/>
  <c r="J104" i="9"/>
  <c r="C102" i="9"/>
  <c r="E98" i="9"/>
  <c r="I100" i="9"/>
  <c r="C144" i="9" s="1"/>
  <c r="K104" i="9"/>
  <c r="K105" i="9"/>
  <c r="C103" i="9"/>
  <c r="E100" i="9"/>
  <c r="I108" i="9"/>
  <c r="D102" i="9"/>
  <c r="D263" i="9" s="1"/>
  <c r="E103" i="9"/>
  <c r="I102" i="9"/>
  <c r="D103" i="9"/>
  <c r="D264" i="9" s="1"/>
  <c r="E105" i="9"/>
  <c r="J97" i="9"/>
  <c r="I106" i="9"/>
  <c r="L136" i="9" s="1"/>
  <c r="E106" i="9"/>
  <c r="I99" i="9"/>
  <c r="K102" i="9"/>
  <c r="E101" i="9"/>
  <c r="C106" i="9"/>
  <c r="I104" i="9"/>
  <c r="E102" i="9"/>
  <c r="K99" i="9"/>
  <c r="E107" i="9"/>
  <c r="F98" i="9"/>
  <c r="C104" i="9"/>
  <c r="I107" i="9"/>
  <c r="H106" i="9"/>
  <c r="K103" i="9"/>
  <c r="I98" i="9"/>
  <c r="K108" i="9"/>
  <c r="E108" i="9"/>
  <c r="C107" i="9"/>
  <c r="I101" i="9"/>
  <c r="J199" i="2"/>
  <c r="H201" i="2"/>
  <c r="C117" i="2"/>
  <c r="K199" i="2"/>
  <c r="D115" i="2"/>
  <c r="C199" i="2"/>
  <c r="F88" i="6"/>
  <c r="G95" i="6" s="1"/>
  <c r="D139" i="6" s="1"/>
  <c r="E88" i="6"/>
  <c r="F99" i="6" s="1"/>
  <c r="C143" i="6" s="1"/>
  <c r="C88" i="6"/>
  <c r="D99" i="6" s="1"/>
  <c r="D192" i="6" s="1"/>
  <c r="G88" i="6"/>
  <c r="H100" i="6" s="1"/>
  <c r="F144" i="6" s="1"/>
  <c r="H88" i="6"/>
  <c r="I98" i="6" s="1"/>
  <c r="G142" i="6" s="1"/>
  <c r="A88" i="6"/>
  <c r="B101" i="6" s="1"/>
  <c r="B194" i="6" s="1"/>
  <c r="I88" i="6"/>
  <c r="J96" i="6" s="1"/>
  <c r="H140" i="6" s="1"/>
  <c r="B88" i="6"/>
  <c r="C99" i="6" s="1"/>
  <c r="C192" i="6" s="1"/>
  <c r="D88" i="6"/>
  <c r="E97" i="6" s="1"/>
  <c r="B141" i="6" s="1"/>
  <c r="O73" i="2"/>
  <c r="E85" i="2" s="1"/>
  <c r="E135" i="2" s="1"/>
  <c r="D128" i="2"/>
  <c r="C131" i="2"/>
  <c r="C76" i="2"/>
  <c r="C194" i="2" s="1"/>
  <c r="K84" i="2"/>
  <c r="V104" i="2" s="1"/>
  <c r="K83" i="2"/>
  <c r="V103" i="2" s="1"/>
  <c r="K79" i="2"/>
  <c r="V99" i="2" s="1"/>
  <c r="K78" i="2"/>
  <c r="V98" i="2" s="1"/>
  <c r="K80" i="2"/>
  <c r="V100" i="2" s="1"/>
  <c r="K76" i="2"/>
  <c r="V96" i="2" s="1"/>
  <c r="K85" i="2"/>
  <c r="V105" i="2" s="1"/>
  <c r="K87" i="2"/>
  <c r="V107" i="2" s="1"/>
  <c r="K77" i="2"/>
  <c r="V97" i="2" s="1"/>
  <c r="K86" i="2"/>
  <c r="V106" i="2" s="1"/>
  <c r="F77" i="2"/>
  <c r="F195" i="2" s="1"/>
  <c r="H78" i="2"/>
  <c r="U98" i="2" s="1"/>
  <c r="G86" i="2"/>
  <c r="G204" i="2" s="1"/>
  <c r="G76" i="2"/>
  <c r="G194" i="2" s="1"/>
  <c r="G87" i="2"/>
  <c r="G205" i="2" s="1"/>
  <c r="K82" i="2"/>
  <c r="V102" i="2" s="1"/>
  <c r="C87" i="2"/>
  <c r="C205" i="2" s="1"/>
  <c r="H77" i="2"/>
  <c r="U97" i="2" s="1"/>
  <c r="C82" i="2"/>
  <c r="C200" i="2" s="1"/>
  <c r="C77" i="2"/>
  <c r="C195" i="2" s="1"/>
  <c r="C86" i="2"/>
  <c r="C204" i="2" s="1"/>
  <c r="C84" i="2"/>
  <c r="C202" i="2" s="1"/>
  <c r="I78" i="2"/>
  <c r="I196" i="2" s="1"/>
  <c r="I86" i="2"/>
  <c r="I204" i="2" s="1"/>
  <c r="K105" i="2"/>
  <c r="G80" i="2"/>
  <c r="G198" i="2" s="1"/>
  <c r="G81" i="2"/>
  <c r="G199" i="2" s="1"/>
  <c r="I77" i="2"/>
  <c r="I195" i="2" s="1"/>
  <c r="G82" i="2"/>
  <c r="G200" i="2" s="1"/>
  <c r="I79" i="2"/>
  <c r="I197" i="2" s="1"/>
  <c r="H79" i="2"/>
  <c r="U99" i="2" s="1"/>
  <c r="D83" i="2"/>
  <c r="D201" i="2" s="1"/>
  <c r="H86" i="2"/>
  <c r="U106" i="2" s="1"/>
  <c r="I76" i="2"/>
  <c r="I194" i="2" s="1"/>
  <c r="J78" i="2"/>
  <c r="J196" i="2" s="1"/>
  <c r="G79" i="2"/>
  <c r="G197" i="2" s="1"/>
  <c r="J79" i="2"/>
  <c r="J197" i="2" s="1"/>
  <c r="I87" i="2"/>
  <c r="I205" i="2" s="1"/>
  <c r="H76" i="2"/>
  <c r="U96" i="2" s="1"/>
  <c r="D81" i="2"/>
  <c r="D199" i="2" s="1"/>
  <c r="F80" i="2"/>
  <c r="F198" i="2" s="1"/>
  <c r="D85" i="2"/>
  <c r="D203" i="2" s="1"/>
  <c r="G78" i="2"/>
  <c r="G196" i="2" s="1"/>
  <c r="J77" i="2"/>
  <c r="J195" i="2" s="1"/>
  <c r="D84" i="2"/>
  <c r="D202" i="2" s="1"/>
  <c r="F81" i="2"/>
  <c r="G84" i="2"/>
  <c r="D80" i="2"/>
  <c r="D198" i="2" s="1"/>
  <c r="G77" i="2"/>
  <c r="G195" i="2" s="1"/>
  <c r="D79" i="2"/>
  <c r="D197" i="2" s="1"/>
  <c r="J76" i="2"/>
  <c r="J194" i="2" s="1"/>
  <c r="F76" i="2"/>
  <c r="F194" i="2" s="1"/>
  <c r="F87" i="2"/>
  <c r="F205" i="2" s="1"/>
  <c r="D87" i="2"/>
  <c r="D205" i="2" s="1"/>
  <c r="J86" i="2"/>
  <c r="J204" i="2" s="1"/>
  <c r="H87" i="2"/>
  <c r="U107" i="2" s="1"/>
  <c r="J87" i="2"/>
  <c r="J205" i="2" s="1"/>
  <c r="F82" i="2"/>
  <c r="F78" i="2"/>
  <c r="F196" i="2" s="1"/>
  <c r="D76" i="2"/>
  <c r="D194" i="2" s="1"/>
  <c r="D82" i="2"/>
  <c r="D200" i="2" s="1"/>
  <c r="F84" i="2"/>
  <c r="F202" i="2" s="1"/>
  <c r="F86" i="2"/>
  <c r="F204" i="2" s="1"/>
  <c r="D86" i="2"/>
  <c r="D204" i="2" s="1"/>
  <c r="C79" i="2"/>
  <c r="C197" i="2" s="1"/>
  <c r="D77" i="2"/>
  <c r="D195" i="2" s="1"/>
  <c r="F83" i="2"/>
  <c r="F201" i="2" s="1"/>
  <c r="G83" i="2"/>
  <c r="G201" i="2" s="1"/>
  <c r="F79" i="2"/>
  <c r="F197" i="2" s="1"/>
  <c r="C78" i="2"/>
  <c r="C196" i="2" s="1"/>
  <c r="H82" i="2"/>
  <c r="U102" i="2" s="1"/>
  <c r="H85" i="2"/>
  <c r="U105" i="2" s="1"/>
  <c r="H84" i="2"/>
  <c r="U104" i="2" s="1"/>
  <c r="H80" i="2"/>
  <c r="U100" i="2" s="1"/>
  <c r="H81" i="2"/>
  <c r="U101" i="2" s="1"/>
  <c r="C85" i="2"/>
  <c r="C203" i="2" s="1"/>
  <c r="C80" i="2"/>
  <c r="C198" i="2" s="1"/>
  <c r="C83" i="2"/>
  <c r="C201" i="2" s="1"/>
  <c r="I81" i="2"/>
  <c r="I85" i="2"/>
  <c r="I203" i="2" s="1"/>
  <c r="I80" i="2"/>
  <c r="I84" i="2"/>
  <c r="I202" i="2" s="1"/>
  <c r="J80" i="2"/>
  <c r="J82" i="2"/>
  <c r="J200" i="2" s="1"/>
  <c r="J84" i="2"/>
  <c r="J83" i="2"/>
  <c r="J85" i="2"/>
  <c r="J203" i="2" s="1"/>
  <c r="I82" i="2"/>
  <c r="I200" i="2" s="1"/>
  <c r="M23" i="2"/>
  <c r="D31" i="2" s="1"/>
  <c r="M60" i="2"/>
  <c r="C63" i="2" s="1"/>
  <c r="E68" i="2" s="1"/>
  <c r="O23" i="2"/>
  <c r="H31" i="2" s="1"/>
  <c r="G34" i="2" s="1"/>
  <c r="E42" i="2" s="1"/>
  <c r="E46" i="2" s="1"/>
  <c r="N23" i="2"/>
  <c r="F31" i="2" s="1"/>
  <c r="E34" i="2" s="1"/>
  <c r="D42" i="2" s="1"/>
  <c r="D46" i="2" s="1"/>
  <c r="O60" i="2"/>
  <c r="E63" i="2" s="1"/>
  <c r="K68" i="2" s="1"/>
  <c r="N60" i="2"/>
  <c r="D63" i="2" s="1"/>
  <c r="H68" i="2" s="1"/>
  <c r="G119" i="2" l="1"/>
  <c r="E155" i="9"/>
  <c r="L137" i="9"/>
  <c r="L135" i="9"/>
  <c r="L132" i="9"/>
  <c r="L128" i="9"/>
  <c r="L129" i="9"/>
  <c r="L133" i="9"/>
  <c r="F260" i="9"/>
  <c r="F261" i="9"/>
  <c r="F269" i="9"/>
  <c r="F262" i="9"/>
  <c r="F267" i="9"/>
  <c r="C269" i="9"/>
  <c r="M269" i="9" s="1"/>
  <c r="J138" i="9"/>
  <c r="C265" i="9"/>
  <c r="M265" i="9" s="1"/>
  <c r="J134" i="9"/>
  <c r="C260" i="9"/>
  <c r="M260" i="9" s="1"/>
  <c r="J129" i="9"/>
  <c r="F268" i="9"/>
  <c r="F259" i="9"/>
  <c r="C261" i="9"/>
  <c r="M261" i="9" s="1"/>
  <c r="J130" i="9"/>
  <c r="C263" i="9"/>
  <c r="P263" i="9" s="1"/>
  <c r="J132" i="9"/>
  <c r="L138" i="9"/>
  <c r="C262" i="9"/>
  <c r="P262" i="9" s="1"/>
  <c r="M131" i="9"/>
  <c r="J131" i="9"/>
  <c r="C264" i="9"/>
  <c r="M264" i="9" s="1"/>
  <c r="J133" i="9"/>
  <c r="J128" i="9"/>
  <c r="C259" i="9"/>
  <c r="M259" i="9" s="1"/>
  <c r="L134" i="9"/>
  <c r="C266" i="9"/>
  <c r="P266" i="9" s="1"/>
  <c r="J135" i="9"/>
  <c r="C267" i="9"/>
  <c r="P267" i="9" s="1"/>
  <c r="J136" i="9"/>
  <c r="C268" i="9"/>
  <c r="P268" i="9" s="1"/>
  <c r="J137" i="9"/>
  <c r="F266" i="9"/>
  <c r="L130" i="9"/>
  <c r="F264" i="9"/>
  <c r="F265" i="9"/>
  <c r="L131" i="9"/>
  <c r="O132" i="9"/>
  <c r="E146" i="9"/>
  <c r="O204" i="2"/>
  <c r="M132" i="9"/>
  <c r="M195" i="2"/>
  <c r="G97" i="9"/>
  <c r="K127" i="9" s="1"/>
  <c r="G175" i="9" s="1"/>
  <c r="J198" i="2"/>
  <c r="P199" i="2"/>
  <c r="I198" i="2"/>
  <c r="H199" i="2"/>
  <c r="C115" i="2"/>
  <c r="H198" i="2"/>
  <c r="C114" i="2"/>
  <c r="H194" i="2"/>
  <c r="C110" i="2"/>
  <c r="K198" i="2"/>
  <c r="D114" i="2"/>
  <c r="H202" i="2"/>
  <c r="C118" i="2"/>
  <c r="H203" i="2"/>
  <c r="C119" i="2"/>
  <c r="K196" i="2"/>
  <c r="D112" i="2"/>
  <c r="K197" i="2"/>
  <c r="D113" i="2"/>
  <c r="K195" i="2"/>
  <c r="D111" i="2"/>
  <c r="K203" i="2"/>
  <c r="D119" i="2"/>
  <c r="H195" i="2"/>
  <c r="C111" i="2"/>
  <c r="K201" i="2"/>
  <c r="D117" i="2"/>
  <c r="K204" i="2"/>
  <c r="D120" i="2"/>
  <c r="K205" i="2"/>
  <c r="D121" i="2"/>
  <c r="H204" i="2"/>
  <c r="C120" i="2"/>
  <c r="K202" i="2"/>
  <c r="D118" i="2"/>
  <c r="K200" i="2"/>
  <c r="D116" i="2"/>
  <c r="H200" i="2"/>
  <c r="C116" i="2"/>
  <c r="I199" i="2"/>
  <c r="H197" i="2"/>
  <c r="C113" i="2"/>
  <c r="H196" i="2"/>
  <c r="C112" i="2"/>
  <c r="H205" i="2"/>
  <c r="C121" i="2"/>
  <c r="K194" i="2"/>
  <c r="D110" i="2"/>
  <c r="F199" i="2"/>
  <c r="Q199" i="2" s="1"/>
  <c r="P205" i="2"/>
  <c r="Q201" i="2"/>
  <c r="P196" i="2"/>
  <c r="M196" i="2"/>
  <c r="P198" i="2"/>
  <c r="M198" i="2"/>
  <c r="R204" i="2"/>
  <c r="O200" i="2"/>
  <c r="J202" i="2"/>
  <c r="P204" i="2"/>
  <c r="M204" i="2"/>
  <c r="Q198" i="2"/>
  <c r="F200" i="2"/>
  <c r="Q200" i="2" s="1"/>
  <c r="P202" i="2"/>
  <c r="M202" i="2"/>
  <c r="P195" i="2"/>
  <c r="P203" i="2"/>
  <c r="M203" i="2"/>
  <c r="M197" i="2"/>
  <c r="P197" i="2"/>
  <c r="M205" i="2"/>
  <c r="N201" i="2"/>
  <c r="R199" i="2"/>
  <c r="J201" i="2"/>
  <c r="O201" i="2" s="1"/>
  <c r="Q205" i="2"/>
  <c r="N205" i="2"/>
  <c r="O205" i="2"/>
  <c r="R205" i="2"/>
  <c r="Q204" i="2"/>
  <c r="N204" i="2"/>
  <c r="M199" i="2"/>
  <c r="P200" i="2"/>
  <c r="M200" i="2"/>
  <c r="G202" i="2"/>
  <c r="M201" i="2"/>
  <c r="P201" i="2"/>
  <c r="Q196" i="2"/>
  <c r="N196" i="2"/>
  <c r="R202" i="2"/>
  <c r="O202" i="2"/>
  <c r="N195" i="2"/>
  <c r="Q195" i="2"/>
  <c r="R194" i="2"/>
  <c r="O194" i="2"/>
  <c r="N203" i="2"/>
  <c r="Q203" i="2"/>
  <c r="R203" i="2"/>
  <c r="O203" i="2"/>
  <c r="O197" i="2"/>
  <c r="R197" i="2"/>
  <c r="E87" i="2"/>
  <c r="E137" i="2" s="1"/>
  <c r="O199" i="2"/>
  <c r="M194" i="2"/>
  <c r="P194" i="2"/>
  <c r="Q197" i="2"/>
  <c r="N197" i="2"/>
  <c r="R195" i="2"/>
  <c r="O195" i="2"/>
  <c r="E80" i="2"/>
  <c r="E130" i="2" s="1"/>
  <c r="Q194" i="2"/>
  <c r="N194" i="2"/>
  <c r="N198" i="2"/>
  <c r="R200" i="2"/>
  <c r="R196" i="2"/>
  <c r="O196" i="2"/>
  <c r="Q202" i="2"/>
  <c r="N202" i="2"/>
  <c r="E77" i="2"/>
  <c r="E127" i="2" s="1"/>
  <c r="E82" i="2"/>
  <c r="E132" i="2" s="1"/>
  <c r="E86" i="2"/>
  <c r="E136" i="2" s="1"/>
  <c r="E79" i="2"/>
  <c r="E129" i="2" s="1"/>
  <c r="E84" i="2"/>
  <c r="E134" i="2" s="1"/>
  <c r="E81" i="2"/>
  <c r="E131" i="2" s="1"/>
  <c r="E83" i="2"/>
  <c r="E133" i="2" s="1"/>
  <c r="G105" i="9"/>
  <c r="G266" i="9" s="1"/>
  <c r="G106" i="9"/>
  <c r="G267" i="9" s="1"/>
  <c r="G99" i="9"/>
  <c r="G260" i="9" s="1"/>
  <c r="I264" i="9"/>
  <c r="I266" i="9"/>
  <c r="I260" i="9"/>
  <c r="I259" i="9"/>
  <c r="I268" i="9"/>
  <c r="G101" i="9"/>
  <c r="G262" i="9" s="1"/>
  <c r="G108" i="9"/>
  <c r="G269" i="9" s="1"/>
  <c r="D199" i="9"/>
  <c r="J260" i="9"/>
  <c r="E200" i="9"/>
  <c r="I269" i="9"/>
  <c r="E196" i="9"/>
  <c r="D201" i="9"/>
  <c r="D194" i="9"/>
  <c r="D196" i="9"/>
  <c r="J269" i="9"/>
  <c r="I261" i="9"/>
  <c r="E193" i="9"/>
  <c r="C200" i="9"/>
  <c r="I262" i="9"/>
  <c r="E195" i="9"/>
  <c r="D198" i="9"/>
  <c r="E191" i="9"/>
  <c r="E197" i="9"/>
  <c r="J268" i="9"/>
  <c r="I258" i="9"/>
  <c r="D195" i="9"/>
  <c r="E199" i="9"/>
  <c r="I265" i="9"/>
  <c r="G107" i="9"/>
  <c r="G268" i="9" s="1"/>
  <c r="J267" i="9"/>
  <c r="I267" i="9"/>
  <c r="D197" i="9"/>
  <c r="G100" i="9"/>
  <c r="G261" i="9" s="1"/>
  <c r="D200" i="9"/>
  <c r="E192" i="9"/>
  <c r="C195" i="9"/>
  <c r="J266" i="9"/>
  <c r="G102" i="9"/>
  <c r="J261" i="9"/>
  <c r="E198" i="9"/>
  <c r="C258" i="9"/>
  <c r="J259" i="9"/>
  <c r="E145" i="9"/>
  <c r="G104" i="9"/>
  <c r="G265" i="9" s="1"/>
  <c r="J265" i="9"/>
  <c r="D192" i="9"/>
  <c r="E201" i="9"/>
  <c r="G103" i="9"/>
  <c r="G264" i="9" s="1"/>
  <c r="G98" i="9"/>
  <c r="G259" i="9" s="1"/>
  <c r="G258" i="9"/>
  <c r="J258" i="9"/>
  <c r="D191" i="9"/>
  <c r="E194" i="9"/>
  <c r="I99" i="6"/>
  <c r="G143" i="6" s="1"/>
  <c r="C98" i="6"/>
  <c r="C191" i="6" s="1"/>
  <c r="C95" i="6"/>
  <c r="C188" i="6" s="1"/>
  <c r="H99" i="6"/>
  <c r="F143" i="6" s="1"/>
  <c r="B98" i="6"/>
  <c r="G102" i="6"/>
  <c r="D146" i="6" s="1"/>
  <c r="C96" i="6"/>
  <c r="C189" i="6" s="1"/>
  <c r="E104" i="6"/>
  <c r="B148" i="6" s="1"/>
  <c r="B97" i="6"/>
  <c r="B190" i="6" s="1"/>
  <c r="E103" i="6"/>
  <c r="B147" i="6" s="1"/>
  <c r="B99" i="6"/>
  <c r="B192" i="6" s="1"/>
  <c r="H98" i="6"/>
  <c r="F142" i="6" s="1"/>
  <c r="D94" i="6"/>
  <c r="D187" i="6" s="1"/>
  <c r="G101" i="6"/>
  <c r="D145" i="6" s="1"/>
  <c r="H97" i="6"/>
  <c r="F141" i="6" s="1"/>
  <c r="G100" i="6"/>
  <c r="D144" i="6" s="1"/>
  <c r="H96" i="6"/>
  <c r="F140" i="6" s="1"/>
  <c r="G99" i="6"/>
  <c r="D143" i="6" s="1"/>
  <c r="E76" i="2"/>
  <c r="E126" i="2" s="1"/>
  <c r="E78" i="2"/>
  <c r="E128" i="2" s="1"/>
  <c r="C97" i="6"/>
  <c r="C190" i="6" s="1"/>
  <c r="B96" i="6"/>
  <c r="B189" i="6" s="1"/>
  <c r="H95" i="6"/>
  <c r="F139" i="6" s="1"/>
  <c r="G94" i="6"/>
  <c r="D138" i="6" s="1"/>
  <c r="G98" i="6"/>
  <c r="D142" i="6" s="1"/>
  <c r="H94" i="6"/>
  <c r="F138" i="6" s="1"/>
  <c r="G105" i="6"/>
  <c r="D149" i="6" s="1"/>
  <c r="G97" i="6"/>
  <c r="D141" i="6" s="1"/>
  <c r="H105" i="6"/>
  <c r="F149" i="6" s="1"/>
  <c r="G104" i="6"/>
  <c r="D148" i="6" s="1"/>
  <c r="G96" i="6"/>
  <c r="D140" i="6" s="1"/>
  <c r="H104" i="6"/>
  <c r="F148" i="6" s="1"/>
  <c r="G103" i="6"/>
  <c r="D147" i="6" s="1"/>
  <c r="B100" i="6"/>
  <c r="B193" i="6" s="1"/>
  <c r="I96" i="6"/>
  <c r="G140" i="6" s="1"/>
  <c r="B95" i="6"/>
  <c r="I94" i="6"/>
  <c r="G138" i="6" s="1"/>
  <c r="I97" i="6"/>
  <c r="G141" i="6" s="1"/>
  <c r="B105" i="6"/>
  <c r="B198" i="6" s="1"/>
  <c r="I104" i="6"/>
  <c r="G148" i="6" s="1"/>
  <c r="D105" i="6"/>
  <c r="D198" i="6" s="1"/>
  <c r="E96" i="6"/>
  <c r="B140" i="6" s="1"/>
  <c r="B104" i="6"/>
  <c r="I103" i="6"/>
  <c r="G147" i="6" s="1"/>
  <c r="D98" i="6"/>
  <c r="D191" i="6" s="1"/>
  <c r="B94" i="6"/>
  <c r="B187" i="6" s="1"/>
  <c r="E95" i="6"/>
  <c r="B139" i="6" s="1"/>
  <c r="B103" i="6"/>
  <c r="B196" i="6" s="1"/>
  <c r="I102" i="6"/>
  <c r="G146" i="6" s="1"/>
  <c r="D97" i="6"/>
  <c r="D190" i="6" s="1"/>
  <c r="I105" i="6"/>
  <c r="G149" i="6" s="1"/>
  <c r="E94" i="6"/>
  <c r="B102" i="6"/>
  <c r="B195" i="6" s="1"/>
  <c r="I101" i="6"/>
  <c r="G145" i="6" s="1"/>
  <c r="D96" i="6"/>
  <c r="D189" i="6" s="1"/>
  <c r="I95" i="6"/>
  <c r="G139" i="6" s="1"/>
  <c r="E105" i="6"/>
  <c r="B149" i="6" s="1"/>
  <c r="I100" i="6"/>
  <c r="D95" i="6"/>
  <c r="D188" i="6" s="1"/>
  <c r="J95" i="6"/>
  <c r="H139" i="6" s="1"/>
  <c r="F98" i="6"/>
  <c r="C142" i="6" s="1"/>
  <c r="F96" i="6"/>
  <c r="C140" i="6" s="1"/>
  <c r="J94" i="6"/>
  <c r="H138" i="6" s="1"/>
  <c r="E102" i="6"/>
  <c r="B146" i="6" s="1"/>
  <c r="J105" i="6"/>
  <c r="H149" i="6" s="1"/>
  <c r="F95" i="6"/>
  <c r="C139" i="6" s="1"/>
  <c r="J104" i="6"/>
  <c r="H148" i="6" s="1"/>
  <c r="F94" i="6"/>
  <c r="C138" i="6" s="1"/>
  <c r="C94" i="6"/>
  <c r="C187" i="6" s="1"/>
  <c r="J103" i="6"/>
  <c r="H147" i="6" s="1"/>
  <c r="F97" i="6"/>
  <c r="D104" i="6"/>
  <c r="D197" i="6" s="1"/>
  <c r="F104" i="6"/>
  <c r="C148" i="6" s="1"/>
  <c r="F105" i="6"/>
  <c r="C149" i="6" s="1"/>
  <c r="E100" i="6"/>
  <c r="B144" i="6" s="1"/>
  <c r="C103" i="6"/>
  <c r="J100" i="6"/>
  <c r="H144" i="6" s="1"/>
  <c r="D103" i="6"/>
  <c r="D196" i="6" s="1"/>
  <c r="F103" i="6"/>
  <c r="C147" i="6" s="1"/>
  <c r="E99" i="6"/>
  <c r="C102" i="6"/>
  <c r="J99" i="6"/>
  <c r="H103" i="6"/>
  <c r="F147" i="6" s="1"/>
  <c r="D102" i="6"/>
  <c r="D195" i="6" s="1"/>
  <c r="F102" i="6"/>
  <c r="C146" i="6" s="1"/>
  <c r="J102" i="6"/>
  <c r="H146" i="6" s="1"/>
  <c r="J101" i="6"/>
  <c r="H145" i="6" s="1"/>
  <c r="E98" i="6"/>
  <c r="B142" i="6" s="1"/>
  <c r="C101" i="6"/>
  <c r="J98" i="6"/>
  <c r="H102" i="6"/>
  <c r="F146" i="6" s="1"/>
  <c r="D101" i="6"/>
  <c r="D194" i="6" s="1"/>
  <c r="F101" i="6"/>
  <c r="C145" i="6" s="1"/>
  <c r="C105" i="6"/>
  <c r="E101" i="6"/>
  <c r="B145" i="6" s="1"/>
  <c r="C100" i="6"/>
  <c r="J97" i="6"/>
  <c r="H141" i="6" s="1"/>
  <c r="H101" i="6"/>
  <c r="F145" i="6" s="1"/>
  <c r="D100" i="6"/>
  <c r="D193" i="6" s="1"/>
  <c r="F100" i="6"/>
  <c r="C144" i="6" s="1"/>
  <c r="C104" i="6"/>
  <c r="C197" i="6" s="1"/>
  <c r="L103" i="2"/>
  <c r="H117" i="2" s="1"/>
  <c r="L101" i="2"/>
  <c r="H115" i="2" s="1"/>
  <c r="F115" i="2"/>
  <c r="D132" i="2"/>
  <c r="D126" i="2"/>
  <c r="D129" i="2"/>
  <c r="D134" i="2"/>
  <c r="D127" i="2"/>
  <c r="D131" i="2"/>
  <c r="D137" i="2"/>
  <c r="D135" i="2"/>
  <c r="D136" i="2"/>
  <c r="D130" i="2"/>
  <c r="D133" i="2"/>
  <c r="C133" i="2"/>
  <c r="C127" i="2"/>
  <c r="C129" i="2"/>
  <c r="C134" i="2"/>
  <c r="C136" i="2"/>
  <c r="C132" i="2"/>
  <c r="C137" i="2"/>
  <c r="C126" i="2"/>
  <c r="C128" i="2"/>
  <c r="C130" i="2"/>
  <c r="C135" i="2"/>
  <c r="C64" i="2"/>
  <c r="C65" i="2"/>
  <c r="E64" i="2"/>
  <c r="E65" i="2"/>
  <c r="D43" i="2"/>
  <c r="D49" i="2"/>
  <c r="E43" i="2"/>
  <c r="E49" i="2"/>
  <c r="L98" i="2"/>
  <c r="H112" i="2" s="1"/>
  <c r="L99" i="2"/>
  <c r="H113" i="2" s="1"/>
  <c r="L96" i="2"/>
  <c r="H110" i="2" s="1"/>
  <c r="L97" i="2"/>
  <c r="H111" i="2" s="1"/>
  <c r="J98" i="2"/>
  <c r="E112" i="2" s="1"/>
  <c r="K98" i="2"/>
  <c r="G112" i="2" s="1"/>
  <c r="J107" i="2"/>
  <c r="E121" i="2" s="1"/>
  <c r="K96" i="2"/>
  <c r="G110" i="2" s="1"/>
  <c r="K107" i="2"/>
  <c r="G121" i="2" s="1"/>
  <c r="L102" i="2"/>
  <c r="H116" i="2" s="1"/>
  <c r="K99" i="2"/>
  <c r="G113" i="2" s="1"/>
  <c r="J106" i="2"/>
  <c r="E120" i="2" s="1"/>
  <c r="J96" i="2"/>
  <c r="E110" i="2" s="1"/>
  <c r="L107" i="2"/>
  <c r="H121" i="2" s="1"/>
  <c r="J99" i="2"/>
  <c r="E113" i="2" s="1"/>
  <c r="L106" i="2"/>
  <c r="H120" i="2" s="1"/>
  <c r="L104" i="2"/>
  <c r="H118" i="2" s="1"/>
  <c r="J97" i="2"/>
  <c r="E111" i="2" s="1"/>
  <c r="K97" i="2"/>
  <c r="G111" i="2" s="1"/>
  <c r="L105" i="2"/>
  <c r="H119" i="2" s="1"/>
  <c r="K106" i="2"/>
  <c r="G120" i="2" s="1"/>
  <c r="K103" i="2"/>
  <c r="G117" i="2" s="1"/>
  <c r="K101" i="2"/>
  <c r="G115" i="2" s="1"/>
  <c r="K104" i="2"/>
  <c r="G118" i="2" s="1"/>
  <c r="K102" i="2"/>
  <c r="G116" i="2" s="1"/>
  <c r="N100" i="2"/>
  <c r="J102" i="2"/>
  <c r="E116" i="2" s="1"/>
  <c r="J101" i="2"/>
  <c r="K100" i="2"/>
  <c r="G114" i="2" s="1"/>
  <c r="J104" i="2"/>
  <c r="E118" i="2" s="1"/>
  <c r="J105" i="2"/>
  <c r="E119" i="2" s="1"/>
  <c r="J103" i="2"/>
  <c r="E117" i="2" s="1"/>
  <c r="L100" i="2"/>
  <c r="H114" i="2" s="1"/>
  <c r="M100" i="2"/>
  <c r="J100" i="2"/>
  <c r="E114" i="2" s="1"/>
  <c r="O100" i="2"/>
  <c r="C34" i="2"/>
  <c r="C42" i="2" s="1"/>
  <c r="C46" i="2" s="1"/>
  <c r="M268" i="9" l="1"/>
  <c r="M263" i="9"/>
  <c r="M266" i="9"/>
  <c r="K134" i="9"/>
  <c r="G182" i="9" s="1"/>
  <c r="M267" i="9"/>
  <c r="K133" i="9"/>
  <c r="G181" i="9" s="1"/>
  <c r="K136" i="9"/>
  <c r="G184" i="9" s="1"/>
  <c r="K135" i="9"/>
  <c r="G183" i="9" s="1"/>
  <c r="K131" i="9"/>
  <c r="G179" i="9" s="1"/>
  <c r="K138" i="9"/>
  <c r="G186" i="9" s="1"/>
  <c r="K128" i="9"/>
  <c r="G176" i="9" s="1"/>
  <c r="K130" i="9"/>
  <c r="G178" i="9" s="1"/>
  <c r="G263" i="9"/>
  <c r="N263" i="9" s="1"/>
  <c r="K132" i="9"/>
  <c r="G180" i="9" s="1"/>
  <c r="K137" i="9"/>
  <c r="G185" i="9" s="1"/>
  <c r="K129" i="9"/>
  <c r="G177" i="9" s="1"/>
  <c r="P261" i="9"/>
  <c r="P269" i="9"/>
  <c r="P265" i="9"/>
  <c r="P264" i="9"/>
  <c r="P259" i="9"/>
  <c r="M262" i="9"/>
  <c r="P260" i="9"/>
  <c r="N132" i="9"/>
  <c r="N199" i="2"/>
  <c r="R198" i="2"/>
  <c r="O198" i="2"/>
  <c r="E115" i="2"/>
  <c r="N258" i="9"/>
  <c r="N200" i="2"/>
  <c r="R201" i="2"/>
  <c r="O261" i="9"/>
  <c r="H266" i="9"/>
  <c r="H269" i="9"/>
  <c r="I263" i="9"/>
  <c r="C146" i="9"/>
  <c r="H258" i="9"/>
  <c r="H265" i="9"/>
  <c r="H262" i="9"/>
  <c r="J263" i="9"/>
  <c r="D146" i="9"/>
  <c r="H263" i="9"/>
  <c r="H260" i="9"/>
  <c r="H261" i="9"/>
  <c r="H264" i="9"/>
  <c r="H268" i="9"/>
  <c r="H267" i="9"/>
  <c r="H259" i="9"/>
  <c r="R267" i="9"/>
  <c r="O267" i="9"/>
  <c r="N268" i="9"/>
  <c r="Q268" i="9"/>
  <c r="O269" i="9"/>
  <c r="R269" i="9"/>
  <c r="O265" i="9"/>
  <c r="R265" i="9"/>
  <c r="N265" i="9"/>
  <c r="Q265" i="9"/>
  <c r="Q267" i="9"/>
  <c r="N267" i="9"/>
  <c r="J264" i="9"/>
  <c r="R264" i="9" s="1"/>
  <c r="O258" i="9"/>
  <c r="R258" i="9"/>
  <c r="N266" i="9"/>
  <c r="Q266" i="9"/>
  <c r="R268" i="9"/>
  <c r="O268" i="9"/>
  <c r="N264" i="9"/>
  <c r="Q264" i="9"/>
  <c r="R259" i="9"/>
  <c r="O259" i="9"/>
  <c r="Q258" i="9"/>
  <c r="N262" i="9"/>
  <c r="Q262" i="9"/>
  <c r="D190" i="9"/>
  <c r="D258" i="9"/>
  <c r="P258" i="9" s="1"/>
  <c r="N260" i="9"/>
  <c r="Q260" i="9"/>
  <c r="Q259" i="9"/>
  <c r="N259" i="9"/>
  <c r="D145" i="9"/>
  <c r="J262" i="9"/>
  <c r="R262" i="9" s="1"/>
  <c r="O260" i="9"/>
  <c r="R260" i="9"/>
  <c r="R261" i="9"/>
  <c r="N261" i="9"/>
  <c r="Q261" i="9"/>
  <c r="O266" i="9"/>
  <c r="R266" i="9"/>
  <c r="N269" i="9"/>
  <c r="Q269" i="9"/>
  <c r="B138" i="6"/>
  <c r="C191" i="9"/>
  <c r="C197" i="9"/>
  <c r="K130" i="6"/>
  <c r="G144" i="6"/>
  <c r="M127" i="6"/>
  <c r="C141" i="6"/>
  <c r="C198" i="9"/>
  <c r="L127" i="9"/>
  <c r="C199" i="9"/>
  <c r="C201" i="9"/>
  <c r="C145" i="9"/>
  <c r="O131" i="9"/>
  <c r="C193" i="9"/>
  <c r="C196" i="9"/>
  <c r="C192" i="9"/>
  <c r="C194" i="9"/>
  <c r="D193" i="9"/>
  <c r="C190" i="9"/>
  <c r="N131" i="9"/>
  <c r="I128" i="6"/>
  <c r="L128" i="6"/>
  <c r="B191" i="6"/>
  <c r="M134" i="6"/>
  <c r="I127" i="6"/>
  <c r="K129" i="6"/>
  <c r="M133" i="6"/>
  <c r="L129" i="6"/>
  <c r="N129" i="6"/>
  <c r="I129" i="6"/>
  <c r="M124" i="6"/>
  <c r="K125" i="6"/>
  <c r="K134" i="6"/>
  <c r="N127" i="6"/>
  <c r="N126" i="6"/>
  <c r="I126" i="6"/>
  <c r="N135" i="6"/>
  <c r="L126" i="6"/>
  <c r="K128" i="6"/>
  <c r="N128" i="6"/>
  <c r="N124" i="6"/>
  <c r="L127" i="6"/>
  <c r="J124" i="6"/>
  <c r="J135" i="6"/>
  <c r="H143" i="6"/>
  <c r="J125" i="6"/>
  <c r="H142" i="6"/>
  <c r="K126" i="6"/>
  <c r="N134" i="6"/>
  <c r="M129" i="6"/>
  <c r="B143" i="6"/>
  <c r="L125" i="6"/>
  <c r="B188" i="6"/>
  <c r="I130" i="6"/>
  <c r="C193" i="6"/>
  <c r="L133" i="6"/>
  <c r="C196" i="6"/>
  <c r="L132" i="6"/>
  <c r="C195" i="6"/>
  <c r="L135" i="6"/>
  <c r="C198" i="6"/>
  <c r="L131" i="6"/>
  <c r="C194" i="6"/>
  <c r="I134" i="6"/>
  <c r="B197" i="6"/>
  <c r="I125" i="6"/>
  <c r="M128" i="6"/>
  <c r="N133" i="6"/>
  <c r="M131" i="6"/>
  <c r="J133" i="6"/>
  <c r="N132" i="6"/>
  <c r="K124" i="6"/>
  <c r="I132" i="6"/>
  <c r="K135" i="6"/>
  <c r="N130" i="6"/>
  <c r="M135" i="6"/>
  <c r="L134" i="6"/>
  <c r="J131" i="6"/>
  <c r="N125" i="6"/>
  <c r="I131" i="6"/>
  <c r="M125" i="6"/>
  <c r="J130" i="6"/>
  <c r="J128" i="6"/>
  <c r="J126" i="6"/>
  <c r="K132" i="6"/>
  <c r="K127" i="6"/>
  <c r="K131" i="6"/>
  <c r="I124" i="6"/>
  <c r="N131" i="6"/>
  <c r="L130" i="6"/>
  <c r="L124" i="6"/>
  <c r="M126" i="6"/>
  <c r="M130" i="6"/>
  <c r="K133" i="6"/>
  <c r="I133" i="6"/>
  <c r="I135" i="6"/>
  <c r="J127" i="6"/>
  <c r="J134" i="6"/>
  <c r="J129" i="6"/>
  <c r="M132" i="6"/>
  <c r="J132" i="6"/>
  <c r="C36" i="1"/>
  <c r="C33" i="1"/>
  <c r="C42" i="1" s="1"/>
  <c r="E22" i="1"/>
  <c r="E25" i="1"/>
  <c r="D25" i="1"/>
  <c r="D22" i="1"/>
  <c r="E36" i="1"/>
  <c r="E33" i="1"/>
  <c r="E42" i="1" s="1"/>
  <c r="F110" i="2"/>
  <c r="F113" i="2"/>
  <c r="F112" i="2"/>
  <c r="F111" i="2"/>
  <c r="F119" i="2"/>
  <c r="F116" i="2"/>
  <c r="F118" i="2"/>
  <c r="I115" i="2"/>
  <c r="J115" i="2" s="1"/>
  <c r="F114" i="2"/>
  <c r="F120" i="2"/>
  <c r="F117" i="2"/>
  <c r="F121" i="2"/>
  <c r="D64" i="2"/>
  <c r="D65" i="2"/>
  <c r="C43" i="2"/>
  <c r="C49" i="2"/>
  <c r="P100" i="2"/>
  <c r="S100" i="2"/>
  <c r="Q100" i="2"/>
  <c r="T100" i="2" s="1"/>
  <c r="R100" i="2"/>
  <c r="Q263" i="9" l="1"/>
  <c r="P132" i="9"/>
  <c r="P131" i="9"/>
  <c r="R135" i="6"/>
  <c r="D178" i="6"/>
  <c r="R130" i="6"/>
  <c r="D174" i="6"/>
  <c r="R126" i="6"/>
  <c r="D176" i="6"/>
  <c r="R128" i="6"/>
  <c r="D182" i="6"/>
  <c r="R134" i="6"/>
  <c r="D173" i="6"/>
  <c r="R125" i="6"/>
  <c r="D179" i="6"/>
  <c r="R131" i="6"/>
  <c r="D181" i="6"/>
  <c r="R133" i="6"/>
  <c r="D175" i="6"/>
  <c r="R127" i="6"/>
  <c r="D177" i="6"/>
  <c r="R129" i="6"/>
  <c r="D180" i="6"/>
  <c r="R132" i="6"/>
  <c r="D172" i="6"/>
  <c r="R124" i="6"/>
  <c r="R263" i="9"/>
  <c r="M258" i="9"/>
  <c r="O263" i="9"/>
  <c r="O264" i="9"/>
  <c r="O262" i="9"/>
  <c r="Q129" i="6"/>
  <c r="Q128" i="6"/>
  <c r="Q126" i="6"/>
  <c r="O129" i="6"/>
  <c r="P129" i="6"/>
  <c r="S129" i="6" s="1"/>
  <c r="Q127" i="6"/>
  <c r="Q130" i="6"/>
  <c r="P135" i="6"/>
  <c r="O134" i="6"/>
  <c r="Q125" i="6"/>
  <c r="Q134" i="6"/>
  <c r="P124" i="6"/>
  <c r="P132" i="6"/>
  <c r="Q124" i="6"/>
  <c r="O126" i="6"/>
  <c r="P125" i="6"/>
  <c r="O135" i="6"/>
  <c r="O125" i="6"/>
  <c r="Q132" i="6"/>
  <c r="O131" i="6"/>
  <c r="P130" i="6"/>
  <c r="O132" i="6"/>
  <c r="Q131" i="6"/>
  <c r="P131" i="6"/>
  <c r="S131" i="6" s="1"/>
  <c r="O128" i="6"/>
  <c r="O130" i="6"/>
  <c r="P126" i="6"/>
  <c r="O127" i="6"/>
  <c r="P127" i="6"/>
  <c r="P128" i="6"/>
  <c r="Q133" i="6"/>
  <c r="O133" i="6"/>
  <c r="D183" i="6"/>
  <c r="Q135" i="6"/>
  <c r="O124" i="6"/>
  <c r="P133" i="6"/>
  <c r="P134" i="6"/>
  <c r="F131" i="2"/>
  <c r="H128" i="2" s="1"/>
  <c r="C25" i="1"/>
  <c r="C22" i="1"/>
  <c r="D33" i="1"/>
  <c r="D42" i="1" s="1"/>
  <c r="D36" i="1"/>
  <c r="I110" i="2"/>
  <c r="J110" i="2" s="1"/>
  <c r="I114" i="2"/>
  <c r="J114" i="2" s="1"/>
  <c r="I116" i="2"/>
  <c r="J116" i="2" s="1"/>
  <c r="I112" i="2"/>
  <c r="J112" i="2" s="1"/>
  <c r="I111" i="2"/>
  <c r="J111" i="2" s="1"/>
  <c r="I117" i="2"/>
  <c r="J117" i="2" s="1"/>
  <c r="I113" i="2"/>
  <c r="J113" i="2" s="1"/>
  <c r="I119" i="2"/>
  <c r="J119" i="2" s="1"/>
  <c r="I121" i="2"/>
  <c r="J121" i="2" s="1"/>
  <c r="I118" i="2"/>
  <c r="J118" i="2" s="1"/>
  <c r="I120" i="2"/>
  <c r="J120" i="2" s="1"/>
  <c r="S132" i="6" l="1"/>
  <c r="S128" i="6"/>
  <c r="S127" i="6"/>
  <c r="S125" i="6"/>
  <c r="S135" i="6"/>
  <c r="S124" i="6"/>
  <c r="S126" i="6"/>
  <c r="S134" i="6"/>
  <c r="S130" i="6"/>
  <c r="S133" i="6"/>
  <c r="I128" i="2"/>
  <c r="D54" i="1" s="1"/>
  <c r="T128" i="6"/>
  <c r="E142" i="6" s="1"/>
  <c r="T129" i="6"/>
  <c r="E143" i="6" s="1"/>
  <c r="U129" i="6"/>
  <c r="T126" i="6"/>
  <c r="E140" i="6" s="1"/>
  <c r="U125" i="6"/>
  <c r="I139" i="6" s="1"/>
  <c r="U127" i="6"/>
  <c r="I141" i="6" s="1"/>
  <c r="T135" i="6"/>
  <c r="E149" i="6" s="1"/>
  <c r="U132" i="6"/>
  <c r="I146" i="6" s="1"/>
  <c r="T130" i="6"/>
  <c r="E144" i="6" s="1"/>
  <c r="T131" i="6"/>
  <c r="E145" i="6" s="1"/>
  <c r="T125" i="6"/>
  <c r="E139" i="6" s="1"/>
  <c r="T132" i="6"/>
  <c r="E146" i="6" s="1"/>
  <c r="T124" i="6"/>
  <c r="E138" i="6" s="1"/>
  <c r="U133" i="6"/>
  <c r="I147" i="6" s="1"/>
  <c r="T133" i="6"/>
  <c r="E147" i="6" s="1"/>
  <c r="U131" i="6"/>
  <c r="I145" i="6" s="1"/>
  <c r="T127" i="6"/>
  <c r="E141" i="6" s="1"/>
  <c r="T134" i="6"/>
  <c r="E148" i="6" s="1"/>
  <c r="U134" i="6"/>
  <c r="I148" i="6" s="1"/>
  <c r="U128" i="6"/>
  <c r="U124" i="6"/>
  <c r="I138" i="6" s="1"/>
  <c r="U135" i="6"/>
  <c r="I149" i="6" s="1"/>
  <c r="U130" i="6"/>
  <c r="I144" i="6" s="1"/>
  <c r="U126" i="6"/>
  <c r="I140" i="6" s="1"/>
  <c r="F129" i="2"/>
  <c r="F130" i="2"/>
  <c r="F133" i="2"/>
  <c r="F128" i="2"/>
  <c r="F126" i="2"/>
  <c r="F134" i="2"/>
  <c r="F137" i="2"/>
  <c r="F127" i="2"/>
  <c r="F132" i="2"/>
  <c r="F136" i="2"/>
  <c r="F135" i="2"/>
  <c r="J128" i="2"/>
  <c r="C142" i="2" s="1"/>
  <c r="B152" i="6" l="1"/>
  <c r="C152" i="6" s="1"/>
  <c r="I143" i="6"/>
  <c r="I142" i="6"/>
  <c r="D158" i="2"/>
  <c r="E158" i="2" s="1"/>
  <c r="F158" i="2" s="1"/>
  <c r="K128" i="2"/>
  <c r="D142" i="2"/>
  <c r="E142" i="2" s="1"/>
  <c r="C143" i="2"/>
  <c r="F152" i="6" l="1"/>
  <c r="K153" i="6" s="1"/>
  <c r="M153" i="6" s="1"/>
  <c r="D120" i="5"/>
  <c r="F62" i="5"/>
  <c r="D152" i="6"/>
  <c r="E152" i="6" s="1"/>
  <c r="C54" i="1"/>
  <c r="E58" i="1"/>
  <c r="D159" i="2"/>
  <c r="E159" i="2" s="1"/>
  <c r="F159" i="2" s="1"/>
  <c r="G158" i="2"/>
  <c r="H158" i="2" s="1"/>
  <c r="I158" i="2" s="1"/>
  <c r="D143" i="2"/>
  <c r="E143" i="2" s="1"/>
  <c r="C144" i="2"/>
  <c r="M154" i="6" l="1"/>
  <c r="N153" i="6"/>
  <c r="O153" i="6"/>
  <c r="E120" i="5"/>
  <c r="E62" i="5"/>
  <c r="H152" i="6"/>
  <c r="I152" i="6" s="1"/>
  <c r="G120" i="5" s="1"/>
  <c r="B156" i="6"/>
  <c r="C156" i="6" s="1"/>
  <c r="D156" i="6" s="1"/>
  <c r="D175" i="2"/>
  <c r="E73" i="1" s="1"/>
  <c r="E194" i="2"/>
  <c r="S194" i="2" s="1"/>
  <c r="T194" i="2"/>
  <c r="O154" i="6"/>
  <c r="P153" i="6" s="1"/>
  <c r="G152" i="6" s="1"/>
  <c r="I62" i="5" s="1"/>
  <c r="N154" i="6"/>
  <c r="E59" i="1"/>
  <c r="C145" i="2"/>
  <c r="G159" i="2"/>
  <c r="H159" i="2" s="1"/>
  <c r="I159" i="2" s="1"/>
  <c r="D160" i="2"/>
  <c r="E160" i="2" s="1"/>
  <c r="D144" i="2"/>
  <c r="E144" i="2" s="1"/>
  <c r="U194" i="2" l="1"/>
  <c r="E156" i="6"/>
  <c r="F156" i="6" s="1"/>
  <c r="G156" i="6" s="1"/>
  <c r="C172" i="6" s="1"/>
  <c r="H62" i="5"/>
  <c r="B172" i="6"/>
  <c r="E172" i="6" s="1"/>
  <c r="F172" i="6"/>
  <c r="G172" i="6"/>
  <c r="E157" i="6"/>
  <c r="E158" i="6" s="1"/>
  <c r="E159" i="6" s="1"/>
  <c r="B157" i="6"/>
  <c r="B158" i="6" s="1"/>
  <c r="B159" i="6" s="1"/>
  <c r="D176" i="2"/>
  <c r="E74" i="1" s="1"/>
  <c r="E195" i="2"/>
  <c r="V194" i="2"/>
  <c r="W194" i="2"/>
  <c r="F120" i="5"/>
  <c r="D145" i="2"/>
  <c r="E145" i="2" s="1"/>
  <c r="C146" i="2"/>
  <c r="F160" i="2"/>
  <c r="D161" i="2"/>
  <c r="C157" i="6" l="1"/>
  <c r="D157" i="6" s="1"/>
  <c r="B173" i="6"/>
  <c r="C158" i="6"/>
  <c r="D158" i="6" s="1"/>
  <c r="F174" i="6" s="1"/>
  <c r="F158" i="6"/>
  <c r="G158" i="6" s="1"/>
  <c r="C174" i="6" s="1"/>
  <c r="H172" i="6"/>
  <c r="I172" i="6" s="1"/>
  <c r="E187" i="6" s="1"/>
  <c r="F157" i="6"/>
  <c r="G157" i="6" s="1"/>
  <c r="C173" i="6" s="1"/>
  <c r="E173" i="6" s="1"/>
  <c r="E161" i="2"/>
  <c r="F161" i="2" s="1"/>
  <c r="E61" i="1" s="1"/>
  <c r="T195" i="2"/>
  <c r="S195" i="2"/>
  <c r="U195" i="2"/>
  <c r="F173" i="6"/>
  <c r="B174" i="6"/>
  <c r="B160" i="6"/>
  <c r="C159" i="6"/>
  <c r="D159" i="6" s="1"/>
  <c r="E160" i="6"/>
  <c r="F159" i="6"/>
  <c r="G159" i="6" s="1"/>
  <c r="E60" i="1"/>
  <c r="D146" i="2"/>
  <c r="E146" i="2" s="1"/>
  <c r="C147" i="2"/>
  <c r="D162" i="2"/>
  <c r="E162" i="2" s="1"/>
  <c r="F162" i="2" s="1"/>
  <c r="G160" i="2"/>
  <c r="H160" i="2" s="1"/>
  <c r="I160" i="2" s="1"/>
  <c r="G161" i="2" l="1"/>
  <c r="H161" i="2" s="1"/>
  <c r="I161" i="2" s="1"/>
  <c r="C219" i="6"/>
  <c r="E219" i="6" s="1"/>
  <c r="G174" i="6"/>
  <c r="G173" i="6"/>
  <c r="H173" i="6" s="1"/>
  <c r="I173" i="6" s="1"/>
  <c r="E188" i="6" s="1"/>
  <c r="D177" i="2"/>
  <c r="E75" i="1" s="1"/>
  <c r="E196" i="2"/>
  <c r="D178" i="2"/>
  <c r="E76" i="1" s="1"/>
  <c r="E197" i="2"/>
  <c r="V195" i="2"/>
  <c r="T197" i="2"/>
  <c r="U197" i="2"/>
  <c r="S197" i="2"/>
  <c r="W195" i="2"/>
  <c r="E174" i="6"/>
  <c r="B175" i="6"/>
  <c r="F175" i="6"/>
  <c r="E161" i="6"/>
  <c r="F160" i="6"/>
  <c r="G160" i="6" s="1"/>
  <c r="C175" i="6"/>
  <c r="G175" i="6"/>
  <c r="B161" i="6"/>
  <c r="C160" i="6"/>
  <c r="D160" i="6" s="1"/>
  <c r="E62" i="1"/>
  <c r="G162" i="2"/>
  <c r="H162" i="2" s="1"/>
  <c r="I162" i="2" s="1"/>
  <c r="D147" i="2"/>
  <c r="E147" i="2" s="1"/>
  <c r="C148" i="2"/>
  <c r="D163" i="2"/>
  <c r="E163" i="2" s="1"/>
  <c r="F163" i="2" s="1"/>
  <c r="C220" i="6" l="1"/>
  <c r="E220" i="6" s="1"/>
  <c r="G219" i="6"/>
  <c r="H174" i="6"/>
  <c r="I174" i="6" s="1"/>
  <c r="E189" i="6" s="1"/>
  <c r="D179" i="2"/>
  <c r="E77" i="1" s="1"/>
  <c r="E198" i="2"/>
  <c r="V197" i="2"/>
  <c r="T196" i="2"/>
  <c r="S196" i="2"/>
  <c r="U196" i="2"/>
  <c r="U198" i="2"/>
  <c r="T198" i="2"/>
  <c r="S198" i="2"/>
  <c r="W197" i="2"/>
  <c r="E175" i="2"/>
  <c r="E176" i="2"/>
  <c r="E177" i="2"/>
  <c r="B162" i="6"/>
  <c r="C161" i="6"/>
  <c r="D161" i="6" s="1"/>
  <c r="C176" i="6"/>
  <c r="G176" i="6"/>
  <c r="B176" i="6"/>
  <c r="F176" i="6"/>
  <c r="E162" i="6"/>
  <c r="F161" i="6"/>
  <c r="G161" i="6" s="1"/>
  <c r="E175" i="6"/>
  <c r="H175" i="6" s="1"/>
  <c r="I175" i="6" s="1"/>
  <c r="E190" i="6" s="1"/>
  <c r="E63" i="1"/>
  <c r="D164" i="2"/>
  <c r="E164" i="2" s="1"/>
  <c r="F164" i="2" s="1"/>
  <c r="C149" i="2"/>
  <c r="C150" i="2" s="1"/>
  <c r="D148" i="2"/>
  <c r="E148" i="2" s="1"/>
  <c r="G163" i="2"/>
  <c r="H163" i="2" s="1"/>
  <c r="I163" i="2" s="1"/>
  <c r="E179" i="2" l="1"/>
  <c r="E178" i="2"/>
  <c r="C222" i="6"/>
  <c r="E222" i="6" s="1"/>
  <c r="G220" i="6"/>
  <c r="C221" i="6"/>
  <c r="E221" i="6" s="1"/>
  <c r="V198" i="2"/>
  <c r="D180" i="2"/>
  <c r="E199" i="2"/>
  <c r="U199" i="2" s="1"/>
  <c r="V196" i="2"/>
  <c r="W196" i="2"/>
  <c r="S199" i="2"/>
  <c r="T199" i="2"/>
  <c r="W198" i="2"/>
  <c r="E176" i="6"/>
  <c r="H176" i="6" s="1"/>
  <c r="I176" i="6" s="1"/>
  <c r="E191" i="6" s="1"/>
  <c r="C177" i="6"/>
  <c r="G177" i="6"/>
  <c r="E163" i="6"/>
  <c r="F162" i="6"/>
  <c r="G162" i="6" s="1"/>
  <c r="B177" i="6"/>
  <c r="F177" i="6"/>
  <c r="B163" i="6"/>
  <c r="C162" i="6"/>
  <c r="D162" i="6" s="1"/>
  <c r="E64" i="1"/>
  <c r="G164" i="2"/>
  <c r="H164" i="2" s="1"/>
  <c r="I164" i="2" s="1"/>
  <c r="D165" i="2"/>
  <c r="E165" i="2" s="1"/>
  <c r="F165" i="2" s="1"/>
  <c r="D149" i="2"/>
  <c r="E149" i="2" s="1"/>
  <c r="D150" i="2"/>
  <c r="E150" i="2" s="1"/>
  <c r="D166" i="2"/>
  <c r="E166" i="2" s="1"/>
  <c r="F166" i="2" s="1"/>
  <c r="C151" i="2"/>
  <c r="C223" i="6" l="1"/>
  <c r="E223" i="6" s="1"/>
  <c r="G221" i="6"/>
  <c r="G222" i="6"/>
  <c r="E180" i="2"/>
  <c r="E78" i="1"/>
  <c r="D181" i="2"/>
  <c r="E200" i="2"/>
  <c r="V199" i="2"/>
  <c r="W199" i="2"/>
  <c r="U200" i="2"/>
  <c r="T200" i="2"/>
  <c r="S200" i="2"/>
  <c r="E177" i="6"/>
  <c r="H177" i="6" s="1"/>
  <c r="I177" i="6" s="1"/>
  <c r="E192" i="6" s="1"/>
  <c r="B164" i="6"/>
  <c r="C163" i="6"/>
  <c r="D163" i="6" s="1"/>
  <c r="C178" i="6"/>
  <c r="G178" i="6"/>
  <c r="E164" i="6"/>
  <c r="F163" i="6"/>
  <c r="G163" i="6" s="1"/>
  <c r="B178" i="6"/>
  <c r="F178" i="6"/>
  <c r="E66" i="1"/>
  <c r="E65" i="1"/>
  <c r="G165" i="2"/>
  <c r="H165" i="2" s="1"/>
  <c r="I165" i="2" s="1"/>
  <c r="D151" i="2"/>
  <c r="E151" i="2" s="1"/>
  <c r="C152" i="2"/>
  <c r="G166" i="2"/>
  <c r="H166" i="2" s="1"/>
  <c r="I166" i="2" s="1"/>
  <c r="D167" i="2"/>
  <c r="E167" i="2" s="1"/>
  <c r="F167" i="2" s="1"/>
  <c r="B201" i="6" l="1"/>
  <c r="C224" i="6"/>
  <c r="E224" i="6" s="1"/>
  <c r="G223" i="6"/>
  <c r="E181" i="2"/>
  <c r="E79" i="1"/>
  <c r="D183" i="2"/>
  <c r="E202" i="2"/>
  <c r="S202" i="2" s="1"/>
  <c r="D182" i="2"/>
  <c r="E201" i="2"/>
  <c r="U202" i="2"/>
  <c r="T202" i="2"/>
  <c r="V200" i="2"/>
  <c r="W200" i="2"/>
  <c r="E178" i="6"/>
  <c r="H178" i="6" s="1"/>
  <c r="I178" i="6" s="1"/>
  <c r="E193" i="6" s="1"/>
  <c r="C179" i="6"/>
  <c r="G179" i="6"/>
  <c r="D201" i="6"/>
  <c r="C201" i="6"/>
  <c r="C62" i="5" s="1"/>
  <c r="E165" i="6"/>
  <c r="F164" i="6"/>
  <c r="G164" i="6" s="1"/>
  <c r="B179" i="6"/>
  <c r="F179" i="6"/>
  <c r="B165" i="6"/>
  <c r="C164" i="6"/>
  <c r="D164" i="6" s="1"/>
  <c r="E67" i="1"/>
  <c r="D168" i="2"/>
  <c r="E168" i="2" s="1"/>
  <c r="F168" i="2" s="1"/>
  <c r="D152" i="2"/>
  <c r="E152" i="2" s="1"/>
  <c r="G167" i="2"/>
  <c r="H167" i="2" s="1"/>
  <c r="I167" i="2" s="1"/>
  <c r="C153" i="2"/>
  <c r="G224" i="6" l="1"/>
  <c r="C225" i="6"/>
  <c r="E225" i="6" s="1"/>
  <c r="W202" i="2"/>
  <c r="E182" i="2"/>
  <c r="E80" i="1"/>
  <c r="E183" i="2"/>
  <c r="E81" i="1"/>
  <c r="D184" i="2"/>
  <c r="E203" i="2"/>
  <c r="T203" i="2" s="1"/>
  <c r="U201" i="2"/>
  <c r="T201" i="2"/>
  <c r="S201" i="2"/>
  <c r="V201" i="2" s="1"/>
  <c r="V202" i="2"/>
  <c r="B120" i="5"/>
  <c r="E179" i="6"/>
  <c r="H179" i="6" s="1"/>
  <c r="I179" i="6" s="1"/>
  <c r="E194" i="6" s="1"/>
  <c r="B180" i="6"/>
  <c r="F180" i="6"/>
  <c r="B166" i="6"/>
  <c r="C165" i="6"/>
  <c r="D165" i="6" s="1"/>
  <c r="C180" i="6"/>
  <c r="G180" i="6"/>
  <c r="E166" i="6"/>
  <c r="F165" i="6"/>
  <c r="G165" i="6" s="1"/>
  <c r="B205" i="6"/>
  <c r="D219" i="6" s="1"/>
  <c r="E201" i="6"/>
  <c r="B62" i="5" s="1"/>
  <c r="E68" i="1"/>
  <c r="D153" i="2"/>
  <c r="E153" i="2" s="1"/>
  <c r="D169" i="2"/>
  <c r="E169" i="2" s="1"/>
  <c r="F169" i="2" s="1"/>
  <c r="G168" i="2"/>
  <c r="H168" i="2" s="1"/>
  <c r="I168" i="2" s="1"/>
  <c r="G225" i="6" l="1"/>
  <c r="H219" i="6"/>
  <c r="I219" i="6" s="1"/>
  <c r="F219" i="6"/>
  <c r="M219" i="6" s="1"/>
  <c r="N219" i="6" s="1"/>
  <c r="O219" i="6" s="1"/>
  <c r="C235" i="6" s="1"/>
  <c r="D80" i="5" s="1"/>
  <c r="C226" i="6"/>
  <c r="E226" i="6" s="1"/>
  <c r="S203" i="2"/>
  <c r="V203" i="2" s="1"/>
  <c r="E184" i="2"/>
  <c r="E82" i="1"/>
  <c r="U203" i="2"/>
  <c r="W203" i="2" s="1"/>
  <c r="D185" i="2"/>
  <c r="E204" i="2"/>
  <c r="U204" i="2" s="1"/>
  <c r="W201" i="2"/>
  <c r="T204" i="2"/>
  <c r="C120" i="5"/>
  <c r="B206" i="6"/>
  <c r="D220" i="6" s="1"/>
  <c r="C205" i="6"/>
  <c r="D205" i="6" s="1"/>
  <c r="C181" i="6"/>
  <c r="G181" i="6"/>
  <c r="E167" i="6"/>
  <c r="F167" i="6" s="1"/>
  <c r="G167" i="6" s="1"/>
  <c r="F166" i="6"/>
  <c r="G166" i="6" s="1"/>
  <c r="B181" i="6"/>
  <c r="F181" i="6"/>
  <c r="B167" i="6"/>
  <c r="C167" i="6" s="1"/>
  <c r="D167" i="6" s="1"/>
  <c r="C166" i="6"/>
  <c r="D166" i="6" s="1"/>
  <c r="E180" i="6"/>
  <c r="H180" i="6" s="1"/>
  <c r="I180" i="6" s="1"/>
  <c r="E195" i="6" s="1"/>
  <c r="E69" i="1"/>
  <c r="G169" i="2"/>
  <c r="H169" i="2" s="1"/>
  <c r="I169" i="2" s="1"/>
  <c r="S204" i="2" l="1"/>
  <c r="J219" i="6"/>
  <c r="K219" i="6" s="1"/>
  <c r="L219" i="6" s="1"/>
  <c r="E65" i="5" s="1"/>
  <c r="D65" i="5"/>
  <c r="D138" i="5"/>
  <c r="G226" i="6"/>
  <c r="C227" i="6"/>
  <c r="E227" i="6" s="1"/>
  <c r="F220" i="6"/>
  <c r="M220" i="6" s="1"/>
  <c r="N220" i="6" s="1"/>
  <c r="O220" i="6" s="1"/>
  <c r="C236" i="6" s="1"/>
  <c r="D81" i="5" s="1"/>
  <c r="H220" i="6"/>
  <c r="I220" i="6" s="1"/>
  <c r="E185" i="2"/>
  <c r="E83" i="1"/>
  <c r="V204" i="2"/>
  <c r="D186" i="2"/>
  <c r="E186" i="2" s="1"/>
  <c r="E205" i="2"/>
  <c r="K206" i="2" s="1"/>
  <c r="K207" i="2" s="1"/>
  <c r="W204" i="2"/>
  <c r="D123" i="5"/>
  <c r="E181" i="6"/>
  <c r="H181" i="6" s="1"/>
  <c r="I181" i="6" s="1"/>
  <c r="E196" i="6" s="1"/>
  <c r="B183" i="6"/>
  <c r="F183" i="6"/>
  <c r="C183" i="6"/>
  <c r="G183" i="6"/>
  <c r="B182" i="6"/>
  <c r="F182" i="6"/>
  <c r="C182" i="6"/>
  <c r="G182" i="6"/>
  <c r="B207" i="6"/>
  <c r="D221" i="6" s="1"/>
  <c r="C206" i="6"/>
  <c r="D206" i="6" s="1"/>
  <c r="E84" i="1" l="1"/>
  <c r="J220" i="6"/>
  <c r="K220" i="6" s="1"/>
  <c r="L220" i="6" s="1"/>
  <c r="E66" i="5" s="1"/>
  <c r="D66" i="5"/>
  <c r="D139" i="5"/>
  <c r="H221" i="6"/>
  <c r="I221" i="6" s="1"/>
  <c r="F221" i="6"/>
  <c r="M221" i="6" s="1"/>
  <c r="N221" i="6" s="1"/>
  <c r="O221" i="6" s="1"/>
  <c r="C237" i="6" s="1"/>
  <c r="D82" i="5" s="1"/>
  <c r="G227" i="6"/>
  <c r="C228" i="6"/>
  <c r="E228" i="6" s="1"/>
  <c r="T205" i="2"/>
  <c r="S205" i="2"/>
  <c r="U205" i="2"/>
  <c r="C207" i="6"/>
  <c r="D207" i="6" s="1"/>
  <c r="B208" i="6"/>
  <c r="D222" i="6" s="1"/>
  <c r="E182" i="6"/>
  <c r="H182" i="6" s="1"/>
  <c r="I182" i="6" s="1"/>
  <c r="E197" i="6" s="1"/>
  <c r="E183" i="6"/>
  <c r="H183" i="6" s="1"/>
  <c r="I183" i="6" s="1"/>
  <c r="E198" i="6" s="1"/>
  <c r="J221" i="6" l="1"/>
  <c r="K221" i="6" s="1"/>
  <c r="L221" i="6" s="1"/>
  <c r="E67" i="5" s="1"/>
  <c r="D67" i="5"/>
  <c r="D140" i="5"/>
  <c r="C229" i="6"/>
  <c r="E229" i="6" s="1"/>
  <c r="F222" i="6"/>
  <c r="M222" i="6" s="1"/>
  <c r="N222" i="6" s="1"/>
  <c r="O222" i="6" s="1"/>
  <c r="C238" i="6" s="1"/>
  <c r="D83" i="5" s="1"/>
  <c r="H222" i="6"/>
  <c r="I222" i="6" s="1"/>
  <c r="G228" i="6"/>
  <c r="C230" i="6"/>
  <c r="E230" i="6" s="1"/>
  <c r="V205" i="2"/>
  <c r="V206" i="2" s="1"/>
  <c r="W205" i="2"/>
  <c r="W206" i="2" s="1"/>
  <c r="D125" i="5"/>
  <c r="D124" i="5"/>
  <c r="B209" i="6"/>
  <c r="D223" i="6" s="1"/>
  <c r="C208" i="6"/>
  <c r="D208" i="6" s="1"/>
  <c r="J222" i="6" l="1"/>
  <c r="K222" i="6" s="1"/>
  <c r="L222" i="6" s="1"/>
  <c r="E68" i="5" s="1"/>
  <c r="D68" i="5"/>
  <c r="D141" i="5"/>
  <c r="F223" i="6"/>
  <c r="M223" i="6" s="1"/>
  <c r="N223" i="6" s="1"/>
  <c r="O223" i="6" s="1"/>
  <c r="C239" i="6" s="1"/>
  <c r="D84" i="5" s="1"/>
  <c r="H223" i="6"/>
  <c r="I223" i="6" s="1"/>
  <c r="G230" i="6"/>
  <c r="G229" i="6"/>
  <c r="D126" i="5"/>
  <c r="C209" i="6"/>
  <c r="D209" i="6" s="1"/>
  <c r="B210" i="6"/>
  <c r="D224" i="6" s="1"/>
  <c r="J223" i="6" l="1"/>
  <c r="K223" i="6" s="1"/>
  <c r="L223" i="6" s="1"/>
  <c r="E69" i="5" s="1"/>
  <c r="D69" i="5"/>
  <c r="D142" i="5"/>
  <c r="H224" i="6"/>
  <c r="I224" i="6" s="1"/>
  <c r="F224" i="6"/>
  <c r="M224" i="6" s="1"/>
  <c r="N224" i="6" s="1"/>
  <c r="O224" i="6" s="1"/>
  <c r="C240" i="6" s="1"/>
  <c r="D85" i="5" s="1"/>
  <c r="D127" i="5"/>
  <c r="B211" i="6"/>
  <c r="D225" i="6" s="1"/>
  <c r="C210" i="6"/>
  <c r="D210" i="6" s="1"/>
  <c r="J224" i="6" l="1"/>
  <c r="K224" i="6" s="1"/>
  <c r="L224" i="6" s="1"/>
  <c r="E70" i="5" s="1"/>
  <c r="D70" i="5"/>
  <c r="D143" i="5"/>
  <c r="H225" i="6"/>
  <c r="I225" i="6" s="1"/>
  <c r="F225" i="6"/>
  <c r="M225" i="6" s="1"/>
  <c r="N225" i="6" s="1"/>
  <c r="O225" i="6" s="1"/>
  <c r="C241" i="6" s="1"/>
  <c r="D86" i="5" s="1"/>
  <c r="D128" i="5"/>
  <c r="B212" i="6"/>
  <c r="D226" i="6" s="1"/>
  <c r="C211" i="6"/>
  <c r="D211" i="6" s="1"/>
  <c r="J225" i="6" l="1"/>
  <c r="K225" i="6" s="1"/>
  <c r="L225" i="6" s="1"/>
  <c r="E71" i="5" s="1"/>
  <c r="D71" i="5"/>
  <c r="D144" i="5"/>
  <c r="H226" i="6"/>
  <c r="I226" i="6" s="1"/>
  <c r="F226" i="6"/>
  <c r="M226" i="6" s="1"/>
  <c r="N226" i="6" s="1"/>
  <c r="O226" i="6" s="1"/>
  <c r="C242" i="6" s="1"/>
  <c r="D87" i="5" s="1"/>
  <c r="D129" i="5"/>
  <c r="B213" i="6"/>
  <c r="D227" i="6" s="1"/>
  <c r="C212" i="6"/>
  <c r="D212" i="6" s="1"/>
  <c r="J226" i="6" l="1"/>
  <c r="K226" i="6" s="1"/>
  <c r="L226" i="6" s="1"/>
  <c r="E72" i="5" s="1"/>
  <c r="D72" i="5"/>
  <c r="D145" i="5"/>
  <c r="H227" i="6"/>
  <c r="I227" i="6" s="1"/>
  <c r="F227" i="6"/>
  <c r="M227" i="6" s="1"/>
  <c r="N227" i="6" s="1"/>
  <c r="O227" i="6" s="1"/>
  <c r="C243" i="6" s="1"/>
  <c r="D88" i="5" s="1"/>
  <c r="D130" i="5"/>
  <c r="B214" i="6"/>
  <c r="D228" i="6" s="1"/>
  <c r="C213" i="6"/>
  <c r="D213" i="6" s="1"/>
  <c r="J227" i="6" l="1"/>
  <c r="K227" i="6" s="1"/>
  <c r="L227" i="6" s="1"/>
  <c r="E73" i="5" s="1"/>
  <c r="D73" i="5"/>
  <c r="D146" i="5"/>
  <c r="D243" i="6"/>
  <c r="D235" i="6"/>
  <c r="D236" i="6"/>
  <c r="D237" i="6"/>
  <c r="D238" i="6"/>
  <c r="D239" i="6"/>
  <c r="D240" i="6"/>
  <c r="D241" i="6"/>
  <c r="D242" i="6"/>
  <c r="F228" i="6"/>
  <c r="M228" i="6" s="1"/>
  <c r="N228" i="6" s="1"/>
  <c r="O228" i="6" s="1"/>
  <c r="C244" i="6" s="1"/>
  <c r="D89" i="5" s="1"/>
  <c r="H228" i="6"/>
  <c r="I228" i="6" s="1"/>
  <c r="D131" i="5"/>
  <c r="B215" i="6"/>
  <c r="D229" i="6" s="1"/>
  <c r="C214" i="6"/>
  <c r="D214" i="6" s="1"/>
  <c r="J228" i="6" l="1"/>
  <c r="K228" i="6" s="1"/>
  <c r="L228" i="6" s="1"/>
  <c r="E74" i="5" s="1"/>
  <c r="D74" i="5"/>
  <c r="D147" i="5"/>
  <c r="D244" i="6"/>
  <c r="H229" i="6"/>
  <c r="I229" i="6" s="1"/>
  <c r="F229" i="6"/>
  <c r="M229" i="6" s="1"/>
  <c r="N229" i="6" s="1"/>
  <c r="O229" i="6" s="1"/>
  <c r="C245" i="6" s="1"/>
  <c r="D90" i="5" s="1"/>
  <c r="D132" i="5"/>
  <c r="B216" i="6"/>
  <c r="C215" i="6"/>
  <c r="D215" i="6" s="1"/>
  <c r="J229" i="6" l="1"/>
  <c r="K229" i="6" s="1"/>
  <c r="L229" i="6" s="1"/>
  <c r="E75" i="5" s="1"/>
  <c r="D75" i="5"/>
  <c r="D148" i="5"/>
  <c r="D245" i="6"/>
  <c r="D230" i="6"/>
  <c r="H230" i="6" s="1"/>
  <c r="I230" i="6" s="1"/>
  <c r="F230" i="6"/>
  <c r="C216" i="6"/>
  <c r="D216" i="6" s="1"/>
  <c r="J230" i="6" l="1"/>
  <c r="D76" i="5"/>
  <c r="M230" i="6"/>
  <c r="N230" i="6" s="1"/>
  <c r="O230" i="6" s="1"/>
  <c r="C246" i="6" s="1"/>
  <c r="D91" i="5" s="1"/>
  <c r="K230" i="6"/>
  <c r="L230" i="6" s="1"/>
  <c r="E76" i="5" s="1"/>
  <c r="D134" i="5"/>
  <c r="D133" i="5"/>
  <c r="D246" i="6" l="1"/>
  <c r="D149" i="5"/>
  <c r="D155" i="9"/>
  <c r="F61" i="8" s="1"/>
  <c r="F155" i="9"/>
  <c r="E61" i="8" s="1"/>
  <c r="D159" i="9" l="1"/>
  <c r="E159" i="9" l="1"/>
  <c r="D160" i="9"/>
  <c r="H175" i="9" l="1"/>
  <c r="E160" i="9"/>
  <c r="D161" i="9"/>
  <c r="K258" i="9"/>
  <c r="F160" i="9" l="1"/>
  <c r="H176" i="9" s="1"/>
  <c r="E161" i="9"/>
  <c r="F161" i="9" s="1"/>
  <c r="D162" i="9"/>
  <c r="K259" i="9" l="1"/>
  <c r="H177" i="9"/>
  <c r="D163" i="9"/>
  <c r="E162" i="9"/>
  <c r="F162" i="9" s="1"/>
  <c r="K260" i="9"/>
  <c r="H178" i="9" l="1"/>
  <c r="K261" i="9"/>
  <c r="D164" i="9"/>
  <c r="E163" i="9"/>
  <c r="F163" i="9" s="1"/>
  <c r="K262" i="9" l="1"/>
  <c r="H179" i="9"/>
  <c r="E164" i="9"/>
  <c r="F164" i="9" s="1"/>
  <c r="D165" i="9"/>
  <c r="H180" i="9" l="1"/>
  <c r="K263" i="9"/>
  <c r="D166" i="9"/>
  <c r="E165" i="9"/>
  <c r="F165" i="9" s="1"/>
  <c r="H181" i="9" l="1"/>
  <c r="K264" i="9"/>
  <c r="E166" i="9"/>
  <c r="F166" i="9" s="1"/>
  <c r="D167" i="9"/>
  <c r="H182" i="9" l="1"/>
  <c r="D168" i="9"/>
  <c r="E167" i="9"/>
  <c r="F167" i="9" s="1"/>
  <c r="K265" i="9"/>
  <c r="H183" i="9" l="1"/>
  <c r="E168" i="9"/>
  <c r="F168" i="9" s="1"/>
  <c r="D169" i="9"/>
  <c r="K266" i="9"/>
  <c r="H184" i="9" l="1"/>
  <c r="K267" i="9"/>
  <c r="D170" i="9"/>
  <c r="E170" i="9" s="1"/>
  <c r="F170" i="9" s="1"/>
  <c r="E169" i="9"/>
  <c r="F169" i="9" s="1"/>
  <c r="H185" i="9" l="1"/>
  <c r="H186" i="9"/>
  <c r="K269" i="9"/>
  <c r="K268" i="9"/>
  <c r="C127" i="9"/>
  <c r="I127" i="9" s="1"/>
  <c r="C130" i="9"/>
  <c r="C135" i="9"/>
  <c r="I135" i="9" s="1"/>
  <c r="C183" i="9" s="1"/>
  <c r="C136" i="9"/>
  <c r="C138" i="9"/>
  <c r="I138" i="9" s="1"/>
  <c r="C186" i="9" s="1"/>
  <c r="E181" i="9"/>
  <c r="C134" i="9"/>
  <c r="I134" i="9" s="1"/>
  <c r="C182" i="9" s="1"/>
  <c r="E176" i="9"/>
  <c r="F132" i="9"/>
  <c r="E180" i="9"/>
  <c r="K120" i="9"/>
  <c r="C137" i="9"/>
  <c r="Z2" i="9" l="1"/>
  <c r="Z10" i="9"/>
  <c r="Z18" i="9"/>
  <c r="Z26" i="9"/>
  <c r="Z34" i="9"/>
  <c r="Z42" i="9"/>
  <c r="Z50" i="9"/>
  <c r="Z58" i="9"/>
  <c r="Z66" i="9"/>
  <c r="Z74" i="9"/>
  <c r="Z82" i="9"/>
  <c r="Z90" i="9"/>
  <c r="Z98" i="9"/>
  <c r="Z106" i="9"/>
  <c r="Z114" i="9"/>
  <c r="Z122" i="9"/>
  <c r="Z130" i="9"/>
  <c r="Z138" i="9"/>
  <c r="Z146" i="9"/>
  <c r="Z154" i="9"/>
  <c r="Z162" i="9"/>
  <c r="Z170" i="9"/>
  <c r="Z178" i="9"/>
  <c r="Z186" i="9"/>
  <c r="Z194" i="9"/>
  <c r="Z202" i="9"/>
  <c r="Z210" i="9"/>
  <c r="Z218" i="9"/>
  <c r="Z226" i="9"/>
  <c r="Z234" i="9"/>
  <c r="Z242" i="9"/>
  <c r="Z250" i="9"/>
  <c r="Z258" i="9"/>
  <c r="Z266" i="9"/>
  <c r="Z274" i="9"/>
  <c r="Z282" i="9"/>
  <c r="Z290" i="9"/>
  <c r="Z298" i="9"/>
  <c r="Z306" i="9"/>
  <c r="Z314" i="9"/>
  <c r="Z322" i="9"/>
  <c r="Z330" i="9"/>
  <c r="Z338" i="9"/>
  <c r="Z346" i="9"/>
  <c r="Z354" i="9"/>
  <c r="Z362" i="9"/>
  <c r="Z3" i="9"/>
  <c r="Z11" i="9"/>
  <c r="Z19" i="9"/>
  <c r="Z27" i="9"/>
  <c r="Z35" i="9"/>
  <c r="Z43" i="9"/>
  <c r="Z51" i="9"/>
  <c r="Z59" i="9"/>
  <c r="Z67" i="9"/>
  <c r="Z75" i="9"/>
  <c r="Z83" i="9"/>
  <c r="Z91" i="9"/>
  <c r="Z99" i="9"/>
  <c r="Z107" i="9"/>
  <c r="Z115" i="9"/>
  <c r="Z123" i="9"/>
  <c r="Z131" i="9"/>
  <c r="Z139" i="9"/>
  <c r="Z147" i="9"/>
  <c r="Z155" i="9"/>
  <c r="Z163" i="9"/>
  <c r="Z171" i="9"/>
  <c r="Z179" i="9"/>
  <c r="Z187" i="9"/>
  <c r="Z195" i="9"/>
  <c r="Z203" i="9"/>
  <c r="Z211" i="9"/>
  <c r="Z219" i="9"/>
  <c r="Z227" i="9"/>
  <c r="Z235" i="9"/>
  <c r="Z243" i="9"/>
  <c r="Z251" i="9"/>
  <c r="Z259" i="9"/>
  <c r="Z267" i="9"/>
  <c r="Z275" i="9"/>
  <c r="Z283" i="9"/>
  <c r="Z291" i="9"/>
  <c r="Z299" i="9"/>
  <c r="Z307" i="9"/>
  <c r="Z315" i="9"/>
  <c r="Z323" i="9"/>
  <c r="Z331" i="9"/>
  <c r="Z339" i="9"/>
  <c r="Z347" i="9"/>
  <c r="Z355" i="9"/>
  <c r="Z363" i="9"/>
  <c r="Z4" i="9"/>
  <c r="Z12" i="9"/>
  <c r="Z20" i="9"/>
  <c r="Z28" i="9"/>
  <c r="Z36" i="9"/>
  <c r="Z44" i="9"/>
  <c r="Z52" i="9"/>
  <c r="Z60" i="9"/>
  <c r="Z68" i="9"/>
  <c r="Z76" i="9"/>
  <c r="Z84" i="9"/>
  <c r="Z92" i="9"/>
  <c r="Z100" i="9"/>
  <c r="Z108" i="9"/>
  <c r="Z116" i="9"/>
  <c r="Z124" i="9"/>
  <c r="Z132" i="9"/>
  <c r="Z140" i="9"/>
  <c r="Z148" i="9"/>
  <c r="Z156" i="9"/>
  <c r="Z164" i="9"/>
  <c r="Z172" i="9"/>
  <c r="Z180" i="9"/>
  <c r="Z188" i="9"/>
  <c r="Z196" i="9"/>
  <c r="Z204" i="9"/>
  <c r="Z212" i="9"/>
  <c r="Z220" i="9"/>
  <c r="Z228" i="9"/>
  <c r="Z236" i="9"/>
  <c r="Z244" i="9"/>
  <c r="Z252" i="9"/>
  <c r="Z260" i="9"/>
  <c r="Z268" i="9"/>
  <c r="Z276" i="9"/>
  <c r="Z284" i="9"/>
  <c r="Z292" i="9"/>
  <c r="Z300" i="9"/>
  <c r="Z308" i="9"/>
  <c r="Z316" i="9"/>
  <c r="Z324" i="9"/>
  <c r="Z332" i="9"/>
  <c r="Z340" i="9"/>
  <c r="Z348" i="9"/>
  <c r="Z356" i="9"/>
  <c r="Z5" i="9"/>
  <c r="Z13" i="9"/>
  <c r="Z21" i="9"/>
  <c r="Z29" i="9"/>
  <c r="Z37" i="9"/>
  <c r="Z45" i="9"/>
  <c r="Z53" i="9"/>
  <c r="Z61" i="9"/>
  <c r="Z69" i="9"/>
  <c r="Z77" i="9"/>
  <c r="Z85" i="9"/>
  <c r="Z93" i="9"/>
  <c r="Z101" i="9"/>
  <c r="Z109" i="9"/>
  <c r="Z117" i="9"/>
  <c r="Z125" i="9"/>
  <c r="Z133" i="9"/>
  <c r="Z141" i="9"/>
  <c r="Z149" i="9"/>
  <c r="Z157" i="9"/>
  <c r="Z165" i="9"/>
  <c r="Z173" i="9"/>
  <c r="Z181" i="9"/>
  <c r="Z189" i="9"/>
  <c r="Z197" i="9"/>
  <c r="Z205" i="9"/>
  <c r="Z213" i="9"/>
  <c r="Z221" i="9"/>
  <c r="Z229" i="9"/>
  <c r="Z237" i="9"/>
  <c r="Z245" i="9"/>
  <c r="Z253" i="9"/>
  <c r="Z261" i="9"/>
  <c r="Z269" i="9"/>
  <c r="Z277" i="9"/>
  <c r="Z285" i="9"/>
  <c r="Z293" i="9"/>
  <c r="Z301" i="9"/>
  <c r="Z309" i="9"/>
  <c r="Z317" i="9"/>
  <c r="Z325" i="9"/>
  <c r="Z333" i="9"/>
  <c r="Z341" i="9"/>
  <c r="Z349" i="9"/>
  <c r="Z357" i="9"/>
  <c r="Z6" i="9"/>
  <c r="Z14" i="9"/>
  <c r="Z22" i="9"/>
  <c r="Z30" i="9"/>
  <c r="Z38" i="9"/>
  <c r="Z46" i="9"/>
  <c r="Z54" i="9"/>
  <c r="Z62" i="9"/>
  <c r="Z70" i="9"/>
  <c r="Z78" i="9"/>
  <c r="Z86" i="9"/>
  <c r="Z94" i="9"/>
  <c r="Z102" i="9"/>
  <c r="Z110" i="9"/>
  <c r="Z118" i="9"/>
  <c r="Z126" i="9"/>
  <c r="Z134" i="9"/>
  <c r="Z142" i="9"/>
  <c r="Z150" i="9"/>
  <c r="Z158" i="9"/>
  <c r="Z166" i="9"/>
  <c r="Z174" i="9"/>
  <c r="Z182" i="9"/>
  <c r="Z190" i="9"/>
  <c r="Z198" i="9"/>
  <c r="Z206" i="9"/>
  <c r="Z214" i="9"/>
  <c r="Z222" i="9"/>
  <c r="Z230" i="9"/>
  <c r="Z238" i="9"/>
  <c r="Z246" i="9"/>
  <c r="Z254" i="9"/>
  <c r="Z262" i="9"/>
  <c r="Z270" i="9"/>
  <c r="Z278" i="9"/>
  <c r="Z286" i="9"/>
  <c r="Z294" i="9"/>
  <c r="Z302" i="9"/>
  <c r="Z310" i="9"/>
  <c r="Z318" i="9"/>
  <c r="Z326" i="9"/>
  <c r="Z334" i="9"/>
  <c r="Z342" i="9"/>
  <c r="Z350" i="9"/>
  <c r="Z358" i="9"/>
  <c r="Z7" i="9"/>
  <c r="Z15" i="9"/>
  <c r="Z23" i="9"/>
  <c r="Z31" i="9"/>
  <c r="Z39" i="9"/>
  <c r="Z47" i="9"/>
  <c r="Z55" i="9"/>
  <c r="Z63" i="9"/>
  <c r="Z71" i="9"/>
  <c r="Z79" i="9"/>
  <c r="Z87" i="9"/>
  <c r="Z95" i="9"/>
  <c r="Z103" i="9"/>
  <c r="Z111" i="9"/>
  <c r="Z119" i="9"/>
  <c r="Z127" i="9"/>
  <c r="Z135" i="9"/>
  <c r="Z143" i="9"/>
  <c r="Z151" i="9"/>
  <c r="Z159" i="9"/>
  <c r="Z167" i="9"/>
  <c r="Z175" i="9"/>
  <c r="Z183" i="9"/>
  <c r="Z191" i="9"/>
  <c r="Z199" i="9"/>
  <c r="Z207" i="9"/>
  <c r="Z215" i="9"/>
  <c r="Z223" i="9"/>
  <c r="Z231" i="9"/>
  <c r="Z239" i="9"/>
  <c r="Z247" i="9"/>
  <c r="Z255" i="9"/>
  <c r="Z263" i="9"/>
  <c r="Z271" i="9"/>
  <c r="Z279" i="9"/>
  <c r="Z287" i="9"/>
  <c r="Z295" i="9"/>
  <c r="Z303" i="9"/>
  <c r="Z311" i="9"/>
  <c r="Z319" i="9"/>
  <c r="Z327" i="9"/>
  <c r="Z335" i="9"/>
  <c r="Z343" i="9"/>
  <c r="Z351" i="9"/>
  <c r="Z359" i="9"/>
  <c r="Z8" i="9"/>
  <c r="Z16" i="9"/>
  <c r="Z24" i="9"/>
  <c r="Z32" i="9"/>
  <c r="Z40" i="9"/>
  <c r="Z48" i="9"/>
  <c r="Z56" i="9"/>
  <c r="Z64" i="9"/>
  <c r="Z72" i="9"/>
  <c r="Z80" i="9"/>
  <c r="Z88" i="9"/>
  <c r="Z96" i="9"/>
  <c r="Z104" i="9"/>
  <c r="Z112" i="9"/>
  <c r="Z120" i="9"/>
  <c r="Z128" i="9"/>
  <c r="Z136" i="9"/>
  <c r="Z144" i="9"/>
  <c r="Z152" i="9"/>
  <c r="Z160" i="9"/>
  <c r="Z168" i="9"/>
  <c r="Z176" i="9"/>
  <c r="Z184" i="9"/>
  <c r="Z192" i="9"/>
  <c r="Z200" i="9"/>
  <c r="Z208" i="9"/>
  <c r="Z216" i="9"/>
  <c r="Z224" i="9"/>
  <c r="Z232" i="9"/>
  <c r="Z240" i="9"/>
  <c r="Z248" i="9"/>
  <c r="Z256" i="9"/>
  <c r="Z264" i="9"/>
  <c r="Z272" i="9"/>
  <c r="Z280" i="9"/>
  <c r="Z288" i="9"/>
  <c r="Z296" i="9"/>
  <c r="Z304" i="9"/>
  <c r="Z312" i="9"/>
  <c r="Z320" i="9"/>
  <c r="Z328" i="9"/>
  <c r="Z336" i="9"/>
  <c r="Z344" i="9"/>
  <c r="Z352" i="9"/>
  <c r="Z360" i="9"/>
  <c r="Z9" i="9"/>
  <c r="Z17" i="9"/>
  <c r="Z25" i="9"/>
  <c r="Z33" i="9"/>
  <c r="Z41" i="9"/>
  <c r="Z49" i="9"/>
  <c r="Z57" i="9"/>
  <c r="Z65" i="9"/>
  <c r="Z73" i="9"/>
  <c r="Z81" i="9"/>
  <c r="Z89" i="9"/>
  <c r="Z97" i="9"/>
  <c r="Z105" i="9"/>
  <c r="Z113" i="9"/>
  <c r="Z121" i="9"/>
  <c r="Z129" i="9"/>
  <c r="Z137" i="9"/>
  <c r="Z145" i="9"/>
  <c r="Z153" i="9"/>
  <c r="Z161" i="9"/>
  <c r="Z169" i="9"/>
  <c r="Z177" i="9"/>
  <c r="Z185" i="9"/>
  <c r="Z193" i="9"/>
  <c r="Z201" i="9"/>
  <c r="Z209" i="9"/>
  <c r="Z217" i="9"/>
  <c r="Z225" i="9"/>
  <c r="Z233" i="9"/>
  <c r="Z241" i="9"/>
  <c r="Z249" i="9"/>
  <c r="Z257" i="9"/>
  <c r="Z265" i="9"/>
  <c r="Z273" i="9"/>
  <c r="Z281" i="9"/>
  <c r="Z289" i="9"/>
  <c r="Z297" i="9"/>
  <c r="Z305" i="9"/>
  <c r="Z313" i="9"/>
  <c r="Z321" i="9"/>
  <c r="Z329" i="9"/>
  <c r="Z337" i="9"/>
  <c r="Z345" i="9"/>
  <c r="Z353" i="9"/>
  <c r="Z361" i="9"/>
  <c r="E175" i="9"/>
  <c r="C175" i="9"/>
  <c r="D175" i="9"/>
  <c r="I130" i="9"/>
  <c r="D178" i="9" s="1"/>
  <c r="I136" i="9"/>
  <c r="I137" i="9"/>
  <c r="C185" i="9" s="1"/>
  <c r="D186" i="9"/>
  <c r="E183" i="9"/>
  <c r="D183" i="9"/>
  <c r="H132" i="9"/>
  <c r="R132" i="9" s="1"/>
  <c r="U132" i="9" s="1"/>
  <c r="F131" i="9"/>
  <c r="E182" i="9"/>
  <c r="D182" i="9"/>
  <c r="E179" i="9"/>
  <c r="D179" i="9"/>
  <c r="E186" i="9"/>
  <c r="D177" i="9"/>
  <c r="F177" i="9" s="1"/>
  <c r="I177" i="9" s="1"/>
  <c r="E177" i="9"/>
  <c r="D181" i="9"/>
  <c r="D180" i="9"/>
  <c r="H131" i="9"/>
  <c r="D176" i="9"/>
  <c r="F175" i="9" l="1"/>
  <c r="I175" i="9" s="1"/>
  <c r="J175" i="9" s="1"/>
  <c r="D184" i="9"/>
  <c r="C184" i="9"/>
  <c r="E178" i="9"/>
  <c r="C178" i="9"/>
  <c r="F178" i="9" s="1"/>
  <c r="I178" i="9" s="1"/>
  <c r="J177" i="9"/>
  <c r="F192" i="9" s="1"/>
  <c r="E260" i="9" s="1"/>
  <c r="E185" i="9"/>
  <c r="E184" i="9"/>
  <c r="Q131" i="9"/>
  <c r="T131" i="9" s="1"/>
  <c r="D185" i="9"/>
  <c r="F185" i="9" s="1"/>
  <c r="I185" i="9" s="1"/>
  <c r="F183" i="9"/>
  <c r="I183" i="9" s="1"/>
  <c r="F186" i="9"/>
  <c r="I186" i="9" s="1"/>
  <c r="F176" i="9"/>
  <c r="I176" i="9" s="1"/>
  <c r="J176" i="9" s="1"/>
  <c r="F180" i="9"/>
  <c r="I180" i="9" s="1"/>
  <c r="F181" i="9"/>
  <c r="I181" i="9" s="1"/>
  <c r="S132" i="9"/>
  <c r="V132" i="9" s="1"/>
  <c r="F146" i="9" s="1"/>
  <c r="Q132" i="9"/>
  <c r="T132" i="9" s="1"/>
  <c r="S131" i="9"/>
  <c r="V131" i="9" s="1"/>
  <c r="F145" i="9" s="1"/>
  <c r="R131" i="9"/>
  <c r="U131" i="9" s="1"/>
  <c r="F179" i="9"/>
  <c r="I179" i="9" s="1"/>
  <c r="F182" i="9"/>
  <c r="I182" i="9" s="1"/>
  <c r="F184" i="9" l="1"/>
  <c r="I184" i="9" s="1"/>
  <c r="J184" i="9" s="1"/>
  <c r="F199" i="9" s="1"/>
  <c r="J185" i="9"/>
  <c r="F200" i="9" s="1"/>
  <c r="E268" i="9" s="1"/>
  <c r="F190" i="9"/>
  <c r="E258" i="9" s="1"/>
  <c r="F191" i="9"/>
  <c r="J180" i="9"/>
  <c r="F195" i="9" s="1"/>
  <c r="J178" i="9"/>
  <c r="F193" i="9" s="1"/>
  <c r="J181" i="9"/>
  <c r="F196" i="9" s="1"/>
  <c r="J183" i="9"/>
  <c r="F198" i="9" s="1"/>
  <c r="J186" i="9"/>
  <c r="F201" i="9" s="1"/>
  <c r="J182" i="9"/>
  <c r="F197" i="9" s="1"/>
  <c r="J179" i="9"/>
  <c r="F194" i="9" s="1"/>
  <c r="E204" i="9" s="1"/>
  <c r="F204" i="9" s="1"/>
  <c r="D224" i="9"/>
  <c r="F224" i="9" s="1"/>
  <c r="T260" i="9"/>
  <c r="S260" i="9"/>
  <c r="U260" i="9"/>
  <c r="E262" i="9" l="1"/>
  <c r="U262" i="9" s="1"/>
  <c r="T268" i="9"/>
  <c r="S268" i="9"/>
  <c r="D232" i="9"/>
  <c r="F232" i="9" s="1"/>
  <c r="H232" i="9" s="1"/>
  <c r="D222" i="9"/>
  <c r="F222" i="9" s="1"/>
  <c r="H222" i="9" s="1"/>
  <c r="T258" i="9"/>
  <c r="U258" i="9"/>
  <c r="S258" i="9"/>
  <c r="U268" i="9"/>
  <c r="E267" i="9"/>
  <c r="S267" i="9" s="1"/>
  <c r="D231" i="9"/>
  <c r="F231" i="9" s="1"/>
  <c r="H231" i="9" s="1"/>
  <c r="E265" i="9"/>
  <c r="S265" i="9" s="1"/>
  <c r="D229" i="9"/>
  <c r="F229" i="9" s="1"/>
  <c r="H229" i="9" s="1"/>
  <c r="E269" i="9"/>
  <c r="D233" i="9"/>
  <c r="F233" i="9" s="1"/>
  <c r="H233" i="9" s="1"/>
  <c r="E261" i="9"/>
  <c r="D225" i="9"/>
  <c r="F225" i="9" s="1"/>
  <c r="H225" i="9" s="1"/>
  <c r="E266" i="9"/>
  <c r="D230" i="9"/>
  <c r="F230" i="9" s="1"/>
  <c r="H230" i="9" s="1"/>
  <c r="D227" i="9"/>
  <c r="F227" i="9" s="1"/>
  <c r="H227" i="9" s="1"/>
  <c r="E263" i="9"/>
  <c r="T263" i="9" s="1"/>
  <c r="E264" i="9"/>
  <c r="D228" i="9"/>
  <c r="F228" i="9" s="1"/>
  <c r="H228" i="9" s="1"/>
  <c r="E259" i="9"/>
  <c r="D223" i="9"/>
  <c r="F223" i="9" s="1"/>
  <c r="H223" i="9" s="1"/>
  <c r="D226" i="9"/>
  <c r="F226" i="9" s="1"/>
  <c r="H226" i="9" s="1"/>
  <c r="H224" i="9"/>
  <c r="V260" i="9"/>
  <c r="W260" i="9"/>
  <c r="U267" i="9" l="1"/>
  <c r="S262" i="9"/>
  <c r="T262" i="9"/>
  <c r="T267" i="9"/>
  <c r="V258" i="9"/>
  <c r="W268" i="9"/>
  <c r="V268" i="9"/>
  <c r="C204" i="9"/>
  <c r="D204" i="9" s="1"/>
  <c r="B61" i="8" s="1"/>
  <c r="W258" i="9"/>
  <c r="C61" i="8"/>
  <c r="T265" i="9"/>
  <c r="U265" i="9"/>
  <c r="S263" i="9"/>
  <c r="U263" i="9"/>
  <c r="S266" i="9"/>
  <c r="T266" i="9"/>
  <c r="U266" i="9"/>
  <c r="S261" i="9"/>
  <c r="U261" i="9"/>
  <c r="T261" i="9"/>
  <c r="S269" i="9"/>
  <c r="T269" i="9"/>
  <c r="U269" i="9"/>
  <c r="S259" i="9"/>
  <c r="U259" i="9"/>
  <c r="T259" i="9"/>
  <c r="U264" i="9"/>
  <c r="T264" i="9"/>
  <c r="S264" i="9"/>
  <c r="V267" i="9" l="1"/>
  <c r="W262" i="9"/>
  <c r="W267" i="9"/>
  <c r="V262" i="9"/>
  <c r="W265" i="9"/>
  <c r="W263" i="9"/>
  <c r="C208" i="9"/>
  <c r="D208" i="9" s="1"/>
  <c r="E208" i="9" s="1"/>
  <c r="V263" i="9"/>
  <c r="W261" i="9"/>
  <c r="V265" i="9"/>
  <c r="W259" i="9"/>
  <c r="W264" i="9"/>
  <c r="V269" i="9"/>
  <c r="W269" i="9"/>
  <c r="W266" i="9"/>
  <c r="V259" i="9"/>
  <c r="V266" i="9"/>
  <c r="V261" i="9"/>
  <c r="V264" i="9"/>
  <c r="C209" i="9" l="1"/>
  <c r="C210" i="9" s="1"/>
  <c r="C211" i="9" s="1"/>
  <c r="E222" i="9"/>
  <c r="I222" i="9" s="1"/>
  <c r="J222" i="9" s="1"/>
  <c r="K222" i="9" s="1"/>
  <c r="L222" i="9" s="1"/>
  <c r="G222" i="9" l="1"/>
  <c r="O222" i="9" s="1"/>
  <c r="P222" i="9" s="1"/>
  <c r="Q222" i="9" s="1"/>
  <c r="D242" i="9" s="1"/>
  <c r="E78" i="8" s="1"/>
  <c r="D64" i="8"/>
  <c r="E224" i="9"/>
  <c r="G224" i="9" s="1"/>
  <c r="O224" i="9" s="1"/>
  <c r="P224" i="9" s="1"/>
  <c r="Q224" i="9" s="1"/>
  <c r="D244" i="9" s="1"/>
  <c r="E80" i="8" s="1"/>
  <c r="D210" i="9"/>
  <c r="E210" i="9" s="1"/>
  <c r="D209" i="9"/>
  <c r="E209" i="9" s="1"/>
  <c r="E223" i="9"/>
  <c r="M222" i="9"/>
  <c r="N222" i="9" s="1"/>
  <c r="E64" i="8" s="1"/>
  <c r="C212" i="9"/>
  <c r="D211" i="9"/>
  <c r="E211" i="9" s="1"/>
  <c r="E225" i="9"/>
  <c r="I224" i="9" l="1"/>
  <c r="J224" i="9" s="1"/>
  <c r="K224" i="9" s="1"/>
  <c r="L224" i="9" s="1"/>
  <c r="I223" i="9"/>
  <c r="J223" i="9" s="1"/>
  <c r="G223" i="9"/>
  <c r="O223" i="9" s="1"/>
  <c r="P223" i="9" s="1"/>
  <c r="Q223" i="9" s="1"/>
  <c r="D243" i="9" s="1"/>
  <c r="E79" i="8" s="1"/>
  <c r="I225" i="9"/>
  <c r="J225" i="9" s="1"/>
  <c r="G225" i="9"/>
  <c r="O225" i="9" s="1"/>
  <c r="P225" i="9" s="1"/>
  <c r="Q225" i="9" s="1"/>
  <c r="D245" i="9" s="1"/>
  <c r="E81" i="8" s="1"/>
  <c r="C213" i="9"/>
  <c r="D212" i="9"/>
  <c r="E212" i="9" s="1"/>
  <c r="E226" i="9"/>
  <c r="D66" i="8" l="1"/>
  <c r="D65" i="8"/>
  <c r="K223" i="9"/>
  <c r="L223" i="9" s="1"/>
  <c r="M223" i="9" s="1"/>
  <c r="N223" i="9" s="1"/>
  <c r="E65" i="8" s="1"/>
  <c r="M224" i="9"/>
  <c r="N224" i="9" s="1"/>
  <c r="E66" i="8" s="1"/>
  <c r="K225" i="9"/>
  <c r="L225" i="9" s="1"/>
  <c r="D67" i="8"/>
  <c r="G226" i="9"/>
  <c r="O226" i="9" s="1"/>
  <c r="P226" i="9" s="1"/>
  <c r="Q226" i="9" s="1"/>
  <c r="D246" i="9" s="1"/>
  <c r="E82" i="8" s="1"/>
  <c r="I226" i="9"/>
  <c r="J226" i="9" s="1"/>
  <c r="C214" i="9"/>
  <c r="D213" i="9"/>
  <c r="E213" i="9" s="1"/>
  <c r="E227" i="9"/>
  <c r="M225" i="9" l="1"/>
  <c r="N225" i="9" s="1"/>
  <c r="E67" i="8" s="1"/>
  <c r="K226" i="9"/>
  <c r="L226" i="9" s="1"/>
  <c r="D68" i="8"/>
  <c r="E245" i="9"/>
  <c r="G227" i="9"/>
  <c r="O227" i="9" s="1"/>
  <c r="P227" i="9" s="1"/>
  <c r="Q227" i="9" s="1"/>
  <c r="D247" i="9" s="1"/>
  <c r="E83" i="8" s="1"/>
  <c r="I227" i="9"/>
  <c r="J227" i="9" s="1"/>
  <c r="C215" i="9"/>
  <c r="D214" i="9"/>
  <c r="E214" i="9" s="1"/>
  <c r="E228" i="9"/>
  <c r="E246" i="9"/>
  <c r="E242" i="9"/>
  <c r="E243" i="9"/>
  <c r="E244" i="9"/>
  <c r="M226" i="9" l="1"/>
  <c r="N226" i="9" s="1"/>
  <c r="E68" i="8" s="1"/>
  <c r="K227" i="9"/>
  <c r="L227" i="9" s="1"/>
  <c r="D69" i="8"/>
  <c r="E247" i="9"/>
  <c r="I228" i="9"/>
  <c r="J228" i="9" s="1"/>
  <c r="G228" i="9"/>
  <c r="O228" i="9" s="1"/>
  <c r="P228" i="9" s="1"/>
  <c r="Q228" i="9" s="1"/>
  <c r="D248" i="9" s="1"/>
  <c r="E84" i="8" s="1"/>
  <c r="D215" i="9"/>
  <c r="E215" i="9" s="1"/>
  <c r="C216" i="9"/>
  <c r="E229" i="9"/>
  <c r="M227" i="9" l="1"/>
  <c r="N227" i="9" s="1"/>
  <c r="E69" i="8" s="1"/>
  <c r="E248" i="9"/>
  <c r="K228" i="9"/>
  <c r="L228" i="9" s="1"/>
  <c r="D70" i="8"/>
  <c r="I229" i="9"/>
  <c r="J229" i="9" s="1"/>
  <c r="G229" i="9"/>
  <c r="O229" i="9" s="1"/>
  <c r="P229" i="9" s="1"/>
  <c r="Q229" i="9" s="1"/>
  <c r="D249" i="9" s="1"/>
  <c r="E85" i="8" s="1"/>
  <c r="D216" i="9"/>
  <c r="E216" i="9" s="1"/>
  <c r="C217" i="9"/>
  <c r="E230" i="9"/>
  <c r="M228" i="9" l="1"/>
  <c r="N228" i="9" s="1"/>
  <c r="E70" i="8" s="1"/>
  <c r="K229" i="9"/>
  <c r="L229" i="9" s="1"/>
  <c r="D71" i="8"/>
  <c r="E249" i="9"/>
  <c r="G230" i="9"/>
  <c r="O230" i="9" s="1"/>
  <c r="P230" i="9" s="1"/>
  <c r="Q230" i="9" s="1"/>
  <c r="D250" i="9" s="1"/>
  <c r="E86" i="8" s="1"/>
  <c r="I230" i="9"/>
  <c r="J230" i="9" s="1"/>
  <c r="D217" i="9"/>
  <c r="E217" i="9" s="1"/>
  <c r="C218" i="9"/>
  <c r="E231" i="9"/>
  <c r="M229" i="9" l="1"/>
  <c r="N229" i="9" s="1"/>
  <c r="E71" i="8" s="1"/>
  <c r="K230" i="9"/>
  <c r="L230" i="9" s="1"/>
  <c r="D72" i="8"/>
  <c r="E250" i="9"/>
  <c r="I231" i="9"/>
  <c r="J231" i="9" s="1"/>
  <c r="G231" i="9"/>
  <c r="O231" i="9" s="1"/>
  <c r="P231" i="9" s="1"/>
  <c r="Q231" i="9" s="1"/>
  <c r="D251" i="9" s="1"/>
  <c r="E87" i="8" s="1"/>
  <c r="C219" i="9"/>
  <c r="D218" i="9"/>
  <c r="E218" i="9" s="1"/>
  <c r="E232" i="9"/>
  <c r="M230" i="9" l="1"/>
  <c r="N230" i="9" s="1"/>
  <c r="E72" i="8" s="1"/>
  <c r="K231" i="9"/>
  <c r="L231" i="9" s="1"/>
  <c r="D73" i="8"/>
  <c r="E251" i="9"/>
  <c r="G232" i="9"/>
  <c r="O232" i="9" s="1"/>
  <c r="P232" i="9" s="1"/>
  <c r="Q232" i="9" s="1"/>
  <c r="D252" i="9" s="1"/>
  <c r="E88" i="8" s="1"/>
  <c r="I232" i="9"/>
  <c r="J232" i="9" s="1"/>
  <c r="D219" i="9"/>
  <c r="E219" i="9" s="1"/>
  <c r="E233" i="9"/>
  <c r="G233" i="9" s="1"/>
  <c r="M231" i="9" l="1"/>
  <c r="N231" i="9" s="1"/>
  <c r="E73" i="8" s="1"/>
  <c r="K232" i="9"/>
  <c r="L232" i="9" s="1"/>
  <c r="D74" i="8"/>
  <c r="E252" i="9"/>
  <c r="I233" i="9"/>
  <c r="J233" i="9" s="1"/>
  <c r="O233" i="9"/>
  <c r="P233" i="9" s="1"/>
  <c r="Q233" i="9" s="1"/>
  <c r="D253" i="9" s="1"/>
  <c r="M232" i="9" l="1"/>
  <c r="N232" i="9" s="1"/>
  <c r="E74" i="8" s="1"/>
  <c r="K233" i="9"/>
  <c r="L233" i="9" s="1"/>
  <c r="E253" i="9"/>
  <c r="M233" i="9" l="1"/>
  <c r="N233" i="9" s="1"/>
</calcChain>
</file>

<file path=xl/sharedStrings.xml><?xml version="1.0" encoding="utf-8"?>
<sst xmlns="http://schemas.openxmlformats.org/spreadsheetml/2006/main" count="1426" uniqueCount="310">
  <si>
    <t>R</t>
  </si>
  <si>
    <t>G</t>
  </si>
  <si>
    <t>B</t>
  </si>
  <si>
    <t>Temp</t>
  </si>
  <si>
    <t>x - Color Coordinates</t>
  </si>
  <si>
    <t>y - Color Coordinates</t>
  </si>
  <si>
    <t>Photometric / lm</t>
  </si>
  <si>
    <t>光強度推算</t>
    <phoneticPr fontId="2" type="noConversion"/>
  </si>
  <si>
    <t>最大電流(mA)</t>
    <phoneticPr fontId="2" type="noConversion"/>
  </si>
  <si>
    <t>倍率</t>
  </si>
  <si>
    <t>x</t>
  </si>
  <si>
    <t>y</t>
  </si>
  <si>
    <t>Iv(lm)</t>
  </si>
  <si>
    <t>X</t>
  </si>
  <si>
    <t>Y</t>
  </si>
  <si>
    <t>Z</t>
  </si>
  <si>
    <t>溫度℃</t>
  </si>
  <si>
    <t>a</t>
  </si>
  <si>
    <t>b</t>
  </si>
  <si>
    <t>c</t>
  </si>
  <si>
    <t>d</t>
  </si>
  <si>
    <t>e</t>
  </si>
  <si>
    <t>f</t>
  </si>
  <si>
    <t>Δ</t>
  </si>
  <si>
    <t>ΔIv1</t>
  </si>
  <si>
    <t>ΔIv2</t>
  </si>
  <si>
    <t>ΔIv3</t>
  </si>
  <si>
    <t>Iv1_c</t>
  </si>
  <si>
    <t>Iv2_c</t>
  </si>
  <si>
    <t>Iv3_c</t>
  </si>
  <si>
    <t>x1/y1</t>
  </si>
  <si>
    <t>x2/y2</t>
  </si>
  <si>
    <t>x3/y3</t>
  </si>
  <si>
    <t>(1-x1-y1)/y1</t>
  </si>
  <si>
    <t>(1-x2-y2)/y2</t>
  </si>
  <si>
    <t>(1-x3-y3)/y3</t>
  </si>
  <si>
    <r>
      <t>R</t>
    </r>
    <r>
      <rPr>
        <sz val="12"/>
        <color theme="1"/>
        <rFont val="新細明體"/>
        <family val="2"/>
        <charset val="136"/>
      </rPr>
      <t>光光強</t>
    </r>
  </si>
  <si>
    <r>
      <t>CIE</t>
    </r>
    <r>
      <rPr>
        <sz val="12"/>
        <color theme="1"/>
        <rFont val="新細明體"/>
        <family val="2"/>
        <charset val="136"/>
      </rPr>
      <t>後</t>
    </r>
    <r>
      <rPr>
        <sz val="12"/>
        <color theme="1"/>
        <rFont val="Times New Roman"/>
        <family val="1"/>
      </rPr>
      <t>R</t>
    </r>
    <r>
      <rPr>
        <sz val="12"/>
        <color theme="1"/>
        <rFont val="新細明體"/>
        <family val="2"/>
        <charset val="136"/>
      </rPr>
      <t>光光強</t>
    </r>
  </si>
  <si>
    <r>
      <t>G</t>
    </r>
    <r>
      <rPr>
        <sz val="12"/>
        <rFont val="新細明體"/>
        <family val="1"/>
        <charset val="136"/>
      </rPr>
      <t>光光強</t>
    </r>
  </si>
  <si>
    <r>
      <t>CIE</t>
    </r>
    <r>
      <rPr>
        <sz val="12"/>
        <rFont val="新細明體"/>
        <family val="1"/>
        <charset val="136"/>
      </rPr>
      <t>後</t>
    </r>
    <r>
      <rPr>
        <sz val="12"/>
        <rFont val="Times New Roman"/>
        <family val="1"/>
      </rPr>
      <t>G</t>
    </r>
    <r>
      <rPr>
        <sz val="12"/>
        <rFont val="新細明體"/>
        <family val="1"/>
        <charset val="136"/>
      </rPr>
      <t>光光強插值</t>
    </r>
  </si>
  <si>
    <r>
      <t>B</t>
    </r>
    <r>
      <rPr>
        <sz val="12"/>
        <rFont val="新細明體"/>
        <family val="1"/>
        <charset val="136"/>
      </rPr>
      <t>光光強</t>
    </r>
  </si>
  <si>
    <r>
      <t>CIE</t>
    </r>
    <r>
      <rPr>
        <sz val="12"/>
        <rFont val="新細明體"/>
        <family val="1"/>
        <charset val="136"/>
      </rPr>
      <t>後</t>
    </r>
    <r>
      <rPr>
        <sz val="12"/>
        <rFont val="Times New Roman"/>
        <family val="1"/>
      </rPr>
      <t>B</t>
    </r>
    <r>
      <rPr>
        <sz val="12"/>
        <rFont val="新細明體"/>
        <family val="1"/>
        <charset val="136"/>
      </rPr>
      <t>光光強</t>
    </r>
  </si>
  <si>
    <t>Iv1_oin(lm)</t>
  </si>
  <si>
    <t>Iv1_cin (lm)</t>
  </si>
  <si>
    <t>Iv2_oin(lm)</t>
  </si>
  <si>
    <t>Iv2_cin(lm)</t>
  </si>
  <si>
    <t>Iv3_oin(lm)</t>
  </si>
  <si>
    <t>Iv3_cin(lm)</t>
  </si>
  <si>
    <t>溫度℃</t>
    <phoneticPr fontId="2" type="noConversion"/>
  </si>
  <si>
    <t>scalar</t>
    <phoneticPr fontId="2" type="noConversion"/>
  </si>
  <si>
    <t>R</t>
    <phoneticPr fontId="2" type="noConversion"/>
  </si>
  <si>
    <t>G</t>
    <phoneticPr fontId="2" type="noConversion"/>
  </si>
  <si>
    <t>B</t>
    <phoneticPr fontId="2" type="noConversion"/>
  </si>
  <si>
    <t>Base</t>
    <phoneticPr fontId="2" type="noConversion"/>
  </si>
  <si>
    <t>倍率</t>
    <phoneticPr fontId="2" type="noConversion"/>
  </si>
  <si>
    <t>PWM_MAX</t>
    <phoneticPr fontId="2" type="noConversion"/>
  </si>
  <si>
    <t>PWM</t>
    <phoneticPr fontId="2" type="noConversion"/>
  </si>
  <si>
    <t>PWM光強度平均倍率</t>
    <phoneticPr fontId="2" type="noConversion"/>
  </si>
  <si>
    <r>
      <rPr>
        <b/>
        <sz val="12"/>
        <color theme="1"/>
        <rFont val="新細明體"/>
        <family val="1"/>
        <charset val="136"/>
      </rPr>
      <t>比值</t>
    </r>
  </si>
  <si>
    <t>Iv1_ratio</t>
  </si>
  <si>
    <t>Iv2_ratio</t>
  </si>
  <si>
    <t>Iv3_ratio</t>
  </si>
  <si>
    <r>
      <t>F_CR</t>
    </r>
    <r>
      <rPr>
        <b/>
        <sz val="12"/>
        <color theme="1"/>
        <rFont val="新細明體"/>
        <family val="1"/>
        <charset val="136"/>
      </rPr>
      <t>填值</t>
    </r>
  </si>
  <si>
    <t>OTP addr[3:0]</t>
  </si>
  <si>
    <t>4'd8</t>
  </si>
  <si>
    <t>4'd9</t>
  </si>
  <si>
    <t>4'd10</t>
  </si>
  <si>
    <t>DEC</t>
  </si>
  <si>
    <t>HEX</t>
  </si>
  <si>
    <r>
      <t>F_CR</t>
    </r>
    <r>
      <rPr>
        <sz val="12"/>
        <color theme="1"/>
        <rFont val="新細明體"/>
        <family val="2"/>
        <charset val="136"/>
      </rPr>
      <t>每階比例</t>
    </r>
  </si>
  <si>
    <r>
      <t>F_CR trim</t>
    </r>
    <r>
      <rPr>
        <sz val="12"/>
        <color theme="1"/>
        <rFont val="新細明體"/>
        <family val="2"/>
        <charset val="136"/>
      </rPr>
      <t>最多階數</t>
    </r>
  </si>
  <si>
    <t>F_CR_step</t>
  </si>
  <si>
    <t>F_CRMax_step</t>
  </si>
  <si>
    <t>R scalar</t>
    <phoneticPr fontId="2" type="noConversion"/>
  </si>
  <si>
    <t>G scalar</t>
    <phoneticPr fontId="2" type="noConversion"/>
  </si>
  <si>
    <t>B scalar</t>
    <phoneticPr fontId="2" type="noConversion"/>
  </si>
  <si>
    <t>x</t>
    <phoneticPr fontId="2" type="noConversion"/>
  </si>
  <si>
    <t>y</t>
    <phoneticPr fontId="2" type="noConversion"/>
  </si>
  <si>
    <t>Iv</t>
    <phoneticPr fontId="2" type="noConversion"/>
  </si>
  <si>
    <t>Iv2_c*x/y</t>
  </si>
  <si>
    <t>Iv3_c*x/y</t>
  </si>
  <si>
    <t>(x/y)-(x1/y1)</t>
  </si>
  <si>
    <t>- (Iv2_c*x/y+Iv2_c*x/y)</t>
  </si>
  <si>
    <t>Iv2_c*x2/y2</t>
  </si>
  <si>
    <t>Iv3_c*x3/y3</t>
  </si>
  <si>
    <t>k+l+m</t>
  </si>
  <si>
    <t>n/j</t>
  </si>
  <si>
    <t>h</t>
  </si>
  <si>
    <t>i</t>
  </si>
  <si>
    <t>j</t>
  </si>
  <si>
    <t>k</t>
  </si>
  <si>
    <t>l</t>
  </si>
  <si>
    <t>m</t>
  </si>
  <si>
    <t>n</t>
  </si>
  <si>
    <t>red_sug</t>
  </si>
  <si>
    <t>紅光補償目標</t>
  </si>
  <si>
    <t>OTP</t>
  </si>
  <si>
    <t>OTP加權</t>
  </si>
  <si>
    <t>紅光預估光強</t>
  </si>
  <si>
    <t>模擬值</t>
  </si>
  <si>
    <t>T_diff</t>
  </si>
  <si>
    <t>T_Base</t>
  </si>
  <si>
    <t>MISC值</t>
  </si>
  <si>
    <t>MISC加權</t>
  </si>
  <si>
    <t>線性插值</t>
    <phoneticPr fontId="2" type="noConversion"/>
  </si>
  <si>
    <t>計算MISC</t>
    <phoneticPr fontId="2" type="noConversion"/>
  </si>
  <si>
    <t>溫度℃</t>
    <phoneticPr fontId="2" type="noConversion"/>
  </si>
  <si>
    <t>x/y</t>
    <phoneticPr fontId="2" type="noConversion"/>
  </si>
  <si>
    <t>輸出scalar(PWM寬度)</t>
    <phoneticPr fontId="2" type="noConversion"/>
  </si>
  <si>
    <t>G</t>
    <phoneticPr fontId="2" type="noConversion"/>
  </si>
  <si>
    <t>R</t>
    <phoneticPr fontId="2" type="noConversion"/>
  </si>
  <si>
    <t>B</t>
    <phoneticPr fontId="2" type="noConversion"/>
  </si>
  <si>
    <t>輸出OTP溫度補償</t>
    <phoneticPr fontId="2" type="noConversion"/>
  </si>
  <si>
    <t>輸出MISC溫度補償值</t>
    <phoneticPr fontId="2" type="noConversion"/>
  </si>
  <si>
    <t>插值座標光強度</t>
    <phoneticPr fontId="2" type="noConversion"/>
  </si>
  <si>
    <t>最大電流</t>
  </si>
  <si>
    <t>Peak current(mA)</t>
    <phoneticPr fontId="2" type="noConversion"/>
  </si>
  <si>
    <t>電流</t>
    <phoneticPr fontId="2" type="noConversion"/>
  </si>
  <si>
    <t>Duty cycle</t>
    <phoneticPr fontId="2" type="noConversion"/>
  </si>
  <si>
    <t>B</t>
    <phoneticPr fontId="2" type="noConversion"/>
  </si>
  <si>
    <t>R</t>
    <phoneticPr fontId="2" type="noConversion"/>
  </si>
  <si>
    <t>G</t>
    <phoneticPr fontId="2" type="noConversion"/>
  </si>
  <si>
    <t>G</t>
    <phoneticPr fontId="2" type="noConversion"/>
  </si>
  <si>
    <t>B</t>
    <phoneticPr fontId="2" type="noConversion"/>
  </si>
  <si>
    <t>G</t>
    <phoneticPr fontId="2" type="noConversion"/>
  </si>
  <si>
    <t>電流倍率</t>
    <phoneticPr fontId="2" type="noConversion"/>
  </si>
  <si>
    <t>DEC</t>
    <phoneticPr fontId="2" type="noConversion"/>
  </si>
  <si>
    <t>HEX</t>
    <phoneticPr fontId="2" type="noConversion"/>
  </si>
  <si>
    <t>溫度idx</t>
    <phoneticPr fontId="2" type="noConversion"/>
  </si>
  <si>
    <t>MISC值HEX</t>
    <phoneticPr fontId="2" type="noConversion"/>
  </si>
  <si>
    <t>客戶填表，套入計算F_CR，量測相應RGB的CIE座標和光強度</t>
    <phoneticPr fontId="2" type="noConversion"/>
  </si>
  <si>
    <t>計算總光強</t>
    <phoneticPr fontId="2" type="noConversion"/>
  </si>
  <si>
    <t>idx</t>
    <phoneticPr fontId="2" type="noConversion"/>
  </si>
  <si>
    <t>光強度預估</t>
    <phoneticPr fontId="2" type="noConversion"/>
  </si>
  <si>
    <t>Temp_Comp_Diff</t>
    <phoneticPr fontId="2" type="noConversion"/>
  </si>
  <si>
    <t>Temp_Comp_Base</t>
    <phoneticPr fontId="2" type="noConversion"/>
  </si>
  <si>
    <t>X座標(xT)</t>
    <phoneticPr fontId="2" type="noConversion"/>
  </si>
  <si>
    <t>Y座標(yT)</t>
    <phoneticPr fontId="2" type="noConversion"/>
  </si>
  <si>
    <t>填入OTP線性補償後，
請勿再調整</t>
    <phoneticPr fontId="2" type="noConversion"/>
  </si>
  <si>
    <r>
      <t xml:space="preserve">由MISC校正各溫度點座標至D65
</t>
    </r>
    <r>
      <rPr>
        <sz val="12"/>
        <rFont val="新細明體"/>
        <family val="1"/>
        <charset val="136"/>
        <scheme val="minor"/>
      </rPr>
      <t xml:space="preserve">Fail :
不符合色座標，
如果x &gt; xT 調低該溫度點MISC
如果x &lt; xT 調高該MISC值
</t>
    </r>
    <phoneticPr fontId="2" type="noConversion"/>
  </si>
  <si>
    <r>
      <rPr>
        <sz val="12"/>
        <color rgb="FF0070C0"/>
        <rFont val="新細明體"/>
        <family val="1"/>
        <charset val="136"/>
        <scheme val="minor"/>
      </rPr>
      <t>不符合色座標:</t>
    </r>
    <r>
      <rPr>
        <sz val="12"/>
        <color theme="1"/>
        <rFont val="新細明體"/>
        <family val="2"/>
        <charset val="136"/>
        <scheme val="minor"/>
      </rPr>
      <t xml:space="preserve">
xT : 
如果x &gt; xT 調低R scalar值，如果x &lt; xT 調高該R scalar值
yT : 
如果y &gt; yT 調低G scalar值，如果y &lt; yT 調高該G scalar值  </t>
    </r>
    <phoneticPr fontId="2" type="noConversion"/>
  </si>
  <si>
    <r>
      <rPr>
        <sz val="12"/>
        <color rgb="FF0070C0"/>
        <rFont val="新細明體"/>
        <family val="1"/>
        <charset val="136"/>
        <scheme val="minor"/>
      </rPr>
      <t>光強度不夠:</t>
    </r>
    <r>
      <rPr>
        <sz val="12"/>
        <color theme="1"/>
        <rFont val="新細明體"/>
        <family val="2"/>
        <charset val="136"/>
        <scheme val="minor"/>
      </rPr>
      <t xml:space="preserve">
調高B scalar值，在重新利用R scalar / G scalar調整至D65
如果G scalar或B</t>
    </r>
    <r>
      <rPr>
        <sz val="12"/>
        <color theme="1"/>
        <rFont val="新細明體"/>
        <family val="1"/>
        <charset val="136"/>
        <scheme val="minor"/>
      </rPr>
      <t xml:space="preserve"> scalar已到達2FF，再提高F_CR</t>
    </r>
    <phoneticPr fontId="2" type="noConversion"/>
  </si>
  <si>
    <t>溫度偵測值</t>
    <phoneticPr fontId="2" type="noConversion"/>
  </si>
  <si>
    <t>客戶填表，25℃，晶片溫度校正至偵測值為15</t>
    <phoneticPr fontId="2" type="noConversion"/>
  </si>
  <si>
    <t>Therma_Bias</t>
    <phoneticPr fontId="2" type="noConversion"/>
  </si>
  <si>
    <t>晶片溫度校正</t>
    <phoneticPr fontId="2" type="noConversion"/>
  </si>
  <si>
    <t>常溫偵測值</t>
    <phoneticPr fontId="2" type="noConversion"/>
  </si>
  <si>
    <t>HEX</t>
    <phoneticPr fontId="2" type="noConversion"/>
  </si>
  <si>
    <t>DEC</t>
    <phoneticPr fontId="2" type="noConversion"/>
  </si>
  <si>
    <t>十進位</t>
    <phoneticPr fontId="2" type="noConversion"/>
  </si>
  <si>
    <t>二進位</t>
    <phoneticPr fontId="2" type="noConversion"/>
  </si>
  <si>
    <t>16進位</t>
    <phoneticPr fontId="2" type="noConversion"/>
  </si>
  <si>
    <t>輸出建議Thermal_bias</t>
    <phoneticPr fontId="2" type="noConversion"/>
  </si>
  <si>
    <t>25℃
晶片溫度校正</t>
    <phoneticPr fontId="2" type="noConversion"/>
  </si>
  <si>
    <t>電流計算，GBC = 3F</t>
    <phoneticPr fontId="2" type="noConversion"/>
  </si>
  <si>
    <t>倍率</t>
    <phoneticPr fontId="2" type="noConversion"/>
  </si>
  <si>
    <t>偏移量</t>
    <phoneticPr fontId="2" type="noConversion"/>
  </si>
  <si>
    <t>偏移量&gt;=0</t>
    <phoneticPr fontId="2" type="noConversion"/>
  </si>
  <si>
    <t>偏移量&lt;0</t>
    <phoneticPr fontId="2" type="noConversion"/>
  </si>
  <si>
    <t>偏移量狀態</t>
    <phoneticPr fontId="2" type="noConversion"/>
  </si>
  <si>
    <t>thermal_bias輸出</t>
    <phoneticPr fontId="2" type="noConversion"/>
  </si>
  <si>
    <t>客戶填表，25℃，GBC設置為3F，利用填入的F_CR計算晶片輸出峰值電流</t>
    <phoneticPr fontId="2" type="noConversion"/>
  </si>
  <si>
    <t>開啟
溫度補償</t>
    <phoneticPr fontId="2" type="noConversion"/>
  </si>
  <si>
    <t>總光強度(lm)</t>
    <phoneticPr fontId="2" type="noConversion"/>
  </si>
  <si>
    <t>總光強度(lm/cd)</t>
    <phoneticPr fontId="2" type="noConversion"/>
  </si>
  <si>
    <t>輸出電流(mA)</t>
    <phoneticPr fontId="2" type="noConversion"/>
  </si>
  <si>
    <t>Photometric  
(lm / cd)</t>
    <phoneticPr fontId="2" type="noConversion"/>
  </si>
  <si>
    <t>Photometric  
(lm / cd)</t>
    <phoneticPr fontId="2" type="noConversion"/>
  </si>
  <si>
    <t>客戶填表，25℃，相同峰值電流下，量測RGB LED的CIE座標和光強度</t>
    <phoneticPr fontId="2" type="noConversion"/>
  </si>
  <si>
    <t>客戶填表，溫度升高至85℃，量測未補償RGB CIE座標和光強度</t>
    <phoneticPr fontId="2" type="noConversion"/>
  </si>
  <si>
    <t>客戶填表，將調整scalar後，25℃已達到D65的RGB座標與光強度輸入此表格</t>
    <phoneticPr fontId="2" type="noConversion"/>
  </si>
  <si>
    <t>輸入調整至目標後的scalar</t>
    <phoneticPr fontId="2" type="noConversion"/>
  </si>
  <si>
    <t>目標亮度(lm / cd)</t>
    <phoneticPr fontId="2" type="noConversion"/>
  </si>
  <si>
    <t>在此藉由Scalar校正
座標與亮度至目標</t>
    <phoneticPr fontId="2" type="noConversion"/>
  </si>
  <si>
    <t>25℃
白平衡與亮度
校正
(不開補償)</t>
    <phoneticPr fontId="2" type="noConversion"/>
  </si>
  <si>
    <r>
      <t>如果</t>
    </r>
    <r>
      <rPr>
        <b/>
        <sz val="12"/>
        <color rgb="FF0070C0"/>
        <rFont val="新細明體"/>
        <family val="1"/>
        <charset val="136"/>
        <scheme val="minor"/>
      </rPr>
      <t>沒有換量測設備</t>
    </r>
    <r>
      <rPr>
        <sz val="12"/>
        <color theme="1"/>
        <rFont val="新細明體"/>
        <family val="2"/>
        <charset val="136"/>
        <scheme val="minor"/>
      </rPr>
      <t>，可直接填寫25℃與85℃表格
如果在此</t>
    </r>
    <r>
      <rPr>
        <b/>
        <sz val="12"/>
        <color rgb="FF0070C0"/>
        <rFont val="新細明體"/>
        <family val="1"/>
        <charset val="136"/>
        <scheme val="minor"/>
      </rPr>
      <t>有切換設備</t>
    </r>
    <r>
      <rPr>
        <sz val="12"/>
        <color theme="1"/>
        <rFont val="新細明體"/>
        <family val="2"/>
        <charset val="136"/>
        <scheme val="minor"/>
      </rPr>
      <t>，請重新填寫目標座標與亮度，並填入在該設備量測的25℃與85℃表格
(不開補償)</t>
    </r>
    <phoneticPr fontId="2" type="noConversion"/>
  </si>
  <si>
    <t>F_CR</t>
    <phoneticPr fontId="2" type="noConversion"/>
  </si>
  <si>
    <t>6B</t>
    <phoneticPr fontId="2" type="noConversion"/>
  </si>
  <si>
    <t>temp_org</t>
  </si>
  <si>
    <t>X+Y+Z</t>
  </si>
  <si>
    <t>CIE double驗證</t>
    <phoneticPr fontId="2" type="noConversion"/>
  </si>
  <si>
    <t>CIE-x</t>
  </si>
  <si>
    <t>CIE-y</t>
  </si>
  <si>
    <t>1c</t>
    <phoneticPr fontId="2" type="noConversion"/>
  </si>
  <si>
    <t>x - Color Coordinates</t>
    <phoneticPr fontId="2" type="noConversion"/>
  </si>
  <si>
    <t>Photometric  
(lm / cd)</t>
    <phoneticPr fontId="2" type="noConversion"/>
  </si>
  <si>
    <t>Photometric(lm / cd)</t>
    <phoneticPr fontId="2" type="noConversion"/>
  </si>
  <si>
    <t>x座標(xT)</t>
    <phoneticPr fontId="2" type="noConversion"/>
  </si>
  <si>
    <t>y座標(yT)</t>
    <phoneticPr fontId="2" type="noConversion"/>
  </si>
  <si>
    <t>1D</t>
    <phoneticPr fontId="2" type="noConversion"/>
  </si>
  <si>
    <t>R</t>
    <phoneticPr fontId="2" type="noConversion"/>
  </si>
  <si>
    <t>G</t>
    <phoneticPr fontId="2" type="noConversion"/>
  </si>
  <si>
    <t>B</t>
    <phoneticPr fontId="2" type="noConversion"/>
  </si>
  <si>
    <t>輸出建議F_CR(電流高度)</t>
    <phoneticPr fontId="2" type="noConversion"/>
  </si>
  <si>
    <t>加權</t>
    <phoneticPr fontId="2" type="noConversion"/>
  </si>
  <si>
    <t>補償目標</t>
    <phoneticPr fontId="2" type="noConversion"/>
  </si>
  <si>
    <t>藍綠線性補償</t>
    <phoneticPr fontId="2" type="noConversion"/>
  </si>
  <si>
    <t>加權</t>
    <phoneticPr fontId="2" type="noConversion"/>
  </si>
  <si>
    <t>倍率</t>
    <phoneticPr fontId="2" type="noConversion"/>
  </si>
  <si>
    <t>預估光強</t>
    <phoneticPr fontId="2" type="noConversion"/>
  </si>
  <si>
    <t>- (Iv2_c*x/y+Iv3_c*x/y)</t>
    <phoneticPr fontId="2" type="noConversion"/>
  </si>
  <si>
    <t>衰減%</t>
    <phoneticPr fontId="2" type="noConversion"/>
  </si>
  <si>
    <t>Photometric  
(lm / cd)</t>
    <phoneticPr fontId="2" type="noConversion"/>
  </si>
  <si>
    <t>idx</t>
  </si>
  <si>
    <r>
      <rPr>
        <b/>
        <sz val="12"/>
        <color theme="1"/>
        <rFont val="新細明體"/>
        <family val="1"/>
        <charset val="136"/>
      </rPr>
      <t>客戶填表，</t>
    </r>
    <r>
      <rPr>
        <b/>
        <sz val="12"/>
        <color theme="1"/>
        <rFont val="Calibri"/>
        <family val="2"/>
      </rPr>
      <t>25</t>
    </r>
    <r>
      <rPr>
        <b/>
        <sz val="12"/>
        <color theme="1"/>
        <rFont val="新細明體"/>
        <family val="1"/>
        <charset val="136"/>
      </rPr>
      <t>℃，目標座標</t>
    </r>
    <r>
      <rPr>
        <b/>
        <sz val="12"/>
        <color theme="1"/>
        <rFont val="Calibri"/>
        <family val="2"/>
      </rPr>
      <t>/</t>
    </r>
    <r>
      <rPr>
        <b/>
        <sz val="12"/>
        <color theme="1"/>
        <rFont val="新細明體"/>
        <family val="1"/>
        <charset val="136"/>
      </rPr>
      <t>亮度</t>
    </r>
    <r>
      <rPr>
        <b/>
        <sz val="12"/>
        <color theme="1"/>
        <rFont val="Calibri"/>
        <family val="2"/>
      </rPr>
      <t>/PWM</t>
    </r>
    <r>
      <rPr>
        <b/>
        <sz val="12"/>
        <color theme="1"/>
        <rFont val="新細明體"/>
        <family val="1"/>
        <charset val="136"/>
      </rPr>
      <t>使用</t>
    </r>
    <r>
      <rPr>
        <b/>
        <sz val="12"/>
        <color theme="1"/>
        <rFont val="Calibri"/>
        <family val="2"/>
      </rPr>
      <t>bit</t>
    </r>
  </si>
  <si>
    <t>6B</t>
    <phoneticPr fontId="2" type="noConversion"/>
  </si>
  <si>
    <t>Photometric
(lm / cd)</t>
    <phoneticPr fontId="2" type="noConversion"/>
  </si>
  <si>
    <t>CIE_x</t>
    <phoneticPr fontId="2" type="noConversion"/>
  </si>
  <si>
    <t>CIE_y</t>
    <phoneticPr fontId="2" type="noConversion"/>
  </si>
  <si>
    <t>PWM bit</t>
  </si>
  <si>
    <t>PWM bit</t>
    <phoneticPr fontId="2" type="noConversion"/>
  </si>
  <si>
    <t>max_PWM_chip</t>
  </si>
  <si>
    <t>PWM</t>
  </si>
  <si>
    <t>PWM_MAX</t>
  </si>
  <si>
    <t>max PWM</t>
  </si>
  <si>
    <t>18_max PWM</t>
    <phoneticPr fontId="2" type="noConversion"/>
  </si>
  <si>
    <t>18bit_mode</t>
    <phoneticPr fontId="2" type="noConversion"/>
  </si>
  <si>
    <t>3*Base</t>
    <phoneticPr fontId="2" type="noConversion"/>
  </si>
  <si>
    <r>
      <rPr>
        <b/>
        <sz val="12"/>
        <color theme="1"/>
        <rFont val="新細明體"/>
        <family val="1"/>
        <charset val="136"/>
      </rPr>
      <t>預設</t>
    </r>
    <r>
      <rPr>
        <b/>
        <sz val="12"/>
        <color theme="1"/>
        <rFont val="Calibri"/>
        <family val="2"/>
      </rPr>
      <t xml:space="preserve"> scalar</t>
    </r>
    <r>
      <rPr>
        <b/>
        <sz val="12"/>
        <color theme="1"/>
        <rFont val="新細明體"/>
        <family val="1"/>
        <charset val="136"/>
      </rPr>
      <t>，計算</t>
    </r>
    <r>
      <rPr>
        <b/>
        <sz val="12"/>
        <color theme="1"/>
        <rFont val="Calibri"/>
        <family val="2"/>
      </rPr>
      <t>F_CR</t>
    </r>
    <phoneticPr fontId="2" type="noConversion"/>
  </si>
  <si>
    <t>溫度℃</t>
    <phoneticPr fontId="2" type="noConversion"/>
  </si>
  <si>
    <t>量測25℃ D65座標和光強度，量測85℃ 座標和光強度</t>
    <phoneticPr fontId="2" type="noConversion"/>
  </si>
  <si>
    <t>溫度補償計算</t>
    <phoneticPr fontId="2" type="noConversion"/>
  </si>
  <si>
    <r>
      <rPr>
        <b/>
        <sz val="12"/>
        <color theme="1"/>
        <rFont val="新細明體"/>
        <family val="1"/>
        <charset val="136"/>
      </rPr>
      <t>客戶填表，套入計算後</t>
    </r>
    <r>
      <rPr>
        <b/>
        <sz val="12"/>
        <color theme="1"/>
        <rFont val="Calibri"/>
        <family val="2"/>
      </rPr>
      <t>F_CR</t>
    </r>
    <r>
      <rPr>
        <b/>
        <sz val="12"/>
        <color theme="1"/>
        <rFont val="新細明體"/>
        <family val="1"/>
        <charset val="136"/>
      </rPr>
      <t>，量測相應</t>
    </r>
    <r>
      <rPr>
        <b/>
        <sz val="12"/>
        <color theme="1"/>
        <rFont val="Calibri"/>
        <family val="2"/>
      </rPr>
      <t>RGB</t>
    </r>
    <r>
      <rPr>
        <b/>
        <sz val="12"/>
        <color theme="1"/>
        <rFont val="新細明體"/>
        <family val="1"/>
        <charset val="136"/>
      </rPr>
      <t>的</t>
    </r>
    <r>
      <rPr>
        <b/>
        <sz val="12"/>
        <color theme="1"/>
        <rFont val="Calibri"/>
        <family val="2"/>
      </rPr>
      <t>CIE</t>
    </r>
    <r>
      <rPr>
        <b/>
        <sz val="12"/>
        <color theme="1"/>
        <rFont val="新細明體"/>
        <family val="1"/>
        <charset val="136"/>
      </rPr>
      <t>座標和光強度，計算</t>
    </r>
    <r>
      <rPr>
        <b/>
        <sz val="12"/>
        <color theme="1"/>
        <rFont val="Calibri"/>
        <family val="2"/>
      </rPr>
      <t>D65 PWM_scalar</t>
    </r>
    <r>
      <rPr>
        <b/>
        <sz val="12"/>
        <color theme="1"/>
        <rFont val="新細明體"/>
        <family val="1"/>
        <charset val="136"/>
      </rPr>
      <t>填值</t>
    </r>
  </si>
  <si>
    <t>Mes_CIE_x</t>
  </si>
  <si>
    <t>Mes_CIE_y</t>
  </si>
  <si>
    <t>Mes_Photometric</t>
  </si>
  <si>
    <t>x offset</t>
  </si>
  <si>
    <t>y offset</t>
  </si>
  <si>
    <t>Iv offset</t>
  </si>
  <si>
    <r>
      <t>25</t>
    </r>
    <r>
      <rPr>
        <sz val="12"/>
        <color theme="1"/>
        <rFont val="新細明體"/>
        <family val="2"/>
        <charset val="136"/>
      </rPr>
      <t>℃
晶片溫度校正</t>
    </r>
    <phoneticPr fontId="2" type="noConversion"/>
  </si>
  <si>
    <r>
      <rPr>
        <b/>
        <sz val="12"/>
        <color theme="1"/>
        <rFont val="新細明體"/>
        <family val="1"/>
        <charset val="136"/>
      </rPr>
      <t>客戶填表，</t>
    </r>
    <r>
      <rPr>
        <b/>
        <sz val="12"/>
        <color theme="1"/>
        <rFont val="Calibri"/>
        <family val="2"/>
      </rPr>
      <t>25</t>
    </r>
    <r>
      <rPr>
        <b/>
        <sz val="12"/>
        <color theme="1"/>
        <rFont val="新細明體"/>
        <family val="1"/>
        <charset val="136"/>
      </rPr>
      <t>℃，晶片溫度校正至偵測值為</t>
    </r>
    <r>
      <rPr>
        <b/>
        <sz val="12"/>
        <color theme="1"/>
        <rFont val="Calibri"/>
        <family val="2"/>
      </rPr>
      <t>15</t>
    </r>
    <phoneticPr fontId="2" type="noConversion"/>
  </si>
  <si>
    <r>
      <rPr>
        <sz val="12"/>
        <color theme="1"/>
        <rFont val="新細明體"/>
        <family val="2"/>
        <charset val="136"/>
      </rPr>
      <t>溫度偵測值</t>
    </r>
    <phoneticPr fontId="2" type="noConversion"/>
  </si>
  <si>
    <r>
      <rPr>
        <b/>
        <sz val="12"/>
        <color theme="1"/>
        <rFont val="新細明體"/>
        <family val="1"/>
        <charset val="136"/>
      </rPr>
      <t>建議</t>
    </r>
    <r>
      <rPr>
        <b/>
        <sz val="12"/>
        <color theme="1"/>
        <rFont val="Calibri"/>
        <family val="2"/>
      </rPr>
      <t>Thermal_bias</t>
    </r>
    <phoneticPr fontId="2" type="noConversion"/>
  </si>
  <si>
    <r>
      <rPr>
        <b/>
        <sz val="12"/>
        <color theme="1"/>
        <rFont val="新細明體"/>
        <family val="1"/>
        <charset val="136"/>
      </rPr>
      <t>建議</t>
    </r>
    <r>
      <rPr>
        <b/>
        <sz val="12"/>
        <color theme="1"/>
        <rFont val="Calibri"/>
        <family val="2"/>
      </rPr>
      <t>18bit_mode / max_PWM_chip</t>
    </r>
    <phoneticPr fontId="2" type="noConversion"/>
  </si>
  <si>
    <r>
      <rPr>
        <sz val="12"/>
        <color theme="1"/>
        <rFont val="新細明體"/>
        <family val="2"/>
        <charset val="136"/>
      </rPr>
      <t>輸出電流</t>
    </r>
    <r>
      <rPr>
        <sz val="12"/>
        <color theme="1"/>
        <rFont val="Calibri"/>
        <family val="2"/>
      </rPr>
      <t>(mA)</t>
    </r>
    <phoneticPr fontId="2" type="noConversion"/>
  </si>
  <si>
    <r>
      <rPr>
        <b/>
        <sz val="12"/>
        <color theme="1"/>
        <rFont val="新細明體"/>
        <family val="1"/>
        <charset val="136"/>
      </rPr>
      <t>輸出建議</t>
    </r>
    <r>
      <rPr>
        <b/>
        <sz val="12"/>
        <color theme="1"/>
        <rFont val="Calibri"/>
        <family val="2"/>
      </rPr>
      <t>F_CR(</t>
    </r>
    <r>
      <rPr>
        <b/>
        <sz val="12"/>
        <color theme="1"/>
        <rFont val="新細明體"/>
        <family val="1"/>
        <charset val="136"/>
      </rPr>
      <t>電流高度</t>
    </r>
    <r>
      <rPr>
        <b/>
        <sz val="12"/>
        <color theme="1"/>
        <rFont val="Calibri"/>
        <family val="2"/>
      </rPr>
      <t>)</t>
    </r>
    <phoneticPr fontId="2" type="noConversion"/>
  </si>
  <si>
    <r>
      <rPr>
        <sz val="12"/>
        <rFont val="細明體"/>
        <family val="3"/>
        <charset val="136"/>
      </rPr>
      <t>溫度℃</t>
    </r>
    <phoneticPr fontId="2" type="noConversion"/>
  </si>
  <si>
    <r>
      <rPr>
        <b/>
        <sz val="12"/>
        <color theme="1"/>
        <rFont val="新細明體"/>
        <family val="1"/>
        <charset val="136"/>
      </rPr>
      <t>輸出</t>
    </r>
    <r>
      <rPr>
        <b/>
        <sz val="12"/>
        <color theme="1"/>
        <rFont val="Calibri"/>
        <family val="2"/>
      </rPr>
      <t>scalar(PWM</t>
    </r>
    <r>
      <rPr>
        <b/>
        <sz val="12"/>
        <color theme="1"/>
        <rFont val="新細明體"/>
        <family val="1"/>
        <charset val="136"/>
      </rPr>
      <t>寬度</t>
    </r>
    <r>
      <rPr>
        <b/>
        <sz val="12"/>
        <color theme="1"/>
        <rFont val="Calibri"/>
        <family val="2"/>
      </rPr>
      <t>)</t>
    </r>
    <phoneticPr fontId="2" type="noConversion"/>
  </si>
  <si>
    <r>
      <rPr>
        <b/>
        <sz val="12"/>
        <rFont val="新細明體"/>
        <family val="1"/>
        <charset val="136"/>
      </rPr>
      <t>客戶填表，將調整</t>
    </r>
    <r>
      <rPr>
        <b/>
        <sz val="12"/>
        <rFont val="Calibri"/>
        <family val="2"/>
      </rPr>
      <t>scalar</t>
    </r>
    <r>
      <rPr>
        <b/>
        <sz val="12"/>
        <rFont val="新細明體"/>
        <family val="1"/>
        <charset val="136"/>
      </rPr>
      <t>後，</t>
    </r>
    <r>
      <rPr>
        <b/>
        <sz val="12"/>
        <rFont val="Calibri"/>
        <family val="2"/>
      </rPr>
      <t>25</t>
    </r>
    <r>
      <rPr>
        <b/>
        <sz val="12"/>
        <rFont val="新細明體"/>
        <family val="1"/>
        <charset val="136"/>
      </rPr>
      <t>℃已達到</t>
    </r>
    <r>
      <rPr>
        <b/>
        <sz val="12"/>
        <rFont val="Calibri"/>
        <family val="2"/>
      </rPr>
      <t>D65</t>
    </r>
    <r>
      <rPr>
        <b/>
        <sz val="12"/>
        <rFont val="新細明體"/>
        <family val="1"/>
        <charset val="136"/>
      </rPr>
      <t>的</t>
    </r>
    <r>
      <rPr>
        <b/>
        <sz val="12"/>
        <rFont val="Calibri"/>
        <family val="2"/>
      </rPr>
      <t>RGB</t>
    </r>
    <r>
      <rPr>
        <b/>
        <sz val="12"/>
        <rFont val="新細明體"/>
        <family val="1"/>
        <charset val="136"/>
      </rPr>
      <t>座標與光強度輸入此表格</t>
    </r>
    <phoneticPr fontId="2" type="noConversion"/>
  </si>
  <si>
    <r>
      <rPr>
        <sz val="12"/>
        <color theme="1"/>
        <rFont val="新細明體"/>
        <family val="2"/>
        <charset val="136"/>
      </rPr>
      <t>開啟
溫度補償</t>
    </r>
    <phoneticPr fontId="2" type="noConversion"/>
  </si>
  <si>
    <r>
      <rPr>
        <b/>
        <sz val="12"/>
        <color theme="1"/>
        <rFont val="新細明體"/>
        <family val="1"/>
        <charset val="136"/>
      </rPr>
      <t>輸出</t>
    </r>
    <r>
      <rPr>
        <b/>
        <sz val="12"/>
        <color theme="1"/>
        <rFont val="Calibri"/>
        <family val="2"/>
      </rPr>
      <t>OTP</t>
    </r>
    <r>
      <rPr>
        <b/>
        <sz val="12"/>
        <color theme="1"/>
        <rFont val="新細明體"/>
        <family val="1"/>
        <charset val="136"/>
      </rPr>
      <t>溫度補償</t>
    </r>
    <phoneticPr fontId="2" type="noConversion"/>
  </si>
  <si>
    <r>
      <rPr>
        <b/>
        <sz val="12"/>
        <color theme="1"/>
        <rFont val="新細明體"/>
        <family val="1"/>
        <charset val="136"/>
      </rPr>
      <t>輸出</t>
    </r>
    <r>
      <rPr>
        <b/>
        <sz val="12"/>
        <color theme="1"/>
        <rFont val="Calibri"/>
        <family val="2"/>
      </rPr>
      <t>MISC</t>
    </r>
    <r>
      <rPr>
        <b/>
        <sz val="12"/>
        <color theme="1"/>
        <rFont val="新細明體"/>
        <family val="1"/>
        <charset val="136"/>
      </rPr>
      <t>溫度補償值</t>
    </r>
    <phoneticPr fontId="2" type="noConversion"/>
  </si>
  <si>
    <r>
      <rPr>
        <sz val="12"/>
        <color rgb="FF0070C0"/>
        <rFont val="新細明體"/>
        <family val="2"/>
        <charset val="136"/>
      </rPr>
      <t>由</t>
    </r>
    <r>
      <rPr>
        <sz val="12"/>
        <color rgb="FF0070C0"/>
        <rFont val="Calibri"/>
        <family val="2"/>
      </rPr>
      <t>MISC</t>
    </r>
    <r>
      <rPr>
        <sz val="12"/>
        <color rgb="FF0070C0"/>
        <rFont val="新細明體"/>
        <family val="2"/>
        <charset val="136"/>
      </rPr>
      <t>校正各溫度點座標至</t>
    </r>
    <r>
      <rPr>
        <sz val="12"/>
        <color rgb="FF0070C0"/>
        <rFont val="Calibri"/>
        <family val="2"/>
      </rPr>
      <t xml:space="preserve">D65
</t>
    </r>
    <r>
      <rPr>
        <sz val="12"/>
        <rFont val="Calibri"/>
        <family val="2"/>
      </rPr>
      <t xml:space="preserve">Fail :
</t>
    </r>
    <r>
      <rPr>
        <sz val="12"/>
        <rFont val="新細明體"/>
        <family val="1"/>
        <charset val="136"/>
      </rPr>
      <t>不符合色座標，
如果</t>
    </r>
    <r>
      <rPr>
        <sz val="12"/>
        <rFont val="Calibri"/>
        <family val="2"/>
      </rPr>
      <t xml:space="preserve">x &gt; xT </t>
    </r>
    <r>
      <rPr>
        <sz val="12"/>
        <rFont val="新細明體"/>
        <family val="1"/>
        <charset val="136"/>
      </rPr>
      <t>調低該溫度點</t>
    </r>
    <r>
      <rPr>
        <sz val="12"/>
        <rFont val="Calibri"/>
        <family val="2"/>
      </rPr>
      <t xml:space="preserve">MISC
</t>
    </r>
    <r>
      <rPr>
        <sz val="12"/>
        <rFont val="新細明體"/>
        <family val="1"/>
        <charset val="136"/>
      </rPr>
      <t>如果</t>
    </r>
    <r>
      <rPr>
        <sz val="12"/>
        <rFont val="Calibri"/>
        <family val="2"/>
      </rPr>
      <t xml:space="preserve">x &lt; xT </t>
    </r>
    <r>
      <rPr>
        <sz val="12"/>
        <rFont val="新細明體"/>
        <family val="1"/>
        <charset val="136"/>
      </rPr>
      <t>調高該</t>
    </r>
    <r>
      <rPr>
        <sz val="12"/>
        <rFont val="Calibri"/>
        <family val="2"/>
      </rPr>
      <t>MISC</t>
    </r>
    <r>
      <rPr>
        <sz val="12"/>
        <rFont val="新細明體"/>
        <family val="1"/>
        <charset val="136"/>
      </rPr>
      <t xml:space="preserve">值
</t>
    </r>
    <phoneticPr fontId="2" type="noConversion"/>
  </si>
  <si>
    <r>
      <rPr>
        <sz val="12"/>
        <color theme="1"/>
        <rFont val="新細明體"/>
        <family val="2"/>
        <charset val="136"/>
      </rPr>
      <t>溫度</t>
    </r>
    <r>
      <rPr>
        <sz val="12"/>
        <color theme="1"/>
        <rFont val="Calibri"/>
        <family val="2"/>
      </rPr>
      <t>idx</t>
    </r>
    <phoneticPr fontId="2" type="noConversion"/>
  </si>
  <si>
    <r>
      <rPr>
        <sz val="12"/>
        <color theme="1"/>
        <rFont val="新細明體"/>
        <family val="1"/>
        <charset val="136"/>
      </rPr>
      <t>溫度℃</t>
    </r>
  </si>
  <si>
    <r>
      <t>MISC</t>
    </r>
    <r>
      <rPr>
        <sz val="12"/>
        <color theme="1"/>
        <rFont val="新細明體"/>
        <family val="1"/>
        <charset val="136"/>
      </rPr>
      <t>值</t>
    </r>
  </si>
  <si>
    <r>
      <rPr>
        <b/>
        <sz val="12"/>
        <color theme="1"/>
        <rFont val="新細明體"/>
        <family val="1"/>
        <charset val="136"/>
      </rPr>
      <t>光強度預估</t>
    </r>
    <phoneticPr fontId="2" type="noConversion"/>
  </si>
  <si>
    <r>
      <rPr>
        <b/>
        <sz val="12"/>
        <color theme="1"/>
        <rFont val="新細明體"/>
        <family val="1"/>
        <charset val="136"/>
      </rPr>
      <t>溫度℃</t>
    </r>
  </si>
  <si>
    <r>
      <t>25</t>
    </r>
    <r>
      <rPr>
        <sz val="12"/>
        <color theme="1"/>
        <rFont val="新細明體"/>
        <family val="2"/>
        <charset val="136"/>
      </rPr>
      <t xml:space="preserve">℃
白平衡與亮度
校正
</t>
    </r>
    <r>
      <rPr>
        <sz val="12"/>
        <color theme="1"/>
        <rFont val="Calibri"/>
        <family val="2"/>
      </rPr>
      <t>(</t>
    </r>
    <r>
      <rPr>
        <sz val="12"/>
        <color theme="1"/>
        <rFont val="新細明體"/>
        <family val="2"/>
        <charset val="136"/>
      </rPr>
      <t>不開補償</t>
    </r>
    <r>
      <rPr>
        <sz val="12"/>
        <color theme="1"/>
        <rFont val="Calibri"/>
        <family val="2"/>
      </rPr>
      <t>)</t>
    </r>
    <phoneticPr fontId="2" type="noConversion"/>
  </si>
  <si>
    <r>
      <rPr>
        <b/>
        <sz val="12"/>
        <color theme="1"/>
        <rFont val="新細明體"/>
        <family val="1"/>
        <charset val="136"/>
      </rPr>
      <t>客戶填表，溫度升高至42℃，量測未補償</t>
    </r>
    <r>
      <rPr>
        <b/>
        <sz val="12"/>
        <color theme="1"/>
        <rFont val="Calibri"/>
        <family val="2"/>
      </rPr>
      <t>RGB CIE</t>
    </r>
    <r>
      <rPr>
        <b/>
        <sz val="12"/>
        <color theme="1"/>
        <rFont val="新細明體"/>
        <family val="1"/>
        <charset val="136"/>
      </rPr>
      <t>座標和光強度</t>
    </r>
    <phoneticPr fontId="2" type="noConversion"/>
  </si>
  <si>
    <t>不開啟溫度補償量測</t>
    <phoneticPr fontId="2" type="noConversion"/>
  </si>
  <si>
    <t>HEX</t>
    <phoneticPr fontId="2" type="noConversion"/>
  </si>
  <si>
    <t>R</t>
    <phoneticPr fontId="2" type="noConversion"/>
  </si>
  <si>
    <t>tc_b_en</t>
  </si>
  <si>
    <t>Photometric  
(lm / cd)</t>
    <phoneticPr fontId="2" type="noConversion"/>
  </si>
  <si>
    <t>Total
Photometric  
(lm / cd)</t>
    <phoneticPr fontId="2" type="noConversion"/>
  </si>
  <si>
    <r>
      <rPr>
        <sz val="12"/>
        <color theme="1"/>
        <rFont val="新細明體"/>
        <family val="2"/>
        <charset val="136"/>
      </rPr>
      <t>溫度偵測值</t>
    </r>
    <phoneticPr fontId="2" type="noConversion"/>
  </si>
  <si>
    <r>
      <rPr>
        <b/>
        <sz val="12"/>
        <color theme="1"/>
        <rFont val="新細明體"/>
        <family val="1"/>
        <charset val="136"/>
      </rPr>
      <t>輸出建議</t>
    </r>
    <r>
      <rPr>
        <b/>
        <sz val="12"/>
        <color theme="1"/>
        <rFont val="Calibri"/>
        <family val="2"/>
      </rPr>
      <t>Thermal_bias</t>
    </r>
    <phoneticPr fontId="2" type="noConversion"/>
  </si>
  <si>
    <t>tc_fine _shift</t>
    <phoneticPr fontId="2" type="noConversion"/>
  </si>
  <si>
    <t>count&gt;300%</t>
    <phoneticPr fontId="2" type="noConversion"/>
  </si>
  <si>
    <t>count &gt;255</t>
    <phoneticPr fontId="2" type="noConversion"/>
  </si>
  <si>
    <t>MISC值(&gt;255)</t>
    <phoneticPr fontId="2" type="noConversion"/>
  </si>
  <si>
    <t>MISC值(&gt;300%)</t>
    <phoneticPr fontId="2" type="noConversion"/>
  </si>
  <si>
    <t>MISC值(估)</t>
    <phoneticPr fontId="2" type="noConversion"/>
  </si>
  <si>
    <t>MISC值(估&gt;300%)</t>
    <phoneticPr fontId="2" type="noConversion"/>
  </si>
  <si>
    <t>倍率(估)</t>
    <phoneticPr fontId="2" type="noConversion"/>
  </si>
  <si>
    <t>倍率(Final)</t>
    <phoneticPr fontId="2" type="noConversion"/>
  </si>
  <si>
    <r>
      <rPr>
        <sz val="12"/>
        <color theme="1"/>
        <rFont val="細明體"/>
        <family val="3"/>
        <charset val="136"/>
      </rPr>
      <t>填寫</t>
    </r>
    <r>
      <rPr>
        <sz val="12"/>
        <color theme="1"/>
        <rFont val="Calibri"/>
        <family val="2"/>
      </rPr>
      <t>Target</t>
    </r>
    <phoneticPr fontId="2" type="noConversion"/>
  </si>
  <si>
    <t>25℃
Peak
current
(不開補償)</t>
    <phoneticPr fontId="2" type="noConversion"/>
  </si>
  <si>
    <t>F_CR推算</t>
    <phoneticPr fontId="2" type="noConversion"/>
  </si>
  <si>
    <t>6B</t>
    <phoneticPr fontId="2" type="noConversion"/>
  </si>
  <si>
    <t>tc_fine _shift</t>
  </si>
  <si>
    <t>tc_fine _shift</t>
    <phoneticPr fontId="2" type="noConversion"/>
  </si>
  <si>
    <t>G</t>
    <phoneticPr fontId="2" type="noConversion"/>
  </si>
  <si>
    <t>scalar</t>
    <phoneticPr fontId="2" type="noConversion"/>
  </si>
  <si>
    <r>
      <rPr>
        <b/>
        <sz val="12"/>
        <color theme="1"/>
        <rFont val="新細明體"/>
        <family val="1"/>
        <charset val="136"/>
      </rPr>
      <t>客戶填表，</t>
    </r>
    <r>
      <rPr>
        <b/>
        <sz val="12"/>
        <color theme="1"/>
        <rFont val="Calibri"/>
        <family val="2"/>
      </rPr>
      <t>25</t>
    </r>
    <r>
      <rPr>
        <b/>
        <sz val="12"/>
        <color theme="1"/>
        <rFont val="新細明體"/>
        <family val="1"/>
        <charset val="136"/>
      </rPr>
      <t>℃，設置</t>
    </r>
    <r>
      <rPr>
        <b/>
        <sz val="12"/>
        <color theme="1"/>
        <rFont val="Calibri"/>
        <family val="2"/>
      </rPr>
      <t>GBC = 6'h3F</t>
    </r>
    <r>
      <rPr>
        <b/>
        <sz val="12"/>
        <color theme="1"/>
        <rFont val="新細明體"/>
        <family val="1"/>
        <charset val="136"/>
      </rPr>
      <t>，</t>
    </r>
    <r>
      <rPr>
        <b/>
        <sz val="12"/>
        <color theme="1"/>
        <rFont val="Calibri"/>
        <family val="2"/>
      </rPr>
      <t>PWM_scalar = 16'h100</t>
    </r>
    <r>
      <rPr>
        <b/>
        <sz val="12"/>
        <color theme="1"/>
        <rFont val="新細明體"/>
        <family val="1"/>
        <charset val="136"/>
      </rPr>
      <t>利用填入的</t>
    </r>
    <r>
      <rPr>
        <b/>
        <sz val="12"/>
        <color theme="1"/>
        <rFont val="Calibri"/>
        <family val="2"/>
      </rPr>
      <t>"F_CR RGB"</t>
    </r>
    <r>
      <rPr>
        <b/>
        <sz val="12"/>
        <color theme="1"/>
        <rFont val="新細明體"/>
        <family val="1"/>
        <charset val="136"/>
      </rPr>
      <t>計算晶片輸出峰值電流，利用該</t>
    </r>
    <r>
      <rPr>
        <b/>
        <sz val="12"/>
        <color theme="1"/>
        <rFont val="Calibri"/>
        <family val="2"/>
      </rPr>
      <t>F_CR</t>
    </r>
    <r>
      <rPr>
        <b/>
        <sz val="12"/>
        <color theme="1"/>
        <rFont val="新細明體"/>
        <family val="1"/>
        <charset val="136"/>
      </rPr>
      <t>值量測</t>
    </r>
    <r>
      <rPr>
        <b/>
        <sz val="12"/>
        <color theme="1"/>
        <rFont val="Calibri"/>
        <family val="2"/>
      </rPr>
      <t>RGB</t>
    </r>
    <r>
      <rPr>
        <b/>
        <sz val="12"/>
        <color theme="1"/>
        <rFont val="新細明體"/>
        <family val="1"/>
        <charset val="136"/>
      </rPr>
      <t>色座標</t>
    </r>
    <r>
      <rPr>
        <b/>
        <sz val="12"/>
        <color theme="1"/>
        <rFont val="Calibri"/>
        <family val="2"/>
      </rPr>
      <t>/</t>
    </r>
    <r>
      <rPr>
        <b/>
        <sz val="12"/>
        <color theme="1"/>
        <rFont val="新細明體"/>
        <family val="1"/>
        <charset val="136"/>
      </rPr>
      <t>亮度，計算建議</t>
    </r>
    <r>
      <rPr>
        <b/>
        <sz val="12"/>
        <color theme="1"/>
        <rFont val="Calibri"/>
        <family val="2"/>
      </rPr>
      <t>F_CR</t>
    </r>
    <phoneticPr fontId="2" type="noConversion"/>
  </si>
  <si>
    <t>ns</t>
    <phoneticPr fontId="2" type="noConversion"/>
  </si>
  <si>
    <t>s</t>
    <phoneticPr fontId="2" type="noConversion"/>
  </si>
  <si>
    <t>Hz</t>
    <phoneticPr fontId="2" type="noConversion"/>
  </si>
  <si>
    <t>MISC值DEC(修正)</t>
    <phoneticPr fontId="2" type="noConversion"/>
  </si>
  <si>
    <t>sum</t>
    <phoneticPr fontId="2" type="noConversion"/>
  </si>
  <si>
    <t>a</t>
    <phoneticPr fontId="2" type="noConversion"/>
  </si>
  <si>
    <t>b</t>
    <phoneticPr fontId="2" type="noConversion"/>
  </si>
  <si>
    <t>預設scalar</t>
    <phoneticPr fontId="2" type="noConversion"/>
  </si>
  <si>
    <t>Mes_CIE_x</t>
    <phoneticPr fontId="2" type="noConversion"/>
  </si>
  <si>
    <t>Mes_CIE_y</t>
    <phoneticPr fontId="2" type="noConversion"/>
  </si>
  <si>
    <t>Mes_Photometric</t>
    <phoneticPr fontId="2" type="noConversion"/>
  </si>
  <si>
    <t>量度</t>
    <phoneticPr fontId="2" type="noConversion"/>
  </si>
  <si>
    <t>Cy</t>
    <phoneticPr fontId="2" type="noConversion"/>
  </si>
  <si>
    <t>Cx</t>
    <phoneticPr fontId="2" type="noConversion"/>
  </si>
  <si>
    <t>量測結果</t>
    <phoneticPr fontId="2" type="noConversion"/>
  </si>
  <si>
    <t>real</t>
    <phoneticPr fontId="45" type="noConversion"/>
  </si>
  <si>
    <r>
      <t>回傳值</t>
    </r>
    <r>
      <rPr>
        <sz val="10"/>
        <color rgb="FF000000"/>
        <rFont val="Times New Roman"/>
        <family val="1"/>
      </rPr>
      <t>DEC</t>
    </r>
  </si>
  <si>
    <t>chamber溫度</t>
    <phoneticPr fontId="45" type="noConversion"/>
  </si>
  <si>
    <r>
      <rPr>
        <b/>
        <sz val="12"/>
        <color theme="1"/>
        <rFont val="新細明體"/>
        <family val="1"/>
        <charset val="136"/>
      </rPr>
      <t>客戶填表，溫度升高至37</t>
    </r>
    <r>
      <rPr>
        <b/>
        <sz val="12"/>
        <color theme="1"/>
        <rFont val="Segoe UI Symbol"/>
        <family val="1"/>
      </rPr>
      <t>℃</t>
    </r>
    <r>
      <rPr>
        <b/>
        <sz val="12"/>
        <color theme="1"/>
        <rFont val="新細明體"/>
        <family val="1"/>
        <charset val="136"/>
      </rPr>
      <t>，量測未補償</t>
    </r>
    <r>
      <rPr>
        <b/>
        <sz val="12"/>
        <color theme="1"/>
        <rFont val="Calibri"/>
        <family val="2"/>
      </rPr>
      <t>RGB CIE</t>
    </r>
    <r>
      <rPr>
        <b/>
        <sz val="12"/>
        <color theme="1"/>
        <rFont val="新細明體"/>
        <family val="1"/>
        <charset val="136"/>
      </rPr>
      <t>座標和光強度</t>
    </r>
    <phoneticPr fontId="2" type="noConversion"/>
  </si>
  <si>
    <r>
      <rPr>
        <b/>
        <sz val="12"/>
        <color theme="1"/>
        <rFont val="新細明體"/>
        <family val="1"/>
        <charset val="136"/>
      </rPr>
      <t>客戶填表，25</t>
    </r>
    <r>
      <rPr>
        <b/>
        <sz val="12"/>
        <color theme="1"/>
        <rFont val="Segoe UI Symbol"/>
        <family val="1"/>
      </rPr>
      <t>℃</t>
    </r>
    <r>
      <rPr>
        <b/>
        <sz val="12"/>
        <color theme="1"/>
        <rFont val="新細明體"/>
        <family val="1"/>
        <charset val="136"/>
      </rPr>
      <t>，目標座標</t>
    </r>
    <r>
      <rPr>
        <b/>
        <sz val="12"/>
        <color theme="1"/>
        <rFont val="Calibri"/>
        <family val="2"/>
      </rPr>
      <t>/</t>
    </r>
    <r>
      <rPr>
        <b/>
        <sz val="12"/>
        <color theme="1"/>
        <rFont val="新細明體"/>
        <family val="1"/>
        <charset val="136"/>
      </rPr>
      <t>亮度</t>
    </r>
    <r>
      <rPr>
        <b/>
        <sz val="12"/>
        <color theme="1"/>
        <rFont val="Calibri"/>
        <family val="2"/>
      </rPr>
      <t>/PWM</t>
    </r>
    <r>
      <rPr>
        <b/>
        <sz val="12"/>
        <color theme="1"/>
        <rFont val="新細明體"/>
        <family val="1"/>
        <charset val="136"/>
      </rPr>
      <t>使用</t>
    </r>
    <r>
      <rPr>
        <b/>
        <sz val="12"/>
        <color theme="1"/>
        <rFont val="Calibri"/>
        <family val="2"/>
      </rPr>
      <t>bit</t>
    </r>
    <phoneticPr fontId="2" type="noConversion"/>
  </si>
  <si>
    <r>
      <rPr>
        <b/>
        <sz val="12"/>
        <color theme="1"/>
        <rFont val="新細明體"/>
        <family val="1"/>
        <charset val="136"/>
      </rPr>
      <t>客戶填表，25</t>
    </r>
    <r>
      <rPr>
        <b/>
        <sz val="12"/>
        <color theme="1"/>
        <rFont val="Segoe UI Symbol"/>
        <family val="1"/>
      </rPr>
      <t>℃</t>
    </r>
    <r>
      <rPr>
        <b/>
        <sz val="12"/>
        <color theme="1"/>
        <rFont val="新細明體"/>
        <family val="1"/>
        <charset val="136"/>
      </rPr>
      <t>，晶片溫度校正至偵測值為</t>
    </r>
    <r>
      <rPr>
        <b/>
        <sz val="12"/>
        <color theme="1"/>
        <rFont val="Calibri"/>
        <family val="2"/>
      </rPr>
      <t>15</t>
    </r>
    <phoneticPr fontId="2" type="noConversion"/>
  </si>
  <si>
    <t>R</t>
    <phoneticPr fontId="2" type="noConversion"/>
  </si>
  <si>
    <t>G</t>
    <phoneticPr fontId="2" type="noConversion"/>
  </si>
  <si>
    <t>B</t>
    <phoneticPr fontId="2" type="noConversion"/>
  </si>
  <si>
    <t>W1</t>
    <phoneticPr fontId="2" type="noConversion"/>
  </si>
  <si>
    <t>W2</t>
    <phoneticPr fontId="2" type="noConversion"/>
  </si>
  <si>
    <t>3D</t>
    <phoneticPr fontId="2" type="noConversion"/>
  </si>
  <si>
    <r>
      <rPr>
        <b/>
        <sz val="12"/>
        <color theme="1"/>
        <rFont val="新細明體"/>
        <family val="1"/>
        <charset val="136"/>
      </rPr>
      <t>客戶填表，</t>
    </r>
    <r>
      <rPr>
        <b/>
        <sz val="12"/>
        <color theme="1"/>
        <rFont val="Calibri"/>
        <family val="1"/>
      </rPr>
      <t>25</t>
    </r>
    <r>
      <rPr>
        <b/>
        <sz val="12"/>
        <color theme="1"/>
        <rFont val="Segoe UI Symbol"/>
        <family val="1"/>
      </rPr>
      <t>℃</t>
    </r>
    <r>
      <rPr>
        <b/>
        <sz val="12"/>
        <color theme="1"/>
        <rFont val="新細明體"/>
        <family val="1"/>
        <charset val="136"/>
      </rPr>
      <t>，</t>
    </r>
    <r>
      <rPr>
        <b/>
        <sz val="12"/>
        <color theme="1"/>
        <rFont val="Calibri"/>
        <family val="2"/>
      </rPr>
      <t>GBC</t>
    </r>
    <r>
      <rPr>
        <b/>
        <sz val="12"/>
        <color theme="1"/>
        <rFont val="新細明體"/>
        <family val="1"/>
        <charset val="136"/>
      </rPr>
      <t>設置為</t>
    </r>
    <r>
      <rPr>
        <b/>
        <sz val="12"/>
        <color theme="1"/>
        <rFont val="Calibri"/>
        <family val="2"/>
      </rPr>
      <t>3F</t>
    </r>
    <r>
      <rPr>
        <b/>
        <sz val="12"/>
        <color theme="1"/>
        <rFont val="新細明體"/>
        <family val="1"/>
        <charset val="136"/>
      </rPr>
      <t>，</t>
    </r>
    <r>
      <rPr>
        <b/>
        <sz val="12"/>
        <color theme="1"/>
        <rFont val="Calibri"/>
        <family val="1"/>
      </rPr>
      <t>scalar = 16'h100</t>
    </r>
    <r>
      <rPr>
        <b/>
        <sz val="12"/>
        <color theme="1"/>
        <rFont val="細明體"/>
        <family val="1"/>
        <charset val="136"/>
      </rPr>
      <t>，</t>
    </r>
    <r>
      <rPr>
        <b/>
        <sz val="12"/>
        <color theme="1"/>
        <rFont val="Calibri"/>
        <family val="1"/>
      </rPr>
      <t>PWM = 16'h FF</t>
    </r>
    <r>
      <rPr>
        <b/>
        <sz val="12"/>
        <color theme="1"/>
        <rFont val="細明體"/>
        <family val="1"/>
        <charset val="136"/>
      </rPr>
      <t>，</t>
    </r>
    <r>
      <rPr>
        <b/>
        <sz val="12"/>
        <color theme="1"/>
        <rFont val="Calibri"/>
        <family val="1"/>
      </rPr>
      <t xml:space="preserve">max_PWM_chip = 16'h 02FD
</t>
    </r>
    <r>
      <rPr>
        <b/>
        <sz val="12"/>
        <color theme="1"/>
        <rFont val="新細明體"/>
        <family val="1"/>
        <charset val="136"/>
      </rPr>
      <t>利用填入的</t>
    </r>
    <r>
      <rPr>
        <b/>
        <sz val="12"/>
        <color theme="1"/>
        <rFont val="Calibri"/>
        <family val="2"/>
      </rPr>
      <t>"F_CR RGB"</t>
    </r>
    <r>
      <rPr>
        <b/>
        <sz val="12"/>
        <color theme="1"/>
        <rFont val="新細明體"/>
        <family val="1"/>
        <charset val="136"/>
      </rPr>
      <t>計算晶片輸出峰值電流，利用該</t>
    </r>
    <r>
      <rPr>
        <b/>
        <sz val="12"/>
        <color theme="1"/>
        <rFont val="Calibri"/>
        <family val="2"/>
      </rPr>
      <t>F_CR</t>
    </r>
    <r>
      <rPr>
        <b/>
        <sz val="12"/>
        <color theme="1"/>
        <rFont val="新細明體"/>
        <family val="1"/>
        <charset val="136"/>
      </rPr>
      <t>值量測</t>
    </r>
    <r>
      <rPr>
        <b/>
        <sz val="12"/>
        <color theme="1"/>
        <rFont val="Calibri"/>
        <family val="2"/>
      </rPr>
      <t>RGB</t>
    </r>
    <r>
      <rPr>
        <b/>
        <sz val="12"/>
        <color theme="1"/>
        <rFont val="新細明體"/>
        <family val="1"/>
        <charset val="136"/>
      </rPr>
      <t>色座標</t>
    </r>
    <r>
      <rPr>
        <b/>
        <sz val="12"/>
        <color theme="1"/>
        <rFont val="Calibri"/>
        <family val="2"/>
      </rPr>
      <t>/</t>
    </r>
    <r>
      <rPr>
        <b/>
        <sz val="12"/>
        <color theme="1"/>
        <rFont val="新細明體"/>
        <family val="1"/>
        <charset val="136"/>
      </rPr>
      <t>亮度，計算建議</t>
    </r>
    <r>
      <rPr>
        <b/>
        <sz val="12"/>
        <color theme="1"/>
        <rFont val="Calibri"/>
        <family val="2"/>
      </rPr>
      <t>F_CR</t>
    </r>
    <phoneticPr fontId="2" type="noConversion"/>
  </si>
  <si>
    <t>積分時間</t>
    <phoneticPr fontId="2" type="noConversion"/>
  </si>
  <si>
    <t>主波長</t>
    <phoneticPr fontId="2" type="noConversion"/>
  </si>
  <si>
    <t>TC_fine (HEX)</t>
    <phoneticPr fontId="2" type="noConversion"/>
  </si>
  <si>
    <t>TC_shift</t>
    <phoneticPr fontId="2" type="noConversion"/>
  </si>
  <si>
    <t>R Duty</t>
    <phoneticPr fontId="2" type="noConversion"/>
  </si>
  <si>
    <t>FF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</si>
</sst>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000_ "/>
    <numFmt numFmtId="177" formatCode="0.0000"/>
    <numFmt numFmtId="178" formatCode="0.000%"/>
    <numFmt numFmtId="179" formatCode="0_ "/>
    <numFmt numFmtId="180" formatCode="0.0000_);[Red]\(0.0000\)"/>
    <numFmt numFmtId="181" formatCode="0.000_ "/>
    <numFmt numFmtId="182" formatCode="0.00000_);[Red]\(0.00000\)"/>
    <numFmt numFmtId="183" formatCode="0.0_ "/>
  </numFmts>
  <fonts count="48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8"/>
      <color rgb="FF6D6D6D"/>
      <name val="Tahoma"/>
      <family val="2"/>
    </font>
    <font>
      <sz val="12"/>
      <name val="新細明體"/>
      <family val="1"/>
      <charset val="136"/>
      <scheme val="minor"/>
    </font>
    <font>
      <sz val="10"/>
      <name val="Arial"/>
      <family val="2"/>
    </font>
    <font>
      <sz val="10"/>
      <name val="Arial"/>
      <family val="2"/>
    </font>
    <font>
      <b/>
      <sz val="12"/>
      <color theme="1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  <font>
      <sz val="12"/>
      <color theme="1"/>
      <name val="Times New Roman"/>
      <family val="1"/>
    </font>
    <font>
      <sz val="12"/>
      <color theme="1"/>
      <name val="新細明體"/>
      <family val="2"/>
      <charset val="136"/>
    </font>
    <font>
      <sz val="12"/>
      <name val="Times New Roman"/>
      <family val="1"/>
    </font>
    <font>
      <sz val="12"/>
      <name val="細明體"/>
      <family val="3"/>
      <charset val="136"/>
    </font>
    <font>
      <b/>
      <sz val="12"/>
      <color rgb="FFFF0000"/>
      <name val="Times New Roman"/>
      <family val="1"/>
    </font>
    <font>
      <b/>
      <sz val="12"/>
      <color rgb="FFFF0000"/>
      <name val="新細明體"/>
      <family val="1"/>
      <charset val="136"/>
      <scheme val="minor"/>
    </font>
    <font>
      <b/>
      <sz val="12"/>
      <color rgb="FFFF0000"/>
      <name val="新細明體"/>
      <family val="2"/>
      <charset val="136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theme="1"/>
      <name val="新細明體"/>
      <family val="1"/>
      <charset val="136"/>
    </font>
    <font>
      <b/>
      <sz val="26"/>
      <color theme="1"/>
      <name val="新細明體"/>
      <family val="1"/>
      <charset val="136"/>
      <scheme val="minor"/>
    </font>
    <font>
      <b/>
      <sz val="12"/>
      <name val="新細明體"/>
      <family val="2"/>
      <charset val="136"/>
    </font>
    <font>
      <sz val="12"/>
      <color rgb="FF0070C0"/>
      <name val="新細明體"/>
      <family val="1"/>
      <charset val="136"/>
      <scheme val="minor"/>
    </font>
    <font>
      <sz val="12"/>
      <color rgb="FF0070C0"/>
      <name val="新細明體"/>
      <family val="2"/>
      <charset val="136"/>
      <scheme val="minor"/>
    </font>
    <font>
      <b/>
      <sz val="12"/>
      <color rgb="FF0070C0"/>
      <name val="新細明體"/>
      <family val="1"/>
      <charset val="136"/>
      <scheme val="minor"/>
    </font>
    <font>
      <b/>
      <sz val="10"/>
      <name val="微軟正黑體"/>
      <family val="2"/>
      <charset val="136"/>
    </font>
    <font>
      <sz val="10"/>
      <color theme="1"/>
      <name val="微軟正黑體"/>
      <family val="2"/>
      <charset val="136"/>
    </font>
    <font>
      <b/>
      <sz val="12"/>
      <color rgb="FF00B050"/>
      <name val="新細明體"/>
      <family val="1"/>
      <charset val="136"/>
      <scheme val="minor"/>
    </font>
    <font>
      <sz val="12"/>
      <color theme="1"/>
      <name val="Calibri"/>
      <family val="2"/>
    </font>
    <font>
      <sz val="12"/>
      <color theme="1"/>
      <name val="新細明體"/>
      <family val="1"/>
      <charset val="136"/>
    </font>
    <font>
      <b/>
      <sz val="12"/>
      <color theme="1"/>
      <name val="Calibri"/>
      <family val="2"/>
    </font>
    <font>
      <b/>
      <sz val="12"/>
      <color rgb="FFFF0000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color rgb="FF0070C0"/>
      <name val="Calibri"/>
      <family val="2"/>
    </font>
    <font>
      <b/>
      <sz val="12"/>
      <name val="新細明體"/>
      <family val="1"/>
      <charset val="136"/>
    </font>
    <font>
      <sz val="12"/>
      <color rgb="FF0070C0"/>
      <name val="新細明體"/>
      <family val="2"/>
      <charset val="136"/>
    </font>
    <font>
      <sz val="12"/>
      <color rgb="FFFF0000"/>
      <name val="Calibri"/>
      <family val="2"/>
    </font>
    <font>
      <sz val="12"/>
      <color rgb="FF000000"/>
      <name val="Times New Roman"/>
      <family val="1"/>
    </font>
    <font>
      <sz val="12"/>
      <color theme="1"/>
      <name val="細明體"/>
      <family val="3"/>
      <charset val="136"/>
    </font>
    <font>
      <b/>
      <sz val="12"/>
      <color theme="1"/>
      <name val="Segoe UI Symbol"/>
      <family val="1"/>
    </font>
    <font>
      <b/>
      <sz val="12"/>
      <color theme="1"/>
      <name val="Calibri"/>
      <family val="1"/>
      <charset val="136"/>
    </font>
    <font>
      <b/>
      <sz val="12"/>
      <color theme="1"/>
      <name val="Calibri"/>
      <family val="1"/>
    </font>
    <font>
      <b/>
      <sz val="12"/>
      <color theme="1"/>
      <name val="細明體"/>
      <family val="1"/>
      <charset val="136"/>
    </font>
    <font>
      <sz val="9"/>
      <name val="新細明體"/>
      <family val="3"/>
      <charset val="136"/>
      <scheme val="minor"/>
    </font>
    <font>
      <sz val="10"/>
      <color rgb="FF000000"/>
      <name val="新細明體"/>
      <family val="1"/>
      <charset val="136"/>
    </font>
    <font>
      <sz val="10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8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3" tint="0.39991454817346722"/>
      </top>
      <bottom style="thin">
        <color theme="3" tint="0.3999145481734672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5">
    <xf numFmtId="0" fontId="0" fillId="0" borderId="0">
      <alignment vertical="center"/>
    </xf>
    <xf numFmtId="0" fontId="1" fillId="0" borderId="0"/>
    <xf numFmtId="0" fontId="1" fillId="0" borderId="0">
      <alignment vertical="center"/>
    </xf>
    <xf numFmtId="0" fontId="4" fillId="0" borderId="0"/>
    <xf numFmtId="0" fontId="1" fillId="0" borderId="0"/>
    <xf numFmtId="0" fontId="1" fillId="0" borderId="0"/>
    <xf numFmtId="0" fontId="1" fillId="0" borderId="0"/>
    <xf numFmtId="0" fontId="5" fillId="6" borderId="0" applyNumberFormat="0" applyFont="0" applyFill="0" applyBorder="0" applyAlignment="0" applyProtection="0">
      <alignment horizontal="left" vertical="top" wrapText="1"/>
    </xf>
    <xf numFmtId="0" fontId="1" fillId="0" borderId="0"/>
    <xf numFmtId="0" fontId="7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1" fillId="0" borderId="0">
      <alignment vertical="center"/>
    </xf>
    <xf numFmtId="0" fontId="7" fillId="0" borderId="0"/>
    <xf numFmtId="0" fontId="7" fillId="0" borderId="0"/>
    <xf numFmtId="9" fontId="1" fillId="0" borderId="0" applyFont="0" applyFill="0" applyBorder="0" applyAlignment="0" applyProtection="0">
      <alignment vertical="center"/>
    </xf>
  </cellStyleXfs>
  <cellXfs count="39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6" fillId="4" borderId="1" xfId="9" applyFont="1" applyFill="1" applyBorder="1" applyAlignment="1">
      <alignment horizontal="center" vertical="top" wrapText="1"/>
    </xf>
    <xf numFmtId="0" fontId="6" fillId="5" borderId="1" xfId="9" applyFont="1" applyFill="1" applyBorder="1" applyAlignment="1">
      <alignment horizontal="center" vertical="top" wrapText="1"/>
    </xf>
    <xf numFmtId="0" fontId="6" fillId="7" borderId="1" xfId="9" applyFont="1" applyFill="1" applyBorder="1" applyAlignment="1">
      <alignment horizontal="center" vertical="top" wrapText="1"/>
    </xf>
    <xf numFmtId="0" fontId="0" fillId="0" borderId="6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1" fillId="5" borderId="1" xfId="0" applyFont="1" applyFill="1" applyBorder="1">
      <alignment vertical="center"/>
    </xf>
    <xf numFmtId="0" fontId="18" fillId="3" borderId="6" xfId="0" applyFont="1" applyFill="1" applyBorder="1">
      <alignment vertical="center"/>
    </xf>
    <xf numFmtId="0" fontId="11" fillId="3" borderId="6" xfId="0" applyFont="1" applyFill="1" applyBorder="1">
      <alignment vertical="center"/>
    </xf>
    <xf numFmtId="178" fontId="0" fillId="0" borderId="6" xfId="0" applyNumberFormat="1" applyBorder="1" applyAlignment="1">
      <alignment horizontal="center" vertical="center"/>
    </xf>
    <xf numFmtId="0" fontId="19" fillId="8" borderId="5" xfId="0" applyFont="1" applyFill="1" applyBorder="1" applyAlignment="1">
      <alignment horizontal="center" vertical="center"/>
    </xf>
    <xf numFmtId="0" fontId="19" fillId="8" borderId="9" xfId="0" applyFont="1" applyFill="1" applyBorder="1" applyAlignment="1">
      <alignment horizontal="center" vertical="center"/>
    </xf>
    <xf numFmtId="0" fontId="19" fillId="8" borderId="8" xfId="0" applyFont="1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1" fillId="3" borderId="1" xfId="0" applyFont="1" applyFill="1" applyBorder="1">
      <alignment vertical="center"/>
    </xf>
    <xf numFmtId="0" fontId="18" fillId="3" borderId="1" xfId="0" applyFont="1" applyFill="1" applyBorder="1">
      <alignment vertical="center"/>
    </xf>
    <xf numFmtId="0" fontId="6" fillId="4" borderId="3" xfId="9" applyFont="1" applyFill="1" applyBorder="1" applyAlignment="1">
      <alignment horizontal="center" vertical="top" wrapText="1"/>
    </xf>
    <xf numFmtId="0" fontId="6" fillId="0" borderId="14" xfId="9" applyFont="1" applyBorder="1" applyAlignment="1">
      <alignment horizontal="center" vertical="top" wrapText="1"/>
    </xf>
    <xf numFmtId="0" fontId="6" fillId="0" borderId="15" xfId="9" applyFont="1" applyBorder="1" applyAlignment="1">
      <alignment horizontal="center" vertical="top" wrapText="1"/>
    </xf>
    <xf numFmtId="179" fontId="0" fillId="0" borderId="1" xfId="0" applyNumberFormat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>
      <alignment vertical="center"/>
    </xf>
    <xf numFmtId="177" fontId="0" fillId="0" borderId="6" xfId="0" applyNumberFormat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/>
    </xf>
    <xf numFmtId="0" fontId="19" fillId="4" borderId="6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6" fillId="0" borderId="14" xfId="20" applyFont="1" applyBorder="1" applyAlignment="1">
      <alignment horizontal="center" vertical="top" wrapText="1"/>
    </xf>
    <xf numFmtId="0" fontId="6" fillId="0" borderId="15" xfId="20" applyFont="1" applyBorder="1" applyAlignment="1">
      <alignment horizontal="center" vertical="top" wrapText="1"/>
    </xf>
    <xf numFmtId="0" fontId="0" fillId="0" borderId="1" xfId="0" applyBorder="1">
      <alignment vertical="center"/>
    </xf>
    <xf numFmtId="0" fontId="16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 wrapText="1"/>
    </xf>
    <xf numFmtId="177" fontId="0" fillId="4" borderId="1" xfId="0" applyNumberForma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1" xfId="2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0" fontId="16" fillId="0" borderId="1" xfId="0" applyNumberFormat="1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0" fontId="9" fillId="0" borderId="0" xfId="0" applyFont="1">
      <alignment vertical="center"/>
    </xf>
    <xf numFmtId="0" fontId="16" fillId="0" borderId="3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10" fontId="9" fillId="0" borderId="14" xfId="0" applyNumberFormat="1" applyFont="1" applyBorder="1" applyAlignment="1">
      <alignment horizontal="center" vertical="center"/>
    </xf>
    <xf numFmtId="10" fontId="9" fillId="0" borderId="15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9" fillId="0" borderId="11" xfId="0" applyFont="1" applyBorder="1" applyAlignment="1">
      <alignment horizontal="center" vertical="center"/>
    </xf>
    <xf numFmtId="0" fontId="16" fillId="0" borderId="38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10" fontId="9" fillId="0" borderId="17" xfId="0" applyNumberFormat="1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9" fillId="0" borderId="37" xfId="0" applyFont="1" applyBorder="1" applyAlignment="1">
      <alignment horizontal="left" vertical="center"/>
    </xf>
    <xf numFmtId="0" fontId="0" fillId="0" borderId="0" xfId="0" applyAlignment="1">
      <alignment vertical="top" wrapText="1"/>
    </xf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6" fillId="0" borderId="6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6" fillId="0" borderId="17" xfId="20" applyFont="1" applyBorder="1" applyAlignment="1">
      <alignment horizontal="center" vertical="top" wrapText="1"/>
    </xf>
    <xf numFmtId="0" fontId="15" fillId="4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6" fillId="3" borderId="1" xfId="9" applyFont="1" applyFill="1" applyBorder="1" applyAlignment="1">
      <alignment horizontal="center" vertical="top" wrapText="1"/>
    </xf>
    <xf numFmtId="0" fontId="6" fillId="0" borderId="14" xfId="23" applyFont="1" applyBorder="1" applyAlignment="1">
      <alignment horizontal="center" vertical="top" wrapText="1"/>
    </xf>
    <xf numFmtId="0" fontId="6" fillId="0" borderId="15" xfId="23" applyFont="1" applyBorder="1" applyAlignment="1">
      <alignment horizontal="center" vertical="top" wrapText="1"/>
    </xf>
    <xf numFmtId="0" fontId="13" fillId="3" borderId="48" xfId="0" applyFont="1" applyFill="1" applyBorder="1" applyAlignment="1">
      <alignment horizontal="center" vertical="center"/>
    </xf>
    <xf numFmtId="0" fontId="26" fillId="2" borderId="49" xfId="8" applyFont="1" applyFill="1" applyBorder="1" applyAlignment="1">
      <alignment horizontal="center" vertical="center" wrapText="1"/>
    </xf>
    <xf numFmtId="176" fontId="27" fillId="0" borderId="49" xfId="8" applyNumberFormat="1" applyFont="1" applyBorder="1" applyAlignment="1">
      <alignment horizontal="center" vertical="center"/>
    </xf>
    <xf numFmtId="0" fontId="6" fillId="0" borderId="0" xfId="23" applyFont="1" applyAlignment="1">
      <alignment horizontal="center" vertical="top" wrapText="1"/>
    </xf>
    <xf numFmtId="0" fontId="3" fillId="0" borderId="0" xfId="0" applyFont="1" applyAlignment="1">
      <alignment horizontal="center" vertical="center"/>
    </xf>
    <xf numFmtId="10" fontId="0" fillId="0" borderId="0" xfId="0" applyNumberForma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4" xfId="0" applyBorder="1" applyAlignment="1">
      <alignment horizontal="center" vertical="center"/>
    </xf>
    <xf numFmtId="0" fontId="6" fillId="0" borderId="4" xfId="9" applyFont="1" applyBorder="1" applyAlignment="1">
      <alignment horizontal="center" vertical="top" wrapText="1"/>
    </xf>
    <xf numFmtId="0" fontId="6" fillId="0" borderId="2" xfId="9" applyFont="1" applyBorder="1" applyAlignment="1">
      <alignment horizontal="center" vertical="top" wrapText="1"/>
    </xf>
    <xf numFmtId="0" fontId="6" fillId="5" borderId="6" xfId="9" applyFont="1" applyFill="1" applyBorder="1" applyAlignment="1">
      <alignment horizontal="center" vertical="top" wrapText="1"/>
    </xf>
    <xf numFmtId="0" fontId="0" fillId="4" borderId="45" xfId="0" applyFill="1" applyBorder="1" applyAlignment="1">
      <alignment horizontal="center" vertical="center"/>
    </xf>
    <xf numFmtId="0" fontId="6" fillId="0" borderId="42" xfId="9" applyFont="1" applyBorder="1" applyAlignment="1">
      <alignment horizontal="center" vertical="top" wrapText="1"/>
    </xf>
    <xf numFmtId="0" fontId="0" fillId="4" borderId="16" xfId="0" applyFill="1" applyBorder="1" applyAlignment="1">
      <alignment horizontal="center" vertical="center"/>
    </xf>
    <xf numFmtId="0" fontId="0" fillId="0" borderId="37" xfId="0" applyBorder="1" applyAlignment="1">
      <alignment horizontal="left" vertical="center"/>
    </xf>
    <xf numFmtId="0" fontId="0" fillId="0" borderId="48" xfId="0" applyBorder="1" applyAlignment="1">
      <alignment horizontal="center" vertical="center"/>
    </xf>
    <xf numFmtId="0" fontId="9" fillId="0" borderId="48" xfId="0" applyFont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6" fillId="0" borderId="55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6" fillId="0" borderId="5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9" fillId="10" borderId="30" xfId="0" applyFont="1" applyFill="1" applyBorder="1">
      <alignment vertical="center"/>
    </xf>
    <xf numFmtId="0" fontId="9" fillId="10" borderId="29" xfId="0" applyFont="1" applyFill="1" applyBorder="1">
      <alignment vertical="center"/>
    </xf>
    <xf numFmtId="0" fontId="9" fillId="10" borderId="0" xfId="0" applyFont="1" applyFill="1">
      <alignment vertical="center"/>
    </xf>
    <xf numFmtId="0" fontId="0" fillId="0" borderId="6" xfId="0" applyBorder="1" applyAlignment="1">
      <alignment horizontal="right" vertical="center"/>
    </xf>
    <xf numFmtId="0" fontId="16" fillId="0" borderId="35" xfId="0" applyFont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56" xfId="0" applyBorder="1">
      <alignment vertical="center"/>
    </xf>
    <xf numFmtId="180" fontId="0" fillId="0" borderId="1" xfId="0" applyNumberFormat="1" applyBorder="1" applyAlignment="1">
      <alignment horizontal="center" vertical="center"/>
    </xf>
    <xf numFmtId="176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0" fillId="11" borderId="1" xfId="0" applyFill="1" applyBorder="1" applyAlignment="1">
      <alignment horizontal="center" vertical="center"/>
    </xf>
    <xf numFmtId="0" fontId="0" fillId="4" borderId="56" xfId="0" applyFill="1" applyBorder="1" applyAlignment="1">
      <alignment horizontal="center" vertical="center"/>
    </xf>
    <xf numFmtId="0" fontId="22" fillId="4" borderId="11" xfId="0" applyFont="1" applyFill="1" applyBorder="1" applyAlignment="1">
      <alignment horizontal="center" vertical="center"/>
    </xf>
    <xf numFmtId="0" fontId="19" fillId="4" borderId="11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33" fillId="0" borderId="8" xfId="9" applyFont="1" applyBorder="1" applyAlignment="1">
      <alignment horizontal="center" vertical="top" wrapText="1"/>
    </xf>
    <xf numFmtId="0" fontId="19" fillId="4" borderId="16" xfId="0" applyFont="1" applyFill="1" applyBorder="1" applyAlignment="1">
      <alignment horizontal="center" vertical="center"/>
    </xf>
    <xf numFmtId="0" fontId="29" fillId="4" borderId="1" xfId="0" applyFont="1" applyFill="1" applyBorder="1" applyAlignment="1">
      <alignment horizontal="center" vertical="center" wrapText="1"/>
    </xf>
    <xf numFmtId="0" fontId="29" fillId="0" borderId="8" xfId="0" applyFont="1" applyBorder="1" applyAlignment="1">
      <alignment horizontal="center" vertical="center"/>
    </xf>
    <xf numFmtId="0" fontId="29" fillId="4" borderId="6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left" vertical="center"/>
    </xf>
    <xf numFmtId="0" fontId="29" fillId="0" borderId="6" xfId="0" applyFont="1" applyBorder="1" applyAlignment="1">
      <alignment horizontal="center" vertical="center"/>
    </xf>
    <xf numFmtId="0" fontId="29" fillId="0" borderId="0" xfId="0" applyFont="1">
      <alignment vertical="center"/>
    </xf>
    <xf numFmtId="0" fontId="29" fillId="4" borderId="1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33" fillId="0" borderId="5" xfId="9" applyFont="1" applyBorder="1" applyAlignment="1">
      <alignment horizontal="center" vertical="top" wrapText="1"/>
    </xf>
    <xf numFmtId="0" fontId="33" fillId="0" borderId="1" xfId="9" applyFont="1" applyBorder="1" applyAlignment="1">
      <alignment horizontal="center" vertical="top" wrapText="1"/>
    </xf>
    <xf numFmtId="0" fontId="33" fillId="4" borderId="1" xfId="9" applyFont="1" applyFill="1" applyBorder="1" applyAlignment="1">
      <alignment horizontal="center" vertical="top" wrapText="1"/>
    </xf>
    <xf numFmtId="0" fontId="31" fillId="0" borderId="1" xfId="0" applyFont="1" applyBorder="1" applyAlignment="1">
      <alignment horizontal="center" vertical="center"/>
    </xf>
    <xf numFmtId="0" fontId="33" fillId="0" borderId="1" xfId="23" applyFont="1" applyBorder="1" applyAlignment="1">
      <alignment horizontal="center" vertical="top" wrapText="1"/>
    </xf>
    <xf numFmtId="0" fontId="33" fillId="0" borderId="1" xfId="20" applyFont="1" applyBorder="1" applyAlignment="1">
      <alignment horizontal="center" vertical="top" wrapText="1"/>
    </xf>
    <xf numFmtId="10" fontId="29" fillId="0" borderId="0" xfId="0" applyNumberFormat="1" applyFont="1">
      <alignment vertical="center"/>
    </xf>
    <xf numFmtId="0" fontId="29" fillId="0" borderId="0" xfId="0" applyFont="1" applyAlignment="1">
      <alignment horizontal="left" vertical="center"/>
    </xf>
    <xf numFmtId="0" fontId="31" fillId="0" borderId="6" xfId="0" applyFont="1" applyBorder="1" applyAlignment="1">
      <alignment horizontal="center" vertical="center"/>
    </xf>
    <xf numFmtId="0" fontId="32" fillId="0" borderId="5" xfId="0" applyFont="1" applyBorder="1" applyAlignment="1">
      <alignment horizontal="center" vertical="center"/>
    </xf>
    <xf numFmtId="0" fontId="38" fillId="0" borderId="5" xfId="0" applyFont="1" applyBorder="1" applyAlignment="1">
      <alignment horizontal="center" vertical="center"/>
    </xf>
    <xf numFmtId="0" fontId="32" fillId="0" borderId="8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181" fontId="29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9" fillId="0" borderId="0" xfId="0" applyFont="1" applyAlignment="1">
      <alignment vertical="center" wrapText="1"/>
    </xf>
    <xf numFmtId="0" fontId="34" fillId="0" borderId="6" xfId="0" applyFont="1" applyBorder="1" applyAlignment="1">
      <alignment horizontal="center" vertical="center"/>
    </xf>
    <xf numFmtId="0" fontId="32" fillId="0" borderId="6" xfId="0" applyFont="1" applyBorder="1" applyAlignment="1">
      <alignment horizontal="center" vertical="center"/>
    </xf>
    <xf numFmtId="10" fontId="31" fillId="0" borderId="6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9" fillId="4" borderId="16" xfId="0" applyFont="1" applyFill="1" applyBorder="1" applyAlignment="1">
      <alignment horizontal="center" vertical="center"/>
    </xf>
    <xf numFmtId="0" fontId="29" fillId="4" borderId="11" xfId="0" applyFont="1" applyFill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0" fontId="39" fillId="0" borderId="11" xfId="0" applyFon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82" fontId="0" fillId="0" borderId="1" xfId="0" applyNumberFormat="1" applyBorder="1" applyAlignment="1">
      <alignment horizontal="center" vertical="center"/>
    </xf>
    <xf numFmtId="0" fontId="29" fillId="0" borderId="11" xfId="0" applyFont="1" applyBorder="1" applyAlignment="1">
      <alignment horizontal="left" vertical="center"/>
    </xf>
    <xf numFmtId="0" fontId="29" fillId="4" borderId="11" xfId="0" applyFont="1" applyFill="1" applyBorder="1" applyAlignment="1">
      <alignment horizontal="center" vertical="center" wrapText="1"/>
    </xf>
    <xf numFmtId="0" fontId="46" fillId="12" borderId="1" xfId="0" applyFont="1" applyFill="1" applyBorder="1" applyAlignment="1">
      <alignment horizontal="center" vertical="center"/>
    </xf>
    <xf numFmtId="183" fontId="3" fillId="0" borderId="1" xfId="0" applyNumberFormat="1" applyFont="1" applyBorder="1" applyAlignment="1">
      <alignment horizontal="center"/>
    </xf>
    <xf numFmtId="183" fontId="3" fillId="0" borderId="1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8" fillId="3" borderId="6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33" fillId="0" borderId="0" xfId="9" applyFont="1" applyAlignment="1">
      <alignment horizontal="center" vertical="top" wrapText="1"/>
    </xf>
    <xf numFmtId="0" fontId="29" fillId="0" borderId="57" xfId="0" applyFont="1" applyBorder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0" borderId="30" xfId="0" applyFont="1" applyBorder="1" applyAlignment="1">
      <alignment horizontal="left" vertical="top" wrapText="1"/>
    </xf>
    <xf numFmtId="0" fontId="3" fillId="0" borderId="29" xfId="0" applyFont="1" applyBorder="1" applyAlignment="1">
      <alignment horizontal="left" vertical="top" wrapText="1"/>
    </xf>
    <xf numFmtId="0" fontId="3" fillId="0" borderId="31" xfId="0" applyFont="1" applyBorder="1" applyAlignment="1">
      <alignment horizontal="left" vertical="top" wrapText="1"/>
    </xf>
    <xf numFmtId="0" fontId="3" fillId="0" borderId="27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32" xfId="0" applyFont="1" applyBorder="1" applyAlignment="1">
      <alignment horizontal="left" vertical="top" wrapText="1"/>
    </xf>
    <xf numFmtId="0" fontId="3" fillId="0" borderId="28" xfId="0" applyFont="1" applyBorder="1" applyAlignment="1">
      <alignment horizontal="left" vertical="top" wrapText="1"/>
    </xf>
    <xf numFmtId="0" fontId="3" fillId="0" borderId="33" xfId="0" applyFont="1" applyBorder="1" applyAlignment="1">
      <alignment horizontal="left" vertical="top" wrapText="1"/>
    </xf>
    <xf numFmtId="0" fontId="3" fillId="0" borderId="34" xfId="0" applyFont="1" applyBorder="1" applyAlignment="1">
      <alignment horizontal="left" vertical="top" wrapText="1"/>
    </xf>
    <xf numFmtId="0" fontId="9" fillId="0" borderId="44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24" fillId="0" borderId="30" xfId="0" applyFont="1" applyBorder="1" applyAlignment="1">
      <alignment horizontal="left" vertical="center" wrapText="1"/>
    </xf>
    <xf numFmtId="0" fontId="23" fillId="0" borderId="29" xfId="0" applyFont="1" applyBorder="1" applyAlignment="1">
      <alignment horizontal="left" vertical="center"/>
    </xf>
    <xf numFmtId="0" fontId="23" fillId="0" borderId="31" xfId="0" applyFont="1" applyBorder="1" applyAlignment="1">
      <alignment horizontal="left" vertical="center"/>
    </xf>
    <xf numFmtId="0" fontId="23" fillId="0" borderId="27" xfId="0" applyFont="1" applyBorder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3" fillId="0" borderId="32" xfId="0" applyFont="1" applyBorder="1" applyAlignment="1">
      <alignment horizontal="left" vertical="center"/>
    </xf>
    <xf numFmtId="0" fontId="23" fillId="0" borderId="28" xfId="0" applyFont="1" applyBorder="1" applyAlignment="1">
      <alignment horizontal="left" vertical="center"/>
    </xf>
    <xf numFmtId="0" fontId="23" fillId="0" borderId="33" xfId="0" applyFont="1" applyBorder="1" applyAlignment="1">
      <alignment horizontal="left" vertical="center"/>
    </xf>
    <xf numFmtId="0" fontId="23" fillId="0" borderId="34" xfId="0" applyFont="1" applyBorder="1" applyAlignment="1">
      <alignment horizontal="left" vertical="center"/>
    </xf>
    <xf numFmtId="0" fontId="9" fillId="2" borderId="22" xfId="0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4" fillId="4" borderId="16" xfId="0" applyFont="1" applyFill="1" applyBorder="1" applyAlignment="1">
      <alignment horizontal="center" vertical="center"/>
    </xf>
    <xf numFmtId="0" fontId="14" fillId="4" borderId="6" xfId="0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0" fillId="10" borderId="22" xfId="0" applyFont="1" applyFill="1" applyBorder="1" applyAlignment="1">
      <alignment horizontal="left" vertical="center"/>
    </xf>
    <xf numFmtId="0" fontId="9" fillId="10" borderId="22" xfId="0" applyFont="1" applyFill="1" applyBorder="1" applyAlignment="1">
      <alignment horizontal="left" vertical="center"/>
    </xf>
    <xf numFmtId="0" fontId="9" fillId="10" borderId="23" xfId="0" applyFont="1" applyFill="1" applyBorder="1" applyAlignment="1">
      <alignment horizontal="left" vertical="center"/>
    </xf>
    <xf numFmtId="0" fontId="0" fillId="4" borderId="11" xfId="0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4" fillId="0" borderId="30" xfId="0" applyFont="1" applyBorder="1" applyAlignment="1">
      <alignment horizontal="center" vertical="center" wrapText="1"/>
    </xf>
    <xf numFmtId="0" fontId="23" fillId="0" borderId="31" xfId="0" applyFont="1" applyBorder="1" applyAlignment="1">
      <alignment horizontal="center" vertical="center"/>
    </xf>
    <xf numFmtId="0" fontId="23" fillId="0" borderId="27" xfId="0" applyFont="1" applyBorder="1" applyAlignment="1">
      <alignment horizontal="center" vertical="center"/>
    </xf>
    <xf numFmtId="0" fontId="23" fillId="0" borderId="32" xfId="0" applyFont="1" applyBorder="1" applyAlignment="1">
      <alignment horizontal="center" vertical="center"/>
    </xf>
    <xf numFmtId="0" fontId="23" fillId="0" borderId="28" xfId="0" applyFont="1" applyBorder="1" applyAlignment="1">
      <alignment horizontal="center" vertical="center"/>
    </xf>
    <xf numFmtId="0" fontId="23" fillId="0" borderId="34" xfId="0" applyFont="1" applyBorder="1" applyAlignment="1">
      <alignment horizontal="center" vertical="center"/>
    </xf>
    <xf numFmtId="0" fontId="9" fillId="10" borderId="39" xfId="0" applyFont="1" applyFill="1" applyBorder="1" applyAlignment="1">
      <alignment horizontal="left" vertical="center"/>
    </xf>
    <xf numFmtId="0" fontId="9" fillId="10" borderId="25" xfId="0" applyFont="1" applyFill="1" applyBorder="1" applyAlignment="1">
      <alignment horizontal="left" vertical="center"/>
    </xf>
    <xf numFmtId="0" fontId="9" fillId="10" borderId="26" xfId="0" applyFont="1" applyFill="1" applyBorder="1" applyAlignment="1">
      <alignment horizontal="left" vertical="center"/>
    </xf>
    <xf numFmtId="0" fontId="9" fillId="0" borderId="22" xfId="0" applyFont="1" applyBorder="1" applyAlignment="1">
      <alignment horizontal="left" vertical="center"/>
    </xf>
    <xf numFmtId="0" fontId="9" fillId="0" borderId="23" xfId="0" applyFont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9" fillId="2" borderId="22" xfId="0" applyFont="1" applyFill="1" applyBorder="1" applyAlignment="1">
      <alignment horizontal="left" vertical="center"/>
    </xf>
    <xf numFmtId="0" fontId="9" fillId="2" borderId="23" xfId="0" applyFont="1" applyFill="1" applyBorder="1" applyAlignment="1">
      <alignment horizontal="left" vertical="center"/>
    </xf>
    <xf numFmtId="0" fontId="9" fillId="10" borderId="10" xfId="0" applyFont="1" applyFill="1" applyBorder="1" applyAlignment="1">
      <alignment horizontal="left" vertical="center" wrapText="1"/>
    </xf>
    <xf numFmtId="0" fontId="9" fillId="10" borderId="4" xfId="0" applyFont="1" applyFill="1" applyBorder="1" applyAlignment="1">
      <alignment horizontal="left" vertical="center"/>
    </xf>
    <xf numFmtId="0" fontId="9" fillId="10" borderId="2" xfId="0" applyFont="1" applyFill="1" applyBorder="1" applyAlignment="1">
      <alignment horizontal="left"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9" fillId="2" borderId="10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/>
    </xf>
    <xf numFmtId="0" fontId="9" fillId="2" borderId="2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10" borderId="21" xfId="0" applyFont="1" applyFill="1" applyBorder="1" applyAlignment="1">
      <alignment horizontal="left" vertical="center" wrapText="1"/>
    </xf>
    <xf numFmtId="0" fontId="9" fillId="10" borderId="22" xfId="0" applyFont="1" applyFill="1" applyBorder="1" applyAlignment="1">
      <alignment horizontal="left" vertical="center" wrapText="1"/>
    </xf>
    <xf numFmtId="0" fontId="9" fillId="10" borderId="23" xfId="0" applyFont="1" applyFill="1" applyBorder="1" applyAlignment="1">
      <alignment horizontal="left" vertical="center" wrapText="1"/>
    </xf>
    <xf numFmtId="0" fontId="10" fillId="4" borderId="16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9" fillId="10" borderId="24" xfId="0" applyFont="1" applyFill="1" applyBorder="1" applyAlignment="1">
      <alignment horizontal="left" vertical="center"/>
    </xf>
    <xf numFmtId="0" fontId="0" fillId="5" borderId="16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9" fillId="10" borderId="43" xfId="0" applyFont="1" applyFill="1" applyBorder="1" applyAlignment="1">
      <alignment horizontal="left" vertical="center"/>
    </xf>
    <xf numFmtId="0" fontId="21" fillId="9" borderId="18" xfId="0" applyFont="1" applyFill="1" applyBorder="1" applyAlignment="1">
      <alignment horizontal="center" vertical="center"/>
    </xf>
    <xf numFmtId="0" fontId="21" fillId="9" borderId="19" xfId="0" applyFont="1" applyFill="1" applyBorder="1" applyAlignment="1">
      <alignment horizontal="center" vertical="center"/>
    </xf>
    <xf numFmtId="0" fontId="21" fillId="9" borderId="20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8" fillId="8" borderId="10" xfId="0" applyFont="1" applyFill="1" applyBorder="1" applyAlignment="1">
      <alignment horizontal="center" vertical="center"/>
    </xf>
    <xf numFmtId="0" fontId="18" fillId="8" borderId="4" xfId="0" applyFont="1" applyFill="1" applyBorder="1" applyAlignment="1">
      <alignment horizontal="center" vertical="center"/>
    </xf>
    <xf numFmtId="0" fontId="18" fillId="8" borderId="2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horizontal="center" vertical="center"/>
    </xf>
    <xf numFmtId="0" fontId="19" fillId="8" borderId="7" xfId="0" applyFont="1" applyFill="1" applyBorder="1" applyAlignment="1">
      <alignment horizontal="center" vertical="center"/>
    </xf>
    <xf numFmtId="0" fontId="19" fillId="8" borderId="13" xfId="0" applyFont="1" applyFill="1" applyBorder="1" applyAlignment="1">
      <alignment horizontal="center" vertical="center"/>
    </xf>
    <xf numFmtId="0" fontId="9" fillId="10" borderId="52" xfId="0" applyFont="1" applyFill="1" applyBorder="1" applyAlignment="1">
      <alignment horizontal="left" vertical="center"/>
    </xf>
    <xf numFmtId="0" fontId="9" fillId="10" borderId="7" xfId="0" applyFont="1" applyFill="1" applyBorder="1" applyAlignment="1">
      <alignment horizontal="left" vertical="center"/>
    </xf>
    <xf numFmtId="0" fontId="9" fillId="10" borderId="6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76" fontId="18" fillId="4" borderId="6" xfId="0" applyNumberFormat="1" applyFont="1" applyFill="1" applyBorder="1" applyAlignment="1">
      <alignment horizontal="center" vertical="center"/>
    </xf>
    <xf numFmtId="176" fontId="18" fillId="4" borderId="1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9" fillId="10" borderId="48" xfId="0" applyFont="1" applyFill="1" applyBorder="1" applyAlignment="1">
      <alignment horizontal="left" vertical="center"/>
    </xf>
    <xf numFmtId="0" fontId="14" fillId="4" borderId="50" xfId="0" applyFont="1" applyFill="1" applyBorder="1" applyAlignment="1">
      <alignment horizontal="center" vertical="center"/>
    </xf>
    <xf numFmtId="0" fontId="14" fillId="4" borderId="36" xfId="0" applyFont="1" applyFill="1" applyBorder="1" applyAlignment="1">
      <alignment horizontal="center" vertical="center"/>
    </xf>
    <xf numFmtId="0" fontId="9" fillId="10" borderId="21" xfId="0" applyFont="1" applyFill="1" applyBorder="1" applyAlignment="1">
      <alignment horizontal="left" vertical="center"/>
    </xf>
    <xf numFmtId="176" fontId="15" fillId="4" borderId="1" xfId="0" applyNumberFormat="1" applyFont="1" applyFill="1" applyBorder="1" applyAlignment="1">
      <alignment horizontal="center" vertical="center"/>
    </xf>
    <xf numFmtId="176" fontId="15" fillId="4" borderId="6" xfId="0" applyNumberFormat="1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/>
    </xf>
    <xf numFmtId="0" fontId="31" fillId="10" borderId="6" xfId="0" applyFont="1" applyFill="1" applyBorder="1" applyAlignment="1">
      <alignment horizontal="left" vertical="center"/>
    </xf>
    <xf numFmtId="0" fontId="31" fillId="10" borderId="1" xfId="0" applyFont="1" applyFill="1" applyBorder="1" applyAlignment="1">
      <alignment horizontal="left" vertical="center"/>
    </xf>
    <xf numFmtId="0" fontId="31" fillId="2" borderId="1" xfId="0" applyFont="1" applyFill="1" applyBorder="1" applyAlignment="1">
      <alignment horizontal="left" vertical="center"/>
    </xf>
    <xf numFmtId="0" fontId="9" fillId="10" borderId="1" xfId="0" applyFont="1" applyFill="1" applyBorder="1" applyAlignment="1">
      <alignment horizontal="left" vertical="center" wrapText="1"/>
    </xf>
    <xf numFmtId="0" fontId="9" fillId="10" borderId="1" xfId="0" applyFont="1" applyFill="1" applyBorder="1" applyAlignment="1">
      <alignment horizontal="left" vertical="center"/>
    </xf>
    <xf numFmtId="0" fontId="14" fillId="4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31" fillId="10" borderId="5" xfId="0" applyFont="1" applyFill="1" applyBorder="1" applyAlignment="1">
      <alignment horizontal="left" vertical="center"/>
    </xf>
    <xf numFmtId="0" fontId="29" fillId="2" borderId="1" xfId="0" applyFont="1" applyFill="1" applyBorder="1" applyAlignment="1">
      <alignment horizontal="center" vertical="center"/>
    </xf>
    <xf numFmtId="0" fontId="9" fillId="2" borderId="34" xfId="0" applyFont="1" applyFill="1" applyBorder="1" applyAlignment="1">
      <alignment horizontal="center" vertical="center"/>
    </xf>
    <xf numFmtId="0" fontId="24" fillId="0" borderId="27" xfId="0" applyFont="1" applyBorder="1" applyAlignment="1">
      <alignment horizontal="left" vertical="center" wrapText="1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9" fillId="2" borderId="21" xfId="0" applyFont="1" applyFill="1" applyBorder="1" applyAlignment="1">
      <alignment horizontal="left" vertical="center"/>
    </xf>
    <xf numFmtId="0" fontId="9" fillId="2" borderId="29" xfId="0" applyFont="1" applyFill="1" applyBorder="1" applyAlignment="1">
      <alignment horizontal="left" vertical="center"/>
    </xf>
    <xf numFmtId="0" fontId="9" fillId="2" borderId="31" xfId="0" applyFont="1" applyFill="1" applyBorder="1" applyAlignment="1">
      <alignment horizontal="left" vertical="center"/>
    </xf>
    <xf numFmtId="0" fontId="31" fillId="2" borderId="7" xfId="0" applyFont="1" applyFill="1" applyBorder="1" applyAlignment="1">
      <alignment horizontal="left" vertical="center"/>
    </xf>
    <xf numFmtId="0" fontId="31" fillId="2" borderId="6" xfId="0" applyFont="1" applyFill="1" applyBorder="1" applyAlignment="1">
      <alignment horizontal="left" vertical="center"/>
    </xf>
    <xf numFmtId="0" fontId="31" fillId="0" borderId="6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9" fillId="4" borderId="6" xfId="0" applyFont="1" applyFill="1" applyBorder="1" applyAlignment="1">
      <alignment horizontal="center" vertical="center"/>
    </xf>
    <xf numFmtId="0" fontId="29" fillId="4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34" fillId="10" borderId="6" xfId="0" applyFont="1" applyFill="1" applyBorder="1" applyAlignment="1">
      <alignment horizontal="left" vertical="center"/>
    </xf>
    <xf numFmtId="0" fontId="33" fillId="4" borderId="1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left" vertical="center" wrapText="1"/>
    </xf>
    <xf numFmtId="0" fontId="31" fillId="0" borderId="48" xfId="0" applyFont="1" applyBorder="1" applyAlignment="1">
      <alignment horizontal="left" vertical="center"/>
    </xf>
    <xf numFmtId="0" fontId="31" fillId="0" borderId="7" xfId="0" applyFont="1" applyBorder="1" applyAlignment="1">
      <alignment horizontal="left" vertical="center"/>
    </xf>
    <xf numFmtId="0" fontId="31" fillId="0" borderId="6" xfId="0" applyFont="1" applyBorder="1" applyAlignment="1">
      <alignment horizontal="left" vertical="center"/>
    </xf>
    <xf numFmtId="0" fontId="35" fillId="0" borderId="1" xfId="0" applyFont="1" applyBorder="1" applyAlignment="1">
      <alignment horizontal="left" vertical="center" wrapText="1"/>
    </xf>
    <xf numFmtId="0" fontId="29" fillId="0" borderId="6" xfId="0" applyFont="1" applyBorder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40" fillId="0" borderId="57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4" borderId="11" xfId="0" applyFont="1" applyFill="1" applyBorder="1" applyAlignment="1">
      <alignment horizontal="center" vertical="center"/>
    </xf>
    <xf numFmtId="0" fontId="33" fillId="4" borderId="11" xfId="0" applyFont="1" applyFill="1" applyBorder="1" applyAlignment="1">
      <alignment horizontal="center" vertical="center"/>
    </xf>
    <xf numFmtId="0" fontId="32" fillId="0" borderId="1" xfId="9" applyFont="1" applyBorder="1" applyAlignment="1">
      <alignment horizontal="center" vertical="top" wrapText="1"/>
    </xf>
    <xf numFmtId="0" fontId="42" fillId="10" borderId="1" xfId="0" applyFont="1" applyFill="1" applyBorder="1" applyAlignment="1">
      <alignment horizontal="left" vertical="center" wrapText="1"/>
    </xf>
    <xf numFmtId="0" fontId="42" fillId="10" borderId="1" xfId="0" applyFont="1" applyFill="1" applyBorder="1">
      <alignment vertical="center"/>
    </xf>
    <xf numFmtId="0" fontId="42" fillId="10" borderId="1" xfId="0" applyFont="1" applyFill="1" applyBorder="1" applyAlignment="1">
      <alignment horizontal="left" vertical="center"/>
    </xf>
    <xf numFmtId="0" fontId="34" fillId="10" borderId="1" xfId="0" applyFont="1" applyFill="1" applyBorder="1" applyAlignment="1">
      <alignment horizontal="left" vertical="center"/>
    </xf>
    <xf numFmtId="0" fontId="32" fillId="11" borderId="1" xfId="0" applyFont="1" applyFill="1" applyBorder="1" applyAlignment="1">
      <alignment horizontal="center" vertical="center"/>
    </xf>
    <xf numFmtId="0" fontId="33" fillId="4" borderId="16" xfId="0" applyFont="1" applyFill="1" applyBorder="1" applyAlignment="1">
      <alignment horizontal="center" vertical="center"/>
    </xf>
    <xf numFmtId="0" fontId="33" fillId="4" borderId="6" xfId="0" applyFont="1" applyFill="1" applyBorder="1" applyAlignment="1">
      <alignment horizontal="center" vertical="center"/>
    </xf>
    <xf numFmtId="0" fontId="0" fillId="4" borderId="48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9" fillId="10" borderId="52" xfId="0" applyFont="1" applyFill="1" applyBorder="1" applyAlignment="1">
      <alignment horizontal="center" vertical="center"/>
    </xf>
    <xf numFmtId="0" fontId="9" fillId="10" borderId="7" xfId="0" applyFont="1" applyFill="1" applyBorder="1" applyAlignment="1">
      <alignment horizontal="center" vertical="center"/>
    </xf>
    <xf numFmtId="0" fontId="9" fillId="10" borderId="6" xfId="0" applyFont="1" applyFill="1" applyBorder="1" applyAlignment="1">
      <alignment horizontal="center" vertical="center"/>
    </xf>
    <xf numFmtId="0" fontId="9" fillId="10" borderId="48" xfId="0" applyFont="1" applyFill="1" applyBorder="1" applyAlignment="1">
      <alignment horizontal="center" vertical="center"/>
    </xf>
    <xf numFmtId="0" fontId="31" fillId="10" borderId="6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9" fontId="29" fillId="0" borderId="1" xfId="24" applyNumberFormat="1" applyFont="1" applyBorder="1" applyAlignment="1">
      <alignment horizontal="center" vertical="center"/>
    </xf>
  </cellXfs>
  <cellStyles count="25">
    <cellStyle name="一般" xfId="0" builtinId="0"/>
    <cellStyle name="一般 10" xfId="10" xr:uid="{00000000-0005-0000-0000-000001000000}"/>
    <cellStyle name="一般 10 2" xfId="17" xr:uid="{00000000-0005-0000-0000-000002000000}"/>
    <cellStyle name="一般 10 3" xfId="22" xr:uid="{00000000-0005-0000-0000-000003000000}"/>
    <cellStyle name="一般 11" xfId="21" xr:uid="{00000000-0005-0000-0000-000004000000}"/>
    <cellStyle name="一般 2" xfId="1" xr:uid="{00000000-0005-0000-0000-000005000000}"/>
    <cellStyle name="一般 2 2" xfId="3" xr:uid="{00000000-0005-0000-0000-000006000000}"/>
    <cellStyle name="一般 2 3" xfId="12" xr:uid="{00000000-0005-0000-0000-000007000000}"/>
    <cellStyle name="一般 3" xfId="4" xr:uid="{00000000-0005-0000-0000-000008000000}"/>
    <cellStyle name="一般 3 2" xfId="13" xr:uid="{00000000-0005-0000-0000-000009000000}"/>
    <cellStyle name="一般 4" xfId="5" xr:uid="{00000000-0005-0000-0000-00000A000000}"/>
    <cellStyle name="一般 4 2" xfId="14" xr:uid="{00000000-0005-0000-0000-00000B000000}"/>
    <cellStyle name="一般 5" xfId="6" xr:uid="{00000000-0005-0000-0000-00000C000000}"/>
    <cellStyle name="一般 5 2" xfId="15" xr:uid="{00000000-0005-0000-0000-00000D000000}"/>
    <cellStyle name="一般 6" xfId="7" xr:uid="{00000000-0005-0000-0000-00000E000000}"/>
    <cellStyle name="一般 7" xfId="8" xr:uid="{00000000-0005-0000-0000-00000F000000}"/>
    <cellStyle name="一般 7 2" xfId="11" xr:uid="{00000000-0005-0000-0000-000010000000}"/>
    <cellStyle name="一般 8" xfId="2" xr:uid="{00000000-0005-0000-0000-000011000000}"/>
    <cellStyle name="一般 8 2" xfId="18" xr:uid="{00000000-0005-0000-0000-000012000000}"/>
    <cellStyle name="一般 9" xfId="9" xr:uid="{00000000-0005-0000-0000-000013000000}"/>
    <cellStyle name="一般 9 2" xfId="16" xr:uid="{00000000-0005-0000-0000-000014000000}"/>
    <cellStyle name="一般 9 3" xfId="19" xr:uid="{00000000-0005-0000-0000-000015000000}"/>
    <cellStyle name="一般 9 4" xfId="20" xr:uid="{00000000-0005-0000-0000-000016000000}"/>
    <cellStyle name="一般 9 4 2" xfId="23" xr:uid="{00000000-0005-0000-0000-000017000000}"/>
    <cellStyle name="百分比" xfId="24" builtinId="5"/>
  </cellStyles>
  <dxfs count="0"/>
  <tableStyles count="0" defaultTableStyle="TableStyleMedium2" defaultPivotStyle="PivotStyleLight16"/>
  <colors>
    <mruColors>
      <color rgb="FFFF505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白光強度預估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白光強度</c:v>
          </c:tx>
          <c:spPr>
            <a:ln w="28575">
              <a:noFill/>
            </a:ln>
          </c:spPr>
          <c:xVal>
            <c:numRef>
              <c:f>客戶R_TC!$D$73:$D$84</c:f>
            </c:numRef>
          </c:xVal>
          <c:yVal>
            <c:numRef>
              <c:f>客戶R_TC!$E$73:$E$84</c:f>
            </c:numRef>
          </c:yVal>
          <c:smooth val="0"/>
          <c:extLst>
            <c:ext xmlns:c16="http://schemas.microsoft.com/office/drawing/2014/chart" uri="{C3380CC4-5D6E-409C-BE32-E72D297353CC}">
              <c16:uniqueId val="{00000000-8AA0-4F0D-BCDC-051E36609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06976"/>
        <c:axId val="203096064"/>
      </c:scatterChart>
      <c:valAx>
        <c:axId val="203806976"/>
        <c:scaling>
          <c:orientation val="minMax"/>
          <c:max val="140"/>
          <c:min val="-4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溫度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3096064"/>
        <c:crosses val="autoZero"/>
        <c:crossBetween val="midCat"/>
        <c:majorUnit val="20"/>
      </c:valAx>
      <c:valAx>
        <c:axId val="2030960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白光強度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3806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Mcadam_3step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Mcadam-3step</c:v>
          </c:tx>
          <c:spPr>
            <a:ln w="28575">
              <a:noFill/>
            </a:ln>
          </c:spPr>
          <c:marker>
            <c:symbol val="diamond"/>
            <c:size val="2"/>
          </c:marker>
          <c:xVal>
            <c:numRef>
              <c:f>RTC!$Z$2:$Z$363</c:f>
            </c:numRef>
          </c:xVal>
          <c:yVal>
            <c:numRef>
              <c:f>RTC!$AA$2:$AA$363</c:f>
            </c:numRef>
          </c:yVal>
          <c:smooth val="0"/>
          <c:extLst>
            <c:ext xmlns:c16="http://schemas.microsoft.com/office/drawing/2014/chart" uri="{C3380CC4-5D6E-409C-BE32-E72D297353CC}">
              <c16:uniqueId val="{00000000-4911-439A-A439-60118216789F}"/>
            </c:ext>
          </c:extLst>
        </c:ser>
        <c:ser>
          <c:idx val="2"/>
          <c:order val="1"/>
          <c:tx>
            <c:v>check</c:v>
          </c:tx>
          <c:spPr>
            <a:ln w="28575">
              <a:noFill/>
            </a:ln>
          </c:spPr>
          <c:xVal>
            <c:numRef>
              <c:f>客戶R_TC!$K$54</c:f>
            </c:numRef>
          </c:xVal>
          <c:yVal>
            <c:numRef>
              <c:f>客戶R_TC!$L$54</c:f>
            </c:numRef>
          </c:yVal>
          <c:smooth val="0"/>
          <c:extLst>
            <c:ext xmlns:c16="http://schemas.microsoft.com/office/drawing/2014/chart" uri="{C3380CC4-5D6E-409C-BE32-E72D297353CC}">
              <c16:uniqueId val="{00000001-4911-439A-A439-60118216789F}"/>
            </c:ext>
          </c:extLst>
        </c:ser>
        <c:ser>
          <c:idx val="1"/>
          <c:order val="2"/>
          <c:tx>
            <c:v>Mcadam</c:v>
          </c:tx>
          <c:xVal>
            <c:numRef>
              <c:f>RBTC!$AD$2:$AD$363</c:f>
              <c:numCache>
                <c:formatCode>General</c:formatCode>
                <c:ptCount val="362"/>
                <c:pt idx="0">
                  <c:v>0.31513569635683358</c:v>
                </c:pt>
                <c:pt idx="1">
                  <c:v>0.31519555210555755</c:v>
                </c:pt>
                <c:pt idx="2">
                  <c:v>0.31525464768493527</c:v>
                </c:pt>
                <c:pt idx="3">
                  <c:v>0.31531296509388068</c:v>
                </c:pt>
                <c:pt idx="4">
                  <c:v>0.31537048656834621</c:v>
                </c:pt>
                <c:pt idx="5">
                  <c:v>0.31542719458673335</c:v>
                </c:pt>
                <c:pt idx="6">
                  <c:v>0.3154830718752305</c:v>
                </c:pt>
                <c:pt idx="7">
                  <c:v>0.3155381014130742</c:v>
                </c:pt>
                <c:pt idx="8">
                  <c:v>0.31559226643773419</c:v>
                </c:pt>
                <c:pt idx="9">
                  <c:v>0.31564555045001924</c:v>
                </c:pt>
                <c:pt idx="10">
                  <c:v>0.315697937219103</c:v>
                </c:pt>
                <c:pt idx="11">
                  <c:v>0.31574941078746815</c:v>
                </c:pt>
                <c:pt idx="12">
                  <c:v>0.31579995547576717</c:v>
                </c:pt>
                <c:pt idx="13">
                  <c:v>0.31584955588759828</c:v>
                </c:pt>
                <c:pt idx="14">
                  <c:v>0.31589819691419563</c:v>
                </c:pt>
                <c:pt idx="15">
                  <c:v>0.31594586373903127</c:v>
                </c:pt>
                <c:pt idx="16">
                  <c:v>0.31599254184232861</c:v>
                </c:pt>
                <c:pt idx="17">
                  <c:v>0.31603821700548523</c:v>
                </c:pt>
                <c:pt idx="18">
                  <c:v>0.31608287531540391</c:v>
                </c:pt>
                <c:pt idx="19">
                  <c:v>0.31612650316873087</c:v>
                </c:pt>
                <c:pt idx="20">
                  <c:v>0.31616908727599941</c:v>
                </c:pt>
                <c:pt idx="21">
                  <c:v>0.31621061466567785</c:v>
                </c:pt>
                <c:pt idx="22">
                  <c:v>0.31625107268812103</c:v>
                </c:pt>
                <c:pt idx="23">
                  <c:v>0.31629044901942338</c:v>
                </c:pt>
                <c:pt idx="24">
                  <c:v>0.31632873166517295</c:v>
                </c:pt>
                <c:pt idx="25">
                  <c:v>0.31636590896410499</c:v>
                </c:pt>
                <c:pt idx="26">
                  <c:v>0.31640196959165412</c:v>
                </c:pt>
                <c:pt idx="27">
                  <c:v>0.31643690256340384</c:v>
                </c:pt>
                <c:pt idx="28">
                  <c:v>0.31647069723843263</c:v>
                </c:pt>
                <c:pt idx="29">
                  <c:v>0.31650334332255492</c:v>
                </c:pt>
                <c:pt idx="30">
                  <c:v>0.3165348308714574</c:v>
                </c:pt>
                <c:pt idx="31">
                  <c:v>0.31656515029372762</c:v>
                </c:pt>
                <c:pt idx="32">
                  <c:v>0.31659429235377579</c:v>
                </c:pt>
                <c:pt idx="33">
                  <c:v>0.31662224817464812</c:v>
                </c:pt>
                <c:pt idx="34">
                  <c:v>0.31664900924073081</c:v>
                </c:pt>
                <c:pt idx="35">
                  <c:v>0.31667456740034383</c:v>
                </c:pt>
                <c:pt idx="36">
                  <c:v>0.31669891486822427</c:v>
                </c:pt>
                <c:pt idx="37">
                  <c:v>0.31672204422789746</c:v>
                </c:pt>
                <c:pt idx="38">
                  <c:v>0.31674394843393638</c:v>
                </c:pt>
                <c:pt idx="39">
                  <c:v>0.31676462081410772</c:v>
                </c:pt>
                <c:pt idx="40">
                  <c:v>0.31678405507140428</c:v>
                </c:pt>
                <c:pt idx="41">
                  <c:v>0.3168022452859629</c:v>
                </c:pt>
                <c:pt idx="42">
                  <c:v>0.31681918591686808</c:v>
                </c:pt>
                <c:pt idx="43">
                  <c:v>0.31683487180383957</c:v>
                </c:pt>
                <c:pt idx="45">
                  <c:v>0.31684929816880419</c:v>
                </c:pt>
                <c:pt idx="46">
                  <c:v>0.3168624606173514</c:v>
                </c:pt>
                <c:pt idx="47">
                  <c:v>0.31687435514007195</c:v>
                </c:pt>
                <c:pt idx="48">
                  <c:v>0.31688497811377891</c:v>
                </c:pt>
                <c:pt idx="49">
                  <c:v>0.31689432630261166</c:v>
                </c:pt>
                <c:pt idx="50">
                  <c:v>0.31690239685902127</c:v>
                </c:pt>
                <c:pt idx="51">
                  <c:v>0.31690918732463808</c:v>
                </c:pt>
                <c:pt idx="52">
                  <c:v>0.31691469563102048</c:v>
                </c:pt>
                <c:pt idx="53">
                  <c:v>0.316918920100285</c:v>
                </c:pt>
                <c:pt idx="54">
                  <c:v>0.3169218594456174</c:v>
                </c:pt>
                <c:pt idx="55">
                  <c:v>0.31692351277166458</c:v>
                </c:pt>
                <c:pt idx="56">
                  <c:v>0.31692387957480744</c:v>
                </c:pt>
                <c:pt idx="57">
                  <c:v>0.31692295974331419</c:v>
                </c:pt>
                <c:pt idx="58">
                  <c:v>0.31692075355737437</c:v>
                </c:pt>
                <c:pt idx="59">
                  <c:v>0.31691726168901357</c:v>
                </c:pt>
                <c:pt idx="60">
                  <c:v>0.3169124852018888</c:v>
                </c:pt>
                <c:pt idx="61">
                  <c:v>0.31690642555096432</c:v>
                </c:pt>
                <c:pt idx="62">
                  <c:v>0.31689908458206839</c:v>
                </c:pt>
                <c:pt idx="63">
                  <c:v>0.31689046453133135</c:v>
                </c:pt>
                <c:pt idx="64">
                  <c:v>0.31688056802450415</c:v>
                </c:pt>
                <c:pt idx="65">
                  <c:v>0.3168693980761586</c:v>
                </c:pt>
                <c:pt idx="66">
                  <c:v>0.31685695808876913</c:v>
                </c:pt>
                <c:pt idx="67">
                  <c:v>0.3168432518516765</c:v>
                </c:pt>
                <c:pt idx="68">
                  <c:v>0.31682828353993331</c:v>
                </c:pt>
                <c:pt idx="69">
                  <c:v>0.31681205771303222</c:v>
                </c:pt>
                <c:pt idx="70">
                  <c:v>0.31679457931351734</c:v>
                </c:pt>
                <c:pt idx="71">
                  <c:v>0.31677585366547856</c:v>
                </c:pt>
                <c:pt idx="72">
                  <c:v>0.31675588647292952</c:v>
                </c:pt>
                <c:pt idx="73">
                  <c:v>0.31673468381807057</c:v>
                </c:pt>
                <c:pt idx="74">
                  <c:v>0.31671225215943583</c:v>
                </c:pt>
                <c:pt idx="75">
                  <c:v>0.31668859832992569</c:v>
                </c:pt>
                <c:pt idx="76">
                  <c:v>0.31666372953472588</c:v>
                </c:pt>
                <c:pt idx="77">
                  <c:v>0.31663765334911231</c:v>
                </c:pt>
                <c:pt idx="78">
                  <c:v>0.31661037771614364</c:v>
                </c:pt>
                <c:pt idx="79">
                  <c:v>0.31658191094424198</c:v>
                </c:pt>
                <c:pt idx="80">
                  <c:v>0.31655226170466177</c:v>
                </c:pt>
                <c:pt idx="81">
                  <c:v>0.31652143902884866</c:v>
                </c:pt>
                <c:pt idx="82">
                  <c:v>0.3164894523056882</c:v>
                </c:pt>
                <c:pt idx="83">
                  <c:v>0.31645631127864626</c:v>
                </c:pt>
                <c:pt idx="84">
                  <c:v>0.31642202604280056</c:v>
                </c:pt>
                <c:pt idx="85">
                  <c:v>0.31638660704176619</c:v>
                </c:pt>
                <c:pt idx="86">
                  <c:v>0.31635006506451391</c:v>
                </c:pt>
                <c:pt idx="87">
                  <c:v>0.31631241124208404</c:v>
                </c:pt>
                <c:pt idx="88">
                  <c:v>0.31627365704419558</c:v>
                </c:pt>
                <c:pt idx="89">
                  <c:v>0.31623381427575264</c:v>
                </c:pt>
                <c:pt idx="90">
                  <c:v>0.31619289507324855</c:v>
                </c:pt>
                <c:pt idx="91">
                  <c:v>0.31615091190106864</c:v>
                </c:pt>
                <c:pt idx="92">
                  <c:v>0.31610787754769398</c:v>
                </c:pt>
                <c:pt idx="93">
                  <c:v>0.31606380512180543</c:v>
                </c:pt>
                <c:pt idx="94">
                  <c:v>0.31601870804829091</c:v>
                </c:pt>
                <c:pt idx="95">
                  <c:v>0.31597260006415578</c:v>
                </c:pt>
                <c:pt idx="96">
                  <c:v>0.31592549521433871</c:v>
                </c:pt>
                <c:pt idx="97">
                  <c:v>0.31587740784743329</c:v>
                </c:pt>
                <c:pt idx="98">
                  <c:v>0.31582835261131731</c:v>
                </c:pt>
                <c:pt idx="99">
                  <c:v>0.31577834444869091</c:v>
                </c:pt>
                <c:pt idx="100">
                  <c:v>0.3157273985925248</c:v>
                </c:pt>
                <c:pt idx="101">
                  <c:v>0.31567553056142039</c:v>
                </c:pt>
                <c:pt idx="102">
                  <c:v>0.31562275615488233</c:v>
                </c:pt>
                <c:pt idx="103">
                  <c:v>0.31556909144850614</c:v>
                </c:pt>
                <c:pt idx="104">
                  <c:v>0.31551455278908119</c:v>
                </c:pt>
                <c:pt idx="105">
                  <c:v>0.31545915678961151</c:v>
                </c:pt>
                <c:pt idx="106">
                  <c:v>0.31540292032425515</c:v>
                </c:pt>
                <c:pt idx="107">
                  <c:v>0.31534586052318431</c:v>
                </c:pt>
                <c:pt idx="108">
                  <c:v>0.31528799476736702</c:v>
                </c:pt>
                <c:pt idx="109">
                  <c:v>0.31522934068327313</c:v>
                </c:pt>
                <c:pt idx="110">
                  <c:v>0.31516991613750484</c:v>
                </c:pt>
                <c:pt idx="111">
                  <c:v>0.31510973923135449</c:v>
                </c:pt>
                <c:pt idx="112">
                  <c:v>0.31504882829529052</c:v>
                </c:pt>
                <c:pt idx="113">
                  <c:v>0.31498720188337426</c:v>
                </c:pt>
                <c:pt idx="114">
                  <c:v>0.31492487876760772</c:v>
                </c:pt>
                <c:pt idx="115">
                  <c:v>0.31486187793221565</c:v>
                </c:pt>
                <c:pt idx="116">
                  <c:v>0.31479821856786283</c:v>
                </c:pt>
                <c:pt idx="117">
                  <c:v>0.31473392006580836</c:v>
                </c:pt>
                <c:pt idx="118">
                  <c:v>0.31466900201199877</c:v>
                </c:pt>
                <c:pt idx="119">
                  <c:v>0.31460348418110223</c:v>
                </c:pt>
                <c:pt idx="120">
                  <c:v>0.31453738653048463</c:v>
                </c:pt>
                <c:pt idx="121">
                  <c:v>0.31447072919413072</c:v>
                </c:pt>
                <c:pt idx="122">
                  <c:v>0.31440353247651082</c:v>
                </c:pt>
                <c:pt idx="123">
                  <c:v>0.31433581684639611</c:v>
                </c:pt>
                <c:pt idx="124">
                  <c:v>0.31426760293062339</c:v>
                </c:pt>
                <c:pt idx="125">
                  <c:v>0.31419891150781237</c:v>
                </c:pt>
                <c:pt idx="126">
                  <c:v>0.31412976350203575</c:v>
                </c:pt>
                <c:pt idx="127">
                  <c:v>0.31406017997644603</c:v>
                </c:pt>
                <c:pt idx="128">
                  <c:v>0.31399018212685909</c:v>
                </c:pt>
                <c:pt idx="129">
                  <c:v>0.31391979127529801</c:v>
                </c:pt>
                <c:pt idx="130">
                  <c:v>0.31384902886349814</c:v>
                </c:pt>
                <c:pt idx="131">
                  <c:v>0.31377791644637554</c:v>
                </c:pt>
                <c:pt idx="132">
                  <c:v>0.31370647568546134</c:v>
                </c:pt>
                <c:pt idx="133">
                  <c:v>0.31363472834230344</c:v>
                </c:pt>
                <c:pt idx="134">
                  <c:v>0.31356269627183753</c:v>
                </c:pt>
                <c:pt idx="135">
                  <c:v>0.31349040141573009</c:v>
                </c:pt>
                <c:pt idx="136">
                  <c:v>0.31341786579569458</c:v>
                </c:pt>
                <c:pt idx="137">
                  <c:v>0.31334511150678368</c:v>
                </c:pt>
                <c:pt idx="138">
                  <c:v>0.31327216071065839</c:v>
                </c:pt>
                <c:pt idx="139">
                  <c:v>0.31319903562883805</c:v>
                </c:pt>
                <c:pt idx="140">
                  <c:v>0.31312575853593089</c:v>
                </c:pt>
                <c:pt idx="141">
                  <c:v>0.31305235175284923</c:v>
                </c:pt>
                <c:pt idx="142">
                  <c:v>0.31297883764001039</c:v>
                </c:pt>
                <c:pt idx="143">
                  <c:v>0.31290523859052521</c:v>
                </c:pt>
                <c:pt idx="144">
                  <c:v>0.31283157702337716</c:v>
                </c:pt>
                <c:pt idx="145">
                  <c:v>0.31275787537659322</c:v>
                </c:pt>
                <c:pt idx="146">
                  <c:v>0.31268415610040889</c:v>
                </c:pt>
                <c:pt idx="147">
                  <c:v>0.31261044165042984</c:v>
                </c:pt>
                <c:pt idx="148">
                  <c:v>0.31253675448079166</c:v>
                </c:pt>
                <c:pt idx="149">
                  <c:v>0.31246311703732005</c:v>
                </c:pt>
                <c:pt idx="150">
                  <c:v>0.31238955175069355</c:v>
                </c:pt>
                <c:pt idx="151">
                  <c:v>0.31231608102961123</c:v>
                </c:pt>
                <c:pt idx="152">
                  <c:v>0.31224272725396635</c:v>
                </c:pt>
                <c:pt idx="153">
                  <c:v>0.31216951276802968</c:v>
                </c:pt>
                <c:pt idx="154">
                  <c:v>0.31209645987364276</c:v>
                </c:pt>
                <c:pt idx="155">
                  <c:v>0.31202359082342496</c:v>
                </c:pt>
                <c:pt idx="156">
                  <c:v>0.31195092781399486</c:v>
                </c:pt>
                <c:pt idx="157">
                  <c:v>0.31187849297920905</c:v>
                </c:pt>
                <c:pt idx="158">
                  <c:v>0.31180630838341988</c:v>
                </c:pt>
                <c:pt idx="159">
                  <c:v>0.3117343960147545</c:v>
                </c:pt>
                <c:pt idx="160">
                  <c:v>0.31166277777841705</c:v>
                </c:pt>
                <c:pt idx="161">
                  <c:v>0.31159147549001609</c:v>
                </c:pt>
                <c:pt idx="162">
                  <c:v>0.31152051086891941</c:v>
                </c:pt>
                <c:pt idx="163">
                  <c:v>0.31144990553163798</c:v>
                </c:pt>
                <c:pt idx="164">
                  <c:v>0.3113796809852416</c:v>
                </c:pt>
                <c:pt idx="165">
                  <c:v>0.31130985862080734</c:v>
                </c:pt>
                <c:pt idx="166">
                  <c:v>0.31124045970690373</c:v>
                </c:pt>
                <c:pt idx="167">
                  <c:v>0.31117150538311233</c:v>
                </c:pt>
                <c:pt idx="168">
                  <c:v>0.31110301665358808</c:v>
                </c:pt>
                <c:pt idx="169">
                  <c:v>0.31103501438066145</c:v>
                </c:pt>
                <c:pt idx="170">
                  <c:v>0.31096751927848354</c:v>
                </c:pt>
                <c:pt idx="171">
                  <c:v>0.31090055190671639</c:v>
                </c:pt>
                <c:pt idx="172">
                  <c:v>0.31083413266427001</c:v>
                </c:pt>
                <c:pt idx="173">
                  <c:v>0.31076828178308924</c:v>
                </c:pt>
                <c:pt idx="174">
                  <c:v>0.31070301932199024</c:v>
                </c:pt>
                <c:pt idx="175">
                  <c:v>0.31063836516055099</c:v>
                </c:pt>
                <c:pt idx="176">
                  <c:v>0.31057433899305537</c:v>
                </c:pt>
                <c:pt idx="177">
                  <c:v>0.31051096032249415</c:v>
                </c:pt>
                <c:pt idx="178">
                  <c:v>0.31044824845462443</c:v>
                </c:pt>
                <c:pt idx="179">
                  <c:v>0.31038622249208864</c:v>
                </c:pt>
                <c:pt idx="180">
                  <c:v>0.3103249013285958</c:v>
                </c:pt>
                <c:pt idx="181">
                  <c:v>0.31026430364316637</c:v>
                </c:pt>
                <c:pt idx="182">
                  <c:v>0.3102044478944424</c:v>
                </c:pt>
                <c:pt idx="183">
                  <c:v>0.31014535231506468</c:v>
                </c:pt>
                <c:pt idx="184">
                  <c:v>0.31008703490611927</c:v>
                </c:pt>
                <c:pt idx="185">
                  <c:v>0.3100295134316538</c:v>
                </c:pt>
                <c:pt idx="186">
                  <c:v>0.30997280541326661</c:v>
                </c:pt>
                <c:pt idx="187">
                  <c:v>0.30991692812476945</c:v>
                </c:pt>
                <c:pt idx="188">
                  <c:v>0.30986189858692575</c:v>
                </c:pt>
                <c:pt idx="189">
                  <c:v>0.30980773356226576</c:v>
                </c:pt>
                <c:pt idx="190">
                  <c:v>0.30975444954998071</c:v>
                </c:pt>
                <c:pt idx="191">
                  <c:v>0.30970206278089696</c:v>
                </c:pt>
                <c:pt idx="192">
                  <c:v>0.3096505892125318</c:v>
                </c:pt>
                <c:pt idx="193">
                  <c:v>0.30960004452423279</c:v>
                </c:pt>
                <c:pt idx="194">
                  <c:v>0.30955044411240168</c:v>
                </c:pt>
                <c:pt idx="195">
                  <c:v>0.30950180308580433</c:v>
                </c:pt>
                <c:pt idx="196">
                  <c:v>0.30945413626096868</c:v>
                </c:pt>
                <c:pt idx="197">
                  <c:v>0.30940745815767134</c:v>
                </c:pt>
                <c:pt idx="198">
                  <c:v>0.30936178299451472</c:v>
                </c:pt>
                <c:pt idx="199">
                  <c:v>0.30931712468459605</c:v>
                </c:pt>
                <c:pt idx="200">
                  <c:v>0.30927349683126909</c:v>
                </c:pt>
                <c:pt idx="201">
                  <c:v>0.30923091272400055</c:v>
                </c:pt>
                <c:pt idx="202">
                  <c:v>0.30918938533432211</c:v>
                </c:pt>
                <c:pt idx="203">
                  <c:v>0.30914892731187893</c:v>
                </c:pt>
                <c:pt idx="204">
                  <c:v>0.30910955098057658</c:v>
                </c:pt>
                <c:pt idx="205">
                  <c:v>0.30907126833482701</c:v>
                </c:pt>
                <c:pt idx="206">
                  <c:v>0.30903409103589496</c:v>
                </c:pt>
                <c:pt idx="207">
                  <c:v>0.30899803040834584</c:v>
                </c:pt>
                <c:pt idx="208">
                  <c:v>0.30896309743659611</c:v>
                </c:pt>
                <c:pt idx="209">
                  <c:v>0.30892930276156733</c:v>
                </c:pt>
                <c:pt idx="210">
                  <c:v>0.30889665667744504</c:v>
                </c:pt>
                <c:pt idx="211">
                  <c:v>0.30886516912854256</c:v>
                </c:pt>
                <c:pt idx="212">
                  <c:v>0.30883484970627234</c:v>
                </c:pt>
                <c:pt idx="213">
                  <c:v>0.30880570764622417</c:v>
                </c:pt>
                <c:pt idx="214">
                  <c:v>0.30877775182535183</c:v>
                </c:pt>
                <c:pt idx="215">
                  <c:v>0.30875099075926915</c:v>
                </c:pt>
                <c:pt idx="216">
                  <c:v>0.30872543259965612</c:v>
                </c:pt>
                <c:pt idx="217">
                  <c:v>0.30870108513177569</c:v>
                </c:pt>
                <c:pt idx="218">
                  <c:v>0.3086779557721025</c:v>
                </c:pt>
                <c:pt idx="219">
                  <c:v>0.30865605156606357</c:v>
                </c:pt>
                <c:pt idx="220">
                  <c:v>0.30863537918589223</c:v>
                </c:pt>
                <c:pt idx="221">
                  <c:v>0.30861594492859568</c:v>
                </c:pt>
                <c:pt idx="222">
                  <c:v>0.30859775471403705</c:v>
                </c:pt>
                <c:pt idx="223">
                  <c:v>0.30858081408313187</c:v>
                </c:pt>
                <c:pt idx="224">
                  <c:v>0.30856512819616039</c:v>
                </c:pt>
                <c:pt idx="225">
                  <c:v>0.30855070183119576</c:v>
                </c:pt>
                <c:pt idx="226">
                  <c:v>0.30853753938264855</c:v>
                </c:pt>
                <c:pt idx="227">
                  <c:v>0.30852564485992801</c:v>
                </c:pt>
                <c:pt idx="228">
                  <c:v>0.30851502188622104</c:v>
                </c:pt>
                <c:pt idx="229">
                  <c:v>0.30850567369738829</c:v>
                </c:pt>
                <c:pt idx="230">
                  <c:v>0.30849760314097868</c:v>
                </c:pt>
                <c:pt idx="231">
                  <c:v>0.30849081267536188</c:v>
                </c:pt>
                <c:pt idx="232">
                  <c:v>0.30848530436897947</c:v>
                </c:pt>
                <c:pt idx="233">
                  <c:v>0.30848107989971496</c:v>
                </c:pt>
                <c:pt idx="234">
                  <c:v>0.30847814055438255</c:v>
                </c:pt>
                <c:pt idx="235">
                  <c:v>0.30847648722833537</c:v>
                </c:pt>
                <c:pt idx="236">
                  <c:v>0.30847612042519251</c:v>
                </c:pt>
                <c:pt idx="237">
                  <c:v>0.30847704025668576</c:v>
                </c:pt>
                <c:pt idx="238">
                  <c:v>0.30847924644262559</c:v>
                </c:pt>
                <c:pt idx="239">
                  <c:v>0.30848273831098638</c:v>
                </c:pt>
                <c:pt idx="240">
                  <c:v>0.30848751479811115</c:v>
                </c:pt>
                <c:pt idx="241">
                  <c:v>0.30849357444903563</c:v>
                </c:pt>
                <c:pt idx="242">
                  <c:v>0.30850091541793156</c:v>
                </c:pt>
                <c:pt idx="243">
                  <c:v>0.30850953546866861</c:v>
                </c:pt>
                <c:pt idx="244">
                  <c:v>0.30851943197549581</c:v>
                </c:pt>
                <c:pt idx="245">
                  <c:v>0.30853060192384141</c:v>
                </c:pt>
                <c:pt idx="246">
                  <c:v>0.30854304191123083</c:v>
                </c:pt>
                <c:pt idx="247">
                  <c:v>0.30855674814832346</c:v>
                </c:pt>
                <c:pt idx="248">
                  <c:v>0.30857171646006665</c:v>
                </c:pt>
                <c:pt idx="249">
                  <c:v>0.30858794228696773</c:v>
                </c:pt>
                <c:pt idx="250">
                  <c:v>0.30860542068648261</c:v>
                </c:pt>
                <c:pt idx="251">
                  <c:v>0.3086241463345214</c:v>
                </c:pt>
                <c:pt idx="252">
                  <c:v>0.30864411352707044</c:v>
                </c:pt>
                <c:pt idx="253">
                  <c:v>0.30866531618192938</c:v>
                </c:pt>
                <c:pt idx="254">
                  <c:v>0.30868774784056413</c:v>
                </c:pt>
                <c:pt idx="255">
                  <c:v>0.30871140167007427</c:v>
                </c:pt>
                <c:pt idx="256">
                  <c:v>0.30873627046527408</c:v>
                </c:pt>
                <c:pt idx="257">
                  <c:v>0.30876234665088764</c:v>
                </c:pt>
                <c:pt idx="258">
                  <c:v>0.30878962228385631</c:v>
                </c:pt>
                <c:pt idx="259">
                  <c:v>0.30881808905575797</c:v>
                </c:pt>
                <c:pt idx="260">
                  <c:v>0.30884773829533818</c:v>
                </c:pt>
                <c:pt idx="261">
                  <c:v>0.30887856097115129</c:v>
                </c:pt>
                <c:pt idx="262">
                  <c:v>0.30891054769431175</c:v>
                </c:pt>
                <c:pt idx="263">
                  <c:v>0.30894368872135369</c:v>
                </c:pt>
                <c:pt idx="264">
                  <c:v>0.30897797395719939</c:v>
                </c:pt>
                <c:pt idx="265">
                  <c:v>0.30901339295823377</c:v>
                </c:pt>
                <c:pt idx="266">
                  <c:v>0.30904993493548605</c:v>
                </c:pt>
                <c:pt idx="267">
                  <c:v>0.30908758875791592</c:v>
                </c:pt>
                <c:pt idx="268">
                  <c:v>0.30912634295580438</c:v>
                </c:pt>
                <c:pt idx="269">
                  <c:v>0.30916618572424731</c:v>
                </c:pt>
                <c:pt idx="270">
                  <c:v>0.30920710492675141</c:v>
                </c:pt>
                <c:pt idx="271">
                  <c:v>0.30924908809893131</c:v>
                </c:pt>
                <c:pt idx="272">
                  <c:v>0.30929212245230597</c:v>
                </c:pt>
                <c:pt idx="273">
                  <c:v>0.30933619487819453</c:v>
                </c:pt>
                <c:pt idx="274">
                  <c:v>0.30938129195170905</c:v>
                </c:pt>
                <c:pt idx="275">
                  <c:v>0.30942739993584417</c:v>
                </c:pt>
                <c:pt idx="276">
                  <c:v>0.30947450478566124</c:v>
                </c:pt>
                <c:pt idx="277">
                  <c:v>0.30952259215256667</c:v>
                </c:pt>
                <c:pt idx="278">
                  <c:v>0.30957164738868265</c:v>
                </c:pt>
                <c:pt idx="279">
                  <c:v>0.30962165555130905</c:v>
                </c:pt>
                <c:pt idx="280">
                  <c:v>0.30967260140747516</c:v>
                </c:pt>
                <c:pt idx="281">
                  <c:v>0.30972446943857956</c:v>
                </c:pt>
                <c:pt idx="282">
                  <c:v>0.30977724384511762</c:v>
                </c:pt>
                <c:pt idx="283">
                  <c:v>0.30983090855149381</c:v>
                </c:pt>
                <c:pt idx="284">
                  <c:v>0.30988544721091876</c:v>
                </c:pt>
                <c:pt idx="285">
                  <c:v>0.30994084321038845</c:v>
                </c:pt>
                <c:pt idx="286">
                  <c:v>0.3099970796757448</c:v>
                </c:pt>
                <c:pt idx="287">
                  <c:v>0.31005413947681565</c:v>
                </c:pt>
                <c:pt idx="288">
                  <c:v>0.31011200523263294</c:v>
                </c:pt>
                <c:pt idx="289">
                  <c:v>0.31017065931672683</c:v>
                </c:pt>
                <c:pt idx="290">
                  <c:v>0.31023008386249512</c:v>
                </c:pt>
                <c:pt idx="291">
                  <c:v>0.31029026076864547</c:v>
                </c:pt>
                <c:pt idx="292">
                  <c:v>0.31035117170470938</c:v>
                </c:pt>
                <c:pt idx="293">
                  <c:v>0.3104127981166257</c:v>
                </c:pt>
                <c:pt idx="294">
                  <c:v>0.31047512123239224</c:v>
                </c:pt>
                <c:pt idx="295">
                  <c:v>0.31053812206778436</c:v>
                </c:pt>
                <c:pt idx="296">
                  <c:v>0.31060178143213713</c:v>
                </c:pt>
                <c:pt idx="297">
                  <c:v>0.3106660799341916</c:v>
                </c:pt>
                <c:pt idx="298">
                  <c:v>0.31073099798800119</c:v>
                </c:pt>
                <c:pt idx="299">
                  <c:v>0.31079651581889772</c:v>
                </c:pt>
                <c:pt idx="300">
                  <c:v>0.31086261346951533</c:v>
                </c:pt>
                <c:pt idx="301">
                  <c:v>0.31092927080586924</c:v>
                </c:pt>
                <c:pt idx="302">
                  <c:v>0.31099646752348914</c:v>
                </c:pt>
                <c:pt idx="303">
                  <c:v>0.31106418315360385</c:v>
                </c:pt>
                <c:pt idx="304">
                  <c:v>0.31113239706937651</c:v>
                </c:pt>
                <c:pt idx="305">
                  <c:v>0.31120108849218758</c:v>
                </c:pt>
                <c:pt idx="306">
                  <c:v>0.3112702364979642</c:v>
                </c:pt>
                <c:pt idx="307">
                  <c:v>0.31133982002355393</c:v>
                </c:pt>
                <c:pt idx="308">
                  <c:v>0.31140981787314087</c:v>
                </c:pt>
                <c:pt idx="309">
                  <c:v>0.31148020872470195</c:v>
                </c:pt>
                <c:pt idx="310">
                  <c:v>0.31155097113650182</c:v>
                </c:pt>
                <c:pt idx="311">
                  <c:v>0.31162208355362442</c:v>
                </c:pt>
                <c:pt idx="312">
                  <c:v>0.31169352431453862</c:v>
                </c:pt>
                <c:pt idx="313">
                  <c:v>0.31176527165769652</c:v>
                </c:pt>
                <c:pt idx="314">
                  <c:v>0.31183730372816243</c:v>
                </c:pt>
                <c:pt idx="315">
                  <c:v>0.31190959858426986</c:v>
                </c:pt>
                <c:pt idx="316">
                  <c:v>0.31198213420430537</c:v>
                </c:pt>
                <c:pt idx="317">
                  <c:v>0.31205488849321628</c:v>
                </c:pt>
                <c:pt idx="318">
                  <c:v>0.31212783928934157</c:v>
                </c:pt>
                <c:pt idx="319">
                  <c:v>0.3122009643711619</c:v>
                </c:pt>
                <c:pt idx="320">
                  <c:v>0.31227424146406907</c:v>
                </c:pt>
                <c:pt idx="321">
                  <c:v>0.31234764824715072</c:v>
                </c:pt>
                <c:pt idx="322">
                  <c:v>0.31242116235998957</c:v>
                </c:pt>
                <c:pt idx="323">
                  <c:v>0.31249476140947474</c:v>
                </c:pt>
                <c:pt idx="324">
                  <c:v>0.3125684229766228</c:v>
                </c:pt>
                <c:pt idx="325">
                  <c:v>0.31264212462340674</c:v>
                </c:pt>
                <c:pt idx="326">
                  <c:v>0.31271584389959106</c:v>
                </c:pt>
                <c:pt idx="327">
                  <c:v>0.31278955834957012</c:v>
                </c:pt>
                <c:pt idx="328">
                  <c:v>0.3128632455192083</c:v>
                </c:pt>
                <c:pt idx="329">
                  <c:v>0.31293688296267991</c:v>
                </c:pt>
                <c:pt idx="330">
                  <c:v>0.31301044824930641</c:v>
                </c:pt>
                <c:pt idx="331">
                  <c:v>0.31308391897038873</c:v>
                </c:pt>
                <c:pt idx="332">
                  <c:v>0.31315727274603361</c:v>
                </c:pt>
                <c:pt idx="333">
                  <c:v>0.31323048723197033</c:v>
                </c:pt>
                <c:pt idx="334">
                  <c:v>0.31330354012635719</c:v>
                </c:pt>
                <c:pt idx="335">
                  <c:v>0.313376409176575</c:v>
                </c:pt>
                <c:pt idx="336">
                  <c:v>0.3134490721860051</c:v>
                </c:pt>
                <c:pt idx="337">
                  <c:v>0.31352150702079096</c:v>
                </c:pt>
                <c:pt idx="338">
                  <c:v>0.31359369161658007</c:v>
                </c:pt>
                <c:pt idx="339">
                  <c:v>0.31366560398524546</c:v>
                </c:pt>
                <c:pt idx="340">
                  <c:v>0.3137372222215829</c:v>
                </c:pt>
                <c:pt idx="341">
                  <c:v>0.31380852450998387</c:v>
                </c:pt>
                <c:pt idx="342">
                  <c:v>0.31387948913108055</c:v>
                </c:pt>
                <c:pt idx="343">
                  <c:v>0.31395009446836197</c:v>
                </c:pt>
                <c:pt idx="344">
                  <c:v>0.31402031901475835</c:v>
                </c:pt>
                <c:pt idx="345">
                  <c:v>0.31409014137919261</c:v>
                </c:pt>
                <c:pt idx="346">
                  <c:v>0.31415954029309623</c:v>
                </c:pt>
                <c:pt idx="347">
                  <c:v>0.31422849461688762</c:v>
                </c:pt>
                <c:pt idx="348">
                  <c:v>0.31429698334641187</c:v>
                </c:pt>
                <c:pt idx="349">
                  <c:v>0.31436498561933851</c:v>
                </c:pt>
                <c:pt idx="350">
                  <c:v>0.31443248072151642</c:v>
                </c:pt>
                <c:pt idx="351">
                  <c:v>0.31449944809328356</c:v>
                </c:pt>
                <c:pt idx="352">
                  <c:v>0.31456586733572994</c:v>
                </c:pt>
                <c:pt idx="353">
                  <c:v>0.31463171821691072</c:v>
                </c:pt>
                <c:pt idx="354">
                  <c:v>0.31469698067800972</c:v>
                </c:pt>
                <c:pt idx="355">
                  <c:v>0.31476163483944897</c:v>
                </c:pt>
                <c:pt idx="356">
                  <c:v>0.31482566100694459</c:v>
                </c:pt>
                <c:pt idx="357">
                  <c:v>0.31488903967750581</c:v>
                </c:pt>
                <c:pt idx="358">
                  <c:v>0.31495175154537552</c:v>
                </c:pt>
                <c:pt idx="359">
                  <c:v>0.31501377750791132</c:v>
                </c:pt>
                <c:pt idx="360">
                  <c:v>0.31507509867140415</c:v>
                </c:pt>
                <c:pt idx="361">
                  <c:v>0.31513569635683358</c:v>
                </c:pt>
              </c:numCache>
            </c:numRef>
          </c:xVal>
          <c:yVal>
            <c:numRef>
              <c:f>RBTC!$AE$2:$AE$363</c:f>
              <c:numCache>
                <c:formatCode>General</c:formatCode>
                <c:ptCount val="362"/>
                <c:pt idx="0">
                  <c:v>0.32751135163429529</c:v>
                </c:pt>
                <c:pt idx="1">
                  <c:v>0.3276101200994026</c:v>
                </c:pt>
                <c:pt idx="2">
                  <c:v>0.32770931193539177</c:v>
                </c:pt>
                <c:pt idx="3">
                  <c:v>0.32780889692746851</c:v>
                </c:pt>
                <c:pt idx="4">
                  <c:v>0.32790884474107967</c:v>
                </c:pt>
                <c:pt idx="5">
                  <c:v>0.32800912493115292</c:v>
                </c:pt>
                <c:pt idx="6">
                  <c:v>0.32810970695137098</c:v>
                </c:pt>
                <c:pt idx="7">
                  <c:v>0.32821056016347616</c:v>
                </c:pt>
                <c:pt idx="8">
                  <c:v>0.32831165384660294</c:v>
                </c:pt>
                <c:pt idx="9">
                  <c:v>0.32841295720663627</c:v>
                </c:pt>
                <c:pt idx="10">
                  <c:v>0.32851443938559122</c:v>
                </c:pt>
                <c:pt idx="11">
                  <c:v>0.32861606947101307</c:v>
                </c:pt>
                <c:pt idx="12">
                  <c:v>0.32871781650539328</c:v>
                </c:pt>
                <c:pt idx="13">
                  <c:v>0.3288196494955995</c:v>
                </c:pt>
                <c:pt idx="14">
                  <c:v>0.3289215374223165</c:v>
                </c:pt>
                <c:pt idx="15">
                  <c:v>0.32902344924949473</c:v>
                </c:pt>
                <c:pt idx="16">
                  <c:v>0.32912535393380438</c:v>
                </c:pt>
                <c:pt idx="17">
                  <c:v>0.32922722043409147</c:v>
                </c:pt>
                <c:pt idx="18">
                  <c:v>0.32932901772083317</c:v>
                </c:pt>
                <c:pt idx="19">
                  <c:v>0.32943071478558988</c:v>
                </c:pt>
                <c:pt idx="20">
                  <c:v>0.32953228065045048</c:v>
                </c:pt>
                <c:pt idx="21">
                  <c:v>0.32963368437746859</c:v>
                </c:pt>
                <c:pt idx="22">
                  <c:v>0.32973489507808673</c:v>
                </c:pt>
                <c:pt idx="23">
                  <c:v>0.32983588192254498</c:v>
                </c:pt>
                <c:pt idx="24">
                  <c:v>0.32993661414927222</c:v>
                </c:pt>
                <c:pt idx="25">
                  <c:v>0.33003706107425645</c:v>
                </c:pt>
                <c:pt idx="26">
                  <c:v>0.33013719210039122</c:v>
                </c:pt>
                <c:pt idx="27">
                  <c:v>0.33023697672679597</c:v>
                </c:pt>
                <c:pt idx="28">
                  <c:v>0.33033638455810688</c:v>
                </c:pt>
                <c:pt idx="29">
                  <c:v>0.33043538531373556</c:v>
                </c:pt>
                <c:pt idx="30">
                  <c:v>0.33053394883709275</c:v>
                </c:pt>
                <c:pt idx="31">
                  <c:v>0.33063204510477451</c:v>
                </c:pt>
                <c:pt idx="32">
                  <c:v>0.33072964423570733</c:v>
                </c:pt>
                <c:pt idx="33">
                  <c:v>0.33082671650025053</c:v>
                </c:pt>
                <c:pt idx="34">
                  <c:v>0.33092323232925197</c:v>
                </c:pt>
                <c:pt idx="35">
                  <c:v>0.33101916232305517</c:v>
                </c:pt>
                <c:pt idx="36">
                  <c:v>0.33111447726045468</c:v>
                </c:pt>
                <c:pt idx="37">
                  <c:v>0.33120914810759722</c:v>
                </c:pt>
                <c:pt idx="38">
                  <c:v>0.33130314602682576</c:v>
                </c:pt>
                <c:pt idx="39">
                  <c:v>0.3313964423854634</c:v>
                </c:pt>
                <c:pt idx="40">
                  <c:v>0.33148900876453558</c:v>
                </c:pt>
                <c:pt idx="41">
                  <c:v>0.33158081696742647</c:v>
                </c:pt>
                <c:pt idx="42">
                  <c:v>0.3316718390284682</c:v>
                </c:pt>
                <c:pt idx="43">
                  <c:v>0.33176204722145919</c:v>
                </c:pt>
                <c:pt idx="45">
                  <c:v>0.33185141406810992</c:v>
                </c:pt>
                <c:pt idx="46">
                  <c:v>0.33193991234641324</c:v>
                </c:pt>
                <c:pt idx="47">
                  <c:v>0.3320275150989363</c:v>
                </c:pt>
                <c:pt idx="48">
                  <c:v>0.33211419564103201</c:v>
                </c:pt>
                <c:pt idx="49">
                  <c:v>0.3321999275689676</c:v>
                </c:pt>
                <c:pt idx="50">
                  <c:v>0.33228468476796724</c:v>
                </c:pt>
                <c:pt idx="51">
                  <c:v>0.33236844142016714</c:v>
                </c:pt>
                <c:pt idx="52">
                  <c:v>0.33245117201247965</c:v>
                </c:pt>
                <c:pt idx="53">
                  <c:v>0.33253285134436483</c:v>
                </c:pt>
                <c:pt idx="54">
                  <c:v>0.33261345453550706</c:v>
                </c:pt>
                <c:pt idx="55">
                  <c:v>0.33269295703339347</c:v>
                </c:pt>
                <c:pt idx="56">
                  <c:v>0.332771334620793</c:v>
                </c:pt>
                <c:pt idx="57">
                  <c:v>0.33284856342313335</c:v>
                </c:pt>
                <c:pt idx="58">
                  <c:v>0.3329246199157731</c:v>
                </c:pt>
                <c:pt idx="59">
                  <c:v>0.33299948093116788</c:v>
                </c:pt>
                <c:pt idx="60">
                  <c:v>0.33307312366592717</c:v>
                </c:pt>
                <c:pt idx="61">
                  <c:v>0.33314552568776057</c:v>
                </c:pt>
                <c:pt idx="62">
                  <c:v>0.33321666494231089</c:v>
                </c:pt>
                <c:pt idx="63">
                  <c:v>0.333286519759872</c:v>
                </c:pt>
                <c:pt idx="64">
                  <c:v>0.33335506886198984</c:v>
                </c:pt>
                <c:pt idx="65">
                  <c:v>0.33342229136794382</c:v>
                </c:pt>
                <c:pt idx="66">
                  <c:v>0.33348816680110738</c:v>
                </c:pt>
                <c:pt idx="67">
                  <c:v>0.33355267509518555</c:v>
                </c:pt>
                <c:pt idx="68">
                  <c:v>0.33361579660032692</c:v>
                </c:pt>
                <c:pt idx="69">
                  <c:v>0.33367751208910962</c:v>
                </c:pt>
                <c:pt idx="70">
                  <c:v>0.33373780276239789</c:v>
                </c:pt>
                <c:pt idx="71">
                  <c:v>0.33379665025506861</c:v>
                </c:pt>
                <c:pt idx="72">
                  <c:v>0.3338540366416054</c:v>
                </c:pt>
                <c:pt idx="73">
                  <c:v>0.33390994444155914</c:v>
                </c:pt>
                <c:pt idx="74">
                  <c:v>0.33396435662487223</c:v>
                </c:pt>
                <c:pt idx="75">
                  <c:v>0.33401725661706655</c:v>
                </c:pt>
                <c:pt idx="76">
                  <c:v>0.33406862830429213</c:v>
                </c:pt>
                <c:pt idx="77">
                  <c:v>0.33411845603823526</c:v>
                </c:pt>
                <c:pt idx="78">
                  <c:v>0.33416672464088554</c:v>
                </c:pt>
                <c:pt idx="79">
                  <c:v>0.33421341940915905</c:v>
                </c:pt>
                <c:pt idx="80">
                  <c:v>0.33425852611937701</c:v>
                </c:pt>
                <c:pt idx="81">
                  <c:v>0.3343020310315985</c:v>
                </c:pt>
                <c:pt idx="82">
                  <c:v>0.33434392089380588</c:v>
                </c:pt>
                <c:pt idx="83">
                  <c:v>0.33438418294594124</c:v>
                </c:pt>
                <c:pt idx="84">
                  <c:v>0.3344228049237935</c:v>
                </c:pt>
                <c:pt idx="85">
                  <c:v>0.33445977506273411</c:v>
                </c:pt>
                <c:pt idx="86">
                  <c:v>0.33449508210130058</c:v>
                </c:pt>
                <c:pt idx="87">
                  <c:v>0.33452871528462691</c:v>
                </c:pt>
                <c:pt idx="88">
                  <c:v>0.3345606643677197</c:v>
                </c:pt>
                <c:pt idx="89">
                  <c:v>0.33459091961857873</c:v>
                </c:pt>
                <c:pt idx="90">
                  <c:v>0.33461947182116147</c:v>
                </c:pt>
                <c:pt idx="91">
                  <c:v>0.33464631227819047</c:v>
                </c:pt>
                <c:pt idx="92">
                  <c:v>0.33467143281380246</c:v>
                </c:pt>
                <c:pt idx="93">
                  <c:v>0.33469482577603893</c:v>
                </c:pt>
                <c:pt idx="94">
                  <c:v>0.33471648403917703</c:v>
                </c:pt>
                <c:pt idx="95">
                  <c:v>0.33473640100589996</c:v>
                </c:pt>
                <c:pt idx="96">
                  <c:v>0.33475457060930675</c:v>
                </c:pt>
                <c:pt idx="97">
                  <c:v>0.33477098731476013</c:v>
                </c:pt>
                <c:pt idx="98">
                  <c:v>0.33478564612157269</c:v>
                </c:pt>
                <c:pt idx="99">
                  <c:v>0.33479854256452973</c:v>
                </c:pt>
                <c:pt idx="100">
                  <c:v>0.33480967271524992</c:v>
                </c:pt>
                <c:pt idx="101">
                  <c:v>0.33481903318338146</c:v>
                </c:pt>
                <c:pt idx="102">
                  <c:v>0.33482662111763511</c:v>
                </c:pt>
                <c:pt idx="103">
                  <c:v>0.3348324342066526</c:v>
                </c:pt>
                <c:pt idx="104">
                  <c:v>0.33483647067971067</c:v>
                </c:pt>
                <c:pt idx="105">
                  <c:v>0.3348387293072605</c:v>
                </c:pt>
                <c:pt idx="106">
                  <c:v>0.33483920940130235</c:v>
                </c:pt>
                <c:pt idx="107">
                  <c:v>0.33483791081559489</c:v>
                </c:pt>
                <c:pt idx="108">
                  <c:v>0.33483483394569979</c:v>
                </c:pt>
                <c:pt idx="109">
                  <c:v>0.33482997972886164</c:v>
                </c:pt>
                <c:pt idx="110">
                  <c:v>0.33482334964372173</c:v>
                </c:pt>
                <c:pt idx="111">
                  <c:v>0.33481494570986831</c:v>
                </c:pt>
                <c:pt idx="112">
                  <c:v>0.33480477048722102</c:v>
                </c:pt>
                <c:pt idx="113">
                  <c:v>0.33479282707525121</c:v>
                </c:pt>
                <c:pt idx="114">
                  <c:v>0.33477911911203795</c:v>
                </c:pt>
                <c:pt idx="115">
                  <c:v>0.33476365077315956</c:v>
                </c:pt>
                <c:pt idx="116">
                  <c:v>0.33474642677042193</c:v>
                </c:pt>
                <c:pt idx="117">
                  <c:v>0.33472745235042312</c:v>
                </c:pt>
                <c:pt idx="118">
                  <c:v>0.33470673329295531</c:v>
                </c:pt>
                <c:pt idx="119">
                  <c:v>0.3346842759092441</c:v>
                </c:pt>
                <c:pt idx="120">
                  <c:v>0.33466008704002614</c:v>
                </c:pt>
                <c:pt idx="121">
                  <c:v>0.33463417405346529</c:v>
                </c:pt>
                <c:pt idx="122">
                  <c:v>0.33460654484290825</c:v>
                </c:pt>
                <c:pt idx="123">
                  <c:v>0.3345772078244803</c:v>
                </c:pt>
                <c:pt idx="124">
                  <c:v>0.33454617193452135</c:v>
                </c:pt>
                <c:pt idx="125">
                  <c:v>0.33451344662686416</c:v>
                </c:pt>
                <c:pt idx="126">
                  <c:v>0.33447904186995447</c:v>
                </c:pt>
                <c:pt idx="127">
                  <c:v>0.33444296814381452</c:v>
                </c:pt>
                <c:pt idx="128">
                  <c:v>0.33440523643685077</c:v>
                </c:pt>
                <c:pt idx="129">
                  <c:v>0.33436585824250664</c:v>
                </c:pt>
                <c:pt idx="130">
                  <c:v>0.33432484555576164</c:v>
                </c:pt>
                <c:pt idx="131">
                  <c:v>0.33428221086947735</c:v>
                </c:pt>
                <c:pt idx="132">
                  <c:v>0.33423796717059234</c:v>
                </c:pt>
                <c:pt idx="133">
                  <c:v>0.33419212793616582</c:v>
                </c:pt>
                <c:pt idx="134">
                  <c:v>0.33414470712927269</c:v>
                </c:pt>
                <c:pt idx="135">
                  <c:v>0.33409571919475012</c:v>
                </c:pt>
                <c:pt idx="136">
                  <c:v>0.33404517905479741</c:v>
                </c:pt>
                <c:pt idx="137">
                  <c:v>0.33399310210443089</c:v>
                </c:pt>
                <c:pt idx="138">
                  <c:v>0.33393950420679414</c:v>
                </c:pt>
                <c:pt idx="139">
                  <c:v>0.33388440168832589</c:v>
                </c:pt>
                <c:pt idx="140">
                  <c:v>0.33382781133378714</c:v>
                </c:pt>
                <c:pt idx="141">
                  <c:v>0.33376975038114803</c:v>
                </c:pt>
                <c:pt idx="142">
                  <c:v>0.33371023651633724</c:v>
                </c:pt>
                <c:pt idx="143">
                  <c:v>0.33364928786785453</c:v>
                </c:pt>
                <c:pt idx="144">
                  <c:v>0.33358692300124854</c:v>
                </c:pt>
                <c:pt idx="145">
                  <c:v>0.3335231609134619</c:v>
                </c:pt>
                <c:pt idx="146">
                  <c:v>0.33345802102704414</c:v>
                </c:pt>
                <c:pt idx="147">
                  <c:v>0.33339152318423571</c:v>
                </c:pt>
                <c:pt idx="148">
                  <c:v>0.33332368764092374</c:v>
                </c:pt>
                <c:pt idx="149">
                  <c:v>0.33325453506047187</c:v>
                </c:pt>
                <c:pt idx="150">
                  <c:v>0.33318408650742593</c:v>
                </c:pt>
                <c:pt idx="151">
                  <c:v>0.33311236344109774</c:v>
                </c:pt>
                <c:pt idx="152">
                  <c:v>0.33303938770902797</c:v>
                </c:pt>
                <c:pt idx="153">
                  <c:v>0.33296518154033161</c:v>
                </c:pt>
                <c:pt idx="154">
                  <c:v>0.33288976753892652</c:v>
                </c:pt>
                <c:pt idx="155">
                  <c:v>0.33281316867664801</c:v>
                </c:pt>
                <c:pt idx="156">
                  <c:v>0.33273540828625159</c:v>
                </c:pt>
                <c:pt idx="157">
                  <c:v>0.33265651005430552</c:v>
                </c:pt>
                <c:pt idx="158">
                  <c:v>0.33257649801397543</c:v>
                </c:pt>
                <c:pt idx="159">
                  <c:v>0.33249539653770405</c:v>
                </c:pt>
                <c:pt idx="160">
                  <c:v>0.33241323032978654</c:v>
                </c:pt>
                <c:pt idx="161">
                  <c:v>0.3323300244188459</c:v>
                </c:pt>
                <c:pt idx="162">
                  <c:v>0.33224580415020866</c:v>
                </c:pt>
                <c:pt idx="163">
                  <c:v>0.33216059517818441</c:v>
                </c:pt>
                <c:pt idx="164">
                  <c:v>0.3320744234582515</c:v>
                </c:pt>
                <c:pt idx="165">
                  <c:v>0.33198731523915059</c:v>
                </c:pt>
                <c:pt idx="166">
                  <c:v>0.33189929705488913</c:v>
                </c:pt>
                <c:pt idx="167">
                  <c:v>0.33181039571665855</c:v>
                </c:pt>
                <c:pt idx="168">
                  <c:v>0.3317206383046678</c:v>
                </c:pt>
                <c:pt idx="169">
                  <c:v>0.33163005215989405</c:v>
                </c:pt>
                <c:pt idx="170">
                  <c:v>0.33153866487575445</c:v>
                </c:pt>
                <c:pt idx="171">
                  <c:v>0.33144650428970118</c:v>
                </c:pt>
                <c:pt idx="172">
                  <c:v>0.33135359847474138</c:v>
                </c:pt>
                <c:pt idx="173">
                  <c:v>0.33125997573088639</c:v>
                </c:pt>
                <c:pt idx="174">
                  <c:v>0.33116566457653085</c:v>
                </c:pt>
                <c:pt idx="175">
                  <c:v>0.33107069373976611</c:v>
                </c:pt>
                <c:pt idx="176">
                  <c:v>0.33097509214962889</c:v>
                </c:pt>
                <c:pt idx="177">
                  <c:v>0.33087888892728978</c:v>
                </c:pt>
                <c:pt idx="178">
                  <c:v>0.33078211337718227</c:v>
                </c:pt>
                <c:pt idx="179">
                  <c:v>0.33068479497807629</c:v>
                </c:pt>
                <c:pt idx="180">
                  <c:v>0.33058696337409899</c:v>
                </c:pt>
                <c:pt idx="181">
                  <c:v>0.33048864836570474</c:v>
                </c:pt>
                <c:pt idx="182">
                  <c:v>0.33038987990059743</c:v>
                </c:pt>
                <c:pt idx="183">
                  <c:v>0.33029068806460826</c:v>
                </c:pt>
                <c:pt idx="184">
                  <c:v>0.33019110307253152</c:v>
                </c:pt>
                <c:pt idx="185">
                  <c:v>0.33009115525892035</c:v>
                </c:pt>
                <c:pt idx="186">
                  <c:v>0.32999087506884711</c:v>
                </c:pt>
                <c:pt idx="187">
                  <c:v>0.32989029304862905</c:v>
                </c:pt>
                <c:pt idx="188">
                  <c:v>0.32978943983652387</c:v>
                </c:pt>
                <c:pt idx="189">
                  <c:v>0.32968834615339709</c:v>
                </c:pt>
                <c:pt idx="190">
                  <c:v>0.32958704279336376</c:v>
                </c:pt>
                <c:pt idx="191">
                  <c:v>0.32948556061440881</c:v>
                </c:pt>
                <c:pt idx="192">
                  <c:v>0.32938393052898696</c:v>
                </c:pt>
                <c:pt idx="193">
                  <c:v>0.32928218349460675</c:v>
                </c:pt>
                <c:pt idx="194">
                  <c:v>0.32918035050440053</c:v>
                </c:pt>
                <c:pt idx="195">
                  <c:v>0.32907846257768353</c:v>
                </c:pt>
                <c:pt idx="196">
                  <c:v>0.3289765507505053</c:v>
                </c:pt>
                <c:pt idx="197">
                  <c:v>0.32887464606619565</c:v>
                </c:pt>
                <c:pt idx="198">
                  <c:v>0.32877277956590856</c:v>
                </c:pt>
                <c:pt idx="199">
                  <c:v>0.32867098227916686</c:v>
                </c:pt>
                <c:pt idx="200">
                  <c:v>0.32856928521441015</c:v>
                </c:pt>
                <c:pt idx="201">
                  <c:v>0.32846771934954955</c:v>
                </c:pt>
                <c:pt idx="202">
                  <c:v>0.32836631562253144</c:v>
                </c:pt>
                <c:pt idx="203">
                  <c:v>0.3282651049219133</c:v>
                </c:pt>
                <c:pt idx="204">
                  <c:v>0.32816411807745505</c:v>
                </c:pt>
                <c:pt idx="205">
                  <c:v>0.32806338585072781</c:v>
                </c:pt>
                <c:pt idx="206">
                  <c:v>0.32796293892574357</c:v>
                </c:pt>
                <c:pt idx="207">
                  <c:v>0.32786280789960881</c:v>
                </c:pt>
                <c:pt idx="208">
                  <c:v>0.32776302327320406</c:v>
                </c:pt>
                <c:pt idx="209">
                  <c:v>0.32766361544189315</c:v>
                </c:pt>
                <c:pt idx="210">
                  <c:v>0.32756461468626447</c:v>
                </c:pt>
                <c:pt idx="211">
                  <c:v>0.32746605116290728</c:v>
                </c:pt>
                <c:pt idx="212">
                  <c:v>0.32736795489522552</c:v>
                </c:pt>
                <c:pt idx="213">
                  <c:v>0.3272703557642927</c:v>
                </c:pt>
                <c:pt idx="214">
                  <c:v>0.3271732834997495</c:v>
                </c:pt>
                <c:pt idx="215">
                  <c:v>0.32707676767074806</c:v>
                </c:pt>
                <c:pt idx="216">
                  <c:v>0.32698083767694486</c:v>
                </c:pt>
                <c:pt idx="217">
                  <c:v>0.32688552273954535</c:v>
                </c:pt>
                <c:pt idx="218">
                  <c:v>0.32679085189240281</c:v>
                </c:pt>
                <c:pt idx="219">
                  <c:v>0.32669685397317433</c:v>
                </c:pt>
                <c:pt idx="220">
                  <c:v>0.32660355761453663</c:v>
                </c:pt>
                <c:pt idx="221">
                  <c:v>0.32651099123546445</c:v>
                </c:pt>
                <c:pt idx="222">
                  <c:v>0.32641918303257356</c:v>
                </c:pt>
                <c:pt idx="223">
                  <c:v>0.32632816097153183</c:v>
                </c:pt>
                <c:pt idx="224">
                  <c:v>0.32623795277854084</c:v>
                </c:pt>
                <c:pt idx="225">
                  <c:v>0.32614858593189011</c:v>
                </c:pt>
                <c:pt idx="226">
                  <c:v>0.32606008765358679</c:v>
                </c:pt>
                <c:pt idx="227">
                  <c:v>0.32597248490106373</c:v>
                </c:pt>
                <c:pt idx="228">
                  <c:v>0.32588580435896802</c:v>
                </c:pt>
                <c:pt idx="229">
                  <c:v>0.32580007243103243</c:v>
                </c:pt>
                <c:pt idx="230">
                  <c:v>0.32571531523203279</c:v>
                </c:pt>
                <c:pt idx="231">
                  <c:v>0.32563155857983289</c:v>
                </c:pt>
                <c:pt idx="232">
                  <c:v>0.32554882798752038</c:v>
                </c:pt>
                <c:pt idx="233">
                  <c:v>0.3254671486556352</c:v>
                </c:pt>
                <c:pt idx="234">
                  <c:v>0.32538654546449292</c:v>
                </c:pt>
                <c:pt idx="235">
                  <c:v>0.32530704296660656</c:v>
                </c:pt>
                <c:pt idx="236">
                  <c:v>0.32522866537920703</c:v>
                </c:pt>
                <c:pt idx="237">
                  <c:v>0.32515143657686668</c:v>
                </c:pt>
                <c:pt idx="238">
                  <c:v>0.32507538008422693</c:v>
                </c:pt>
                <c:pt idx="239">
                  <c:v>0.32500051906883215</c:v>
                </c:pt>
                <c:pt idx="240">
                  <c:v>0.32492687633407286</c:v>
                </c:pt>
                <c:pt idx="241">
                  <c:v>0.32485447431223946</c:v>
                </c:pt>
                <c:pt idx="242">
                  <c:v>0.32478333505768914</c:v>
                </c:pt>
                <c:pt idx="243">
                  <c:v>0.32471348024012803</c:v>
                </c:pt>
                <c:pt idx="244">
                  <c:v>0.32464493113801018</c:v>
                </c:pt>
                <c:pt idx="245">
                  <c:v>0.32457770863205621</c:v>
                </c:pt>
                <c:pt idx="246">
                  <c:v>0.32451183319889265</c:v>
                </c:pt>
                <c:pt idx="247">
                  <c:v>0.32444732490481448</c:v>
                </c:pt>
                <c:pt idx="248">
                  <c:v>0.32438420339967311</c:v>
                </c:pt>
                <c:pt idx="249">
                  <c:v>0.32432248791089041</c:v>
                </c:pt>
                <c:pt idx="250">
                  <c:v>0.32426219723760213</c:v>
                </c:pt>
                <c:pt idx="251">
                  <c:v>0.32420334974493142</c:v>
                </c:pt>
                <c:pt idx="252">
                  <c:v>0.32414596335839463</c:v>
                </c:pt>
                <c:pt idx="253">
                  <c:v>0.32409005555844089</c:v>
                </c:pt>
                <c:pt idx="254">
                  <c:v>0.3240356433751278</c:v>
                </c:pt>
                <c:pt idx="255">
                  <c:v>0.32398274338293348</c:v>
                </c:pt>
                <c:pt idx="256">
                  <c:v>0.3239313716957079</c:v>
                </c:pt>
                <c:pt idx="257">
                  <c:v>0.32388154396176477</c:v>
                </c:pt>
                <c:pt idx="258">
                  <c:v>0.32383327535911449</c:v>
                </c:pt>
                <c:pt idx="259">
                  <c:v>0.32378658059084098</c:v>
                </c:pt>
                <c:pt idx="260">
                  <c:v>0.32374147388062302</c:v>
                </c:pt>
                <c:pt idx="261">
                  <c:v>0.32369796896840153</c:v>
                </c:pt>
                <c:pt idx="262">
                  <c:v>0.32365607910619415</c:v>
                </c:pt>
                <c:pt idx="263">
                  <c:v>0.32361581705405879</c:v>
                </c:pt>
                <c:pt idx="264">
                  <c:v>0.32357719507620653</c:v>
                </c:pt>
                <c:pt idx="265">
                  <c:v>0.32354022493726592</c:v>
                </c:pt>
                <c:pt idx="266">
                  <c:v>0.32350491789869945</c:v>
                </c:pt>
                <c:pt idx="267">
                  <c:v>0.32347128471537312</c:v>
                </c:pt>
                <c:pt idx="268">
                  <c:v>0.32343933563228033</c:v>
                </c:pt>
                <c:pt idx="269">
                  <c:v>0.3234090803814213</c:v>
                </c:pt>
                <c:pt idx="270">
                  <c:v>0.32338052817883856</c:v>
                </c:pt>
                <c:pt idx="271">
                  <c:v>0.32335368772180956</c:v>
                </c:pt>
                <c:pt idx="272">
                  <c:v>0.32332856718619757</c:v>
                </c:pt>
                <c:pt idx="273">
                  <c:v>0.3233051742239611</c:v>
                </c:pt>
                <c:pt idx="274">
                  <c:v>0.323283515960823</c:v>
                </c:pt>
                <c:pt idx="275">
                  <c:v>0.32326359899410007</c:v>
                </c:pt>
                <c:pt idx="276">
                  <c:v>0.32324542939069328</c:v>
                </c:pt>
                <c:pt idx="277">
                  <c:v>0.3232290126852399</c:v>
                </c:pt>
                <c:pt idx="278">
                  <c:v>0.32321435387842734</c:v>
                </c:pt>
                <c:pt idx="279">
                  <c:v>0.3232014574354703</c:v>
                </c:pt>
                <c:pt idx="280">
                  <c:v>0.32319032728475011</c:v>
                </c:pt>
                <c:pt idx="281">
                  <c:v>0.32318096681661856</c:v>
                </c:pt>
                <c:pt idx="282">
                  <c:v>0.32317337888236491</c:v>
                </c:pt>
                <c:pt idx="283">
                  <c:v>0.32316756579334743</c:v>
                </c:pt>
                <c:pt idx="284">
                  <c:v>0.32316352932028936</c:v>
                </c:pt>
                <c:pt idx="285">
                  <c:v>0.32316127069273953</c:v>
                </c:pt>
                <c:pt idx="286">
                  <c:v>0.32316079059869768</c:v>
                </c:pt>
                <c:pt idx="287">
                  <c:v>0.32316208918440514</c:v>
                </c:pt>
                <c:pt idx="288">
                  <c:v>0.32316516605430023</c:v>
                </c:pt>
                <c:pt idx="289">
                  <c:v>0.32317002027113839</c:v>
                </c:pt>
                <c:pt idx="290">
                  <c:v>0.32317665035627829</c:v>
                </c:pt>
                <c:pt idx="291">
                  <c:v>0.32318505429013172</c:v>
                </c:pt>
                <c:pt idx="292">
                  <c:v>0.32319522951277901</c:v>
                </c:pt>
                <c:pt idx="293">
                  <c:v>0.32320717292474882</c:v>
                </c:pt>
                <c:pt idx="294">
                  <c:v>0.32322088088796208</c:v>
                </c:pt>
                <c:pt idx="295">
                  <c:v>0.32323634922684047</c:v>
                </c:pt>
                <c:pt idx="296">
                  <c:v>0.3232535732295781</c:v>
                </c:pt>
                <c:pt idx="297">
                  <c:v>0.32327254764957691</c:v>
                </c:pt>
                <c:pt idx="298">
                  <c:v>0.32329326670704472</c:v>
                </c:pt>
                <c:pt idx="299">
                  <c:v>0.32331572409075587</c:v>
                </c:pt>
                <c:pt idx="300">
                  <c:v>0.32333991295997389</c:v>
                </c:pt>
                <c:pt idx="301">
                  <c:v>0.32336582594653474</c:v>
                </c:pt>
                <c:pt idx="302">
                  <c:v>0.32339345515709178</c:v>
                </c:pt>
                <c:pt idx="303">
                  <c:v>0.32342279217551972</c:v>
                </c:pt>
                <c:pt idx="304">
                  <c:v>0.32345382806547868</c:v>
                </c:pt>
                <c:pt idx="305">
                  <c:v>0.32348655337313587</c:v>
                </c:pt>
                <c:pt idx="306">
                  <c:v>0.32352095813004556</c:v>
                </c:pt>
                <c:pt idx="307">
                  <c:v>0.32355703185618551</c:v>
                </c:pt>
                <c:pt idx="308">
                  <c:v>0.32359476356314926</c:v>
                </c:pt>
                <c:pt idx="309">
                  <c:v>0.32363414175749339</c:v>
                </c:pt>
                <c:pt idx="310">
                  <c:v>0.32367515444423839</c:v>
                </c:pt>
                <c:pt idx="311">
                  <c:v>0.32371778913052268</c:v>
                </c:pt>
                <c:pt idx="312">
                  <c:v>0.32376203282940769</c:v>
                </c:pt>
                <c:pt idx="313">
                  <c:v>0.32380787206383421</c:v>
                </c:pt>
                <c:pt idx="314">
                  <c:v>0.32385529287072734</c:v>
                </c:pt>
                <c:pt idx="315">
                  <c:v>0.32390428080524991</c:v>
                </c:pt>
                <c:pt idx="316">
                  <c:v>0.32395482094520262</c:v>
                </c:pt>
                <c:pt idx="317">
                  <c:v>0.32400689789556913</c:v>
                </c:pt>
                <c:pt idx="318">
                  <c:v>0.32406049579320589</c:v>
                </c:pt>
                <c:pt idx="319">
                  <c:v>0.32411559831167414</c:v>
                </c:pt>
                <c:pt idx="320">
                  <c:v>0.32417218866621289</c:v>
                </c:pt>
                <c:pt idx="321">
                  <c:v>0.324230249618852</c:v>
                </c:pt>
                <c:pt idx="322">
                  <c:v>0.32428976348366279</c:v>
                </c:pt>
                <c:pt idx="323">
                  <c:v>0.3243507121321455</c:v>
                </c:pt>
                <c:pt idx="324">
                  <c:v>0.32441307699875149</c:v>
                </c:pt>
                <c:pt idx="325">
                  <c:v>0.32447683908653813</c:v>
                </c:pt>
                <c:pt idx="326">
                  <c:v>0.32454197897295589</c:v>
                </c:pt>
                <c:pt idx="327">
                  <c:v>0.32460847681576432</c:v>
                </c:pt>
                <c:pt idx="328">
                  <c:v>0.32467631235907629</c:v>
                </c:pt>
                <c:pt idx="329">
                  <c:v>0.32474546493952816</c:v>
                </c:pt>
                <c:pt idx="330">
                  <c:v>0.3248159134925741</c:v>
                </c:pt>
                <c:pt idx="331">
                  <c:v>0.32488763655890229</c:v>
                </c:pt>
                <c:pt idx="332">
                  <c:v>0.32496061229097206</c:v>
                </c:pt>
                <c:pt idx="333">
                  <c:v>0.32503481845966842</c:v>
                </c:pt>
                <c:pt idx="334">
                  <c:v>0.32511023246107351</c:v>
                </c:pt>
                <c:pt idx="335">
                  <c:v>0.32518683132335202</c:v>
                </c:pt>
                <c:pt idx="336">
                  <c:v>0.32526459171374844</c:v>
                </c:pt>
                <c:pt idx="337">
                  <c:v>0.32534348994569451</c:v>
                </c:pt>
                <c:pt idx="338">
                  <c:v>0.3254235019860246</c:v>
                </c:pt>
                <c:pt idx="339">
                  <c:v>0.32550460346229598</c:v>
                </c:pt>
                <c:pt idx="340">
                  <c:v>0.32558676967021349</c:v>
                </c:pt>
                <c:pt idx="341">
                  <c:v>0.32566997558115413</c:v>
                </c:pt>
                <c:pt idx="342">
                  <c:v>0.32575419584979137</c:v>
                </c:pt>
                <c:pt idx="343">
                  <c:v>0.32583940482181561</c:v>
                </c:pt>
                <c:pt idx="344">
                  <c:v>0.32592557654174853</c:v>
                </c:pt>
                <c:pt idx="345">
                  <c:v>0.32601268476084944</c:v>
                </c:pt>
                <c:pt idx="346">
                  <c:v>0.3261007029451109</c:v>
                </c:pt>
                <c:pt idx="347">
                  <c:v>0.32618960428334148</c:v>
                </c:pt>
                <c:pt idx="348">
                  <c:v>0.32627936169533223</c:v>
                </c:pt>
                <c:pt idx="349">
                  <c:v>0.32636994784010598</c:v>
                </c:pt>
                <c:pt idx="350">
                  <c:v>0.32646133512424558</c:v>
                </c:pt>
                <c:pt idx="351">
                  <c:v>0.32655349571029885</c:v>
                </c:pt>
                <c:pt idx="352">
                  <c:v>0.32664640152525865</c:v>
                </c:pt>
                <c:pt idx="353">
                  <c:v>0.32674002426911364</c:v>
                </c:pt>
                <c:pt idx="354">
                  <c:v>0.32683433542346918</c:v>
                </c:pt>
                <c:pt idx="355">
                  <c:v>0.32692930626023392</c:v>
                </c:pt>
                <c:pt idx="356">
                  <c:v>0.32702490785037114</c:v>
                </c:pt>
                <c:pt idx="357">
                  <c:v>0.32712111107271025</c:v>
                </c:pt>
                <c:pt idx="358">
                  <c:v>0.32721788662281776</c:v>
                </c:pt>
                <c:pt idx="359">
                  <c:v>0.32731520502192374</c:v>
                </c:pt>
                <c:pt idx="360">
                  <c:v>0.32741303662590099</c:v>
                </c:pt>
                <c:pt idx="361">
                  <c:v>0.32751135163429529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98-4337-B8AC-00B4AAEBAC4E}"/>
            </c:ext>
          </c:extLst>
        </c:ser>
        <c:ser>
          <c:idx val="3"/>
          <c:order val="3"/>
          <c:tx>
            <c:v>量測座標</c:v>
          </c:tx>
          <c:xVal>
            <c:numRef>
              <c:f>RBTC!$N$74</c:f>
              <c:numCache>
                <c:formatCode>General</c:formatCode>
                <c:ptCount val="1"/>
                <c:pt idx="0">
                  <c:v>0.3145</c:v>
                </c:pt>
              </c:numCache>
            </c:numRef>
          </c:xVal>
          <c:yVal>
            <c:numRef>
              <c:f>RBTC!$O$74</c:f>
              <c:numCache>
                <c:formatCode>General</c:formatCode>
                <c:ptCount val="1"/>
                <c:pt idx="0">
                  <c:v>0.3352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98-4337-B8AC-00B4AAEBA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85728"/>
        <c:axId val="205787904"/>
      </c:scatterChart>
      <c:valAx>
        <c:axId val="205785728"/>
        <c:scaling>
          <c:orientation val="minMax"/>
          <c:max val="0.32000000000000006"/>
          <c:min val="0.3080000000000000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CIE_x</a:t>
                </a:r>
                <a:endParaRPr lang="zh-TW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5787904"/>
        <c:crosses val="autoZero"/>
        <c:crossBetween val="midCat"/>
      </c:valAx>
      <c:valAx>
        <c:axId val="205787904"/>
        <c:scaling>
          <c:orientation val="minMax"/>
          <c:max val="0.33800000000000008"/>
          <c:min val="0.32200000000000006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CIE_y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5785728"/>
        <c:crosses val="autoZero"/>
        <c:crossBetween val="midCat"/>
        <c:majorUnit val="1.0000000000000002E-3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Mcadam-3step</c:v>
          </c:tx>
          <c:spPr>
            <a:ln w="28575">
              <a:noFill/>
            </a:ln>
          </c:spPr>
          <c:marker>
            <c:symbol val="diamond"/>
            <c:size val="2"/>
          </c:marker>
          <c:xVal>
            <c:numRef>
              <c:f>RTC!$Z$2:$Z$363</c:f>
            </c:numRef>
          </c:xVal>
          <c:yVal>
            <c:numRef>
              <c:f>RTC!$AA$2:$AA$363</c:f>
            </c:numRef>
          </c:yVal>
          <c:smooth val="0"/>
          <c:extLst>
            <c:ext xmlns:c16="http://schemas.microsoft.com/office/drawing/2014/chart" uri="{C3380CC4-5D6E-409C-BE32-E72D297353CC}">
              <c16:uniqueId val="{00000000-8E05-4BFB-80B7-EAF2A73E2528}"/>
            </c:ext>
          </c:extLst>
        </c:ser>
        <c:ser>
          <c:idx val="2"/>
          <c:order val="1"/>
          <c:tx>
            <c:v>check</c:v>
          </c:tx>
          <c:spPr>
            <a:ln w="28575">
              <a:noFill/>
            </a:ln>
          </c:spPr>
          <c:xVal>
            <c:numRef>
              <c:f>客戶R_TC!$K$54</c:f>
            </c:numRef>
          </c:xVal>
          <c:yVal>
            <c:numRef>
              <c:f>客戶R_TC!$L$54</c:f>
            </c:numRef>
          </c:yVal>
          <c:smooth val="0"/>
          <c:extLst>
            <c:ext xmlns:c16="http://schemas.microsoft.com/office/drawing/2014/chart" uri="{C3380CC4-5D6E-409C-BE32-E72D297353CC}">
              <c16:uniqueId val="{00000001-8E05-4BFB-80B7-EAF2A73E2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30752"/>
        <c:axId val="203132288"/>
      </c:scatterChart>
      <c:valAx>
        <c:axId val="203130752"/>
        <c:scaling>
          <c:orientation val="minMax"/>
          <c:max val="0.32000000000000006"/>
          <c:min val="0.30800000000000005"/>
        </c:scaling>
        <c:delete val="0"/>
        <c:axPos val="b"/>
        <c:numFmt formatCode="0.0000_ " sourceLinked="1"/>
        <c:majorTickMark val="out"/>
        <c:minorTickMark val="none"/>
        <c:tickLblPos val="nextTo"/>
        <c:crossAx val="203132288"/>
        <c:crosses val="autoZero"/>
        <c:crossBetween val="midCat"/>
      </c:valAx>
      <c:valAx>
        <c:axId val="203132288"/>
        <c:scaling>
          <c:orientation val="minMax"/>
          <c:max val="0.33800000000000008"/>
          <c:min val="0.32200000000000006"/>
        </c:scaling>
        <c:delete val="0"/>
        <c:axPos val="l"/>
        <c:majorGridlines/>
        <c:numFmt formatCode="0.0000_ " sourceLinked="1"/>
        <c:majorTickMark val="out"/>
        <c:minorTickMark val="none"/>
        <c:tickLblPos val="nextTo"/>
        <c:crossAx val="203130752"/>
        <c:crosses val="autoZero"/>
        <c:crossBetween val="midCat"/>
        <c:majorUnit val="1.0000000000000002E-3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4"/>
          <c:order val="0"/>
          <c:tx>
            <c:v>Mcadam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RBTC!#REF!</c:f>
            </c:numRef>
          </c:xVal>
          <c:yVal>
            <c:numRef>
              <c:f>RBTC!#REF!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15-41B5-9161-9FD856C7DD6D}"/>
            </c:ext>
          </c:extLst>
        </c:ser>
        <c:ser>
          <c:idx val="0"/>
          <c:order val="1"/>
          <c:tx>
            <c:v>-33</c:v>
          </c:tx>
          <c:spPr>
            <a:ln w="28575">
              <a:noFill/>
            </a:ln>
          </c:spPr>
          <c:xVal>
            <c:numRef>
              <c:f>RTC!$V$194</c:f>
            </c:numRef>
          </c:xVal>
          <c:yVal>
            <c:numRef>
              <c:f>RTC!$W$194</c:f>
            </c:numRef>
          </c:yVal>
          <c:smooth val="0"/>
          <c:extLst>
            <c:ext xmlns:c16="http://schemas.microsoft.com/office/drawing/2014/chart" uri="{C3380CC4-5D6E-409C-BE32-E72D297353CC}">
              <c16:uniqueId val="{00000001-3D15-41B5-9161-9FD856C7DD6D}"/>
            </c:ext>
          </c:extLst>
        </c:ser>
        <c:ser>
          <c:idx val="1"/>
          <c:order val="2"/>
          <c:tx>
            <c:v>-18</c:v>
          </c:tx>
          <c:spPr>
            <a:ln w="28575">
              <a:noFill/>
            </a:ln>
          </c:spPr>
          <c:xVal>
            <c:numRef>
              <c:f>RTC!$V$195</c:f>
            </c:numRef>
          </c:xVal>
          <c:yVal>
            <c:numRef>
              <c:f>RTC!$W$195</c:f>
            </c:numRef>
          </c:yVal>
          <c:smooth val="0"/>
          <c:extLst>
            <c:ext xmlns:c16="http://schemas.microsoft.com/office/drawing/2014/chart" uri="{C3380CC4-5D6E-409C-BE32-E72D297353CC}">
              <c16:uniqueId val="{00000002-3D15-41B5-9161-9FD856C7DD6D}"/>
            </c:ext>
          </c:extLst>
        </c:ser>
        <c:ser>
          <c:idx val="2"/>
          <c:order val="3"/>
          <c:tx>
            <c:v>-3</c:v>
          </c:tx>
          <c:spPr>
            <a:ln w="28575">
              <a:noFill/>
            </a:ln>
          </c:spPr>
          <c:xVal>
            <c:numRef>
              <c:f>RTC!$V$196</c:f>
            </c:numRef>
          </c:xVal>
          <c:yVal>
            <c:numRef>
              <c:f>RTC!$W$196</c:f>
            </c:numRef>
          </c:yVal>
          <c:smooth val="0"/>
          <c:extLst>
            <c:ext xmlns:c16="http://schemas.microsoft.com/office/drawing/2014/chart" uri="{C3380CC4-5D6E-409C-BE32-E72D297353CC}">
              <c16:uniqueId val="{00000003-3D15-41B5-9161-9FD856C7DD6D}"/>
            </c:ext>
          </c:extLst>
        </c:ser>
        <c:ser>
          <c:idx val="3"/>
          <c:order val="4"/>
          <c:tx>
            <c:strRef>
              <c:f>RTC!$X$197</c:f>
              <c:strCache>
                <c:ptCount val="1"/>
                <c:pt idx="0">
                  <c:v>12</c:v>
                </c:pt>
              </c:strCache>
            </c:strRef>
          </c:tx>
          <c:spPr>
            <a:ln w="28575">
              <a:noFill/>
            </a:ln>
          </c:spPr>
          <c:xVal>
            <c:numRef>
              <c:f>RTC!$V$197</c:f>
            </c:numRef>
          </c:xVal>
          <c:yVal>
            <c:numRef>
              <c:f>RTC!$W$197</c:f>
            </c:numRef>
          </c:yVal>
          <c:smooth val="0"/>
          <c:extLst>
            <c:ext xmlns:c16="http://schemas.microsoft.com/office/drawing/2014/chart" uri="{C3380CC4-5D6E-409C-BE32-E72D297353CC}">
              <c16:uniqueId val="{00000004-3D15-41B5-9161-9FD856C7DD6D}"/>
            </c:ext>
          </c:extLst>
        </c:ser>
        <c:ser>
          <c:idx val="5"/>
          <c:order val="5"/>
          <c:tx>
            <c:strRef>
              <c:f>RTC!$X$198</c:f>
              <c:strCache>
                <c:ptCount val="1"/>
                <c:pt idx="0">
                  <c:v>25</c:v>
                </c:pt>
              </c:strCache>
            </c:strRef>
          </c:tx>
          <c:spPr>
            <a:ln w="28575">
              <a:noFill/>
            </a:ln>
          </c:spPr>
          <c:xVal>
            <c:numRef>
              <c:f>RTC!$V$198</c:f>
            </c:numRef>
          </c:xVal>
          <c:yVal>
            <c:numRef>
              <c:f>RTC!$W$198</c:f>
            </c:numRef>
          </c:yVal>
          <c:smooth val="0"/>
          <c:extLst>
            <c:ext xmlns:c16="http://schemas.microsoft.com/office/drawing/2014/chart" uri="{C3380CC4-5D6E-409C-BE32-E72D297353CC}">
              <c16:uniqueId val="{00000005-3D15-41B5-9161-9FD856C7DD6D}"/>
            </c:ext>
          </c:extLst>
        </c:ser>
        <c:ser>
          <c:idx val="6"/>
          <c:order val="6"/>
          <c:tx>
            <c:strRef>
              <c:f>RTC!$X$199</c:f>
              <c:strCache>
                <c:ptCount val="1"/>
                <c:pt idx="0">
                  <c:v>42</c:v>
                </c:pt>
              </c:strCache>
            </c:strRef>
          </c:tx>
          <c:spPr>
            <a:ln w="28575">
              <a:noFill/>
            </a:ln>
          </c:spPr>
          <c:xVal>
            <c:numRef>
              <c:f>RTC!$V$199</c:f>
            </c:numRef>
          </c:xVal>
          <c:yVal>
            <c:numRef>
              <c:f>RTC!$W$199</c:f>
            </c:numRef>
          </c:yVal>
          <c:smooth val="0"/>
          <c:extLst>
            <c:ext xmlns:c16="http://schemas.microsoft.com/office/drawing/2014/chart" uri="{C3380CC4-5D6E-409C-BE32-E72D297353CC}">
              <c16:uniqueId val="{00000006-3D15-41B5-9161-9FD856C7DD6D}"/>
            </c:ext>
          </c:extLst>
        </c:ser>
        <c:ser>
          <c:idx val="7"/>
          <c:order val="7"/>
          <c:tx>
            <c:strRef>
              <c:f>RTC!$X$200</c:f>
              <c:strCache>
                <c:ptCount val="1"/>
                <c:pt idx="0">
                  <c:v>57</c:v>
                </c:pt>
              </c:strCache>
            </c:strRef>
          </c:tx>
          <c:spPr>
            <a:ln w="28575">
              <a:noFill/>
            </a:ln>
          </c:spPr>
          <c:xVal>
            <c:numRef>
              <c:f>RTC!$V$200</c:f>
            </c:numRef>
          </c:xVal>
          <c:yVal>
            <c:numRef>
              <c:f>RTC!$W$200</c:f>
            </c:numRef>
          </c:yVal>
          <c:smooth val="0"/>
          <c:extLst>
            <c:ext xmlns:c16="http://schemas.microsoft.com/office/drawing/2014/chart" uri="{C3380CC4-5D6E-409C-BE32-E72D297353CC}">
              <c16:uniqueId val="{00000007-3D15-41B5-9161-9FD856C7DD6D}"/>
            </c:ext>
          </c:extLst>
        </c:ser>
        <c:ser>
          <c:idx val="8"/>
          <c:order val="8"/>
          <c:tx>
            <c:strRef>
              <c:f>RTC!$X$201</c:f>
              <c:strCache>
                <c:ptCount val="1"/>
                <c:pt idx="0">
                  <c:v>72</c:v>
                </c:pt>
              </c:strCache>
            </c:strRef>
          </c:tx>
          <c:spPr>
            <a:ln w="28575">
              <a:noFill/>
            </a:ln>
          </c:spPr>
          <c:xVal>
            <c:numRef>
              <c:f>RTC!$V$201</c:f>
            </c:numRef>
          </c:xVal>
          <c:yVal>
            <c:numRef>
              <c:f>RTC!$W$201</c:f>
            </c:numRef>
          </c:yVal>
          <c:smooth val="0"/>
          <c:extLst>
            <c:ext xmlns:c16="http://schemas.microsoft.com/office/drawing/2014/chart" uri="{C3380CC4-5D6E-409C-BE32-E72D297353CC}">
              <c16:uniqueId val="{00000008-3D15-41B5-9161-9FD856C7DD6D}"/>
            </c:ext>
          </c:extLst>
        </c:ser>
        <c:ser>
          <c:idx val="9"/>
          <c:order val="9"/>
          <c:tx>
            <c:strRef>
              <c:f>RTC!$X$202</c:f>
              <c:strCache>
                <c:ptCount val="1"/>
                <c:pt idx="0">
                  <c:v>85</c:v>
                </c:pt>
              </c:strCache>
            </c:strRef>
          </c:tx>
          <c:spPr>
            <a:ln w="28575">
              <a:noFill/>
            </a:ln>
          </c:spPr>
          <c:xVal>
            <c:numRef>
              <c:f>RTC!$V$202</c:f>
            </c:numRef>
          </c:xVal>
          <c:yVal>
            <c:numRef>
              <c:f>RTC!$W$202</c:f>
            </c:numRef>
          </c:yVal>
          <c:smooth val="0"/>
          <c:extLst>
            <c:ext xmlns:c16="http://schemas.microsoft.com/office/drawing/2014/chart" uri="{C3380CC4-5D6E-409C-BE32-E72D297353CC}">
              <c16:uniqueId val="{00000009-3D15-41B5-9161-9FD856C7DD6D}"/>
            </c:ext>
          </c:extLst>
        </c:ser>
        <c:ser>
          <c:idx val="10"/>
          <c:order val="10"/>
          <c:tx>
            <c:strRef>
              <c:f>RTC!$X$203</c:f>
              <c:strCache>
                <c:ptCount val="1"/>
                <c:pt idx="0">
                  <c:v>102</c:v>
                </c:pt>
              </c:strCache>
            </c:strRef>
          </c:tx>
          <c:spPr>
            <a:ln w="28575">
              <a:noFill/>
            </a:ln>
          </c:spPr>
          <c:xVal>
            <c:numRef>
              <c:f>RTC!$V$203</c:f>
            </c:numRef>
          </c:xVal>
          <c:yVal>
            <c:numRef>
              <c:f>RTC!$W$203</c:f>
            </c:numRef>
          </c:yVal>
          <c:smooth val="0"/>
          <c:extLst>
            <c:ext xmlns:c16="http://schemas.microsoft.com/office/drawing/2014/chart" uri="{C3380CC4-5D6E-409C-BE32-E72D297353CC}">
              <c16:uniqueId val="{0000000A-3D15-41B5-9161-9FD856C7D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61696"/>
        <c:axId val="203663232"/>
      </c:scatterChart>
      <c:valAx>
        <c:axId val="203661696"/>
        <c:scaling>
          <c:orientation val="minMax"/>
          <c:max val="0.33000000000000007"/>
          <c:min val="0.29400000000000004"/>
        </c:scaling>
        <c:delete val="0"/>
        <c:axPos val="b"/>
        <c:numFmt formatCode="0.0000_ " sourceLinked="1"/>
        <c:majorTickMark val="out"/>
        <c:minorTickMark val="none"/>
        <c:tickLblPos val="nextTo"/>
        <c:crossAx val="203663232"/>
        <c:crosses val="autoZero"/>
        <c:crossBetween val="midCat"/>
        <c:majorUnit val="2.0000000000000005E-3"/>
      </c:valAx>
      <c:valAx>
        <c:axId val="203663232"/>
        <c:scaling>
          <c:orientation val="minMax"/>
          <c:max val="0.35000000000000003"/>
          <c:min val="0.3100000000000000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661696"/>
        <c:crosses val="autoZero"/>
        <c:crossBetween val="midCat"/>
        <c:majorUnit val="2.0000000000000005E-3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白光強度預估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白光強度</c:v>
          </c:tx>
          <c:spPr>
            <a:ln w="28575">
              <a:noFill/>
            </a:ln>
          </c:spPr>
          <c:xVal>
            <c:numRef>
              <c:f>客戶R_TC!$D$73:$D$84</c:f>
            </c:numRef>
          </c:xVal>
          <c:yVal>
            <c:numRef>
              <c:f>客戶RGB_TC!$D$138:$D$149</c:f>
            </c:numRef>
          </c:yVal>
          <c:smooth val="0"/>
          <c:extLst>
            <c:ext xmlns:c16="http://schemas.microsoft.com/office/drawing/2014/chart" uri="{C3380CC4-5D6E-409C-BE32-E72D297353CC}">
              <c16:uniqueId val="{00000000-4349-4E9A-83BA-08FAD2C0C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77600"/>
        <c:axId val="203579776"/>
      </c:scatterChart>
      <c:valAx>
        <c:axId val="203577600"/>
        <c:scaling>
          <c:orientation val="minMax"/>
          <c:max val="140"/>
          <c:min val="-4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溫度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3579776"/>
        <c:crosses val="autoZero"/>
        <c:crossBetween val="midCat"/>
        <c:majorUnit val="20"/>
      </c:valAx>
      <c:valAx>
        <c:axId val="2035797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白光強度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crossAx val="2035776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Mcadam-3step</c:v>
          </c:tx>
          <c:spPr>
            <a:ln w="28575">
              <a:noFill/>
            </a:ln>
          </c:spPr>
          <c:marker>
            <c:symbol val="diamond"/>
            <c:size val="2"/>
          </c:marker>
          <c:xVal>
            <c:numRef>
              <c:f>RTC!$Z$2:$Z$363</c:f>
            </c:numRef>
          </c:xVal>
          <c:yVal>
            <c:numRef>
              <c:f>RTC!$AA$2:$AA$363</c:f>
            </c:numRef>
          </c:yVal>
          <c:smooth val="0"/>
          <c:extLst>
            <c:ext xmlns:c16="http://schemas.microsoft.com/office/drawing/2014/chart" uri="{C3380CC4-5D6E-409C-BE32-E72D297353CC}">
              <c16:uniqueId val="{00000000-3FC2-456E-9D65-86AC96D5BF2B}"/>
            </c:ext>
          </c:extLst>
        </c:ser>
        <c:ser>
          <c:idx val="2"/>
          <c:order val="1"/>
          <c:tx>
            <c:v>check</c:v>
          </c:tx>
          <c:spPr>
            <a:ln w="28575">
              <a:noFill/>
            </a:ln>
          </c:spPr>
          <c:xVal>
            <c:numRef>
              <c:f>客戶R_TC!$K$54</c:f>
            </c:numRef>
          </c:xVal>
          <c:yVal>
            <c:numRef>
              <c:f>客戶R_TC!$L$54</c:f>
            </c:numRef>
          </c:yVal>
          <c:smooth val="0"/>
          <c:extLst>
            <c:ext xmlns:c16="http://schemas.microsoft.com/office/drawing/2014/chart" uri="{C3380CC4-5D6E-409C-BE32-E72D297353CC}">
              <c16:uniqueId val="{00000001-3FC2-456E-9D65-86AC96D5B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10368"/>
        <c:axId val="204935168"/>
      </c:scatterChart>
      <c:valAx>
        <c:axId val="203610368"/>
        <c:scaling>
          <c:orientation val="minMax"/>
          <c:max val="0.32000000000000006"/>
          <c:min val="0.30800000000000005"/>
        </c:scaling>
        <c:delete val="0"/>
        <c:axPos val="b"/>
        <c:numFmt formatCode="0.0000_ " sourceLinked="1"/>
        <c:majorTickMark val="out"/>
        <c:minorTickMark val="none"/>
        <c:tickLblPos val="nextTo"/>
        <c:crossAx val="204935168"/>
        <c:crosses val="autoZero"/>
        <c:crossBetween val="midCat"/>
      </c:valAx>
      <c:valAx>
        <c:axId val="204935168"/>
        <c:scaling>
          <c:orientation val="minMax"/>
          <c:max val="0.33800000000000008"/>
          <c:min val="0.32200000000000006"/>
        </c:scaling>
        <c:delete val="0"/>
        <c:axPos val="l"/>
        <c:majorGridlines/>
        <c:numFmt formatCode="0.0000_ " sourceLinked="1"/>
        <c:majorTickMark val="out"/>
        <c:minorTickMark val="none"/>
        <c:tickLblPos val="nextTo"/>
        <c:crossAx val="203610368"/>
        <c:crosses val="autoZero"/>
        <c:crossBetween val="midCat"/>
        <c:majorUnit val="1.0000000000000002E-3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白光強度預估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白光強度</c:v>
          </c:tx>
          <c:spPr>
            <a:ln w="28575">
              <a:noFill/>
            </a:ln>
          </c:spPr>
          <c:xVal>
            <c:numRef>
              <c:f>客戶R_TC!$D$73:$D$84</c:f>
            </c:numRef>
          </c:xVal>
          <c:yVal>
            <c:numRef>
              <c:f>客戶RGB_TC!$D$138:$D$149</c:f>
            </c:numRef>
          </c:yVal>
          <c:smooth val="0"/>
          <c:extLst>
            <c:ext xmlns:c16="http://schemas.microsoft.com/office/drawing/2014/chart" uri="{C3380CC4-5D6E-409C-BE32-E72D297353CC}">
              <c16:uniqueId val="{00000000-4349-4E9A-83BA-08FAD2C0C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55648"/>
        <c:axId val="204957568"/>
      </c:scatterChart>
      <c:valAx>
        <c:axId val="204955648"/>
        <c:scaling>
          <c:orientation val="minMax"/>
          <c:max val="140"/>
          <c:min val="-4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溫度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4957568"/>
        <c:crosses val="autoZero"/>
        <c:crossBetween val="midCat"/>
        <c:majorUnit val="20"/>
      </c:valAx>
      <c:valAx>
        <c:axId val="204957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白光強度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crossAx val="2049556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白光強度預估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白光強度</c:v>
          </c:tx>
          <c:spPr>
            <a:ln w="28575">
              <a:noFill/>
            </a:ln>
          </c:spPr>
          <c:xVal>
            <c:numRef>
              <c:f>客戶RB_TC!$C$78:$C$88</c:f>
              <c:numCache>
                <c:formatCode>General</c:formatCode>
                <c:ptCount val="11"/>
                <c:pt idx="0">
                  <c:v>-10</c:v>
                </c:pt>
                <c:pt idx="1">
                  <c:v>2</c:v>
                </c:pt>
                <c:pt idx="2">
                  <c:v>14</c:v>
                </c:pt>
                <c:pt idx="3">
                  <c:v>25</c:v>
                </c:pt>
                <c:pt idx="4">
                  <c:v>37</c:v>
                </c:pt>
                <c:pt idx="5">
                  <c:v>48</c:v>
                </c:pt>
                <c:pt idx="6">
                  <c:v>60</c:v>
                </c:pt>
                <c:pt idx="7">
                  <c:v>71</c:v>
                </c:pt>
                <c:pt idx="8">
                  <c:v>83</c:v>
                </c:pt>
                <c:pt idx="9">
                  <c:v>94</c:v>
                </c:pt>
                <c:pt idx="10">
                  <c:v>106</c:v>
                </c:pt>
              </c:numCache>
            </c:numRef>
          </c:xVal>
          <c:yVal>
            <c:numRef>
              <c:f>客戶RB_TC!$E$78:$E$88</c:f>
              <c:numCache>
                <c:formatCode>0.000_ </c:formatCode>
                <c:ptCount val="11"/>
                <c:pt idx="0">
                  <c:v>9.7537849713541682</c:v>
                </c:pt>
                <c:pt idx="1">
                  <c:v>9.5682343470052107</c:v>
                </c:pt>
                <c:pt idx="2">
                  <c:v>9.3939436458333336</c:v>
                </c:pt>
                <c:pt idx="3">
                  <c:v>9.2263854531249994</c:v>
                </c:pt>
                <c:pt idx="4">
                  <c:v>9.0321007851562491</c:v>
                </c:pt>
                <c:pt idx="5">
                  <c:v>8.8710155156249986</c:v>
                </c:pt>
                <c:pt idx="6">
                  <c:v>8.7105886777343731</c:v>
                </c:pt>
                <c:pt idx="7">
                  <c:v>8.5477822721354144</c:v>
                </c:pt>
                <c:pt idx="8">
                  <c:v>8.3748535703124958</c:v>
                </c:pt>
                <c:pt idx="9">
                  <c:v>8.2229811816406215</c:v>
                </c:pt>
                <c:pt idx="10">
                  <c:v>8.0530180996093712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49-4E9A-83BA-08FAD2C0C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05760"/>
        <c:axId val="204874880"/>
      </c:scatterChart>
      <c:valAx>
        <c:axId val="204405760"/>
        <c:scaling>
          <c:orientation val="minMax"/>
          <c:max val="120"/>
          <c:min val="-4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溫度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4874880"/>
        <c:crosses val="autoZero"/>
        <c:crossBetween val="midCat"/>
        <c:majorUnit val="20"/>
      </c:valAx>
      <c:valAx>
        <c:axId val="20487488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白光強度</a:t>
                </a:r>
              </a:p>
            </c:rich>
          </c:tx>
          <c:overlay val="0"/>
        </c:title>
        <c:numFmt formatCode="0.000_ " sourceLinked="1"/>
        <c:majorTickMark val="none"/>
        <c:minorTickMark val="none"/>
        <c:tickLblPos val="nextTo"/>
        <c:crossAx val="2044057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Mcadam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RBTC!$Z$2:$Z$363</c:f>
              <c:numCache>
                <c:formatCode>0.0000_ </c:formatCode>
                <c:ptCount val="362"/>
                <c:pt idx="0">
                  <c:v>0.31956951629775415</c:v>
                </c:pt>
                <c:pt idx="1">
                  <c:v>0.31962937204647812</c:v>
                </c:pt>
                <c:pt idx="2">
                  <c:v>0.31968846762585584</c:v>
                </c:pt>
                <c:pt idx="3">
                  <c:v>0.31974678503480125</c:v>
                </c:pt>
                <c:pt idx="4">
                  <c:v>0.31980430650926678</c:v>
                </c:pt>
                <c:pt idx="5">
                  <c:v>0.31986101452765392</c:v>
                </c:pt>
                <c:pt idx="6">
                  <c:v>0.31991689181615107</c:v>
                </c:pt>
                <c:pt idx="7">
                  <c:v>0.31997192135399477</c:v>
                </c:pt>
                <c:pt idx="8">
                  <c:v>0.32002608637865476</c:v>
                </c:pt>
                <c:pt idx="9">
                  <c:v>0.32007937039093981</c:v>
                </c:pt>
                <c:pt idx="10">
                  <c:v>0.32013175716002357</c:v>
                </c:pt>
                <c:pt idx="11">
                  <c:v>0.32018323072838872</c:v>
                </c:pt>
                <c:pt idx="12">
                  <c:v>0.32023377541668774</c:v>
                </c:pt>
                <c:pt idx="13">
                  <c:v>0.32028337582851885</c:v>
                </c:pt>
                <c:pt idx="14">
                  <c:v>0.3203320168551162</c:v>
                </c:pt>
                <c:pt idx="15">
                  <c:v>0.32037968367995184</c:v>
                </c:pt>
                <c:pt idx="16">
                  <c:v>0.32042636178324918</c:v>
                </c:pt>
                <c:pt idx="17">
                  <c:v>0.3204720369464058</c:v>
                </c:pt>
                <c:pt idx="18">
                  <c:v>0.32051669525632448</c:v>
                </c:pt>
                <c:pt idx="19">
                  <c:v>0.32056032310965143</c:v>
                </c:pt>
                <c:pt idx="20">
                  <c:v>0.32060290721691997</c:v>
                </c:pt>
                <c:pt idx="21">
                  <c:v>0.32064443460659842</c:v>
                </c:pt>
                <c:pt idx="22">
                  <c:v>0.3206848926290416</c:v>
                </c:pt>
                <c:pt idx="23">
                  <c:v>0.32072426896034395</c:v>
                </c:pt>
                <c:pt idx="24">
                  <c:v>0.32076255160609352</c:v>
                </c:pt>
                <c:pt idx="25">
                  <c:v>0.32079972890502556</c:v>
                </c:pt>
                <c:pt idx="26">
                  <c:v>0.32083578953257469</c:v>
                </c:pt>
                <c:pt idx="27">
                  <c:v>0.32087072250432441</c:v>
                </c:pt>
                <c:pt idx="28">
                  <c:v>0.3209045171793532</c:v>
                </c:pt>
                <c:pt idx="29">
                  <c:v>0.32093716326347549</c:v>
                </c:pt>
                <c:pt idx="30">
                  <c:v>0.32096865081237796</c:v>
                </c:pt>
                <c:pt idx="31">
                  <c:v>0.32099897023464818</c:v>
                </c:pt>
                <c:pt idx="32">
                  <c:v>0.32102811229469636</c:v>
                </c:pt>
                <c:pt idx="33">
                  <c:v>0.32105606811556869</c:v>
                </c:pt>
                <c:pt idx="34">
                  <c:v>0.32108282918165137</c:v>
                </c:pt>
                <c:pt idx="35">
                  <c:v>0.3211083873412644</c:v>
                </c:pt>
                <c:pt idx="36">
                  <c:v>0.32113273480914484</c:v>
                </c:pt>
                <c:pt idx="37">
                  <c:v>0.32115586416881803</c:v>
                </c:pt>
                <c:pt idx="38">
                  <c:v>0.32117776837485695</c:v>
                </c:pt>
                <c:pt idx="39">
                  <c:v>0.32119844075502829</c:v>
                </c:pt>
                <c:pt idx="40">
                  <c:v>0.32121787501232485</c:v>
                </c:pt>
                <c:pt idx="41">
                  <c:v>0.32123606522688347</c:v>
                </c:pt>
                <c:pt idx="42">
                  <c:v>0.32125300585778865</c:v>
                </c:pt>
                <c:pt idx="43">
                  <c:v>0.32126869174476014</c:v>
                </c:pt>
                <c:pt idx="44">
                  <c:v>4.4338199409205692E-3</c:v>
                </c:pt>
                <c:pt idx="45">
                  <c:v>0.32128311810972476</c:v>
                </c:pt>
                <c:pt idx="46">
                  <c:v>0.32129628055827197</c:v>
                </c:pt>
                <c:pt idx="47">
                  <c:v>0.32130817508099252</c:v>
                </c:pt>
                <c:pt idx="48">
                  <c:v>0.32131879805469948</c:v>
                </c:pt>
                <c:pt idx="49">
                  <c:v>0.32132814624353223</c:v>
                </c:pt>
                <c:pt idx="50">
                  <c:v>0.32133621679994184</c:v>
                </c:pt>
                <c:pt idx="51">
                  <c:v>0.32134300726555864</c:v>
                </c:pt>
                <c:pt idx="52">
                  <c:v>0.32134851557194105</c:v>
                </c:pt>
                <c:pt idx="53">
                  <c:v>0.32135274004120556</c:v>
                </c:pt>
                <c:pt idx="54">
                  <c:v>0.32135567938653797</c:v>
                </c:pt>
                <c:pt idx="55">
                  <c:v>0.32135733271258515</c:v>
                </c:pt>
                <c:pt idx="56">
                  <c:v>0.32135769951572801</c:v>
                </c:pt>
                <c:pt idx="57">
                  <c:v>0.32135677968423476</c:v>
                </c:pt>
                <c:pt idx="58">
                  <c:v>0.32135457349829494</c:v>
                </c:pt>
                <c:pt idx="59">
                  <c:v>0.32135108162993414</c:v>
                </c:pt>
                <c:pt idx="60">
                  <c:v>0.32134630514280937</c:v>
                </c:pt>
                <c:pt idx="61">
                  <c:v>0.32134024549188489</c:v>
                </c:pt>
                <c:pt idx="62">
                  <c:v>0.32133290452298896</c:v>
                </c:pt>
                <c:pt idx="63">
                  <c:v>0.32132428447225192</c:v>
                </c:pt>
                <c:pt idx="64">
                  <c:v>0.32131438796542472</c:v>
                </c:pt>
                <c:pt idx="65">
                  <c:v>0.32130321801707917</c:v>
                </c:pt>
                <c:pt idx="66">
                  <c:v>0.32129077802968969</c:v>
                </c:pt>
                <c:pt idx="67">
                  <c:v>0.32127707179259707</c:v>
                </c:pt>
                <c:pt idx="68">
                  <c:v>0.32126210348085388</c:v>
                </c:pt>
                <c:pt idx="69">
                  <c:v>0.32124587765395279</c:v>
                </c:pt>
                <c:pt idx="70">
                  <c:v>0.32122839925443791</c:v>
                </c:pt>
                <c:pt idx="71">
                  <c:v>0.32120967360639913</c:v>
                </c:pt>
                <c:pt idx="72">
                  <c:v>0.32118970641385008</c:v>
                </c:pt>
                <c:pt idx="73">
                  <c:v>0.32116850375899114</c:v>
                </c:pt>
                <c:pt idx="74">
                  <c:v>0.32114607210035639</c:v>
                </c:pt>
                <c:pt idx="75">
                  <c:v>0.32112241827084625</c:v>
                </c:pt>
                <c:pt idx="76">
                  <c:v>0.32109754947564645</c:v>
                </c:pt>
                <c:pt idx="77">
                  <c:v>0.32107147329003288</c:v>
                </c:pt>
                <c:pt idx="78">
                  <c:v>0.32104419765706421</c:v>
                </c:pt>
                <c:pt idx="79">
                  <c:v>0.32101573088516255</c:v>
                </c:pt>
                <c:pt idx="80">
                  <c:v>0.32098608164558234</c:v>
                </c:pt>
                <c:pt idx="81">
                  <c:v>0.32095525896976923</c:v>
                </c:pt>
                <c:pt idx="82">
                  <c:v>0.32092327224660877</c:v>
                </c:pt>
                <c:pt idx="83">
                  <c:v>0.32089013121956683</c:v>
                </c:pt>
                <c:pt idx="84">
                  <c:v>0.32085584598372113</c:v>
                </c:pt>
                <c:pt idx="85">
                  <c:v>0.32082042698268676</c:v>
                </c:pt>
                <c:pt idx="86">
                  <c:v>0.32078388500543448</c:v>
                </c:pt>
                <c:pt idx="87">
                  <c:v>0.3207462311830046</c:v>
                </c:pt>
                <c:pt idx="88">
                  <c:v>0.32070747698511615</c:v>
                </c:pt>
                <c:pt idx="89">
                  <c:v>0.32066763421667321</c:v>
                </c:pt>
                <c:pt idx="90">
                  <c:v>0.32062671501416912</c:v>
                </c:pt>
                <c:pt idx="91">
                  <c:v>0.32058473184198921</c:v>
                </c:pt>
                <c:pt idx="92">
                  <c:v>0.32054169748861455</c:v>
                </c:pt>
                <c:pt idx="93">
                  <c:v>0.320497625062726</c:v>
                </c:pt>
                <c:pt idx="94">
                  <c:v>0.32045252798921148</c:v>
                </c:pt>
                <c:pt idx="95">
                  <c:v>0.32040642000507635</c:v>
                </c:pt>
                <c:pt idx="96">
                  <c:v>0.32035931515525928</c:v>
                </c:pt>
                <c:pt idx="97">
                  <c:v>0.32031122778835386</c:v>
                </c:pt>
                <c:pt idx="98">
                  <c:v>0.32026217255223788</c:v>
                </c:pt>
                <c:pt idx="99">
                  <c:v>0.32021216438961148</c:v>
                </c:pt>
                <c:pt idx="100">
                  <c:v>0.32016121853344537</c:v>
                </c:pt>
                <c:pt idx="101">
                  <c:v>0.32010935050234096</c:v>
                </c:pt>
                <c:pt idx="102">
                  <c:v>0.3200565760958029</c:v>
                </c:pt>
                <c:pt idx="103">
                  <c:v>0.32000291138942671</c:v>
                </c:pt>
                <c:pt idx="104">
                  <c:v>0.31994837273000176</c:v>
                </c:pt>
                <c:pt idx="105">
                  <c:v>0.31989297673053207</c:v>
                </c:pt>
                <c:pt idx="106">
                  <c:v>0.31983674026517572</c:v>
                </c:pt>
                <c:pt idx="107">
                  <c:v>0.31977968046410488</c:v>
                </c:pt>
                <c:pt idx="108">
                  <c:v>0.31972181470828759</c:v>
                </c:pt>
                <c:pt idx="109">
                  <c:v>0.3196631606241937</c:v>
                </c:pt>
                <c:pt idx="110">
                  <c:v>0.3196037360784254</c:v>
                </c:pt>
                <c:pt idx="111">
                  <c:v>0.31954355917227506</c:v>
                </c:pt>
                <c:pt idx="112">
                  <c:v>0.31948264823621109</c:v>
                </c:pt>
                <c:pt idx="113">
                  <c:v>0.31942102182429483</c:v>
                </c:pt>
                <c:pt idx="114">
                  <c:v>0.31935869870852829</c:v>
                </c:pt>
                <c:pt idx="115">
                  <c:v>0.31929569787313622</c:v>
                </c:pt>
                <c:pt idx="116">
                  <c:v>0.3192320385087834</c:v>
                </c:pt>
                <c:pt idx="117">
                  <c:v>0.31916774000672893</c:v>
                </c:pt>
                <c:pt idx="118">
                  <c:v>0.31910282195291934</c:v>
                </c:pt>
                <c:pt idx="119">
                  <c:v>0.3190373041220228</c:v>
                </c:pt>
                <c:pt idx="120">
                  <c:v>0.3189712064714052</c:v>
                </c:pt>
                <c:pt idx="121">
                  <c:v>0.31890454913505129</c:v>
                </c:pt>
                <c:pt idx="122">
                  <c:v>0.31883735241743139</c:v>
                </c:pt>
                <c:pt idx="123">
                  <c:v>0.31876963678731668</c:v>
                </c:pt>
                <c:pt idx="124">
                  <c:v>0.31870142287154396</c:v>
                </c:pt>
                <c:pt idx="125">
                  <c:v>0.31863273144873294</c:v>
                </c:pt>
                <c:pt idx="126">
                  <c:v>0.31856358344295632</c:v>
                </c:pt>
                <c:pt idx="127">
                  <c:v>0.3184939999173666</c:v>
                </c:pt>
                <c:pt idx="128">
                  <c:v>0.31842400206777965</c:v>
                </c:pt>
                <c:pt idx="129">
                  <c:v>0.31835361121621858</c:v>
                </c:pt>
                <c:pt idx="130">
                  <c:v>0.31828284880441871</c:v>
                </c:pt>
                <c:pt idx="131">
                  <c:v>0.31821173638729611</c:v>
                </c:pt>
                <c:pt idx="132">
                  <c:v>0.31814029562638191</c:v>
                </c:pt>
                <c:pt idx="133">
                  <c:v>0.31806854828322401</c:v>
                </c:pt>
                <c:pt idx="134">
                  <c:v>0.3179965162127581</c:v>
                </c:pt>
                <c:pt idx="135">
                  <c:v>0.31792422135665066</c:v>
                </c:pt>
                <c:pt idx="136">
                  <c:v>0.31785168573661515</c:v>
                </c:pt>
                <c:pt idx="137">
                  <c:v>0.31777893144770425</c:v>
                </c:pt>
                <c:pt idx="138">
                  <c:v>0.31770598065157896</c:v>
                </c:pt>
                <c:pt idx="139">
                  <c:v>0.31763285556975862</c:v>
                </c:pt>
                <c:pt idx="140">
                  <c:v>0.31755957847685146</c:v>
                </c:pt>
                <c:pt idx="141">
                  <c:v>0.3174861716937698</c:v>
                </c:pt>
                <c:pt idx="142">
                  <c:v>0.31741265758093096</c:v>
                </c:pt>
                <c:pt idx="143">
                  <c:v>0.31733905853144578</c:v>
                </c:pt>
                <c:pt idx="144">
                  <c:v>0.31726539696429773</c:v>
                </c:pt>
                <c:pt idx="145">
                  <c:v>0.31719169531751379</c:v>
                </c:pt>
                <c:pt idx="146">
                  <c:v>0.31711797604132946</c:v>
                </c:pt>
                <c:pt idx="147">
                  <c:v>0.31704426159135041</c:v>
                </c:pt>
                <c:pt idx="148">
                  <c:v>0.31697057442171223</c:v>
                </c:pt>
                <c:pt idx="149">
                  <c:v>0.31689693697824062</c:v>
                </c:pt>
                <c:pt idx="150">
                  <c:v>0.31682337169161412</c:v>
                </c:pt>
                <c:pt idx="151">
                  <c:v>0.31674990097053179</c:v>
                </c:pt>
                <c:pt idx="152">
                  <c:v>0.31667654719488691</c:v>
                </c:pt>
                <c:pt idx="153">
                  <c:v>0.31660333270895025</c:v>
                </c:pt>
                <c:pt idx="154">
                  <c:v>0.31653027981456333</c:v>
                </c:pt>
                <c:pt idx="155">
                  <c:v>0.31645741076434553</c:v>
                </c:pt>
                <c:pt idx="156">
                  <c:v>0.31638474775491543</c:v>
                </c:pt>
                <c:pt idx="157">
                  <c:v>0.31631231292012962</c:v>
                </c:pt>
                <c:pt idx="158">
                  <c:v>0.31624012832434045</c:v>
                </c:pt>
                <c:pt idx="159">
                  <c:v>0.31616821595567507</c:v>
                </c:pt>
                <c:pt idx="160">
                  <c:v>0.31609659771933762</c:v>
                </c:pt>
                <c:pt idx="161">
                  <c:v>0.31602529543093666</c:v>
                </c:pt>
                <c:pt idx="162">
                  <c:v>0.31595433080983998</c:v>
                </c:pt>
                <c:pt idx="163">
                  <c:v>0.31588372547255855</c:v>
                </c:pt>
                <c:pt idx="164">
                  <c:v>0.31581350092616217</c:v>
                </c:pt>
                <c:pt idx="165">
                  <c:v>0.31574367856172791</c:v>
                </c:pt>
                <c:pt idx="166">
                  <c:v>0.3156742796478243</c:v>
                </c:pt>
                <c:pt idx="167">
                  <c:v>0.3156053253240329</c:v>
                </c:pt>
                <c:pt idx="168">
                  <c:v>0.31553683659450865</c:v>
                </c:pt>
                <c:pt idx="169">
                  <c:v>0.31546883432158201</c:v>
                </c:pt>
                <c:pt idx="170">
                  <c:v>0.31540133921940411</c:v>
                </c:pt>
                <c:pt idx="171">
                  <c:v>0.31533437184763696</c:v>
                </c:pt>
                <c:pt idx="172">
                  <c:v>0.31526795260519058</c:v>
                </c:pt>
                <c:pt idx="173">
                  <c:v>0.31520210172400981</c:v>
                </c:pt>
                <c:pt idx="174">
                  <c:v>0.31513683926291081</c:v>
                </c:pt>
                <c:pt idx="175">
                  <c:v>0.31507218510147156</c:v>
                </c:pt>
                <c:pt idx="176">
                  <c:v>0.31500815893397593</c:v>
                </c:pt>
                <c:pt idx="177">
                  <c:v>0.31494478026341471</c:v>
                </c:pt>
                <c:pt idx="178">
                  <c:v>0.314882068395545</c:v>
                </c:pt>
                <c:pt idx="179">
                  <c:v>0.31482004243300921</c:v>
                </c:pt>
                <c:pt idx="180">
                  <c:v>0.31475872126951637</c:v>
                </c:pt>
                <c:pt idx="181">
                  <c:v>0.31469812358408694</c:v>
                </c:pt>
                <c:pt idx="182">
                  <c:v>0.31463826783536297</c:v>
                </c:pt>
                <c:pt idx="183">
                  <c:v>0.31457917225598525</c:v>
                </c:pt>
                <c:pt idx="184">
                  <c:v>0.31452085484703984</c:v>
                </c:pt>
                <c:pt idx="185">
                  <c:v>0.31446333337257437</c:v>
                </c:pt>
                <c:pt idx="186">
                  <c:v>0.31440662535418717</c:v>
                </c:pt>
                <c:pt idx="187">
                  <c:v>0.31435074806569002</c:v>
                </c:pt>
                <c:pt idx="188">
                  <c:v>0.31429571852784632</c:v>
                </c:pt>
                <c:pt idx="189">
                  <c:v>0.31424155350318633</c:v>
                </c:pt>
                <c:pt idx="190">
                  <c:v>0.31418826949090128</c:v>
                </c:pt>
                <c:pt idx="191">
                  <c:v>0.31413588272181753</c:v>
                </c:pt>
                <c:pt idx="192">
                  <c:v>0.31408440915345237</c:v>
                </c:pt>
                <c:pt idx="193">
                  <c:v>0.31403386446515336</c:v>
                </c:pt>
                <c:pt idx="194">
                  <c:v>0.31398426405332225</c:v>
                </c:pt>
                <c:pt idx="195">
                  <c:v>0.3139356230267249</c:v>
                </c:pt>
                <c:pt idx="196">
                  <c:v>0.31388795620188925</c:v>
                </c:pt>
                <c:pt idx="197">
                  <c:v>0.31384127809859191</c:v>
                </c:pt>
                <c:pt idx="198">
                  <c:v>0.31379560293543529</c:v>
                </c:pt>
                <c:pt idx="199">
                  <c:v>0.31375094462551661</c:v>
                </c:pt>
                <c:pt idx="200">
                  <c:v>0.31370731677218966</c:v>
                </c:pt>
                <c:pt idx="201">
                  <c:v>0.31366473266492112</c:v>
                </c:pt>
                <c:pt idx="202">
                  <c:v>0.31362320527524268</c:v>
                </c:pt>
                <c:pt idx="203">
                  <c:v>0.3135827472527995</c:v>
                </c:pt>
                <c:pt idx="204">
                  <c:v>0.31354337092149714</c:v>
                </c:pt>
                <c:pt idx="205">
                  <c:v>0.31350508827574758</c:v>
                </c:pt>
                <c:pt idx="206">
                  <c:v>0.31346791097681553</c:v>
                </c:pt>
                <c:pt idx="207">
                  <c:v>0.31343185034926641</c:v>
                </c:pt>
                <c:pt idx="208">
                  <c:v>0.31339691737751668</c:v>
                </c:pt>
                <c:pt idx="209">
                  <c:v>0.3133631227024879</c:v>
                </c:pt>
                <c:pt idx="210">
                  <c:v>0.31333047661836561</c:v>
                </c:pt>
                <c:pt idx="211">
                  <c:v>0.31329898906946313</c:v>
                </c:pt>
                <c:pt idx="212">
                  <c:v>0.31326866964719291</c:v>
                </c:pt>
                <c:pt idx="213">
                  <c:v>0.31323952758714474</c:v>
                </c:pt>
                <c:pt idx="214">
                  <c:v>0.3132115717662724</c:v>
                </c:pt>
                <c:pt idx="215">
                  <c:v>0.31318481070018972</c:v>
                </c:pt>
                <c:pt idx="216">
                  <c:v>0.31315925254057669</c:v>
                </c:pt>
                <c:pt idx="217">
                  <c:v>0.31313490507269626</c:v>
                </c:pt>
                <c:pt idx="218">
                  <c:v>0.31311177571302307</c:v>
                </c:pt>
                <c:pt idx="219">
                  <c:v>0.31308987150698414</c:v>
                </c:pt>
                <c:pt idx="220">
                  <c:v>0.3130691991268128</c:v>
                </c:pt>
                <c:pt idx="221">
                  <c:v>0.31304976486951624</c:v>
                </c:pt>
                <c:pt idx="222">
                  <c:v>0.31303157465495762</c:v>
                </c:pt>
                <c:pt idx="223">
                  <c:v>0.31301463402405244</c:v>
                </c:pt>
                <c:pt idx="224">
                  <c:v>0.31299894813708096</c:v>
                </c:pt>
                <c:pt idx="225">
                  <c:v>0.31298452177211633</c:v>
                </c:pt>
                <c:pt idx="226">
                  <c:v>0.31297135932356912</c:v>
                </c:pt>
                <c:pt idx="227">
                  <c:v>0.31295946480084857</c:v>
                </c:pt>
                <c:pt idx="228">
                  <c:v>0.31294884182714161</c:v>
                </c:pt>
                <c:pt idx="229">
                  <c:v>0.31293949363830886</c:v>
                </c:pt>
                <c:pt idx="230">
                  <c:v>0.31293142308189925</c:v>
                </c:pt>
                <c:pt idx="231">
                  <c:v>0.31292463261628245</c:v>
                </c:pt>
                <c:pt idx="232">
                  <c:v>0.31291912430990004</c:v>
                </c:pt>
                <c:pt idx="233">
                  <c:v>0.31291489984063553</c:v>
                </c:pt>
                <c:pt idx="234">
                  <c:v>0.31291196049530312</c:v>
                </c:pt>
                <c:pt idx="235">
                  <c:v>0.31291030716925594</c:v>
                </c:pt>
                <c:pt idx="236">
                  <c:v>0.31290994036611308</c:v>
                </c:pt>
                <c:pt idx="237">
                  <c:v>0.31291086019760633</c:v>
                </c:pt>
                <c:pt idx="238">
                  <c:v>0.31291306638354616</c:v>
                </c:pt>
                <c:pt idx="239">
                  <c:v>0.31291655825190695</c:v>
                </c:pt>
                <c:pt idx="240">
                  <c:v>0.31292133473903172</c:v>
                </c:pt>
                <c:pt idx="241">
                  <c:v>0.3129273943899562</c:v>
                </c:pt>
                <c:pt idx="242">
                  <c:v>0.31293473535885213</c:v>
                </c:pt>
                <c:pt idx="243">
                  <c:v>0.31294335540958917</c:v>
                </c:pt>
                <c:pt idx="244">
                  <c:v>0.31295325191641638</c:v>
                </c:pt>
                <c:pt idx="245">
                  <c:v>0.31296442186476198</c:v>
                </c:pt>
                <c:pt idx="246">
                  <c:v>0.3129768618521514</c:v>
                </c:pt>
                <c:pt idx="247">
                  <c:v>0.31299056808924403</c:v>
                </c:pt>
                <c:pt idx="248">
                  <c:v>0.31300553640098722</c:v>
                </c:pt>
                <c:pt idx="249">
                  <c:v>0.3130217622278883</c:v>
                </c:pt>
                <c:pt idx="250">
                  <c:v>0.31303924062740318</c:v>
                </c:pt>
                <c:pt idx="251">
                  <c:v>0.31305796627544197</c:v>
                </c:pt>
                <c:pt idx="252">
                  <c:v>0.31307793346799101</c:v>
                </c:pt>
                <c:pt idx="253">
                  <c:v>0.31309913612284995</c:v>
                </c:pt>
                <c:pt idx="254">
                  <c:v>0.3131215677814847</c:v>
                </c:pt>
                <c:pt idx="255">
                  <c:v>0.31314522161099484</c:v>
                </c:pt>
                <c:pt idx="256">
                  <c:v>0.31317009040619465</c:v>
                </c:pt>
                <c:pt idx="257">
                  <c:v>0.31319616659180821</c:v>
                </c:pt>
                <c:pt idx="258">
                  <c:v>0.31322344222477688</c:v>
                </c:pt>
                <c:pt idx="259">
                  <c:v>0.31325190899667854</c:v>
                </c:pt>
                <c:pt idx="260">
                  <c:v>0.31328155823625875</c:v>
                </c:pt>
                <c:pt idx="261">
                  <c:v>0.31331238091207186</c:v>
                </c:pt>
                <c:pt idx="262">
                  <c:v>0.31334436763523232</c:v>
                </c:pt>
                <c:pt idx="263">
                  <c:v>0.31337750866227426</c:v>
                </c:pt>
                <c:pt idx="264">
                  <c:v>0.31341179389811996</c:v>
                </c:pt>
                <c:pt idx="265">
                  <c:v>0.31344721289915434</c:v>
                </c:pt>
                <c:pt idx="266">
                  <c:v>0.31348375487640662</c:v>
                </c:pt>
                <c:pt idx="267">
                  <c:v>0.31352140869883649</c:v>
                </c:pt>
                <c:pt idx="268">
                  <c:v>0.31356016289672495</c:v>
                </c:pt>
                <c:pt idx="269">
                  <c:v>0.31360000566516788</c:v>
                </c:pt>
                <c:pt idx="270">
                  <c:v>0.31364092486767198</c:v>
                </c:pt>
                <c:pt idx="271">
                  <c:v>0.31368290803985188</c:v>
                </c:pt>
                <c:pt idx="272">
                  <c:v>0.31372594239322654</c:v>
                </c:pt>
                <c:pt idx="273">
                  <c:v>0.3137700148191151</c:v>
                </c:pt>
                <c:pt idx="274">
                  <c:v>0.31381511189262962</c:v>
                </c:pt>
                <c:pt idx="275">
                  <c:v>0.31386121987676474</c:v>
                </c:pt>
                <c:pt idx="276">
                  <c:v>0.31390832472658181</c:v>
                </c:pt>
                <c:pt idx="277">
                  <c:v>0.31395641209348724</c:v>
                </c:pt>
                <c:pt idx="278">
                  <c:v>0.31400546732960322</c:v>
                </c:pt>
                <c:pt idx="279">
                  <c:v>0.31405547549222962</c:v>
                </c:pt>
                <c:pt idx="280">
                  <c:v>0.31410642134839573</c:v>
                </c:pt>
                <c:pt idx="281">
                  <c:v>0.31415828937950013</c:v>
                </c:pt>
                <c:pt idx="282">
                  <c:v>0.31421106378603819</c:v>
                </c:pt>
                <c:pt idx="283">
                  <c:v>0.31426472849241438</c:v>
                </c:pt>
                <c:pt idx="284">
                  <c:v>0.31431926715183933</c:v>
                </c:pt>
                <c:pt idx="285">
                  <c:v>0.31437466315130902</c:v>
                </c:pt>
                <c:pt idx="286">
                  <c:v>0.31443089961666537</c:v>
                </c:pt>
                <c:pt idx="287">
                  <c:v>0.31448795941773622</c:v>
                </c:pt>
                <c:pt idx="288">
                  <c:v>0.31454582517355351</c:v>
                </c:pt>
                <c:pt idx="289">
                  <c:v>0.3146044792576474</c:v>
                </c:pt>
                <c:pt idx="290">
                  <c:v>0.31466390380341569</c:v>
                </c:pt>
                <c:pt idx="291">
                  <c:v>0.31472408070956603</c:v>
                </c:pt>
                <c:pt idx="292">
                  <c:v>0.31478499164562995</c:v>
                </c:pt>
                <c:pt idx="293">
                  <c:v>0.31484661805754627</c:v>
                </c:pt>
                <c:pt idx="294">
                  <c:v>0.31490894117331281</c:v>
                </c:pt>
                <c:pt idx="295">
                  <c:v>0.31497194200870493</c:v>
                </c:pt>
                <c:pt idx="296">
                  <c:v>0.31503560137305769</c:v>
                </c:pt>
                <c:pt idx="297">
                  <c:v>0.31509989987511217</c:v>
                </c:pt>
                <c:pt idx="298">
                  <c:v>0.31516481792892176</c:v>
                </c:pt>
                <c:pt idx="299">
                  <c:v>0.31523033575981829</c:v>
                </c:pt>
                <c:pt idx="300">
                  <c:v>0.31529643341043589</c:v>
                </c:pt>
                <c:pt idx="301">
                  <c:v>0.31536309074678981</c:v>
                </c:pt>
                <c:pt idx="302">
                  <c:v>0.31543028746440971</c:v>
                </c:pt>
                <c:pt idx="303">
                  <c:v>0.31549800309452442</c:v>
                </c:pt>
                <c:pt idx="304">
                  <c:v>0.31556621701029708</c:v>
                </c:pt>
                <c:pt idx="305">
                  <c:v>0.31563490843310815</c:v>
                </c:pt>
                <c:pt idx="306">
                  <c:v>0.31570405643888477</c:v>
                </c:pt>
                <c:pt idx="307">
                  <c:v>0.3157736399644745</c:v>
                </c:pt>
                <c:pt idx="308">
                  <c:v>0.31584363781406144</c:v>
                </c:pt>
                <c:pt idx="309">
                  <c:v>0.31591402866562251</c:v>
                </c:pt>
                <c:pt idx="310">
                  <c:v>0.31598479107742239</c:v>
                </c:pt>
                <c:pt idx="311">
                  <c:v>0.31605590349454499</c:v>
                </c:pt>
                <c:pt idx="312">
                  <c:v>0.31612734425545919</c:v>
                </c:pt>
                <c:pt idx="313">
                  <c:v>0.31619909159861709</c:v>
                </c:pt>
                <c:pt idx="314">
                  <c:v>0.316271123669083</c:v>
                </c:pt>
                <c:pt idx="315">
                  <c:v>0.31634341852519043</c:v>
                </c:pt>
                <c:pt idx="316">
                  <c:v>0.31641595414522594</c:v>
                </c:pt>
                <c:pt idx="317">
                  <c:v>0.31648870843413685</c:v>
                </c:pt>
                <c:pt idx="318">
                  <c:v>0.31656165923026214</c:v>
                </c:pt>
                <c:pt idx="319">
                  <c:v>0.31663478431208247</c:v>
                </c:pt>
                <c:pt idx="320">
                  <c:v>0.31670806140498964</c:v>
                </c:pt>
                <c:pt idx="321">
                  <c:v>0.31678146818807129</c:v>
                </c:pt>
                <c:pt idx="322">
                  <c:v>0.31685498230091014</c:v>
                </c:pt>
                <c:pt idx="323">
                  <c:v>0.31692858135039531</c:v>
                </c:pt>
                <c:pt idx="324">
                  <c:v>0.31700224291754336</c:v>
                </c:pt>
                <c:pt idx="325">
                  <c:v>0.31707594456432731</c:v>
                </c:pt>
                <c:pt idx="326">
                  <c:v>0.31714966384051163</c:v>
                </c:pt>
                <c:pt idx="327">
                  <c:v>0.31722337829049069</c:v>
                </c:pt>
                <c:pt idx="328">
                  <c:v>0.31729706546012887</c:v>
                </c:pt>
                <c:pt idx="329">
                  <c:v>0.31737070290360048</c:v>
                </c:pt>
                <c:pt idx="330">
                  <c:v>0.31744426819022697</c:v>
                </c:pt>
                <c:pt idx="331">
                  <c:v>0.3175177389113093</c:v>
                </c:pt>
                <c:pt idx="332">
                  <c:v>0.31759109268695418</c:v>
                </c:pt>
                <c:pt idx="333">
                  <c:v>0.3176643071728909</c:v>
                </c:pt>
                <c:pt idx="334">
                  <c:v>0.31773736006727776</c:v>
                </c:pt>
                <c:pt idx="335">
                  <c:v>0.31781022911749557</c:v>
                </c:pt>
                <c:pt idx="336">
                  <c:v>0.31788289212692566</c:v>
                </c:pt>
                <c:pt idx="337">
                  <c:v>0.31795532696171153</c:v>
                </c:pt>
                <c:pt idx="338">
                  <c:v>0.31802751155750064</c:v>
                </c:pt>
                <c:pt idx="339">
                  <c:v>0.31809942392616603</c:v>
                </c:pt>
                <c:pt idx="340">
                  <c:v>0.31817104216250347</c:v>
                </c:pt>
                <c:pt idx="341">
                  <c:v>0.31824234445090444</c:v>
                </c:pt>
                <c:pt idx="342">
                  <c:v>0.31831330907200112</c:v>
                </c:pt>
                <c:pt idx="343">
                  <c:v>0.31838391440928254</c:v>
                </c:pt>
                <c:pt idx="344">
                  <c:v>0.31845413895567892</c:v>
                </c:pt>
                <c:pt idx="345">
                  <c:v>0.31852396132011318</c:v>
                </c:pt>
                <c:pt idx="346">
                  <c:v>0.3185933602340168</c:v>
                </c:pt>
                <c:pt idx="347">
                  <c:v>0.31866231455780819</c:v>
                </c:pt>
                <c:pt idx="348">
                  <c:v>0.31873080328733244</c:v>
                </c:pt>
                <c:pt idx="349">
                  <c:v>0.31879880556025908</c:v>
                </c:pt>
                <c:pt idx="350">
                  <c:v>0.31886630066243699</c:v>
                </c:pt>
                <c:pt idx="351">
                  <c:v>0.31893326803420413</c:v>
                </c:pt>
                <c:pt idx="352">
                  <c:v>0.31899968727665051</c:v>
                </c:pt>
                <c:pt idx="353">
                  <c:v>0.31906553815783129</c:v>
                </c:pt>
                <c:pt idx="354">
                  <c:v>0.31913080061893029</c:v>
                </c:pt>
                <c:pt idx="355">
                  <c:v>0.31919545478036954</c:v>
                </c:pt>
                <c:pt idx="356">
                  <c:v>0.31925948094786516</c:v>
                </c:pt>
                <c:pt idx="357">
                  <c:v>0.31932285961842638</c:v>
                </c:pt>
                <c:pt idx="358">
                  <c:v>0.31938557148629609</c:v>
                </c:pt>
                <c:pt idx="359">
                  <c:v>0.31944759744883189</c:v>
                </c:pt>
                <c:pt idx="360">
                  <c:v>0.31950891861232472</c:v>
                </c:pt>
                <c:pt idx="361">
                  <c:v>0.31956951629775415</c:v>
                </c:pt>
              </c:numCache>
            </c:numRef>
          </c:xVal>
          <c:yVal>
            <c:numRef>
              <c:f>RBTC!$AA$2:$AA$363</c:f>
              <c:numCache>
                <c:formatCode>0.0000_ </c:formatCode>
                <c:ptCount val="362"/>
                <c:pt idx="0">
                  <c:v>0.32194061443510574</c:v>
                </c:pt>
                <c:pt idx="1">
                  <c:v>0.32203938290021306</c:v>
                </c:pt>
                <c:pt idx="2">
                  <c:v>0.32213857473620222</c:v>
                </c:pt>
                <c:pt idx="3">
                  <c:v>0.32223815972827896</c:v>
                </c:pt>
                <c:pt idx="4">
                  <c:v>0.32233810754189013</c:v>
                </c:pt>
                <c:pt idx="5">
                  <c:v>0.32243838773196337</c:v>
                </c:pt>
                <c:pt idx="6">
                  <c:v>0.32253896975218144</c:v>
                </c:pt>
                <c:pt idx="7">
                  <c:v>0.32263982296428662</c:v>
                </c:pt>
                <c:pt idx="8">
                  <c:v>0.32274091664741339</c:v>
                </c:pt>
                <c:pt idx="9">
                  <c:v>0.32284222000744672</c:v>
                </c:pt>
                <c:pt idx="10">
                  <c:v>0.32294370218640167</c:v>
                </c:pt>
                <c:pt idx="11">
                  <c:v>0.32304533227182353</c:v>
                </c:pt>
                <c:pt idx="12">
                  <c:v>0.32314707930620373</c:v>
                </c:pt>
                <c:pt idx="13">
                  <c:v>0.32324891229640995</c:v>
                </c:pt>
                <c:pt idx="14">
                  <c:v>0.32335080022312696</c:v>
                </c:pt>
                <c:pt idx="15">
                  <c:v>0.32345271205030518</c:v>
                </c:pt>
                <c:pt idx="16">
                  <c:v>0.32355461673461483</c:v>
                </c:pt>
                <c:pt idx="17">
                  <c:v>0.32365648323490193</c:v>
                </c:pt>
                <c:pt idx="18">
                  <c:v>0.32375828052164363</c:v>
                </c:pt>
                <c:pt idx="19">
                  <c:v>0.32385997758640034</c:v>
                </c:pt>
                <c:pt idx="20">
                  <c:v>0.32396154345126094</c:v>
                </c:pt>
                <c:pt idx="21">
                  <c:v>0.32406294717827905</c:v>
                </c:pt>
                <c:pt idx="22">
                  <c:v>0.32416415787889719</c:v>
                </c:pt>
                <c:pt idx="23">
                  <c:v>0.32426514472335544</c:v>
                </c:pt>
                <c:pt idx="24">
                  <c:v>0.32436587695008268</c:v>
                </c:pt>
                <c:pt idx="25">
                  <c:v>0.32446632387506691</c:v>
                </c:pt>
                <c:pt idx="26">
                  <c:v>0.32456645490120167</c:v>
                </c:pt>
                <c:pt idx="27">
                  <c:v>0.32466623952760643</c:v>
                </c:pt>
                <c:pt idx="28">
                  <c:v>0.32476564735891733</c:v>
                </c:pt>
                <c:pt idx="29">
                  <c:v>0.32486464811454602</c:v>
                </c:pt>
                <c:pt idx="30">
                  <c:v>0.3249632116379032</c:v>
                </c:pt>
                <c:pt idx="31">
                  <c:v>0.32506130790558496</c:v>
                </c:pt>
                <c:pt idx="32">
                  <c:v>0.32515890703651779</c:v>
                </c:pt>
                <c:pt idx="33">
                  <c:v>0.32525597930106098</c:v>
                </c:pt>
                <c:pt idx="34">
                  <c:v>0.32535249513006242</c:v>
                </c:pt>
                <c:pt idx="35">
                  <c:v>0.32544842512386563</c:v>
                </c:pt>
                <c:pt idx="36">
                  <c:v>0.32554374006126513</c:v>
                </c:pt>
                <c:pt idx="37">
                  <c:v>0.32563841090840767</c:v>
                </c:pt>
                <c:pt idx="38">
                  <c:v>0.32573240882763621</c:v>
                </c:pt>
                <c:pt idx="39">
                  <c:v>0.32582570518627385</c:v>
                </c:pt>
                <c:pt idx="40">
                  <c:v>0.32591827156534603</c:v>
                </c:pt>
                <c:pt idx="41">
                  <c:v>0.32601007976823693</c:v>
                </c:pt>
                <c:pt idx="42">
                  <c:v>0.32610110182927865</c:v>
                </c:pt>
                <c:pt idx="43">
                  <c:v>0.32619131002226964</c:v>
                </c:pt>
                <c:pt idx="44">
                  <c:v>-5.570737199189546E-3</c:v>
                </c:pt>
                <c:pt idx="45">
                  <c:v>0.32628067686892037</c:v>
                </c:pt>
                <c:pt idx="46">
                  <c:v>0.32636917514722369</c:v>
                </c:pt>
                <c:pt idx="47">
                  <c:v>0.32645677789974675</c:v>
                </c:pt>
                <c:pt idx="48">
                  <c:v>0.32654345844184246</c:v>
                </c:pt>
                <c:pt idx="49">
                  <c:v>0.32662919036977806</c:v>
                </c:pt>
                <c:pt idx="50">
                  <c:v>0.3267139475687777</c:v>
                </c:pt>
                <c:pt idx="51">
                  <c:v>0.32679770422097759</c:v>
                </c:pt>
                <c:pt idx="52">
                  <c:v>0.3268804348132901</c:v>
                </c:pt>
                <c:pt idx="53">
                  <c:v>0.32696211414517529</c:v>
                </c:pt>
                <c:pt idx="54">
                  <c:v>0.32704271733631751</c:v>
                </c:pt>
                <c:pt idx="55">
                  <c:v>0.32712221983420392</c:v>
                </c:pt>
                <c:pt idx="56">
                  <c:v>0.32720059742160346</c:v>
                </c:pt>
                <c:pt idx="57">
                  <c:v>0.3272778262239438</c:v>
                </c:pt>
                <c:pt idx="58">
                  <c:v>0.32735388271658356</c:v>
                </c:pt>
                <c:pt idx="59">
                  <c:v>0.32742874373197833</c:v>
                </c:pt>
                <c:pt idx="60">
                  <c:v>0.32750238646673763</c:v>
                </c:pt>
                <c:pt idx="61">
                  <c:v>0.32757478848857102</c:v>
                </c:pt>
                <c:pt idx="62">
                  <c:v>0.32764592774312135</c:v>
                </c:pt>
                <c:pt idx="63">
                  <c:v>0.32771578256068246</c:v>
                </c:pt>
                <c:pt idx="64">
                  <c:v>0.3277843316628003</c:v>
                </c:pt>
                <c:pt idx="65">
                  <c:v>0.32785155416875428</c:v>
                </c:pt>
                <c:pt idx="66">
                  <c:v>0.32791742960191783</c:v>
                </c:pt>
                <c:pt idx="67">
                  <c:v>0.327981937895996</c:v>
                </c:pt>
                <c:pt idx="68">
                  <c:v>0.32804505940113737</c:v>
                </c:pt>
                <c:pt idx="69">
                  <c:v>0.32810677488992007</c:v>
                </c:pt>
                <c:pt idx="70">
                  <c:v>0.32816706556320835</c:v>
                </c:pt>
                <c:pt idx="71">
                  <c:v>0.32822591305587906</c:v>
                </c:pt>
                <c:pt idx="72">
                  <c:v>0.32828329944241585</c:v>
                </c:pt>
                <c:pt idx="73">
                  <c:v>0.32833920724236959</c:v>
                </c:pt>
                <c:pt idx="74">
                  <c:v>0.32839361942568268</c:v>
                </c:pt>
                <c:pt idx="75">
                  <c:v>0.328446519417877</c:v>
                </c:pt>
                <c:pt idx="76">
                  <c:v>0.32849789110510258</c:v>
                </c:pt>
                <c:pt idx="77">
                  <c:v>0.32854771883904571</c:v>
                </c:pt>
                <c:pt idx="78">
                  <c:v>0.32859598744169599</c:v>
                </c:pt>
                <c:pt idx="79">
                  <c:v>0.32864268220996951</c:v>
                </c:pt>
                <c:pt idx="80">
                  <c:v>0.32868778892018746</c:v>
                </c:pt>
                <c:pt idx="81">
                  <c:v>0.32873129383240896</c:v>
                </c:pt>
                <c:pt idx="82">
                  <c:v>0.32877318369461633</c:v>
                </c:pt>
                <c:pt idx="83">
                  <c:v>0.3288134457467517</c:v>
                </c:pt>
                <c:pt idx="84">
                  <c:v>0.32885206772460396</c:v>
                </c:pt>
                <c:pt idx="85">
                  <c:v>0.32888903786354456</c:v>
                </c:pt>
                <c:pt idx="86">
                  <c:v>0.32892434490211103</c:v>
                </c:pt>
                <c:pt idx="87">
                  <c:v>0.32895797808543736</c:v>
                </c:pt>
                <c:pt idx="88">
                  <c:v>0.32898992716853015</c:v>
                </c:pt>
                <c:pt idx="89">
                  <c:v>0.32902018241938918</c:v>
                </c:pt>
                <c:pt idx="90">
                  <c:v>0.32904873462197193</c:v>
                </c:pt>
                <c:pt idx="91">
                  <c:v>0.32907557507900093</c:v>
                </c:pt>
                <c:pt idx="92">
                  <c:v>0.32910069561461291</c:v>
                </c:pt>
                <c:pt idx="93">
                  <c:v>0.32912408857684938</c:v>
                </c:pt>
                <c:pt idx="94">
                  <c:v>0.32914574683998749</c:v>
                </c:pt>
                <c:pt idx="95">
                  <c:v>0.32916566380671042</c:v>
                </c:pt>
                <c:pt idx="96">
                  <c:v>0.3291838334101172</c:v>
                </c:pt>
                <c:pt idx="97">
                  <c:v>0.32920025011557058</c:v>
                </c:pt>
                <c:pt idx="98">
                  <c:v>0.32921490892238314</c:v>
                </c:pt>
                <c:pt idx="99">
                  <c:v>0.32922780536534019</c:v>
                </c:pt>
                <c:pt idx="100">
                  <c:v>0.32923893551606037</c:v>
                </c:pt>
                <c:pt idx="101">
                  <c:v>0.32924829598419192</c:v>
                </c:pt>
                <c:pt idx="102">
                  <c:v>0.32925588391844557</c:v>
                </c:pt>
                <c:pt idx="103">
                  <c:v>0.32926169700746305</c:v>
                </c:pt>
                <c:pt idx="104">
                  <c:v>0.32926573348052113</c:v>
                </c:pt>
                <c:pt idx="105">
                  <c:v>0.32926799210807095</c:v>
                </c:pt>
                <c:pt idx="106">
                  <c:v>0.32926847220211281</c:v>
                </c:pt>
                <c:pt idx="107">
                  <c:v>0.32926717361640534</c:v>
                </c:pt>
                <c:pt idx="108">
                  <c:v>0.32926409674651025</c:v>
                </c:pt>
                <c:pt idx="109">
                  <c:v>0.32925924252967209</c:v>
                </c:pt>
                <c:pt idx="110">
                  <c:v>0.32925261244453219</c:v>
                </c:pt>
                <c:pt idx="111">
                  <c:v>0.32924420851067876</c:v>
                </c:pt>
                <c:pt idx="112">
                  <c:v>0.32923403328803147</c:v>
                </c:pt>
                <c:pt idx="113">
                  <c:v>0.32922208987606166</c:v>
                </c:pt>
                <c:pt idx="114">
                  <c:v>0.3292083819128484</c:v>
                </c:pt>
                <c:pt idx="115">
                  <c:v>0.32919291357397001</c:v>
                </c:pt>
                <c:pt idx="116">
                  <c:v>0.32917568957123239</c:v>
                </c:pt>
                <c:pt idx="117">
                  <c:v>0.32915671515123357</c:v>
                </c:pt>
                <c:pt idx="118">
                  <c:v>0.32913599609376576</c:v>
                </c:pt>
                <c:pt idx="119">
                  <c:v>0.32911353871005455</c:v>
                </c:pt>
                <c:pt idx="120">
                  <c:v>0.3290893498408366</c:v>
                </c:pt>
                <c:pt idx="121">
                  <c:v>0.32906343685427575</c:v>
                </c:pt>
                <c:pt idx="122">
                  <c:v>0.3290358076437187</c:v>
                </c:pt>
                <c:pt idx="123">
                  <c:v>0.32900647062529076</c:v>
                </c:pt>
                <c:pt idx="124">
                  <c:v>0.32897543473533181</c:v>
                </c:pt>
                <c:pt idx="125">
                  <c:v>0.32894270942767462</c:v>
                </c:pt>
                <c:pt idx="126">
                  <c:v>0.32890830467076493</c:v>
                </c:pt>
                <c:pt idx="127">
                  <c:v>0.32887223094462498</c:v>
                </c:pt>
                <c:pt idx="128">
                  <c:v>0.32883449923766123</c:v>
                </c:pt>
                <c:pt idx="129">
                  <c:v>0.3287951210433171</c:v>
                </c:pt>
                <c:pt idx="130">
                  <c:v>0.32875410835657209</c:v>
                </c:pt>
                <c:pt idx="131">
                  <c:v>0.3287114736702878</c:v>
                </c:pt>
                <c:pt idx="132">
                  <c:v>0.3286672299714028</c:v>
                </c:pt>
                <c:pt idx="133">
                  <c:v>0.32862139073697627</c:v>
                </c:pt>
                <c:pt idx="134">
                  <c:v>0.32857396993008314</c:v>
                </c:pt>
                <c:pt idx="135">
                  <c:v>0.32852498199556057</c:v>
                </c:pt>
                <c:pt idx="136">
                  <c:v>0.32847444185560787</c:v>
                </c:pt>
                <c:pt idx="137">
                  <c:v>0.32842236490524135</c:v>
                </c:pt>
                <c:pt idx="138">
                  <c:v>0.32836876700760459</c:v>
                </c:pt>
                <c:pt idx="139">
                  <c:v>0.32831366448913635</c:v>
                </c:pt>
                <c:pt idx="140">
                  <c:v>0.32825707413459759</c:v>
                </c:pt>
                <c:pt idx="141">
                  <c:v>0.32819901318195849</c:v>
                </c:pt>
                <c:pt idx="142">
                  <c:v>0.3281394993171477</c:v>
                </c:pt>
                <c:pt idx="143">
                  <c:v>0.32807855066866498</c:v>
                </c:pt>
                <c:pt idx="144">
                  <c:v>0.32801618580205899</c:v>
                </c:pt>
                <c:pt idx="145">
                  <c:v>0.32795242371427236</c:v>
                </c:pt>
                <c:pt idx="146">
                  <c:v>0.32788728382785459</c:v>
                </c:pt>
                <c:pt idx="147">
                  <c:v>0.32782078598504616</c:v>
                </c:pt>
                <c:pt idx="148">
                  <c:v>0.32775295044173419</c:v>
                </c:pt>
                <c:pt idx="149">
                  <c:v>0.32768379786128232</c:v>
                </c:pt>
                <c:pt idx="150">
                  <c:v>0.32761334930823638</c:v>
                </c:pt>
                <c:pt idx="151">
                  <c:v>0.32754162624190819</c:v>
                </c:pt>
                <c:pt idx="152">
                  <c:v>0.32746865050983842</c:v>
                </c:pt>
                <c:pt idx="153">
                  <c:v>0.32739444434114207</c:v>
                </c:pt>
                <c:pt idx="154">
                  <c:v>0.32731903033973697</c:v>
                </c:pt>
                <c:pt idx="155">
                  <c:v>0.32724243147745846</c:v>
                </c:pt>
                <c:pt idx="156">
                  <c:v>0.32716467108706204</c:v>
                </c:pt>
                <c:pt idx="157">
                  <c:v>0.32708577285511597</c:v>
                </c:pt>
                <c:pt idx="158">
                  <c:v>0.32700576081478588</c:v>
                </c:pt>
                <c:pt idx="159">
                  <c:v>0.3269246593385145</c:v>
                </c:pt>
                <c:pt idx="160">
                  <c:v>0.32684249313059699</c:v>
                </c:pt>
                <c:pt idx="161">
                  <c:v>0.32675928721965636</c:v>
                </c:pt>
                <c:pt idx="162">
                  <c:v>0.32667506695101911</c:v>
                </c:pt>
                <c:pt idx="163">
                  <c:v>0.32658985797899487</c:v>
                </c:pt>
                <c:pt idx="164">
                  <c:v>0.32650368625906195</c:v>
                </c:pt>
                <c:pt idx="165">
                  <c:v>0.32641657803996105</c:v>
                </c:pt>
                <c:pt idx="166">
                  <c:v>0.32632855985569958</c:v>
                </c:pt>
                <c:pt idx="167">
                  <c:v>0.326239658517469</c:v>
                </c:pt>
                <c:pt idx="168">
                  <c:v>0.32614990110547826</c:v>
                </c:pt>
                <c:pt idx="169">
                  <c:v>0.3260593149607045</c:v>
                </c:pt>
                <c:pt idx="170">
                  <c:v>0.32596792767656491</c:v>
                </c:pt>
                <c:pt idx="171">
                  <c:v>0.32587576709051164</c:v>
                </c:pt>
                <c:pt idx="172">
                  <c:v>0.32578286127555184</c:v>
                </c:pt>
                <c:pt idx="173">
                  <c:v>0.32568923853169685</c:v>
                </c:pt>
                <c:pt idx="174">
                  <c:v>0.3255949273773413</c:v>
                </c:pt>
                <c:pt idx="175">
                  <c:v>0.32549995654057656</c:v>
                </c:pt>
                <c:pt idx="176">
                  <c:v>0.32540435495043935</c:v>
                </c:pt>
                <c:pt idx="177">
                  <c:v>0.32530815172810024</c:v>
                </c:pt>
                <c:pt idx="178">
                  <c:v>0.32521137617799273</c:v>
                </c:pt>
                <c:pt idx="179">
                  <c:v>0.32511405777888674</c:v>
                </c:pt>
                <c:pt idx="180">
                  <c:v>0.32501622617490944</c:v>
                </c:pt>
                <c:pt idx="181">
                  <c:v>0.32491791116651519</c:v>
                </c:pt>
                <c:pt idx="182">
                  <c:v>0.32481914270140788</c:v>
                </c:pt>
                <c:pt idx="183">
                  <c:v>0.32471995086541872</c:v>
                </c:pt>
                <c:pt idx="184">
                  <c:v>0.32462036587334198</c:v>
                </c:pt>
                <c:pt idx="185">
                  <c:v>0.32452041805973081</c:v>
                </c:pt>
                <c:pt idx="186">
                  <c:v>0.32442013786965757</c:v>
                </c:pt>
                <c:pt idx="187">
                  <c:v>0.3243195558494395</c:v>
                </c:pt>
                <c:pt idx="188">
                  <c:v>0.32421870263733432</c:v>
                </c:pt>
                <c:pt idx="189">
                  <c:v>0.32411760895420755</c:v>
                </c:pt>
                <c:pt idx="190">
                  <c:v>0.32401630559417421</c:v>
                </c:pt>
                <c:pt idx="191">
                  <c:v>0.32391482341521927</c:v>
                </c:pt>
                <c:pt idx="192">
                  <c:v>0.32381319332979741</c:v>
                </c:pt>
                <c:pt idx="193">
                  <c:v>0.3237114462954172</c:v>
                </c:pt>
                <c:pt idx="194">
                  <c:v>0.32360961330521099</c:v>
                </c:pt>
                <c:pt idx="195">
                  <c:v>0.32350772537849398</c:v>
                </c:pt>
                <c:pt idx="196">
                  <c:v>0.32340581355131576</c:v>
                </c:pt>
                <c:pt idx="197">
                  <c:v>0.32330390886700611</c:v>
                </c:pt>
                <c:pt idx="198">
                  <c:v>0.32320204236671901</c:v>
                </c:pt>
                <c:pt idx="199">
                  <c:v>0.32310024507997731</c:v>
                </c:pt>
                <c:pt idx="200">
                  <c:v>0.3229985480152206</c:v>
                </c:pt>
                <c:pt idx="201">
                  <c:v>0.32289698215036</c:v>
                </c:pt>
                <c:pt idx="202">
                  <c:v>0.32279557842334189</c:v>
                </c:pt>
                <c:pt idx="203">
                  <c:v>0.32269436772272375</c:v>
                </c:pt>
                <c:pt idx="204">
                  <c:v>0.3225933808782655</c:v>
                </c:pt>
                <c:pt idx="205">
                  <c:v>0.32249264865153826</c:v>
                </c:pt>
                <c:pt idx="206">
                  <c:v>0.32239220172655403</c:v>
                </c:pt>
                <c:pt idx="207">
                  <c:v>0.32229207070041926</c:v>
                </c:pt>
                <c:pt idx="208">
                  <c:v>0.32219228607401451</c:v>
                </c:pt>
                <c:pt idx="209">
                  <c:v>0.32209287824270361</c:v>
                </c:pt>
                <c:pt idx="210">
                  <c:v>0.32199387748707492</c:v>
                </c:pt>
                <c:pt idx="211">
                  <c:v>0.32189531396371773</c:v>
                </c:pt>
                <c:pt idx="212">
                  <c:v>0.32179721769603598</c:v>
                </c:pt>
                <c:pt idx="213">
                  <c:v>0.32169961856510315</c:v>
                </c:pt>
                <c:pt idx="214">
                  <c:v>0.32160254630055995</c:v>
                </c:pt>
                <c:pt idx="215">
                  <c:v>0.32150603047155851</c:v>
                </c:pt>
                <c:pt idx="216">
                  <c:v>0.32141010047775531</c:v>
                </c:pt>
                <c:pt idx="217">
                  <c:v>0.32131478554035581</c:v>
                </c:pt>
                <c:pt idx="218">
                  <c:v>0.32122011469321327</c:v>
                </c:pt>
                <c:pt idx="219">
                  <c:v>0.32112611677398478</c:v>
                </c:pt>
                <c:pt idx="220">
                  <c:v>0.32103282041534709</c:v>
                </c:pt>
                <c:pt idx="221">
                  <c:v>0.32094025403627491</c:v>
                </c:pt>
                <c:pt idx="222">
                  <c:v>0.32084844583338401</c:v>
                </c:pt>
                <c:pt idx="223">
                  <c:v>0.32075742377234229</c:v>
                </c:pt>
                <c:pt idx="224">
                  <c:v>0.32066721557935129</c:v>
                </c:pt>
                <c:pt idx="225">
                  <c:v>0.32057784873270057</c:v>
                </c:pt>
                <c:pt idx="226">
                  <c:v>0.32048935045439725</c:v>
                </c:pt>
                <c:pt idx="227">
                  <c:v>0.32040174770187418</c:v>
                </c:pt>
                <c:pt idx="228">
                  <c:v>0.32031506715977848</c:v>
                </c:pt>
                <c:pt idx="229">
                  <c:v>0.32022933523184288</c:v>
                </c:pt>
                <c:pt idx="230">
                  <c:v>0.32014457803284324</c:v>
                </c:pt>
                <c:pt idx="231">
                  <c:v>0.32006082138064335</c:v>
                </c:pt>
                <c:pt idx="232">
                  <c:v>0.31997809078833084</c:v>
                </c:pt>
                <c:pt idx="233">
                  <c:v>0.31989641145644565</c:v>
                </c:pt>
                <c:pt idx="234">
                  <c:v>0.31981580826530337</c:v>
                </c:pt>
                <c:pt idx="235">
                  <c:v>0.31973630576741702</c:v>
                </c:pt>
                <c:pt idx="236">
                  <c:v>0.31965792818001748</c:v>
                </c:pt>
                <c:pt idx="237">
                  <c:v>0.31958069937767714</c:v>
                </c:pt>
                <c:pt idx="238">
                  <c:v>0.31950464288503738</c:v>
                </c:pt>
                <c:pt idx="239">
                  <c:v>0.3194297818696426</c:v>
                </c:pt>
                <c:pt idx="240">
                  <c:v>0.31935613913488331</c:v>
                </c:pt>
                <c:pt idx="241">
                  <c:v>0.31928373711304991</c:v>
                </c:pt>
                <c:pt idx="242">
                  <c:v>0.31921259785849959</c:v>
                </c:pt>
                <c:pt idx="243">
                  <c:v>0.31914274304093848</c:v>
                </c:pt>
                <c:pt idx="244">
                  <c:v>0.31907419393882064</c:v>
                </c:pt>
                <c:pt idx="245">
                  <c:v>0.31900697143286666</c:v>
                </c:pt>
                <c:pt idx="246">
                  <c:v>0.31894109599970311</c:v>
                </c:pt>
                <c:pt idx="247">
                  <c:v>0.31887658770562494</c:v>
                </c:pt>
                <c:pt idx="248">
                  <c:v>0.31881346620048356</c:v>
                </c:pt>
                <c:pt idx="249">
                  <c:v>0.31875175071170087</c:v>
                </c:pt>
                <c:pt idx="250">
                  <c:v>0.31869146003841259</c:v>
                </c:pt>
                <c:pt idx="251">
                  <c:v>0.31863261254574188</c:v>
                </c:pt>
                <c:pt idx="252">
                  <c:v>0.31857522615920508</c:v>
                </c:pt>
                <c:pt idx="253">
                  <c:v>0.31851931835925135</c:v>
                </c:pt>
                <c:pt idx="254">
                  <c:v>0.31846490617593826</c:v>
                </c:pt>
                <c:pt idx="255">
                  <c:v>0.31841200618374393</c:v>
                </c:pt>
                <c:pt idx="256">
                  <c:v>0.31836063449651836</c:v>
                </c:pt>
                <c:pt idx="257">
                  <c:v>0.31831080676257523</c:v>
                </c:pt>
                <c:pt idx="258">
                  <c:v>0.31826253815992495</c:v>
                </c:pt>
                <c:pt idx="259">
                  <c:v>0.31821584339165143</c:v>
                </c:pt>
                <c:pt idx="260">
                  <c:v>0.31817073668143347</c:v>
                </c:pt>
                <c:pt idx="261">
                  <c:v>0.31812723176921198</c:v>
                </c:pt>
                <c:pt idx="262">
                  <c:v>0.3180853419070046</c:v>
                </c:pt>
                <c:pt idx="263">
                  <c:v>0.31804507985486924</c:v>
                </c:pt>
                <c:pt idx="264">
                  <c:v>0.31800645787701698</c:v>
                </c:pt>
                <c:pt idx="265">
                  <c:v>0.31796948773807637</c:v>
                </c:pt>
                <c:pt idx="266">
                  <c:v>0.31793418069950991</c:v>
                </c:pt>
                <c:pt idx="267">
                  <c:v>0.31790054751618357</c:v>
                </c:pt>
                <c:pt idx="268">
                  <c:v>0.31786859843309079</c:v>
                </c:pt>
                <c:pt idx="269">
                  <c:v>0.31783834318223175</c:v>
                </c:pt>
                <c:pt idx="270">
                  <c:v>0.31780979097964901</c:v>
                </c:pt>
                <c:pt idx="271">
                  <c:v>0.31778295052262001</c:v>
                </c:pt>
                <c:pt idx="272">
                  <c:v>0.31775782998700802</c:v>
                </c:pt>
                <c:pt idx="273">
                  <c:v>0.31773443702477155</c:v>
                </c:pt>
                <c:pt idx="274">
                  <c:v>0.31771277876163345</c:v>
                </c:pt>
                <c:pt idx="275">
                  <c:v>0.31769286179491052</c:v>
                </c:pt>
                <c:pt idx="276">
                  <c:v>0.31767469219150374</c:v>
                </c:pt>
                <c:pt idx="277">
                  <c:v>0.31765827548605036</c:v>
                </c:pt>
                <c:pt idx="278">
                  <c:v>0.31764361667923779</c:v>
                </c:pt>
                <c:pt idx="279">
                  <c:v>0.31763072023628075</c:v>
                </c:pt>
                <c:pt idx="280">
                  <c:v>0.31761959008556057</c:v>
                </c:pt>
                <c:pt idx="281">
                  <c:v>0.31761022961742902</c:v>
                </c:pt>
                <c:pt idx="282">
                  <c:v>0.31760264168317537</c:v>
                </c:pt>
                <c:pt idx="283">
                  <c:v>0.31759682859415789</c:v>
                </c:pt>
                <c:pt idx="284">
                  <c:v>0.31759279212109981</c:v>
                </c:pt>
                <c:pt idx="285">
                  <c:v>0.31759053349354999</c:v>
                </c:pt>
                <c:pt idx="286">
                  <c:v>0.31759005339950813</c:v>
                </c:pt>
                <c:pt idx="287">
                  <c:v>0.3175913519852156</c:v>
                </c:pt>
                <c:pt idx="288">
                  <c:v>0.31759442885511069</c:v>
                </c:pt>
                <c:pt idx="289">
                  <c:v>0.31759928307194885</c:v>
                </c:pt>
                <c:pt idx="290">
                  <c:v>0.31760591315708875</c:v>
                </c:pt>
                <c:pt idx="291">
                  <c:v>0.31761431709094218</c:v>
                </c:pt>
                <c:pt idx="292">
                  <c:v>0.31762449231358947</c:v>
                </c:pt>
                <c:pt idx="293">
                  <c:v>0.31763643572555927</c:v>
                </c:pt>
                <c:pt idx="294">
                  <c:v>0.31765014368877253</c:v>
                </c:pt>
                <c:pt idx="295">
                  <c:v>0.31766561202765092</c:v>
                </c:pt>
                <c:pt idx="296">
                  <c:v>0.31768283603038855</c:v>
                </c:pt>
                <c:pt idx="297">
                  <c:v>0.31770181045038737</c:v>
                </c:pt>
                <c:pt idx="298">
                  <c:v>0.31772252950785518</c:v>
                </c:pt>
                <c:pt idx="299">
                  <c:v>0.31774498689156633</c:v>
                </c:pt>
                <c:pt idx="300">
                  <c:v>0.31776917576078434</c:v>
                </c:pt>
                <c:pt idx="301">
                  <c:v>0.31779508874734519</c:v>
                </c:pt>
                <c:pt idx="302">
                  <c:v>0.31782271795790223</c:v>
                </c:pt>
                <c:pt idx="303">
                  <c:v>0.31785205497633018</c:v>
                </c:pt>
                <c:pt idx="304">
                  <c:v>0.31788309086628913</c:v>
                </c:pt>
                <c:pt idx="305">
                  <c:v>0.31791581617394632</c:v>
                </c:pt>
                <c:pt idx="306">
                  <c:v>0.31795022093085601</c:v>
                </c:pt>
                <c:pt idx="307">
                  <c:v>0.31798629465699596</c:v>
                </c:pt>
                <c:pt idx="308">
                  <c:v>0.31802402636395971</c:v>
                </c:pt>
                <c:pt idx="309">
                  <c:v>0.31806340455830384</c:v>
                </c:pt>
                <c:pt idx="310">
                  <c:v>0.31810441724504884</c:v>
                </c:pt>
                <c:pt idx="311">
                  <c:v>0.31814705193133314</c:v>
                </c:pt>
                <c:pt idx="312">
                  <c:v>0.31819129563021814</c:v>
                </c:pt>
                <c:pt idx="313">
                  <c:v>0.31823713486464467</c:v>
                </c:pt>
                <c:pt idx="314">
                  <c:v>0.31828455567153779</c:v>
                </c:pt>
                <c:pt idx="315">
                  <c:v>0.31833354360606037</c:v>
                </c:pt>
                <c:pt idx="316">
                  <c:v>0.31838408374601307</c:v>
                </c:pt>
                <c:pt idx="317">
                  <c:v>0.31843616069637959</c:v>
                </c:pt>
                <c:pt idx="318">
                  <c:v>0.31848975859401635</c:v>
                </c:pt>
                <c:pt idx="319">
                  <c:v>0.31854486111248459</c:v>
                </c:pt>
                <c:pt idx="320">
                  <c:v>0.31860145146702334</c:v>
                </c:pt>
                <c:pt idx="321">
                  <c:v>0.31865951241966245</c:v>
                </c:pt>
                <c:pt idx="322">
                  <c:v>0.31871902628447324</c:v>
                </c:pt>
                <c:pt idx="323">
                  <c:v>0.31877997493295596</c:v>
                </c:pt>
                <c:pt idx="324">
                  <c:v>0.31884233979956195</c:v>
                </c:pt>
                <c:pt idx="325">
                  <c:v>0.31890610188734858</c:v>
                </c:pt>
                <c:pt idx="326">
                  <c:v>0.31897124177376635</c:v>
                </c:pt>
                <c:pt idx="327">
                  <c:v>0.31903773961657478</c:v>
                </c:pt>
                <c:pt idx="328">
                  <c:v>0.31910557515988675</c:v>
                </c:pt>
                <c:pt idx="329">
                  <c:v>0.31917472774033862</c:v>
                </c:pt>
                <c:pt idx="330">
                  <c:v>0.31924517629338456</c:v>
                </c:pt>
                <c:pt idx="331">
                  <c:v>0.31931689935971275</c:v>
                </c:pt>
                <c:pt idx="332">
                  <c:v>0.31938987509178252</c:v>
                </c:pt>
                <c:pt idx="333">
                  <c:v>0.31946408126047887</c:v>
                </c:pt>
                <c:pt idx="334">
                  <c:v>0.31953949526188397</c:v>
                </c:pt>
                <c:pt idx="335">
                  <c:v>0.31961609412416248</c:v>
                </c:pt>
                <c:pt idx="336">
                  <c:v>0.3196938545145589</c:v>
                </c:pt>
                <c:pt idx="337">
                  <c:v>0.31977275274650496</c:v>
                </c:pt>
                <c:pt idx="338">
                  <c:v>0.31985276478683505</c:v>
                </c:pt>
                <c:pt idx="339">
                  <c:v>0.31993386626310644</c:v>
                </c:pt>
                <c:pt idx="340">
                  <c:v>0.32001603247102395</c:v>
                </c:pt>
                <c:pt idx="341">
                  <c:v>0.32009923838196458</c:v>
                </c:pt>
                <c:pt idx="342">
                  <c:v>0.32018345865060183</c:v>
                </c:pt>
                <c:pt idx="343">
                  <c:v>0.32026866762262607</c:v>
                </c:pt>
                <c:pt idx="344">
                  <c:v>0.32035483934255898</c:v>
                </c:pt>
                <c:pt idx="345">
                  <c:v>0.32044194756165989</c:v>
                </c:pt>
                <c:pt idx="346">
                  <c:v>0.32052996574592135</c:v>
                </c:pt>
                <c:pt idx="347">
                  <c:v>0.32061886708415194</c:v>
                </c:pt>
                <c:pt idx="348">
                  <c:v>0.32070862449614268</c:v>
                </c:pt>
                <c:pt idx="349">
                  <c:v>0.32079921064091643</c:v>
                </c:pt>
                <c:pt idx="350">
                  <c:v>0.32089059792505603</c:v>
                </c:pt>
                <c:pt idx="351">
                  <c:v>0.3209827585111093</c:v>
                </c:pt>
                <c:pt idx="352">
                  <c:v>0.3210756643260691</c:v>
                </c:pt>
                <c:pt idx="353">
                  <c:v>0.32116928706992409</c:v>
                </c:pt>
                <c:pt idx="354">
                  <c:v>0.32126359822427963</c:v>
                </c:pt>
                <c:pt idx="355">
                  <c:v>0.32135856906104437</c:v>
                </c:pt>
                <c:pt idx="356">
                  <c:v>0.32145417065118159</c:v>
                </c:pt>
                <c:pt idx="357">
                  <c:v>0.3215503738735207</c:v>
                </c:pt>
                <c:pt idx="358">
                  <c:v>0.32164714942362821</c:v>
                </c:pt>
                <c:pt idx="359">
                  <c:v>0.32174446782273419</c:v>
                </c:pt>
                <c:pt idx="360">
                  <c:v>0.32184229942671144</c:v>
                </c:pt>
                <c:pt idx="361">
                  <c:v>0.32194061443510574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70-4AE0-9B5D-40FA8CD77609}"/>
            </c:ext>
          </c:extLst>
        </c:ser>
        <c:ser>
          <c:idx val="0"/>
          <c:order val="1"/>
          <c:tx>
            <c:v>-33</c:v>
          </c:tx>
          <c:spPr>
            <a:ln w="28575">
              <a:noFill/>
            </a:ln>
          </c:spPr>
          <c:xVal>
            <c:numRef>
              <c:f>RBTC!$V$258</c:f>
              <c:numCache>
                <c:formatCode>General</c:formatCode>
                <c:ptCount val="1"/>
                <c:pt idx="0">
                  <c:v>0.3148226926327754</c:v>
                </c:pt>
              </c:numCache>
            </c:numRef>
          </c:xVal>
          <c:yVal>
            <c:numRef>
              <c:f>RBTC!$W$258</c:f>
              <c:numCache>
                <c:formatCode>General</c:formatCode>
                <c:ptCount val="1"/>
                <c:pt idx="0">
                  <c:v>0.33116483033408156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70-4AE0-9B5D-40FA8CD77609}"/>
            </c:ext>
          </c:extLst>
        </c:ser>
        <c:ser>
          <c:idx val="1"/>
          <c:order val="2"/>
          <c:tx>
            <c:v>-18</c:v>
          </c:tx>
          <c:spPr>
            <a:ln w="28575">
              <a:noFill/>
            </a:ln>
          </c:spPr>
          <c:xVal>
            <c:numRef>
              <c:f>RBTC!$V$259</c:f>
              <c:numCache>
                <c:formatCode>General</c:formatCode>
                <c:ptCount val="1"/>
                <c:pt idx="0">
                  <c:v>0.31581721752168468</c:v>
                </c:pt>
              </c:numCache>
            </c:numRef>
          </c:xVal>
          <c:yVal>
            <c:numRef>
              <c:f>RBTC!$W$259</c:f>
              <c:numCache>
                <c:formatCode>General</c:formatCode>
                <c:ptCount val="1"/>
                <c:pt idx="0">
                  <c:v>0.33217909759739933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70-4AE0-9B5D-40FA8CD77609}"/>
            </c:ext>
          </c:extLst>
        </c:ser>
        <c:ser>
          <c:idx val="2"/>
          <c:order val="3"/>
          <c:tx>
            <c:v>-3</c:v>
          </c:tx>
          <c:spPr>
            <a:ln w="28575">
              <a:noFill/>
            </a:ln>
          </c:spPr>
          <c:xVal>
            <c:numRef>
              <c:f>RBTC!$V$260</c:f>
              <c:numCache>
                <c:formatCode>General</c:formatCode>
                <c:ptCount val="1"/>
                <c:pt idx="0">
                  <c:v>0.31544632746994794</c:v>
                </c:pt>
              </c:numCache>
            </c:numRef>
          </c:xVal>
          <c:yVal>
            <c:numRef>
              <c:f>RBTC!$W$260</c:f>
              <c:numCache>
                <c:formatCode>General</c:formatCode>
                <c:ptCount val="1"/>
                <c:pt idx="0">
                  <c:v>0.33180084498455681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70-4AE0-9B5D-40FA8CD77609}"/>
            </c:ext>
          </c:extLst>
        </c:ser>
        <c:ser>
          <c:idx val="3"/>
          <c:order val="4"/>
          <c:tx>
            <c:v>12</c:v>
          </c:tx>
          <c:spPr>
            <a:ln w="28575">
              <a:noFill/>
            </a:ln>
          </c:spPr>
          <c:xVal>
            <c:numRef>
              <c:f>RBTC!$V$261</c:f>
              <c:numCache>
                <c:formatCode>General</c:formatCode>
                <c:ptCount val="1"/>
                <c:pt idx="0">
                  <c:v>0.31501406094364559</c:v>
                </c:pt>
              </c:numCache>
            </c:numRef>
          </c:xVal>
          <c:yVal>
            <c:numRef>
              <c:f>RBTC!$W$261</c:f>
              <c:numCache>
                <c:formatCode>General</c:formatCode>
                <c:ptCount val="1"/>
                <c:pt idx="0">
                  <c:v>0.33135999750899747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70-4AE0-9B5D-40FA8CD77609}"/>
            </c:ext>
          </c:extLst>
        </c:ser>
        <c:ser>
          <c:idx val="5"/>
          <c:order val="5"/>
          <c:tx>
            <c:v>25</c:v>
          </c:tx>
          <c:spPr>
            <a:ln w="28575">
              <a:noFill/>
            </a:ln>
          </c:spPr>
          <c:xVal>
            <c:numRef>
              <c:f>RBTC!$V$262</c:f>
              <c:numCache>
                <c:formatCode>General</c:formatCode>
                <c:ptCount val="1"/>
                <c:pt idx="0">
                  <c:v>0.31452170734003837</c:v>
                </c:pt>
              </c:numCache>
            </c:numRef>
          </c:xVal>
          <c:yVal>
            <c:numRef>
              <c:f>RBTC!$W$262</c:f>
              <c:numCache>
                <c:formatCode>General</c:formatCode>
                <c:ptCount val="1"/>
                <c:pt idx="0">
                  <c:v>0.33085787016388613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270-4AE0-9B5D-40FA8CD77609}"/>
            </c:ext>
          </c:extLst>
        </c:ser>
        <c:ser>
          <c:idx val="6"/>
          <c:order val="6"/>
          <c:tx>
            <c:v>42</c:v>
          </c:tx>
          <c:spPr>
            <a:ln w="28575">
              <a:noFill/>
            </a:ln>
          </c:spPr>
          <c:xVal>
            <c:numRef>
              <c:f>RBTC!$V$263</c:f>
              <c:numCache>
                <c:formatCode>General</c:formatCode>
                <c:ptCount val="1"/>
                <c:pt idx="0">
                  <c:v>0.31398213038977524</c:v>
                </c:pt>
              </c:numCache>
            </c:numRef>
          </c:xVal>
          <c:yVal>
            <c:numRef>
              <c:f>RBTC!$W$263</c:f>
              <c:numCache>
                <c:formatCode>General</c:formatCode>
                <c:ptCount val="1"/>
                <c:pt idx="0">
                  <c:v>0.33030758203857541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270-4AE0-9B5D-40FA8CD77609}"/>
            </c:ext>
          </c:extLst>
        </c:ser>
        <c:ser>
          <c:idx val="7"/>
          <c:order val="7"/>
          <c:tx>
            <c:v>57</c:v>
          </c:tx>
          <c:spPr>
            <a:ln w="28575">
              <a:noFill/>
            </a:ln>
          </c:spPr>
          <c:xVal>
            <c:numRef>
              <c:f>RBTC!$V$264</c:f>
              <c:numCache>
                <c:formatCode>General</c:formatCode>
                <c:ptCount val="1"/>
                <c:pt idx="0">
                  <c:v>0.31337584072947233</c:v>
                </c:pt>
              </c:numCache>
            </c:numRef>
          </c:xVal>
          <c:yVal>
            <c:numRef>
              <c:f>RBTC!$W$264</c:f>
              <c:numCache>
                <c:formatCode>General</c:formatCode>
                <c:ptCount val="1"/>
                <c:pt idx="0">
                  <c:v>0.32968925688513678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270-4AE0-9B5D-40FA8CD77609}"/>
            </c:ext>
          </c:extLst>
        </c:ser>
        <c:ser>
          <c:idx val="8"/>
          <c:order val="8"/>
          <c:tx>
            <c:v>72</c:v>
          </c:tx>
          <c:spPr>
            <a:ln w="28575">
              <a:noFill/>
            </a:ln>
          </c:spPr>
          <c:xVal>
            <c:numRef>
              <c:f>RBTC!$V$265</c:f>
              <c:numCache>
                <c:formatCode>General</c:formatCode>
                <c:ptCount val="1"/>
                <c:pt idx="0">
                  <c:v>0.31273503176205003</c:v>
                </c:pt>
              </c:numCache>
            </c:numRef>
          </c:xVal>
          <c:yVal>
            <c:numRef>
              <c:f>RBTC!$W$265</c:f>
              <c:numCache>
                <c:formatCode>General</c:formatCode>
                <c:ptCount val="1"/>
                <c:pt idx="0">
                  <c:v>0.32903572717970159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270-4AE0-9B5D-40FA8CD77609}"/>
            </c:ext>
          </c:extLst>
        </c:ser>
        <c:ser>
          <c:idx val="9"/>
          <c:order val="9"/>
          <c:tx>
            <c:v>85</c:v>
          </c:tx>
          <c:spPr>
            <a:ln w="28575">
              <a:noFill/>
            </a:ln>
          </c:spPr>
          <c:xVal>
            <c:numRef>
              <c:f>RBTC!$V$266</c:f>
              <c:numCache>
                <c:formatCode>General</c:formatCode>
                <c:ptCount val="1"/>
                <c:pt idx="0">
                  <c:v>0.31202070293978457</c:v>
                </c:pt>
              </c:numCache>
            </c:numRef>
          </c:xVal>
          <c:yVal>
            <c:numRef>
              <c:f>RBTC!$W$266</c:f>
              <c:numCache>
                <c:formatCode>General</c:formatCode>
                <c:ptCount val="1"/>
                <c:pt idx="0">
                  <c:v>0.32830721817228725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270-4AE0-9B5D-40FA8CD77609}"/>
            </c:ext>
          </c:extLst>
        </c:ser>
        <c:ser>
          <c:idx val="10"/>
          <c:order val="10"/>
          <c:tx>
            <c:v>102</c:v>
          </c:tx>
          <c:spPr>
            <a:ln w="28575">
              <a:noFill/>
            </a:ln>
          </c:spPr>
          <c:xVal>
            <c:numRef>
              <c:f>RBTC!$V$267</c:f>
              <c:numCache>
                <c:formatCode>General</c:formatCode>
                <c:ptCount val="1"/>
                <c:pt idx="0">
                  <c:v>0.31128338214571644</c:v>
                </c:pt>
              </c:numCache>
            </c:numRef>
          </c:xVal>
          <c:yVal>
            <c:numRef>
              <c:f>RBTC!$W$267</c:f>
              <c:numCache>
                <c:formatCode>General</c:formatCode>
                <c:ptCount val="1"/>
                <c:pt idx="0">
                  <c:v>0.32755526077803132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270-4AE0-9B5D-40FA8CD77609}"/>
            </c:ext>
          </c:extLst>
        </c:ser>
        <c:ser>
          <c:idx val="11"/>
          <c:order val="11"/>
          <c:tx>
            <c:strRef>
              <c:f>RBTC!$X$268</c:f>
              <c:strCache>
                <c:ptCount val="1"/>
                <c:pt idx="0">
                  <c:v>106</c:v>
                </c:pt>
              </c:strCache>
            </c:strRef>
          </c:tx>
          <c:spPr>
            <a:ln w="28575">
              <a:noFill/>
            </a:ln>
          </c:spPr>
          <c:xVal>
            <c:numRef>
              <c:f>RBTC!$V$268</c:f>
              <c:numCache>
                <c:formatCode>General</c:formatCode>
                <c:ptCount val="1"/>
                <c:pt idx="0">
                  <c:v>0.31046554757831479</c:v>
                </c:pt>
              </c:numCache>
            </c:numRef>
          </c:xVal>
          <c:yVal>
            <c:numRef>
              <c:f>RBTC!$W$268</c:f>
              <c:numCache>
                <c:formatCode>General</c:formatCode>
                <c:ptCount val="1"/>
                <c:pt idx="0">
                  <c:v>0.32672119132660221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270-4AE0-9B5D-40FA8CD77609}"/>
            </c:ext>
          </c:extLst>
        </c:ser>
        <c:ser>
          <c:idx val="12"/>
          <c:order val="12"/>
          <c:tx>
            <c:strRef>
              <c:f>RBTC!$X$269</c:f>
              <c:strCache>
                <c:ptCount val="1"/>
                <c:pt idx="0">
                  <c:v>117</c:v>
                </c:pt>
              </c:strCache>
            </c:strRef>
          </c:tx>
          <c:spPr>
            <a:ln w="28575">
              <a:noFill/>
            </a:ln>
          </c:spPr>
          <c:xVal>
            <c:numRef>
              <c:f>RBTC!$V$269</c:f>
              <c:numCache>
                <c:formatCode>General</c:formatCode>
                <c:ptCount val="1"/>
                <c:pt idx="0">
                  <c:v>0.30963529076825208</c:v>
                </c:pt>
              </c:numCache>
            </c:numRef>
          </c:xVal>
          <c:yVal>
            <c:numRef>
              <c:f>RBTC!$W$269</c:f>
              <c:numCache>
                <c:formatCode>General</c:formatCode>
                <c:ptCount val="1"/>
                <c:pt idx="0">
                  <c:v>0.32587445303781315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270-4AE0-9B5D-40FA8CD77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23040"/>
        <c:axId val="205224960"/>
      </c:scatterChart>
      <c:valAx>
        <c:axId val="205223040"/>
        <c:scaling>
          <c:orientation val="minMax"/>
          <c:max val="0.33000000000000007"/>
          <c:min val="0.29400000000000004"/>
        </c:scaling>
        <c:delete val="0"/>
        <c:axPos val="b"/>
        <c:title>
          <c:overlay val="0"/>
        </c:title>
        <c:numFmt formatCode="0.0000_ " sourceLinked="1"/>
        <c:majorTickMark val="none"/>
        <c:minorTickMark val="none"/>
        <c:tickLblPos val="nextTo"/>
        <c:crossAx val="205224960"/>
        <c:crosses val="autoZero"/>
        <c:crossBetween val="midCat"/>
        <c:majorUnit val="2.0000000000000005E-3"/>
      </c:valAx>
      <c:valAx>
        <c:axId val="205224960"/>
        <c:scaling>
          <c:orientation val="minMax"/>
          <c:max val="0.35000000000000003"/>
          <c:min val="0.31000000000000005"/>
        </c:scaling>
        <c:delete val="0"/>
        <c:axPos val="l"/>
        <c:majorGridlines/>
        <c:title>
          <c:overlay val="0"/>
        </c:title>
        <c:numFmt formatCode="0.0000_ " sourceLinked="1"/>
        <c:majorTickMark val="none"/>
        <c:minorTickMark val="none"/>
        <c:tickLblPos val="nextTo"/>
        <c:crossAx val="205223040"/>
        <c:crosses val="autoZero"/>
        <c:crossBetween val="midCat"/>
        <c:majorUnit val="2.0000000000000005E-3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RBTC!$B$190:$B$201</c:f>
              <c:numCache>
                <c:formatCode>General</c:formatCode>
                <c:ptCount val="12"/>
                <c:pt idx="0">
                  <c:v>-10</c:v>
                </c:pt>
                <c:pt idx="1">
                  <c:v>2</c:v>
                </c:pt>
                <c:pt idx="2">
                  <c:v>14</c:v>
                </c:pt>
                <c:pt idx="3">
                  <c:v>25</c:v>
                </c:pt>
                <c:pt idx="4">
                  <c:v>37</c:v>
                </c:pt>
                <c:pt idx="5">
                  <c:v>48</c:v>
                </c:pt>
                <c:pt idx="6">
                  <c:v>60</c:v>
                </c:pt>
                <c:pt idx="7">
                  <c:v>71</c:v>
                </c:pt>
                <c:pt idx="8">
                  <c:v>83</c:v>
                </c:pt>
                <c:pt idx="9">
                  <c:v>94</c:v>
                </c:pt>
                <c:pt idx="10">
                  <c:v>106</c:v>
                </c:pt>
                <c:pt idx="11">
                  <c:v>117</c:v>
                </c:pt>
              </c:numCache>
            </c:numRef>
          </c:xVal>
          <c:yVal>
            <c:numRef>
              <c:f>RBTC!$E$190:$E$201</c:f>
              <c:numCache>
                <c:formatCode>General</c:formatCode>
                <c:ptCount val="12"/>
                <c:pt idx="0">
                  <c:v>3.5702341666666664</c:v>
                </c:pt>
                <c:pt idx="1">
                  <c:v>3.3293241666666664</c:v>
                </c:pt>
                <c:pt idx="2">
                  <c:v>3.0884141666666665</c:v>
                </c:pt>
                <c:pt idx="3">
                  <c:v>2.8675799999999998</c:v>
                </c:pt>
                <c:pt idx="4">
                  <c:v>2.6266699999999998</c:v>
                </c:pt>
                <c:pt idx="5">
                  <c:v>2.4058358333333332</c:v>
                </c:pt>
                <c:pt idx="6">
                  <c:v>2.1649258333333332</c:v>
                </c:pt>
                <c:pt idx="7">
                  <c:v>1.9440916666666666</c:v>
                </c:pt>
                <c:pt idx="8">
                  <c:v>1.7031816666666666</c:v>
                </c:pt>
                <c:pt idx="9">
                  <c:v>1.4823474999999999</c:v>
                </c:pt>
                <c:pt idx="10">
                  <c:v>1.2414375</c:v>
                </c:pt>
                <c:pt idx="11">
                  <c:v>1.0206033333333333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64-4F9C-8576-B8F279355392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RBTC!$B$190:$B$201</c:f>
              <c:numCache>
                <c:formatCode>General</c:formatCode>
                <c:ptCount val="12"/>
                <c:pt idx="0">
                  <c:v>-10</c:v>
                </c:pt>
                <c:pt idx="1">
                  <c:v>2</c:v>
                </c:pt>
                <c:pt idx="2">
                  <c:v>14</c:v>
                </c:pt>
                <c:pt idx="3">
                  <c:v>25</c:v>
                </c:pt>
                <c:pt idx="4">
                  <c:v>37</c:v>
                </c:pt>
                <c:pt idx="5">
                  <c:v>48</c:v>
                </c:pt>
                <c:pt idx="6">
                  <c:v>60</c:v>
                </c:pt>
                <c:pt idx="7">
                  <c:v>71</c:v>
                </c:pt>
                <c:pt idx="8">
                  <c:v>83</c:v>
                </c:pt>
                <c:pt idx="9">
                  <c:v>94</c:v>
                </c:pt>
                <c:pt idx="10">
                  <c:v>106</c:v>
                </c:pt>
                <c:pt idx="11">
                  <c:v>117</c:v>
                </c:pt>
              </c:numCache>
            </c:numRef>
          </c:xVal>
          <c:yVal>
            <c:numRef>
              <c:f>RBTC!$F$190:$F$201</c:f>
              <c:numCache>
                <c:formatCode>General</c:formatCode>
                <c:ptCount val="12"/>
                <c:pt idx="0">
                  <c:v>3.1662966977249423</c:v>
                </c:pt>
                <c:pt idx="1">
                  <c:v>3.0804027034478785</c:v>
                </c:pt>
                <c:pt idx="2">
                  <c:v>2.981713461228515</c:v>
                </c:pt>
                <c:pt idx="3">
                  <c:v>2.8926970723443111</c:v>
                </c:pt>
                <c:pt idx="4">
                  <c:v>2.7979895381938631</c:v>
                </c:pt>
                <c:pt idx="5">
                  <c:v>2.712688351367158</c:v>
                </c:pt>
                <c:pt idx="6">
                  <c:v>2.6220197014518192</c:v>
                </c:pt>
                <c:pt idx="7">
                  <c:v>2.5404555781000608</c:v>
                </c:pt>
                <c:pt idx="8">
                  <c:v>2.4538276181780931</c:v>
                </c:pt>
                <c:pt idx="9">
                  <c:v>2.3759793946111878</c:v>
                </c:pt>
                <c:pt idx="10">
                  <c:v>2.2933534416272741</c:v>
                </c:pt>
                <c:pt idx="11">
                  <c:v>2.2191686528283276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64-4F9C-8576-B8F279355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16640"/>
        <c:axId val="205618176"/>
      </c:scatterChart>
      <c:valAx>
        <c:axId val="20561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618176"/>
        <c:crosses val="autoZero"/>
        <c:crossBetween val="midCat"/>
      </c:valAx>
      <c:valAx>
        <c:axId val="205618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616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28576</xdr:colOff>
      <xdr:row>70</xdr:row>
      <xdr:rowOff>168088</xdr:rowOff>
    </xdr:from>
    <xdr:to>
      <xdr:col>8</xdr:col>
      <xdr:colOff>1176617</xdr:colOff>
      <xdr:row>83</xdr:row>
      <xdr:rowOff>198904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1082067</xdr:colOff>
      <xdr:row>59</xdr:row>
      <xdr:rowOff>5604</xdr:rowOff>
    </xdr:from>
    <xdr:to>
      <xdr:col>16</xdr:col>
      <xdr:colOff>605258</xdr:colOff>
      <xdr:row>81</xdr:row>
      <xdr:rowOff>87406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54429</xdr:colOff>
      <xdr:row>156</xdr:row>
      <xdr:rowOff>122464</xdr:rowOff>
    </xdr:from>
    <xdr:to>
      <xdr:col>21</xdr:col>
      <xdr:colOff>240926</xdr:colOff>
      <xdr:row>187</xdr:row>
      <xdr:rowOff>134951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28576</xdr:colOff>
      <xdr:row>135</xdr:row>
      <xdr:rowOff>168088</xdr:rowOff>
    </xdr:from>
    <xdr:to>
      <xdr:col>7</xdr:col>
      <xdr:colOff>1176617</xdr:colOff>
      <xdr:row>148</xdr:row>
      <xdr:rowOff>198904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626629</xdr:colOff>
      <xdr:row>120</xdr:row>
      <xdr:rowOff>156884</xdr:rowOff>
    </xdr:from>
    <xdr:to>
      <xdr:col>20</xdr:col>
      <xdr:colOff>308303</xdr:colOff>
      <xdr:row>142</xdr:row>
      <xdr:rowOff>211472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28576</xdr:colOff>
      <xdr:row>77</xdr:row>
      <xdr:rowOff>168088</xdr:rowOff>
    </xdr:from>
    <xdr:to>
      <xdr:col>7</xdr:col>
      <xdr:colOff>1176617</xdr:colOff>
      <xdr:row>90</xdr:row>
      <xdr:rowOff>198904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28576</xdr:colOff>
      <xdr:row>76</xdr:row>
      <xdr:rowOff>11206</xdr:rowOff>
    </xdr:from>
    <xdr:to>
      <xdr:col>9</xdr:col>
      <xdr:colOff>204507</xdr:colOff>
      <xdr:row>88</xdr:row>
      <xdr:rowOff>56029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95250</xdr:colOff>
          <xdr:row>33</xdr:row>
          <xdr:rowOff>76200</xdr:rowOff>
        </xdr:from>
        <xdr:to>
          <xdr:col>15</xdr:col>
          <xdr:colOff>161925</xdr:colOff>
          <xdr:row>46</xdr:row>
          <xdr:rowOff>28575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4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8</xdr:col>
      <xdr:colOff>470647</xdr:colOff>
      <xdr:row>75</xdr:row>
      <xdr:rowOff>156882</xdr:rowOff>
    </xdr:from>
    <xdr:to>
      <xdr:col>13</xdr:col>
      <xdr:colOff>179355</xdr:colOff>
      <xdr:row>103</xdr:row>
      <xdr:rowOff>79318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12941" y="17145000"/>
          <a:ext cx="4448796" cy="628737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493059</xdr:colOff>
      <xdr:row>160</xdr:row>
      <xdr:rowOff>123265</xdr:rowOff>
    </xdr:from>
    <xdr:to>
      <xdr:col>24</xdr:col>
      <xdr:colOff>22411</xdr:colOff>
      <xdr:row>190</xdr:row>
      <xdr:rowOff>116541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179294</xdr:colOff>
      <xdr:row>197</xdr:row>
      <xdr:rowOff>141194</xdr:rowOff>
    </xdr:from>
    <xdr:to>
      <xdr:col>18</xdr:col>
      <xdr:colOff>649941</xdr:colOff>
      <xdr:row>210</xdr:row>
      <xdr:rowOff>116541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71</xdr:row>
      <xdr:rowOff>0</xdr:rowOff>
    </xdr:from>
    <xdr:to>
      <xdr:col>24</xdr:col>
      <xdr:colOff>144316</xdr:colOff>
      <xdr:row>93</xdr:row>
      <xdr:rowOff>54587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45384</xdr:colOff>
      <xdr:row>0</xdr:row>
      <xdr:rowOff>0</xdr:rowOff>
    </xdr:from>
    <xdr:to>
      <xdr:col>23</xdr:col>
      <xdr:colOff>45041</xdr:colOff>
      <xdr:row>29</xdr:row>
      <xdr:rowOff>18288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33002" y="0"/>
          <a:ext cx="2733892" cy="6192729"/>
        </a:xfrm>
        <a:prstGeom prst="rect">
          <a:avLst/>
        </a:prstGeom>
      </xdr:spPr>
    </xdr:pic>
    <xdr:clientData/>
  </xdr:twoCellAnchor>
  <xdr:twoCellAnchor editAs="oneCell">
    <xdr:from>
      <xdr:col>12</xdr:col>
      <xdr:colOff>628650</xdr:colOff>
      <xdr:row>0</xdr:row>
      <xdr:rowOff>0</xdr:rowOff>
    </xdr:from>
    <xdr:to>
      <xdr:col>18</xdr:col>
      <xdr:colOff>218612</xdr:colOff>
      <xdr:row>24</xdr:row>
      <xdr:rowOff>170800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58250" y="0"/>
          <a:ext cx="3704762" cy="52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504333</xdr:colOff>
      <xdr:row>12</xdr:row>
      <xdr:rowOff>94924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3933333" cy="2609524"/>
        </a:xfrm>
        <a:prstGeom prst="rect">
          <a:avLst/>
        </a:prstGeom>
      </xdr:spPr>
    </xdr:pic>
    <xdr:clientData/>
  </xdr:twoCellAnchor>
  <xdr:twoCellAnchor editAs="oneCell">
    <xdr:from>
      <xdr:col>5</xdr:col>
      <xdr:colOff>676275</xdr:colOff>
      <xdr:row>0</xdr:row>
      <xdr:rowOff>0</xdr:rowOff>
    </xdr:from>
    <xdr:to>
      <xdr:col>12</xdr:col>
      <xdr:colOff>104246</xdr:colOff>
      <xdr:row>28</xdr:row>
      <xdr:rowOff>199267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05275" y="0"/>
          <a:ext cx="4228571" cy="60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Drawing.vsdx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86"/>
  <sheetViews>
    <sheetView topLeftCell="R1" zoomScale="80" zoomScaleNormal="80" workbookViewId="0">
      <selection activeCell="Q1" sqref="A1:Q1048576"/>
    </sheetView>
  </sheetViews>
  <sheetFormatPr defaultRowHeight="16.5"/>
  <cols>
    <col min="1" max="1" width="0" hidden="1" customWidth="1"/>
    <col min="2" max="12" width="15.625" hidden="1" customWidth="1"/>
    <col min="13" max="16" width="12.625" hidden="1" customWidth="1"/>
    <col min="17" max="17" width="0" hidden="1" customWidth="1"/>
  </cols>
  <sheetData>
    <row r="1" spans="2:12" ht="16.149999999999999" customHeight="1"/>
    <row r="2" spans="2:12" ht="16.899999999999999" customHeight="1" thickBot="1"/>
    <row r="3" spans="2:12" ht="17.25" thickBot="1">
      <c r="B3" s="210" t="s">
        <v>153</v>
      </c>
      <c r="C3" s="261" t="s">
        <v>143</v>
      </c>
      <c r="D3" s="262"/>
      <c r="E3" s="262"/>
      <c r="F3" s="262"/>
      <c r="G3" s="262"/>
      <c r="H3" s="262"/>
      <c r="I3" s="262"/>
      <c r="J3" s="262"/>
      <c r="K3" s="262"/>
      <c r="L3" s="263"/>
    </row>
    <row r="4" spans="2:12">
      <c r="B4" s="211"/>
      <c r="C4" s="94" t="s">
        <v>142</v>
      </c>
      <c r="D4" s="51"/>
    </row>
    <row r="5" spans="2:12" ht="17.25" thickBot="1">
      <c r="B5" s="211"/>
      <c r="C5" s="85" t="s">
        <v>183</v>
      </c>
      <c r="D5" s="51"/>
    </row>
    <row r="6" spans="2:12" ht="17.25" thickBot="1">
      <c r="B6" s="211"/>
      <c r="C6" s="51"/>
      <c r="D6" s="51"/>
    </row>
    <row r="7" spans="2:12" ht="17.25" thickBot="1">
      <c r="B7" s="211"/>
      <c r="C7" s="264" t="s">
        <v>152</v>
      </c>
      <c r="D7" s="265"/>
    </row>
    <row r="8" spans="2:12" ht="16.5" customHeight="1" thickBot="1">
      <c r="B8" s="212"/>
      <c r="C8" s="86" t="s">
        <v>144</v>
      </c>
      <c r="D8" s="84" t="str">
        <f>RTC!I3</f>
        <v>39</v>
      </c>
    </row>
    <row r="9" spans="2:12" ht="16.899999999999999" customHeight="1" thickBot="1"/>
    <row r="10" spans="2:12" ht="17.25" customHeight="1" thickBot="1">
      <c r="B10" s="210" t="s">
        <v>174</v>
      </c>
      <c r="C10" s="294" t="s">
        <v>161</v>
      </c>
      <c r="D10" s="262"/>
      <c r="E10" s="262"/>
      <c r="F10" s="262"/>
      <c r="G10" s="262"/>
      <c r="H10" s="262"/>
      <c r="I10" s="262"/>
      <c r="J10" s="262"/>
      <c r="K10" s="262"/>
      <c r="L10" s="263"/>
    </row>
    <row r="11" spans="2:12">
      <c r="B11" s="277"/>
      <c r="C11" s="124" t="s">
        <v>176</v>
      </c>
      <c r="D11" s="125" t="s">
        <v>165</v>
      </c>
    </row>
    <row r="12" spans="2:12" ht="17.25" thickBot="1">
      <c r="B12" s="277"/>
      <c r="C12" s="42" t="s">
        <v>177</v>
      </c>
      <c r="D12" s="72">
        <f>RTC!E11</f>
        <v>30.074399999999994</v>
      </c>
    </row>
    <row r="13" spans="2:12" ht="17.25" thickBot="1">
      <c r="B13" s="277"/>
      <c r="C13" s="261" t="s">
        <v>168</v>
      </c>
      <c r="D13" s="297"/>
      <c r="E13" s="297"/>
      <c r="F13" s="297"/>
      <c r="G13" s="297"/>
      <c r="H13" s="297"/>
      <c r="I13" s="262"/>
      <c r="J13" s="262"/>
      <c r="K13" s="262"/>
      <c r="L13" s="263"/>
    </row>
    <row r="14" spans="2:12" ht="17.25" thickBot="1">
      <c r="B14" s="290"/>
      <c r="C14" s="122" t="s">
        <v>187</v>
      </c>
      <c r="D14" s="118">
        <v>0.312</v>
      </c>
      <c r="E14" s="116" t="s">
        <v>188</v>
      </c>
      <c r="F14" s="119">
        <v>0.32900000000000001</v>
      </c>
      <c r="G14" s="116" t="s">
        <v>186</v>
      </c>
      <c r="H14" s="120">
        <v>3.4516499999999999</v>
      </c>
    </row>
    <row r="15" spans="2:12">
      <c r="B15" s="290"/>
      <c r="C15" s="296" t="s">
        <v>3</v>
      </c>
      <c r="D15" s="295" t="s">
        <v>0</v>
      </c>
      <c r="E15" s="245"/>
      <c r="F15" s="245"/>
      <c r="G15" s="289" t="s">
        <v>1</v>
      </c>
      <c r="H15" s="289"/>
      <c r="I15" s="291"/>
      <c r="J15" s="292" t="s">
        <v>2</v>
      </c>
      <c r="K15" s="292"/>
      <c r="L15" s="293"/>
    </row>
    <row r="16" spans="2:12" ht="33">
      <c r="B16" s="290"/>
      <c r="C16" s="296"/>
      <c r="D16" s="121" t="s">
        <v>184</v>
      </c>
      <c r="E16" s="3" t="s">
        <v>5</v>
      </c>
      <c r="F16" s="3" t="s">
        <v>185</v>
      </c>
      <c r="G16" s="4" t="s">
        <v>4</v>
      </c>
      <c r="H16" s="4" t="s">
        <v>5</v>
      </c>
      <c r="I16" s="4" t="s">
        <v>166</v>
      </c>
      <c r="J16" s="2" t="s">
        <v>4</v>
      </c>
      <c r="K16" s="2" t="s">
        <v>5</v>
      </c>
      <c r="L16" s="26" t="s">
        <v>167</v>
      </c>
    </row>
    <row r="17" spans="2:16" ht="16.5" customHeight="1" thickBot="1">
      <c r="B17" s="277"/>
      <c r="C17" s="123">
        <v>25</v>
      </c>
      <c r="D17" s="27">
        <v>0.68859999999999999</v>
      </c>
      <c r="E17" s="27">
        <v>0.30990000000000001</v>
      </c>
      <c r="F17" s="27">
        <v>3.2208199999999998</v>
      </c>
      <c r="G17" s="27">
        <v>0.1618</v>
      </c>
      <c r="H17" s="27">
        <v>0.73029999999999995</v>
      </c>
      <c r="I17" s="27">
        <v>5.4930899999999996</v>
      </c>
      <c r="J17" s="27">
        <v>0.14019999999999999</v>
      </c>
      <c r="K17" s="27">
        <v>4.7E-2</v>
      </c>
      <c r="L17" s="28">
        <v>0.94268300000000005</v>
      </c>
    </row>
    <row r="18" spans="2:16" ht="16.5" customHeight="1" thickBot="1">
      <c r="B18" s="277"/>
    </row>
    <row r="19" spans="2:16" ht="17.25" customHeight="1" thickBot="1">
      <c r="B19" s="277"/>
      <c r="C19" s="272" t="s">
        <v>193</v>
      </c>
      <c r="D19" s="272"/>
      <c r="E19" s="273"/>
    </row>
    <row r="20" spans="2:16" ht="16.5" customHeight="1">
      <c r="B20" s="277"/>
      <c r="C20" s="269" t="s">
        <v>62</v>
      </c>
      <c r="D20" s="270"/>
      <c r="E20" s="271"/>
    </row>
    <row r="21" spans="2:16" ht="16.5" customHeight="1">
      <c r="B21" s="277"/>
      <c r="C21" s="87" t="s">
        <v>110</v>
      </c>
      <c r="D21" s="56" t="s">
        <v>109</v>
      </c>
      <c r="E21" s="57" t="s">
        <v>111</v>
      </c>
    </row>
    <row r="22" spans="2:16" ht="17.25" customHeight="1">
      <c r="B22" s="277"/>
      <c r="C22" s="62" t="str">
        <f>RTC!C43</f>
        <v>61</v>
      </c>
      <c r="D22" s="23" t="str">
        <f>RTC!D43</f>
        <v>52</v>
      </c>
      <c r="E22" s="69" t="str">
        <f>RTC!E43</f>
        <v>35</v>
      </c>
    </row>
    <row r="23" spans="2:16" ht="17.25" customHeight="1">
      <c r="B23" s="277"/>
      <c r="C23" s="246" t="s">
        <v>116</v>
      </c>
      <c r="D23" s="247"/>
      <c r="E23" s="248"/>
    </row>
    <row r="24" spans="2:16" ht="17.25" customHeight="1">
      <c r="B24" s="277"/>
      <c r="C24" s="88" t="s">
        <v>110</v>
      </c>
      <c r="D24" s="58" t="s">
        <v>109</v>
      </c>
      <c r="E24" s="70" t="s">
        <v>111</v>
      </c>
    </row>
    <row r="25" spans="2:16" ht="17.25" thickBot="1">
      <c r="B25" s="277"/>
      <c r="C25" s="42">
        <f>RTC!C49</f>
        <v>28.052399999999999</v>
      </c>
      <c r="D25" s="71">
        <f>RTC!D49</f>
        <v>25.019399999999997</v>
      </c>
      <c r="E25" s="72">
        <f>RTC!E49</f>
        <v>19.1556</v>
      </c>
    </row>
    <row r="26" spans="2:16" ht="17.25" thickBot="1">
      <c r="B26" s="277"/>
    </row>
    <row r="27" spans="2:16" ht="16.5" customHeight="1">
      <c r="B27" s="277"/>
      <c r="C27" s="274" t="s">
        <v>130</v>
      </c>
      <c r="D27" s="275"/>
      <c r="E27" s="275"/>
      <c r="F27" s="275"/>
      <c r="G27" s="275"/>
      <c r="H27" s="275"/>
      <c r="I27" s="275"/>
      <c r="J27" s="275"/>
      <c r="K27" s="275"/>
      <c r="L27" s="276"/>
    </row>
    <row r="28" spans="2:16" ht="16.5" customHeight="1">
      <c r="B28" s="277"/>
      <c r="C28" s="244" t="s">
        <v>48</v>
      </c>
      <c r="D28" s="266" t="s">
        <v>0</v>
      </c>
      <c r="E28" s="266"/>
      <c r="F28" s="266"/>
      <c r="G28" s="267" t="s">
        <v>1</v>
      </c>
      <c r="H28" s="267"/>
      <c r="I28" s="267"/>
      <c r="J28" s="254" t="s">
        <v>2</v>
      </c>
      <c r="K28" s="254"/>
      <c r="L28" s="268"/>
    </row>
    <row r="29" spans="2:16" ht="33">
      <c r="B29" s="277"/>
      <c r="C29" s="244"/>
      <c r="D29" s="3" t="s">
        <v>4</v>
      </c>
      <c r="E29" s="3" t="s">
        <v>5</v>
      </c>
      <c r="F29" s="3" t="s">
        <v>166</v>
      </c>
      <c r="G29" s="4" t="s">
        <v>4</v>
      </c>
      <c r="H29" s="4" t="s">
        <v>5</v>
      </c>
      <c r="I29" s="4" t="s">
        <v>166</v>
      </c>
      <c r="J29" s="2" t="s">
        <v>4</v>
      </c>
      <c r="K29" s="2" t="s">
        <v>5</v>
      </c>
      <c r="L29" s="26" t="s">
        <v>167</v>
      </c>
    </row>
    <row r="30" spans="2:16" ht="16.5" customHeight="1" thickBot="1">
      <c r="B30" s="290"/>
      <c r="C30" s="1">
        <f>C17</f>
        <v>25</v>
      </c>
      <c r="D30" s="52">
        <v>0.68579999999999997</v>
      </c>
      <c r="E30" s="52">
        <v>0.31119999999999998</v>
      </c>
      <c r="F30" s="52">
        <v>0.95626100000000003</v>
      </c>
      <c r="G30" s="52">
        <v>0.17100000000000001</v>
      </c>
      <c r="H30" s="52">
        <v>0.73380000000000001</v>
      </c>
      <c r="I30" s="52">
        <v>2.4474100000000001</v>
      </c>
      <c r="J30" s="43">
        <v>0.13869999999999999</v>
      </c>
      <c r="K30" s="43">
        <v>4.9000000000000002E-2</v>
      </c>
      <c r="L30" s="44">
        <v>0.21568200000000001</v>
      </c>
    </row>
    <row r="31" spans="2:16" ht="16.5" customHeight="1">
      <c r="B31" s="277"/>
      <c r="C31" s="279" t="s">
        <v>108</v>
      </c>
      <c r="D31" s="280"/>
      <c r="E31" s="281"/>
      <c r="F31" s="255" t="s">
        <v>173</v>
      </c>
      <c r="G31" s="256"/>
      <c r="H31" s="213" t="s">
        <v>140</v>
      </c>
      <c r="I31" s="214"/>
      <c r="J31" s="214"/>
      <c r="K31" s="215"/>
      <c r="L31" s="213" t="s">
        <v>141</v>
      </c>
      <c r="M31" s="214"/>
      <c r="N31" s="214"/>
      <c r="O31" s="215"/>
      <c r="P31" s="96"/>
    </row>
    <row r="32" spans="2:16" ht="16.5" customHeight="1">
      <c r="B32" s="277"/>
      <c r="C32" s="89" t="s">
        <v>73</v>
      </c>
      <c r="D32" s="63" t="s">
        <v>74</v>
      </c>
      <c r="E32" s="73" t="s">
        <v>75</v>
      </c>
      <c r="F32" s="257"/>
      <c r="G32" s="258"/>
      <c r="H32" s="216"/>
      <c r="I32" s="217"/>
      <c r="J32" s="217"/>
      <c r="K32" s="218"/>
      <c r="L32" s="216"/>
      <c r="M32" s="217"/>
      <c r="N32" s="217"/>
      <c r="O32" s="218"/>
      <c r="P32" s="96"/>
    </row>
    <row r="33" spans="2:16" ht="16.5" customHeight="1">
      <c r="B33" s="277"/>
      <c r="C33" s="62" t="str">
        <f>RTC!C64</f>
        <v>10A</v>
      </c>
      <c r="D33" s="62" t="str">
        <f>RTC!D64</f>
        <v>165</v>
      </c>
      <c r="E33" s="74" t="str">
        <f>RTC!E64</f>
        <v>FB</v>
      </c>
      <c r="F33" s="257"/>
      <c r="G33" s="258"/>
      <c r="H33" s="216"/>
      <c r="I33" s="217"/>
      <c r="J33" s="217"/>
      <c r="K33" s="218"/>
      <c r="L33" s="216"/>
      <c r="M33" s="217"/>
      <c r="N33" s="217"/>
      <c r="O33" s="218"/>
      <c r="P33" s="96"/>
    </row>
    <row r="34" spans="2:16" ht="16.5" customHeight="1">
      <c r="B34" s="277"/>
      <c r="C34" s="246" t="s">
        <v>118</v>
      </c>
      <c r="D34" s="247"/>
      <c r="E34" s="248"/>
      <c r="F34" s="257"/>
      <c r="G34" s="258"/>
      <c r="H34" s="216"/>
      <c r="I34" s="217"/>
      <c r="J34" s="217"/>
      <c r="K34" s="218"/>
      <c r="L34" s="216"/>
      <c r="M34" s="217"/>
      <c r="N34" s="217"/>
      <c r="O34" s="218"/>
      <c r="P34" s="96"/>
    </row>
    <row r="35" spans="2:16" ht="16.5" customHeight="1">
      <c r="B35" s="277"/>
      <c r="C35" s="89" t="s">
        <v>120</v>
      </c>
      <c r="D35" s="63" t="s">
        <v>121</v>
      </c>
      <c r="E35" s="73" t="s">
        <v>119</v>
      </c>
      <c r="F35" s="257"/>
      <c r="G35" s="258"/>
      <c r="H35" s="216"/>
      <c r="I35" s="217"/>
      <c r="J35" s="217"/>
      <c r="K35" s="218"/>
      <c r="L35" s="216"/>
      <c r="M35" s="217"/>
      <c r="N35" s="217"/>
      <c r="O35" s="218"/>
      <c r="P35" s="96"/>
    </row>
    <row r="36" spans="2:16" ht="17.25" customHeight="1" thickBot="1">
      <c r="B36" s="278"/>
      <c r="C36" s="90">
        <f>RTC!C65</f>
        <v>0.34635416666666669</v>
      </c>
      <c r="D36" s="75">
        <f>RTC!D65</f>
        <v>0.46484375</v>
      </c>
      <c r="E36" s="76">
        <f>RTC!E65</f>
        <v>0.32682291666666669</v>
      </c>
      <c r="F36" s="259"/>
      <c r="G36" s="260"/>
      <c r="H36" s="219"/>
      <c r="I36" s="220"/>
      <c r="J36" s="220"/>
      <c r="K36" s="221"/>
      <c r="L36" s="219"/>
      <c r="M36" s="220"/>
      <c r="N36" s="220"/>
      <c r="O36" s="221"/>
    </row>
    <row r="37" spans="2:16" ht="16.5" customHeight="1">
      <c r="B37" s="117"/>
    </row>
    <row r="38" spans="2:16" ht="16.5" customHeight="1" thickBot="1"/>
    <row r="39" spans="2:16" ht="16.5" customHeight="1" thickBot="1">
      <c r="B39" s="210" t="s">
        <v>175</v>
      </c>
      <c r="C39" s="249" t="s">
        <v>170</v>
      </c>
      <c r="D39" s="250"/>
      <c r="E39" s="250"/>
      <c r="F39" s="250"/>
      <c r="G39" s="250"/>
      <c r="H39" s="250"/>
      <c r="I39" s="250"/>
      <c r="J39" s="250"/>
      <c r="K39" s="250"/>
      <c r="L39" s="251"/>
    </row>
    <row r="40" spans="2:16" ht="16.5" customHeight="1">
      <c r="B40" s="277"/>
      <c r="C40" s="287" t="s">
        <v>171</v>
      </c>
      <c r="D40" s="288"/>
      <c r="E40" s="288"/>
      <c r="F40" s="252" t="s">
        <v>136</v>
      </c>
      <c r="G40" s="252" t="s">
        <v>137</v>
      </c>
      <c r="H40" s="252" t="s">
        <v>172</v>
      </c>
      <c r="I40" s="98"/>
      <c r="J40" s="98"/>
      <c r="K40" s="98"/>
      <c r="L40" s="98"/>
    </row>
    <row r="41" spans="2:16" ht="16.5" customHeight="1">
      <c r="B41" s="277"/>
      <c r="C41" s="102" t="s">
        <v>73</v>
      </c>
      <c r="D41" s="100" t="s">
        <v>74</v>
      </c>
      <c r="E41" s="100" t="s">
        <v>75</v>
      </c>
      <c r="F41" s="254"/>
      <c r="G41" s="254"/>
      <c r="H41" s="254"/>
      <c r="I41" s="98"/>
      <c r="J41" s="113"/>
      <c r="K41" s="113"/>
      <c r="L41" s="113"/>
    </row>
    <row r="42" spans="2:16">
      <c r="B42" s="277"/>
      <c r="C42" s="99" t="str">
        <f>C33</f>
        <v>10A</v>
      </c>
      <c r="D42" s="99" t="str">
        <f>D33</f>
        <v>165</v>
      </c>
      <c r="E42" s="99" t="str">
        <f>E33</f>
        <v>FB</v>
      </c>
      <c r="F42" s="101">
        <f>D14</f>
        <v>0.312</v>
      </c>
      <c r="G42" s="101">
        <f>F14</f>
        <v>0.32900000000000001</v>
      </c>
      <c r="H42" s="101">
        <f>H14</f>
        <v>3.4516499999999999</v>
      </c>
      <c r="I42" s="98"/>
      <c r="J42" s="114"/>
      <c r="K42" s="114"/>
      <c r="L42" s="114"/>
    </row>
    <row r="43" spans="2:16" ht="16.5" customHeight="1">
      <c r="B43" s="277"/>
      <c r="C43" s="243" t="s">
        <v>48</v>
      </c>
      <c r="D43" s="266" t="s">
        <v>0</v>
      </c>
      <c r="E43" s="266"/>
      <c r="F43" s="266"/>
      <c r="G43" s="267" t="s">
        <v>1</v>
      </c>
      <c r="H43" s="267"/>
      <c r="I43" s="267"/>
      <c r="J43" s="254" t="s">
        <v>2</v>
      </c>
      <c r="K43" s="254"/>
      <c r="L43" s="254"/>
    </row>
    <row r="44" spans="2:16" ht="16.5" customHeight="1">
      <c r="B44" s="277"/>
      <c r="C44" s="244"/>
      <c r="D44" s="3" t="s">
        <v>4</v>
      </c>
      <c r="E44" s="3" t="s">
        <v>5</v>
      </c>
      <c r="F44" s="3" t="s">
        <v>166</v>
      </c>
      <c r="G44" s="4" t="s">
        <v>4</v>
      </c>
      <c r="H44" s="4" t="s">
        <v>5</v>
      </c>
      <c r="I44" s="4" t="s">
        <v>166</v>
      </c>
      <c r="J44" s="2" t="s">
        <v>4</v>
      </c>
      <c r="K44" s="2" t="s">
        <v>5</v>
      </c>
      <c r="L44" s="26" t="s">
        <v>167</v>
      </c>
    </row>
    <row r="45" spans="2:16" ht="16.5" customHeight="1" thickBot="1">
      <c r="B45" s="277"/>
      <c r="C45" s="42">
        <v>25</v>
      </c>
      <c r="D45" s="108">
        <v>0.68579999999999997</v>
      </c>
      <c r="E45" s="108">
        <v>0.31119999999999998</v>
      </c>
      <c r="F45" s="108">
        <v>0.99361494531250005</v>
      </c>
      <c r="G45" s="108">
        <v>0.17100000000000001</v>
      </c>
      <c r="H45" s="108">
        <v>0.73380000000000001</v>
      </c>
      <c r="I45" s="108">
        <v>2.2753264843749998</v>
      </c>
      <c r="J45" s="108">
        <v>0.13869999999999999</v>
      </c>
      <c r="K45" s="108">
        <v>4.9000000000000002E-2</v>
      </c>
      <c r="L45" s="109">
        <v>0.21146946093750002</v>
      </c>
    </row>
    <row r="46" spans="2:16" ht="17.25" thickBot="1">
      <c r="B46" s="277"/>
      <c r="C46" s="284" t="s">
        <v>169</v>
      </c>
      <c r="D46" s="285"/>
      <c r="E46" s="285"/>
      <c r="F46" s="285"/>
      <c r="G46" s="285"/>
      <c r="H46" s="285"/>
      <c r="I46" s="285"/>
      <c r="J46" s="285"/>
      <c r="K46" s="285"/>
      <c r="L46" s="286"/>
    </row>
    <row r="47" spans="2:16" ht="17.25" customHeight="1">
      <c r="B47" s="277"/>
      <c r="C47" s="243" t="s">
        <v>106</v>
      </c>
      <c r="D47" s="245" t="s">
        <v>0</v>
      </c>
      <c r="E47" s="245"/>
      <c r="F47" s="245"/>
      <c r="G47" s="289" t="s">
        <v>1</v>
      </c>
      <c r="H47" s="289"/>
      <c r="I47" s="289"/>
      <c r="J47" s="252" t="s">
        <v>2</v>
      </c>
      <c r="K47" s="252"/>
      <c r="L47" s="253"/>
    </row>
    <row r="48" spans="2:16" ht="16.899999999999999" customHeight="1">
      <c r="B48" s="277"/>
      <c r="C48" s="244"/>
      <c r="D48" s="3" t="s">
        <v>4</v>
      </c>
      <c r="E48" s="3" t="s">
        <v>5</v>
      </c>
      <c r="F48" s="3" t="s">
        <v>166</v>
      </c>
      <c r="G48" s="4" t="s">
        <v>4</v>
      </c>
      <c r="H48" s="4" t="s">
        <v>5</v>
      </c>
      <c r="I48" s="4" t="s">
        <v>166</v>
      </c>
      <c r="J48" s="2" t="s">
        <v>4</v>
      </c>
      <c r="K48" s="2" t="s">
        <v>5</v>
      </c>
      <c r="L48" s="26" t="s">
        <v>167</v>
      </c>
    </row>
    <row r="49" spans="2:13" ht="16.5" customHeight="1" thickBot="1">
      <c r="B49" s="278"/>
      <c r="C49" s="103">
        <v>85</v>
      </c>
      <c r="D49" s="43">
        <v>0.69869999999999999</v>
      </c>
      <c r="E49" s="43">
        <v>0.30070000000000002</v>
      </c>
      <c r="F49" s="43">
        <v>0.50571100000000002</v>
      </c>
      <c r="G49" s="43">
        <v>0.189</v>
      </c>
      <c r="H49" s="43">
        <v>0.72760000000000002</v>
      </c>
      <c r="I49" s="43">
        <v>1.93849</v>
      </c>
      <c r="J49" s="43">
        <v>0.1346</v>
      </c>
      <c r="K49" s="43">
        <v>5.5599999999999997E-2</v>
      </c>
      <c r="L49" s="44">
        <v>0.19320300000000001</v>
      </c>
    </row>
    <row r="50" spans="2:13" ht="16.5" customHeight="1" thickBot="1">
      <c r="F50" s="115">
        <f>1-F49/F45</f>
        <v>0.49103925782743763</v>
      </c>
      <c r="I50" s="115">
        <f>1-I49/I45</f>
        <v>0.14803874814805928</v>
      </c>
      <c r="L50" s="115">
        <f>1-L49/L45</f>
        <v>8.637871802632846E-2</v>
      </c>
    </row>
    <row r="51" spans="2:13" ht="16.5" customHeight="1">
      <c r="B51" s="210" t="s">
        <v>162</v>
      </c>
      <c r="C51" s="282" t="s">
        <v>112</v>
      </c>
      <c r="D51" s="283"/>
      <c r="E51" s="225" t="s">
        <v>138</v>
      </c>
      <c r="F51" s="226"/>
    </row>
    <row r="52" spans="2:13" ht="17.25" customHeight="1">
      <c r="B52" s="211"/>
      <c r="C52" s="5" t="s">
        <v>135</v>
      </c>
      <c r="D52" s="77" t="s">
        <v>134</v>
      </c>
      <c r="E52" s="227"/>
      <c r="F52" s="228"/>
      <c r="K52" s="242" t="s">
        <v>180</v>
      </c>
      <c r="L52" s="242"/>
    </row>
    <row r="53" spans="2:13" ht="33">
      <c r="B53" s="211"/>
      <c r="C53" s="89" t="s">
        <v>68</v>
      </c>
      <c r="D53" s="73" t="s">
        <v>68</v>
      </c>
      <c r="E53" s="227"/>
      <c r="F53" s="228"/>
      <c r="K53" s="107" t="s">
        <v>4</v>
      </c>
      <c r="L53" s="107" t="s">
        <v>5</v>
      </c>
      <c r="M53" s="82"/>
    </row>
    <row r="54" spans="2:13" ht="17.25" thickBot="1">
      <c r="B54" s="211"/>
      <c r="C54" s="91" t="str">
        <f>RTC!K128</f>
        <v>AC</v>
      </c>
      <c r="D54" s="78" t="str">
        <f>RTC!I128</f>
        <v>15</v>
      </c>
      <c r="E54" s="229"/>
      <c r="F54" s="230"/>
      <c r="K54" s="45">
        <v>0.3145</v>
      </c>
      <c r="L54" s="45">
        <v>0.3352</v>
      </c>
    </row>
    <row r="55" spans="2:13" ht="16.5" customHeight="1" thickBot="1">
      <c r="B55" s="211"/>
    </row>
    <row r="56" spans="2:13" ht="16.5" customHeight="1" thickBot="1">
      <c r="B56" s="211"/>
      <c r="C56" s="240" t="s">
        <v>113</v>
      </c>
      <c r="D56" s="240"/>
      <c r="E56" s="241"/>
      <c r="F56" s="231" t="s">
        <v>139</v>
      </c>
      <c r="G56" s="232"/>
      <c r="H56" s="233"/>
    </row>
    <row r="57" spans="2:13" ht="16.5" customHeight="1">
      <c r="B57" s="211"/>
      <c r="C57" s="92" t="s">
        <v>128</v>
      </c>
      <c r="D57" s="79" t="s">
        <v>16</v>
      </c>
      <c r="E57" s="80" t="s">
        <v>102</v>
      </c>
      <c r="F57" s="234"/>
      <c r="G57" s="235"/>
      <c r="H57" s="236"/>
    </row>
    <row r="58" spans="2:13" ht="16.5" customHeight="1">
      <c r="B58" s="211"/>
      <c r="C58" s="5">
        <v>0</v>
      </c>
      <c r="D58" s="54">
        <f>RTC!C175</f>
        <v>-33</v>
      </c>
      <c r="E58" s="69" t="str">
        <f>RTC!F158</f>
        <v>2A</v>
      </c>
      <c r="F58" s="234"/>
      <c r="G58" s="235"/>
      <c r="H58" s="236"/>
    </row>
    <row r="59" spans="2:13" ht="16.5" customHeight="1">
      <c r="B59" s="211"/>
      <c r="C59" s="5">
        <v>1</v>
      </c>
      <c r="D59" s="54">
        <f>RTC!C176</f>
        <v>-18</v>
      </c>
      <c r="E59" s="69" t="str">
        <f>RTC!F159</f>
        <v>1D</v>
      </c>
      <c r="F59" s="234"/>
      <c r="G59" s="235"/>
      <c r="H59" s="236"/>
    </row>
    <row r="60" spans="2:13" ht="16.5" customHeight="1">
      <c r="B60" s="211"/>
      <c r="C60" s="5">
        <v>2</v>
      </c>
      <c r="D60" s="54">
        <f>RTC!C177</f>
        <v>-3</v>
      </c>
      <c r="E60" s="69" t="str">
        <f>RTC!F160</f>
        <v>12</v>
      </c>
      <c r="F60" s="234"/>
      <c r="G60" s="235"/>
      <c r="H60" s="236"/>
    </row>
    <row r="61" spans="2:13" ht="16.5" customHeight="1">
      <c r="B61" s="211"/>
      <c r="C61" s="5">
        <v>3</v>
      </c>
      <c r="D61" s="54">
        <f>RTC!C178</f>
        <v>12</v>
      </c>
      <c r="E61" s="69" t="str">
        <f>RTC!F161</f>
        <v>9</v>
      </c>
      <c r="F61" s="234"/>
      <c r="G61" s="235"/>
      <c r="H61" s="236"/>
    </row>
    <row r="62" spans="2:13" ht="16.5" customHeight="1">
      <c r="B62" s="211"/>
      <c r="C62" s="5">
        <v>4</v>
      </c>
      <c r="D62" s="54">
        <f>RTC!C179</f>
        <v>25</v>
      </c>
      <c r="E62" s="69" t="str">
        <f>RTC!F162</f>
        <v>1</v>
      </c>
      <c r="F62" s="234"/>
      <c r="G62" s="235"/>
      <c r="H62" s="236"/>
    </row>
    <row r="63" spans="2:13" ht="16.5" customHeight="1">
      <c r="B63" s="211"/>
      <c r="C63" s="5">
        <v>5</v>
      </c>
      <c r="D63" s="54">
        <f>RTC!C180</f>
        <v>42</v>
      </c>
      <c r="E63" s="69" t="str">
        <f>RTC!F163</f>
        <v>2</v>
      </c>
      <c r="F63" s="234"/>
      <c r="G63" s="235"/>
      <c r="H63" s="236"/>
    </row>
    <row r="64" spans="2:13" ht="16.5" customHeight="1">
      <c r="B64" s="211"/>
      <c r="C64" s="5">
        <v>6</v>
      </c>
      <c r="D64" s="54">
        <f>RTC!C181</f>
        <v>57</v>
      </c>
      <c r="E64" s="69" t="str">
        <f>RTC!F164</f>
        <v>8</v>
      </c>
      <c r="F64" s="234"/>
      <c r="G64" s="235"/>
      <c r="H64" s="236"/>
    </row>
    <row r="65" spans="2:8" ht="17.25" customHeight="1">
      <c r="B65" s="211"/>
      <c r="C65" s="5">
        <v>7</v>
      </c>
      <c r="D65" s="54">
        <f>RTC!C182</f>
        <v>72</v>
      </c>
      <c r="E65" s="69" t="str">
        <f>RTC!F165</f>
        <v>1A</v>
      </c>
      <c r="F65" s="234"/>
      <c r="G65" s="235"/>
      <c r="H65" s="236"/>
    </row>
    <row r="66" spans="2:8">
      <c r="B66" s="211"/>
      <c r="C66" s="5">
        <v>8</v>
      </c>
      <c r="D66" s="54">
        <f>RTC!C183</f>
        <v>85</v>
      </c>
      <c r="E66" s="69" t="str">
        <f>RTC!F166</f>
        <v>35</v>
      </c>
      <c r="F66" s="234"/>
      <c r="G66" s="235"/>
      <c r="H66" s="236"/>
    </row>
    <row r="67" spans="2:8">
      <c r="B67" s="211"/>
      <c r="C67" s="5">
        <v>9</v>
      </c>
      <c r="D67" s="54">
        <f>RTC!C184</f>
        <v>102</v>
      </c>
      <c r="E67" s="69" t="str">
        <f>RTC!F167</f>
        <v>8C</v>
      </c>
      <c r="F67" s="234"/>
      <c r="G67" s="235"/>
      <c r="H67" s="236"/>
    </row>
    <row r="68" spans="2:8">
      <c r="B68" s="211"/>
      <c r="C68" s="5">
        <v>10</v>
      </c>
      <c r="D68" s="54">
        <f>RTC!C185</f>
        <v>117</v>
      </c>
      <c r="E68" s="69" t="str">
        <f>RTC!F168</f>
        <v>FF</v>
      </c>
      <c r="F68" s="234"/>
      <c r="G68" s="235"/>
      <c r="H68" s="236"/>
    </row>
    <row r="69" spans="2:8" ht="17.25" thickBot="1">
      <c r="B69" s="211"/>
      <c r="C69" s="42">
        <v>11</v>
      </c>
      <c r="D69" s="81">
        <f>RTC!C186</f>
        <v>132</v>
      </c>
      <c r="E69" s="78" t="str">
        <f>RTC!F169</f>
        <v>FF</v>
      </c>
      <c r="F69" s="237"/>
      <c r="G69" s="238"/>
      <c r="H69" s="239"/>
    </row>
    <row r="70" spans="2:8" ht="17.25" thickBot="1">
      <c r="B70" s="211"/>
    </row>
    <row r="71" spans="2:8" ht="17.25" thickBot="1">
      <c r="B71" s="211"/>
      <c r="C71" s="222" t="s">
        <v>133</v>
      </c>
      <c r="D71" s="223"/>
      <c r="E71" s="224"/>
    </row>
    <row r="72" spans="2:8">
      <c r="B72" s="211"/>
      <c r="C72" s="93" t="str">
        <f t="shared" ref="C72:D84" si="0">C57</f>
        <v>溫度idx</v>
      </c>
      <c r="D72" s="83" t="s">
        <v>16</v>
      </c>
      <c r="E72" s="95" t="s">
        <v>164</v>
      </c>
    </row>
    <row r="73" spans="2:8">
      <c r="B73" s="211"/>
      <c r="C73" s="5">
        <f t="shared" si="0"/>
        <v>0</v>
      </c>
      <c r="D73" s="1">
        <f>D58</f>
        <v>-33</v>
      </c>
      <c r="E73" s="77">
        <f>RTC!D175</f>
        <v>4.0549240832702633</v>
      </c>
    </row>
    <row r="74" spans="2:8">
      <c r="B74" s="211"/>
      <c r="C74" s="5">
        <f t="shared" si="0"/>
        <v>1</v>
      </c>
      <c r="D74" s="1">
        <f t="shared" si="0"/>
        <v>-18</v>
      </c>
      <c r="E74" s="77">
        <f>RTC!D176</f>
        <v>3.906161528353882</v>
      </c>
    </row>
    <row r="75" spans="2:8">
      <c r="B75" s="211"/>
      <c r="C75" s="5">
        <f t="shared" si="0"/>
        <v>2</v>
      </c>
      <c r="D75" s="1">
        <f t="shared" si="0"/>
        <v>-3</v>
      </c>
      <c r="E75" s="77">
        <f>RTC!D177</f>
        <v>3.7593169075195312</v>
      </c>
    </row>
    <row r="76" spans="2:8">
      <c r="B76" s="211"/>
      <c r="C76" s="5">
        <f t="shared" si="0"/>
        <v>3</v>
      </c>
      <c r="D76" s="1">
        <f t="shared" si="0"/>
        <v>12</v>
      </c>
      <c r="E76" s="77">
        <f>RTC!D178</f>
        <v>3.6115314085876462</v>
      </c>
    </row>
    <row r="77" spans="2:8">
      <c r="B77" s="211"/>
      <c r="C77" s="5">
        <f t="shared" si="0"/>
        <v>4</v>
      </c>
      <c r="D77" s="1">
        <f t="shared" si="0"/>
        <v>25</v>
      </c>
      <c r="E77" s="77">
        <f>RTC!D179</f>
        <v>3.4842921990051265</v>
      </c>
    </row>
    <row r="78" spans="2:8">
      <c r="B78" s="211"/>
      <c r="C78" s="5">
        <f t="shared" si="0"/>
        <v>5</v>
      </c>
      <c r="D78" s="1">
        <f t="shared" si="0"/>
        <v>42</v>
      </c>
      <c r="E78" s="77">
        <f>RTC!D180</f>
        <v>3.3184090803329465</v>
      </c>
    </row>
    <row r="79" spans="2:8">
      <c r="B79" s="211"/>
      <c r="C79" s="5">
        <f t="shared" si="0"/>
        <v>6</v>
      </c>
      <c r="D79" s="1">
        <f t="shared" si="0"/>
        <v>57</v>
      </c>
      <c r="E79" s="77">
        <f>RTC!D181</f>
        <v>3.1740493069946289</v>
      </c>
    </row>
    <row r="80" spans="2:8">
      <c r="B80" s="211"/>
      <c r="C80" s="5">
        <f t="shared" si="0"/>
        <v>7</v>
      </c>
      <c r="D80" s="1">
        <f t="shared" si="0"/>
        <v>72</v>
      </c>
      <c r="E80" s="77">
        <f>RTC!D182</f>
        <v>3.0326207016098023</v>
      </c>
    </row>
    <row r="81" spans="2:5">
      <c r="B81" s="211"/>
      <c r="C81" s="5">
        <f t="shared" si="0"/>
        <v>8</v>
      </c>
      <c r="D81" s="1">
        <f t="shared" si="0"/>
        <v>85</v>
      </c>
      <c r="E81" s="77">
        <f>RTC!D183</f>
        <v>2.9080384023437502</v>
      </c>
    </row>
    <row r="82" spans="2:5">
      <c r="B82" s="211"/>
      <c r="C82" s="5">
        <f t="shared" si="0"/>
        <v>9</v>
      </c>
      <c r="D82" s="1">
        <f>D67</f>
        <v>102</v>
      </c>
      <c r="E82" s="77">
        <f>RTC!D184</f>
        <v>2.7502338033706666</v>
      </c>
    </row>
    <row r="83" spans="2:5">
      <c r="B83" s="211"/>
      <c r="C83" s="5">
        <f t="shared" si="0"/>
        <v>10</v>
      </c>
      <c r="D83" s="1">
        <f>D68</f>
        <v>117</v>
      </c>
      <c r="E83" s="77">
        <f>RTC!D185</f>
        <v>2.5531667676269532</v>
      </c>
    </row>
    <row r="84" spans="2:5" ht="17.25" thickBot="1">
      <c r="B84" s="212"/>
      <c r="C84" s="42">
        <f t="shared" si="0"/>
        <v>11</v>
      </c>
      <c r="D84" s="71">
        <f t="shared" si="0"/>
        <v>132</v>
      </c>
      <c r="E84" s="72">
        <f>RTC!D186</f>
        <v>2.1710129368011475</v>
      </c>
    </row>
    <row r="85" spans="2:5" ht="16.899999999999999" customHeight="1"/>
    <row r="86" spans="2:5" ht="17.25" customHeight="1"/>
  </sheetData>
  <sheetProtection algorithmName="SHA-512" hashValue="FVCX46n2hZKBprvNoUGjYTE83w1PhSWXyAoZ/inGmgNg3lSbrS33yVj+slIPM76pI33IiJs2UXKzRo1OpO8Jaw==" saltValue="oDcLDB5wwN2R4JWoYuixiw==" spinCount="100000" sheet="1" objects="1" scenarios="1"/>
  <mergeCells count="45">
    <mergeCell ref="B10:B36"/>
    <mergeCell ref="G15:I15"/>
    <mergeCell ref="J15:L15"/>
    <mergeCell ref="C10:L10"/>
    <mergeCell ref="D15:F15"/>
    <mergeCell ref="C15:C16"/>
    <mergeCell ref="C13:L13"/>
    <mergeCell ref="C43:C44"/>
    <mergeCell ref="C51:D51"/>
    <mergeCell ref="C46:L46"/>
    <mergeCell ref="C40:E40"/>
    <mergeCell ref="F40:F41"/>
    <mergeCell ref="G47:I47"/>
    <mergeCell ref="C3:L3"/>
    <mergeCell ref="C7:D7"/>
    <mergeCell ref="B3:B8"/>
    <mergeCell ref="D43:F43"/>
    <mergeCell ref="G43:I43"/>
    <mergeCell ref="J43:L43"/>
    <mergeCell ref="J28:L28"/>
    <mergeCell ref="C20:E20"/>
    <mergeCell ref="C19:E19"/>
    <mergeCell ref="D28:F28"/>
    <mergeCell ref="G28:I28"/>
    <mergeCell ref="C23:E23"/>
    <mergeCell ref="C27:L27"/>
    <mergeCell ref="C28:C29"/>
    <mergeCell ref="B39:B49"/>
    <mergeCell ref="C31:E31"/>
    <mergeCell ref="B51:B84"/>
    <mergeCell ref="H31:K36"/>
    <mergeCell ref="L31:O36"/>
    <mergeCell ref="C71:E71"/>
    <mergeCell ref="E51:F54"/>
    <mergeCell ref="F56:H69"/>
    <mergeCell ref="C56:E56"/>
    <mergeCell ref="K52:L52"/>
    <mergeCell ref="C47:C48"/>
    <mergeCell ref="D47:F47"/>
    <mergeCell ref="C34:E34"/>
    <mergeCell ref="C39:L39"/>
    <mergeCell ref="J47:L47"/>
    <mergeCell ref="G40:G41"/>
    <mergeCell ref="H40:H41"/>
    <mergeCell ref="F31:G36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363"/>
  <sheetViews>
    <sheetView topLeftCell="AB123" zoomScale="70" zoomScaleNormal="70" workbookViewId="0">
      <selection activeCell="AA123" sqref="A1:AA1048576"/>
    </sheetView>
  </sheetViews>
  <sheetFormatPr defaultRowHeight="16.5"/>
  <cols>
    <col min="1" max="15" width="12.625" hidden="1" customWidth="1"/>
    <col min="16" max="25" width="0" hidden="1" customWidth="1"/>
    <col min="26" max="26" width="12.625" hidden="1" customWidth="1"/>
    <col min="27" max="27" width="0" hidden="1" customWidth="1"/>
  </cols>
  <sheetData>
    <row r="1" spans="1:27">
      <c r="B1" s="314" t="s">
        <v>145</v>
      </c>
      <c r="C1" s="314"/>
      <c r="D1" s="314"/>
      <c r="E1" s="314"/>
      <c r="F1" s="314"/>
      <c r="G1" s="314"/>
      <c r="H1" s="314"/>
      <c r="I1" s="314"/>
      <c r="J1" s="314"/>
      <c r="K1" s="315"/>
      <c r="Z1" s="111" t="s">
        <v>181</v>
      </c>
      <c r="AA1" s="111" t="s">
        <v>182</v>
      </c>
    </row>
    <row r="2" spans="1:27">
      <c r="B2" s="1" t="str">
        <f>客戶R_TC!C4</f>
        <v>溫度偵測值</v>
      </c>
      <c r="C2" s="1" t="s">
        <v>146</v>
      </c>
      <c r="E2" s="1" t="s">
        <v>159</v>
      </c>
      <c r="F2" s="1" t="s">
        <v>149</v>
      </c>
      <c r="G2" s="1" t="s">
        <v>150</v>
      </c>
      <c r="H2" s="1" t="s">
        <v>151</v>
      </c>
      <c r="I2" s="1" t="s">
        <v>160</v>
      </c>
      <c r="Z2" s="112">
        <v>0.31513569635683358</v>
      </c>
      <c r="AA2" s="112">
        <v>0.32751135163429529</v>
      </c>
    </row>
    <row r="3" spans="1:27">
      <c r="B3" s="1" t="s">
        <v>147</v>
      </c>
      <c r="C3" s="1" t="s">
        <v>147</v>
      </c>
      <c r="E3" s="1" t="s">
        <v>157</v>
      </c>
      <c r="F3" s="1">
        <f>ABS(D6)</f>
        <v>7</v>
      </c>
      <c r="G3" s="1" t="str">
        <f>DEC2BIN(F3)</f>
        <v>111</v>
      </c>
      <c r="H3" s="1" t="str">
        <f>DEC2HEX(F3)</f>
        <v>7</v>
      </c>
      <c r="I3" s="23" t="str">
        <f>IF(D6&gt;=0,H3,H4)</f>
        <v>39</v>
      </c>
      <c r="Z3" s="112">
        <v>0.31519555210555755</v>
      </c>
      <c r="AA3" s="112">
        <v>0.3276101200994026</v>
      </c>
    </row>
    <row r="4" spans="1:27">
      <c r="B4" s="1" t="str">
        <f>客戶R_TC!C5</f>
        <v>1c</v>
      </c>
      <c r="C4" s="1">
        <v>15</v>
      </c>
      <c r="E4" s="1" t="s">
        <v>158</v>
      </c>
      <c r="F4" s="1">
        <f>63-F3+1</f>
        <v>57</v>
      </c>
      <c r="G4" s="1" t="str">
        <f>DEC2BIN(F4)</f>
        <v>111001</v>
      </c>
      <c r="H4" s="1" t="str">
        <f>DEC2HEX(F4)</f>
        <v>39</v>
      </c>
      <c r="Z4" s="112">
        <v>0.31525464768493527</v>
      </c>
      <c r="AA4" s="112">
        <v>0.32770931193539177</v>
      </c>
    </row>
    <row r="5" spans="1:27">
      <c r="B5" s="1" t="s">
        <v>148</v>
      </c>
      <c r="C5" s="1" t="s">
        <v>148</v>
      </c>
      <c r="D5" s="1" t="s">
        <v>156</v>
      </c>
      <c r="Z5" s="112">
        <v>0.31531296509388068</v>
      </c>
      <c r="AA5" s="112">
        <v>0.32780889692746851</v>
      </c>
    </row>
    <row r="6" spans="1:27">
      <c r="B6" s="1">
        <f>HEX2DEC(B4)</f>
        <v>28</v>
      </c>
      <c r="C6" s="1">
        <f>HEX2DEC(C4)</f>
        <v>21</v>
      </c>
      <c r="D6" s="1">
        <f>C6-B6</f>
        <v>-7</v>
      </c>
      <c r="Z6" s="112">
        <v>0.31537048656834621</v>
      </c>
      <c r="AA6" s="112">
        <v>0.32790884474107967</v>
      </c>
    </row>
    <row r="7" spans="1:27">
      <c r="Z7" s="112">
        <v>0.31542719458673335</v>
      </c>
      <c r="AA7" s="112">
        <v>0.32800912493115292</v>
      </c>
    </row>
    <row r="8" spans="1:27">
      <c r="Z8" s="112">
        <v>0.3154830718752305</v>
      </c>
      <c r="AA8" s="112">
        <v>0.32810970695137098</v>
      </c>
    </row>
    <row r="9" spans="1:27">
      <c r="B9" s="314" t="s">
        <v>154</v>
      </c>
      <c r="C9" s="314"/>
      <c r="D9" s="314"/>
      <c r="E9" s="314"/>
      <c r="F9" s="314"/>
      <c r="G9" s="314"/>
      <c r="H9" s="314"/>
      <c r="I9" s="314"/>
      <c r="J9" s="314"/>
      <c r="K9" s="315"/>
      <c r="Z9" s="112">
        <v>0.3155381014130742</v>
      </c>
      <c r="AA9" s="112">
        <v>0.32821056016347616</v>
      </c>
    </row>
    <row r="10" spans="1:27">
      <c r="B10" s="242" t="str">
        <f>客戶R_TC!C11</f>
        <v>F_CR</v>
      </c>
      <c r="C10" s="242"/>
      <c r="D10" s="45" t="s">
        <v>155</v>
      </c>
      <c r="E10" s="45" t="str">
        <f>客戶R_TC!D11</f>
        <v>輸出電流(mA)</v>
      </c>
      <c r="Z10" s="112">
        <v>0.31559226643773419</v>
      </c>
      <c r="AA10" s="112">
        <v>0.32831165384660294</v>
      </c>
    </row>
    <row r="11" spans="1:27">
      <c r="B11" s="1" t="s">
        <v>147</v>
      </c>
      <c r="C11" s="1" t="s">
        <v>148</v>
      </c>
      <c r="D11" s="45">
        <f>1-(255-C12)*$B$38</f>
        <v>0.50123999999999991</v>
      </c>
      <c r="E11" s="45">
        <f>60*D11</f>
        <v>30.074399999999994</v>
      </c>
      <c r="Z11" s="112">
        <v>0.31564555045001924</v>
      </c>
      <c r="AA11" s="112">
        <v>0.32841295720663627</v>
      </c>
    </row>
    <row r="12" spans="1:27">
      <c r="B12" s="1" t="str">
        <f>客戶R_TC!C12</f>
        <v>6B</v>
      </c>
      <c r="C12" s="1">
        <f>HEX2DEC(B12)</f>
        <v>107</v>
      </c>
      <c r="Z12" s="112">
        <v>0.315697937219103</v>
      </c>
      <c r="AA12" s="112">
        <v>0.32851443938559122</v>
      </c>
    </row>
    <row r="13" spans="1:27" ht="17.25" thickBot="1">
      <c r="Z13" s="112">
        <v>0.31574941078746815</v>
      </c>
      <c r="AA13" s="112">
        <v>0.32861606947101307</v>
      </c>
    </row>
    <row r="14" spans="1:27" ht="16.5" customHeight="1">
      <c r="A14" s="298">
        <v>2</v>
      </c>
      <c r="B14" s="313" t="s">
        <v>7</v>
      </c>
      <c r="C14" s="314"/>
      <c r="D14" s="314"/>
      <c r="E14" s="314"/>
      <c r="F14" s="314"/>
      <c r="G14" s="314"/>
      <c r="H14" s="314"/>
      <c r="I14" s="314"/>
      <c r="J14" s="314"/>
      <c r="K14" s="315"/>
      <c r="Z14" s="112">
        <v>0.31579995547576717</v>
      </c>
      <c r="AA14" s="112">
        <v>0.32871781650539328</v>
      </c>
    </row>
    <row r="15" spans="1:27" ht="16.5" customHeight="1">
      <c r="A15" s="299"/>
      <c r="B15" s="31" t="s">
        <v>8</v>
      </c>
      <c r="C15" s="316">
        <v>60</v>
      </c>
      <c r="D15" s="316"/>
      <c r="E15" s="316"/>
      <c r="F15" s="316"/>
      <c r="G15" s="316"/>
      <c r="H15" s="316"/>
      <c r="I15" s="316"/>
      <c r="J15" s="316"/>
      <c r="K15" s="316"/>
      <c r="Z15" s="112">
        <v>0.31584955588759828</v>
      </c>
      <c r="AA15" s="112">
        <v>0.3288196494955995</v>
      </c>
    </row>
    <row r="16" spans="1:27" ht="16.5" customHeight="1">
      <c r="A16" s="299"/>
      <c r="B16" s="244" t="s">
        <v>48</v>
      </c>
      <c r="C16" s="266" t="s">
        <v>0</v>
      </c>
      <c r="D16" s="266"/>
      <c r="E16" s="266"/>
      <c r="F16" s="267" t="s">
        <v>1</v>
      </c>
      <c r="G16" s="267"/>
      <c r="H16" s="267"/>
      <c r="I16" s="254" t="s">
        <v>2</v>
      </c>
      <c r="J16" s="254"/>
      <c r="K16" s="254"/>
      <c r="Z16" s="112">
        <v>0.31589819691419563</v>
      </c>
      <c r="AA16" s="112">
        <v>0.3289215374223165</v>
      </c>
    </row>
    <row r="17" spans="1:27" ht="33" customHeight="1">
      <c r="A17" s="299"/>
      <c r="B17" s="244"/>
      <c r="C17" s="3" t="s">
        <v>4</v>
      </c>
      <c r="D17" s="3" t="s">
        <v>5</v>
      </c>
      <c r="E17" s="3" t="s">
        <v>6</v>
      </c>
      <c r="F17" s="4" t="s">
        <v>4</v>
      </c>
      <c r="G17" s="4" t="s">
        <v>5</v>
      </c>
      <c r="H17" s="4" t="s">
        <v>6</v>
      </c>
      <c r="I17" s="2" t="s">
        <v>4</v>
      </c>
      <c r="J17" s="2" t="s">
        <v>5</v>
      </c>
      <c r="K17" s="2" t="s">
        <v>6</v>
      </c>
      <c r="Z17" s="112">
        <v>0.31594586373903127</v>
      </c>
      <c r="AA17" s="112">
        <v>0.32902344924949473</v>
      </c>
    </row>
    <row r="18" spans="1:27" ht="16.5" customHeight="1">
      <c r="A18" s="299"/>
      <c r="B18" s="319">
        <f>客戶R_TC!C17</f>
        <v>25</v>
      </c>
      <c r="C18" s="5">
        <f>客戶R_TC!D17</f>
        <v>0.68859999999999999</v>
      </c>
      <c r="D18" s="1">
        <f>客戶R_TC!E17</f>
        <v>0.30990000000000001</v>
      </c>
      <c r="E18" s="1">
        <f>客戶R_TC!F17/客戶R_TC!$D$12*$C$15</f>
        <v>6.4257042534514417</v>
      </c>
      <c r="F18" s="1">
        <f>客戶R_TC!G17</f>
        <v>0.1618</v>
      </c>
      <c r="G18" s="1">
        <f>客戶R_TC!H17</f>
        <v>0.73029999999999995</v>
      </c>
      <c r="H18" s="1">
        <f>客戶R_TC!I17/客戶R_TC!$D$12*$C$15</f>
        <v>10.959001675843909</v>
      </c>
      <c r="I18" s="1">
        <f>客戶R_TC!J17</f>
        <v>0.14019999999999999</v>
      </c>
      <c r="J18" s="1">
        <f>客戶R_TC!K17</f>
        <v>4.7E-2</v>
      </c>
      <c r="K18" s="1">
        <f>客戶R_TC!L17/客戶R_TC!$D$12*$C$15</f>
        <v>1.8807018593887166</v>
      </c>
      <c r="Z18" s="112">
        <v>0.31599254184232861</v>
      </c>
      <c r="AA18" s="112">
        <v>0.32912535393380438</v>
      </c>
    </row>
    <row r="19" spans="1:27" ht="16.5" customHeight="1">
      <c r="A19" s="299"/>
      <c r="B19" s="319"/>
      <c r="C19" s="41" t="s">
        <v>10</v>
      </c>
      <c r="D19" s="36" t="s">
        <v>11</v>
      </c>
      <c r="E19" s="37" t="s">
        <v>12</v>
      </c>
      <c r="F19" s="38" t="s">
        <v>13</v>
      </c>
      <c r="G19" s="38" t="s">
        <v>14</v>
      </c>
      <c r="H19" s="38" t="s">
        <v>15</v>
      </c>
      <c r="Z19" s="112">
        <v>0.31603821700548523</v>
      </c>
      <c r="AA19" s="112">
        <v>0.32922722043409147</v>
      </c>
    </row>
    <row r="20" spans="1:27" ht="16.5" customHeight="1">
      <c r="A20" s="299"/>
      <c r="B20" s="319"/>
      <c r="C20" s="5">
        <f>客戶R_TC!D14+0.001</f>
        <v>0.313</v>
      </c>
      <c r="D20" s="1">
        <f>客戶R_TC!F14-0.001</f>
        <v>0.32800000000000001</v>
      </c>
      <c r="E20" s="1">
        <f>客戶R_TC!H14+0.03</f>
        <v>3.4816499999999997</v>
      </c>
      <c r="F20" s="1">
        <f>E20*C20/D20</f>
        <v>3.3224282012195117</v>
      </c>
      <c r="G20" s="1">
        <f>E20</f>
        <v>3.4816499999999997</v>
      </c>
      <c r="H20" s="1">
        <f>E20*(1-C20-D20)/D20</f>
        <v>3.8107083841463414</v>
      </c>
      <c r="Z20" s="112">
        <v>0.31608287531540391</v>
      </c>
      <c r="AA20" s="112">
        <v>0.32932901772083317</v>
      </c>
    </row>
    <row r="21" spans="1:27" ht="16.5" customHeight="1">
      <c r="A21" s="299"/>
      <c r="B21" s="319"/>
      <c r="C21" s="40" t="s">
        <v>17</v>
      </c>
      <c r="D21" s="38" t="s">
        <v>18</v>
      </c>
      <c r="E21" s="38" t="s">
        <v>19</v>
      </c>
      <c r="F21" s="38" t="s">
        <v>20</v>
      </c>
      <c r="G21" s="38" t="s">
        <v>21</v>
      </c>
      <c r="H21" s="38" t="s">
        <v>22</v>
      </c>
      <c r="I21" s="38" t="s">
        <v>23</v>
      </c>
      <c r="J21" s="38" t="s">
        <v>24</v>
      </c>
      <c r="K21" s="38" t="s">
        <v>25</v>
      </c>
      <c r="L21" s="39" t="s">
        <v>26</v>
      </c>
      <c r="M21" s="39" t="s">
        <v>27</v>
      </c>
      <c r="N21" s="39" t="s">
        <v>28</v>
      </c>
      <c r="O21" s="39" t="s">
        <v>29</v>
      </c>
      <c r="Z21" s="112">
        <v>0.31612650316873087</v>
      </c>
      <c r="AA21" s="112">
        <v>0.32943071478558988</v>
      </c>
    </row>
    <row r="22" spans="1:27" ht="16.5" customHeight="1">
      <c r="A22" s="299"/>
      <c r="B22" s="319"/>
      <c r="C22" s="30" t="s">
        <v>30</v>
      </c>
      <c r="D22" s="21" t="s">
        <v>31</v>
      </c>
      <c r="E22" s="21" t="s">
        <v>32</v>
      </c>
      <c r="F22" s="21" t="s">
        <v>33</v>
      </c>
      <c r="G22" s="21" t="s">
        <v>34</v>
      </c>
      <c r="H22" s="21" t="s">
        <v>35</v>
      </c>
      <c r="I22" s="21"/>
      <c r="J22" s="21"/>
      <c r="K22" s="21"/>
      <c r="L22" s="22"/>
      <c r="M22" s="22"/>
      <c r="N22" s="22"/>
      <c r="O22" s="22"/>
      <c r="Z22" s="112">
        <v>0.31616908727599941</v>
      </c>
      <c r="AA22" s="112">
        <v>0.32953228065045048</v>
      </c>
    </row>
    <row r="23" spans="1:27" ht="16.5" customHeight="1">
      <c r="A23" s="299"/>
      <c r="B23" s="319"/>
      <c r="C23" s="32">
        <f>C18/D18</f>
        <v>2.2220070990642142</v>
      </c>
      <c r="D23" s="6">
        <f>F18/G18</f>
        <v>0.22155278652608518</v>
      </c>
      <c r="E23" s="6">
        <f>I18/J18</f>
        <v>2.9829787234042553</v>
      </c>
      <c r="F23" s="6">
        <f>(1-C18-D18)/D18</f>
        <v>4.8402710551790941E-3</v>
      </c>
      <c r="G23" s="6">
        <f>(1-F18-G18)/G18</f>
        <v>0.14774750102697537</v>
      </c>
      <c r="H23" s="6">
        <f>(1-I18-J18)/J18</f>
        <v>17.293617021276596</v>
      </c>
      <c r="I23" s="6">
        <f>C23*H23+E23*G23+D23*F23-E23*F23-D23*H23-C23*G23</f>
        <v>34.694156355410939</v>
      </c>
      <c r="J23" s="6">
        <f>H23*F20+E23*G23*G20+H20*D23-E23*H20-D23*H23*G20-G23*F20</f>
        <v>34.637626337492655</v>
      </c>
      <c r="K23" s="6">
        <f>C23*H23*G20+F23*F20+E23*H20-E23*F23*G20-F20*H23-C23*H20</f>
        <v>79.196614224117312</v>
      </c>
      <c r="L23" s="7">
        <f>C23*H20+G23*F20+D23*F23*G20-F23*F20-D23*H20-C23*G23*G20</f>
        <v>6.9586689132065063</v>
      </c>
      <c r="M23" s="7">
        <f>J23/I23</f>
        <v>0.99837061845980102</v>
      </c>
      <c r="N23" s="7">
        <f>K23/I23</f>
        <v>2.2827075952739149</v>
      </c>
      <c r="O23" s="7">
        <f>L23/I23</f>
        <v>0.20057178626628355</v>
      </c>
      <c r="Z23" s="112">
        <v>0.31621061466567785</v>
      </c>
      <c r="AA23" s="112">
        <v>0.32963368437746859</v>
      </c>
    </row>
    <row r="24" spans="1:27" ht="16.5" customHeight="1">
      <c r="A24" s="299"/>
      <c r="B24" s="319"/>
      <c r="C24" s="320" t="s">
        <v>49</v>
      </c>
      <c r="D24" s="314"/>
      <c r="E24" s="314"/>
      <c r="F24" s="314"/>
      <c r="G24" s="314"/>
      <c r="H24" s="314"/>
      <c r="I24" s="315"/>
      <c r="K24" s="35"/>
      <c r="L24" s="35"/>
      <c r="M24" s="35"/>
      <c r="N24" s="35"/>
      <c r="Z24" s="112">
        <v>0.31625107268812103</v>
      </c>
      <c r="AA24" s="112">
        <v>0.32973489507808673</v>
      </c>
    </row>
    <row r="25" spans="1:27" ht="16.5" customHeight="1">
      <c r="A25" s="299"/>
      <c r="B25" s="319"/>
      <c r="C25" s="21" t="s">
        <v>50</v>
      </c>
      <c r="D25" s="21" t="s">
        <v>51</v>
      </c>
      <c r="E25" s="21" t="s">
        <v>52</v>
      </c>
      <c r="F25" s="21" t="s">
        <v>53</v>
      </c>
      <c r="G25" s="21" t="s">
        <v>56</v>
      </c>
      <c r="H25" s="21" t="s">
        <v>55</v>
      </c>
      <c r="I25" s="21" t="s">
        <v>57</v>
      </c>
      <c r="K25" s="35"/>
      <c r="L25" s="35"/>
      <c r="M25" s="35"/>
      <c r="N25" s="35"/>
      <c r="Z25" s="112">
        <v>0.31629044901942338</v>
      </c>
      <c r="AA25" s="112">
        <v>0.32983588192254498</v>
      </c>
    </row>
    <row r="26" spans="1:27" ht="16.5" customHeight="1">
      <c r="A26" s="299"/>
      <c r="B26" s="319"/>
      <c r="C26" s="1">
        <v>256</v>
      </c>
      <c r="D26" s="1">
        <v>384</v>
      </c>
      <c r="E26" s="1">
        <v>256</v>
      </c>
      <c r="F26" s="1">
        <v>256</v>
      </c>
      <c r="G26" s="1">
        <v>255</v>
      </c>
      <c r="H26" s="1">
        <v>767</v>
      </c>
      <c r="I26" s="1">
        <f>G26/H26</f>
        <v>0.33246414602346808</v>
      </c>
      <c r="K26" s="35"/>
      <c r="L26" s="35"/>
      <c r="M26" s="35"/>
      <c r="N26" s="35"/>
      <c r="Z26" s="112">
        <v>0.31632873166517295</v>
      </c>
      <c r="AA26" s="112">
        <v>0.32993661414927222</v>
      </c>
    </row>
    <row r="27" spans="1:27" ht="16.5" customHeight="1">
      <c r="A27" s="299"/>
      <c r="B27" s="319"/>
      <c r="C27" s="254" t="s">
        <v>54</v>
      </c>
      <c r="D27" s="254"/>
      <c r="E27" s="254"/>
      <c r="K27" s="35"/>
      <c r="L27" s="35"/>
      <c r="M27" s="35"/>
      <c r="N27" s="35"/>
      <c r="Z27" s="112">
        <v>0.31636590896410499</v>
      </c>
      <c r="AA27" s="112">
        <v>0.33003706107425645</v>
      </c>
    </row>
    <row r="28" spans="1:27" ht="16.5" customHeight="1">
      <c r="A28" s="299"/>
      <c r="B28" s="319"/>
      <c r="C28" s="1">
        <f>C26/$F$26*$I$26</f>
        <v>0.33246414602346808</v>
      </c>
      <c r="D28" s="1">
        <f>D26/$F$26*$I$26</f>
        <v>0.49869621903520212</v>
      </c>
      <c r="E28" s="1">
        <f>E26/$F$26*$I$26</f>
        <v>0.33246414602346808</v>
      </c>
      <c r="K28" s="35"/>
      <c r="L28" s="35"/>
      <c r="M28" s="35"/>
      <c r="N28" s="35"/>
      <c r="Z28" s="112">
        <v>0.31640196959165412</v>
      </c>
      <c r="AA28" s="112">
        <v>0.33013719210039122</v>
      </c>
    </row>
    <row r="29" spans="1:27" ht="16.5" customHeight="1">
      <c r="A29" s="299"/>
      <c r="B29" s="319"/>
      <c r="C29" s="33" t="s">
        <v>36</v>
      </c>
      <c r="D29" s="13" t="s">
        <v>37</v>
      </c>
      <c r="E29" s="10" t="s">
        <v>38</v>
      </c>
      <c r="F29" s="11" t="s">
        <v>39</v>
      </c>
      <c r="G29" s="8" t="s">
        <v>40</v>
      </c>
      <c r="H29" s="12" t="s">
        <v>41</v>
      </c>
      <c r="Z29" s="112">
        <v>0.31643690256340384</v>
      </c>
      <c r="AA29" s="112">
        <v>0.33023697672679597</v>
      </c>
    </row>
    <row r="30" spans="1:27" ht="16.5" customHeight="1">
      <c r="A30" s="299"/>
      <c r="B30" s="319"/>
      <c r="C30" s="34" t="s">
        <v>42</v>
      </c>
      <c r="D30" s="9" t="s">
        <v>43</v>
      </c>
      <c r="E30" s="10" t="s">
        <v>44</v>
      </c>
      <c r="F30" s="11" t="s">
        <v>45</v>
      </c>
      <c r="G30" s="8" t="s">
        <v>46</v>
      </c>
      <c r="H30" s="12" t="s">
        <v>47</v>
      </c>
      <c r="Z30" s="112">
        <v>0.31647069723843263</v>
      </c>
      <c r="AA30" s="112">
        <v>0.33033638455810688</v>
      </c>
    </row>
    <row r="31" spans="1:27" ht="16.5" customHeight="1">
      <c r="A31" s="299"/>
      <c r="B31" s="319"/>
      <c r="C31" s="5">
        <f>E18*C28</f>
        <v>2.1363162772230999</v>
      </c>
      <c r="D31" s="6">
        <f>M23</f>
        <v>0.99837061845980102</v>
      </c>
      <c r="E31" s="1">
        <f>H18*D28</f>
        <v>5.4652127001438018</v>
      </c>
      <c r="F31" s="6">
        <f>N23</f>
        <v>2.2827075952739149</v>
      </c>
      <c r="G31" s="1">
        <f>K18*E28</f>
        <v>0.62526593760641824</v>
      </c>
      <c r="H31" s="6">
        <f>O23</f>
        <v>0.20057178626628355</v>
      </c>
      <c r="Z31" s="112">
        <v>0.31650334332255492</v>
      </c>
      <c r="AA31" s="112">
        <v>0.33043538531373556</v>
      </c>
    </row>
    <row r="32" spans="1:27" ht="16.5" customHeight="1">
      <c r="A32" s="299"/>
      <c r="B32" s="319"/>
      <c r="C32" s="317" t="s">
        <v>58</v>
      </c>
      <c r="D32" s="318"/>
      <c r="E32" s="318"/>
      <c r="F32" s="318"/>
      <c r="G32" s="318"/>
      <c r="H32" s="318"/>
      <c r="Z32" s="112">
        <v>0.3165348308714574</v>
      </c>
      <c r="AA32" s="112">
        <v>0.33053394883709275</v>
      </c>
    </row>
    <row r="33" spans="1:27" ht="16.5" customHeight="1">
      <c r="A33" s="299"/>
      <c r="B33" s="319"/>
      <c r="C33" s="325" t="s">
        <v>59</v>
      </c>
      <c r="D33" s="324"/>
      <c r="E33" s="324" t="s">
        <v>60</v>
      </c>
      <c r="F33" s="324"/>
      <c r="G33" s="324" t="s">
        <v>61</v>
      </c>
      <c r="H33" s="324"/>
      <c r="Z33" s="112">
        <v>0.31656515029372762</v>
      </c>
      <c r="AA33" s="112">
        <v>0.33063204510477451</v>
      </c>
    </row>
    <row r="34" spans="1:27" ht="16.5" customHeight="1">
      <c r="A34" s="299"/>
      <c r="B34" s="319"/>
      <c r="C34" s="319">
        <f>D31/C31</f>
        <v>0.46733277703502657</v>
      </c>
      <c r="D34" s="242"/>
      <c r="E34" s="242">
        <f>F31/E31</f>
        <v>0.41767955256596906</v>
      </c>
      <c r="F34" s="242"/>
      <c r="G34" s="242">
        <f>H31/G31</f>
        <v>0.32077836677637167</v>
      </c>
      <c r="H34" s="242"/>
      <c r="Z34" s="112">
        <v>0.31659429235377579</v>
      </c>
      <c r="AA34" s="112">
        <v>0.33072964423570733</v>
      </c>
    </row>
    <row r="35" spans="1:27" ht="16.5" customHeight="1">
      <c r="A35" s="299"/>
      <c r="Z35" s="112">
        <v>0.31662224817464812</v>
      </c>
      <c r="AA35" s="112">
        <v>0.33082671650025053</v>
      </c>
    </row>
    <row r="36" spans="1:27" ht="16.5" customHeight="1">
      <c r="A36" s="299"/>
      <c r="B36" s="15" t="s">
        <v>69</v>
      </c>
      <c r="C36" s="24" t="s">
        <v>70</v>
      </c>
      <c r="D36" s="60" t="s">
        <v>115</v>
      </c>
      <c r="Z36" s="112">
        <v>0.31664900924073081</v>
      </c>
      <c r="AA36" s="112">
        <v>0.33092323232925197</v>
      </c>
    </row>
    <row r="37" spans="1:27" ht="16.5" customHeight="1">
      <c r="A37" s="299"/>
      <c r="B37" s="14" t="s">
        <v>71</v>
      </c>
      <c r="C37" s="25" t="s">
        <v>72</v>
      </c>
      <c r="D37" s="1"/>
      <c r="Z37" s="112">
        <v>0.31667456740034383</v>
      </c>
      <c r="AA37" s="112">
        <v>0.33101916232305517</v>
      </c>
    </row>
    <row r="38" spans="1:27" ht="17.25" customHeight="1" thickBot="1">
      <c r="A38" s="299"/>
      <c r="B38" s="16">
        <v>3.3700000000000002E-3</v>
      </c>
      <c r="C38" s="29">
        <v>255</v>
      </c>
      <c r="D38" s="1">
        <v>60</v>
      </c>
      <c r="Z38" s="112">
        <v>0.31669891486822427</v>
      </c>
      <c r="AA38" s="112">
        <v>0.33111447726045468</v>
      </c>
    </row>
    <row r="39" spans="1:27" ht="16.5" customHeight="1">
      <c r="A39" s="299"/>
      <c r="B39" s="304"/>
      <c r="C39" s="307" t="s">
        <v>62</v>
      </c>
      <c r="D39" s="308"/>
      <c r="E39" s="309"/>
      <c r="Z39" s="112">
        <v>0.31672204422789746</v>
      </c>
      <c r="AA39" s="112">
        <v>0.33120914810759722</v>
      </c>
    </row>
    <row r="40" spans="1:27" ht="16.5" customHeight="1">
      <c r="A40" s="299"/>
      <c r="B40" s="305"/>
      <c r="C40" s="310" t="s">
        <v>63</v>
      </c>
      <c r="D40" s="311"/>
      <c r="E40" s="312"/>
      <c r="Z40" s="112">
        <v>0.31674394843393638</v>
      </c>
      <c r="AA40" s="112">
        <v>0.33130314602682576</v>
      </c>
    </row>
    <row r="41" spans="1:27" ht="16.5" customHeight="1">
      <c r="A41" s="299"/>
      <c r="B41" s="306"/>
      <c r="C41" s="19" t="s">
        <v>64</v>
      </c>
      <c r="D41" s="17" t="s">
        <v>65</v>
      </c>
      <c r="E41" s="18" t="s">
        <v>66</v>
      </c>
      <c r="Z41" s="112">
        <v>0.31676462081410772</v>
      </c>
      <c r="AA41" s="112">
        <v>0.3313964423854634</v>
      </c>
    </row>
    <row r="42" spans="1:27" ht="16.5" customHeight="1">
      <c r="A42" s="299"/>
      <c r="B42" s="31" t="s">
        <v>67</v>
      </c>
      <c r="C42" s="1">
        <f>ROUND(((C38*B38)+C34-1)/B38,0)</f>
        <v>97</v>
      </c>
      <c r="D42" s="1">
        <f>ROUND(((C38*B38)+E34-1)/B38,0)</f>
        <v>82</v>
      </c>
      <c r="E42" s="1">
        <f>ROUND(((C38*B38)+G34-1)/B38,0)</f>
        <v>53</v>
      </c>
      <c r="Z42" s="112">
        <v>0.31678405507140428</v>
      </c>
      <c r="AA42" s="112">
        <v>0.33148900876453558</v>
      </c>
    </row>
    <row r="43" spans="1:27" ht="17.25" customHeight="1">
      <c r="A43" s="299"/>
      <c r="B43" s="31" t="s">
        <v>68</v>
      </c>
      <c r="C43" s="23" t="str">
        <f>DEC2HEX(C42)</f>
        <v>61</v>
      </c>
      <c r="D43" s="23" t="str">
        <f>DEC2HEX(D42)</f>
        <v>52</v>
      </c>
      <c r="E43" s="23" t="str">
        <f>DEC2HEX(E42)</f>
        <v>35</v>
      </c>
      <c r="Z43" s="112">
        <v>0.3168022452859629</v>
      </c>
      <c r="AA43" s="112">
        <v>0.33158081696742647</v>
      </c>
    </row>
    <row r="44" spans="1:27" ht="17.25" customHeight="1">
      <c r="A44" s="299"/>
      <c r="C44" s="247" t="s">
        <v>125</v>
      </c>
      <c r="D44" s="247"/>
      <c r="E44" s="247"/>
      <c r="F44" s="59"/>
      <c r="G44" s="59"/>
      <c r="H44" s="59"/>
      <c r="Z44" s="112">
        <v>0.31681918591686808</v>
      </c>
      <c r="AA44" s="112">
        <v>0.3316718390284682</v>
      </c>
    </row>
    <row r="45" spans="1:27" ht="17.25" customHeight="1">
      <c r="A45" s="299"/>
      <c r="C45" s="63" t="s">
        <v>110</v>
      </c>
      <c r="D45" s="63" t="s">
        <v>124</v>
      </c>
      <c r="E45" s="63" t="s">
        <v>111</v>
      </c>
      <c r="Z45" s="112">
        <v>0.31683487180383957</v>
      </c>
      <c r="AA45" s="112">
        <v>0.33176204722145919</v>
      </c>
    </row>
    <row r="46" spans="1:27">
      <c r="A46" s="299"/>
      <c r="C46" s="1">
        <f>1-(255-C42)*$B$38</f>
        <v>0.46753999999999996</v>
      </c>
      <c r="D46" s="1">
        <f>1-(255-D42)*$B$38</f>
        <v>0.41698999999999997</v>
      </c>
      <c r="E46" s="1">
        <f>1-(255-E42)*$B$38</f>
        <v>0.31925999999999999</v>
      </c>
      <c r="Z46" s="112"/>
      <c r="AA46" s="112"/>
    </row>
    <row r="47" spans="1:27">
      <c r="A47" s="299"/>
      <c r="C47" s="242" t="s">
        <v>117</v>
      </c>
      <c r="D47" s="242"/>
      <c r="E47" s="242"/>
      <c r="Z47" s="112">
        <v>0.31684929816880419</v>
      </c>
      <c r="AA47" s="112">
        <v>0.33185141406810992</v>
      </c>
    </row>
    <row r="48" spans="1:27">
      <c r="A48" s="299"/>
      <c r="C48" s="63" t="s">
        <v>110</v>
      </c>
      <c r="D48" s="63" t="s">
        <v>122</v>
      </c>
      <c r="E48" s="63" t="s">
        <v>123</v>
      </c>
      <c r="Z48" s="112">
        <v>0.3168624606173514</v>
      </c>
      <c r="AA48" s="112">
        <v>0.33193991234641324</v>
      </c>
    </row>
    <row r="49" spans="1:27" ht="17.25" thickBot="1">
      <c r="A49" s="300"/>
      <c r="C49" s="1">
        <f>$D$38*C46</f>
        <v>28.052399999999999</v>
      </c>
      <c r="D49" s="1">
        <f>$D$38*D46</f>
        <v>25.019399999999997</v>
      </c>
      <c r="E49" s="1">
        <f>$D$38*E46</f>
        <v>19.1556</v>
      </c>
      <c r="Z49" s="112">
        <v>0.31687435514007195</v>
      </c>
      <c r="AA49" s="112">
        <v>0.3320275150989363</v>
      </c>
    </row>
    <row r="50" spans="1:27">
      <c r="Z50" s="112">
        <v>0.31688497811377891</v>
      </c>
      <c r="AA50" s="112">
        <v>0.33211419564103201</v>
      </c>
    </row>
    <row r="51" spans="1:27" ht="17.25" thickBot="1">
      <c r="Z51" s="112">
        <v>0.31689432630261166</v>
      </c>
      <c r="AA51" s="112">
        <v>0.3321999275689676</v>
      </c>
    </row>
    <row r="52" spans="1:27" ht="16.5" customHeight="1">
      <c r="A52" s="298">
        <v>4</v>
      </c>
      <c r="B52" s="244" t="s">
        <v>48</v>
      </c>
      <c r="C52" s="266" t="s">
        <v>0</v>
      </c>
      <c r="D52" s="266"/>
      <c r="E52" s="266"/>
      <c r="F52" s="267" t="s">
        <v>1</v>
      </c>
      <c r="G52" s="267"/>
      <c r="H52" s="267"/>
      <c r="I52" s="254" t="s">
        <v>2</v>
      </c>
      <c r="J52" s="254"/>
      <c r="K52" s="254"/>
      <c r="Z52" s="112">
        <v>0.31690239685902127</v>
      </c>
      <c r="AA52" s="112">
        <v>0.33228468476796724</v>
      </c>
    </row>
    <row r="53" spans="1:27" ht="33" customHeight="1">
      <c r="A53" s="299"/>
      <c r="B53" s="244"/>
      <c r="C53" s="3" t="s">
        <v>4</v>
      </c>
      <c r="D53" s="3" t="s">
        <v>5</v>
      </c>
      <c r="E53" s="3" t="s">
        <v>6</v>
      </c>
      <c r="F53" s="4" t="s">
        <v>4</v>
      </c>
      <c r="G53" s="4" t="s">
        <v>5</v>
      </c>
      <c r="H53" s="4" t="s">
        <v>6</v>
      </c>
      <c r="I53" s="2" t="s">
        <v>4</v>
      </c>
      <c r="J53" s="2" t="s">
        <v>5</v>
      </c>
      <c r="K53" s="2" t="s">
        <v>6</v>
      </c>
      <c r="Z53" s="112">
        <v>0.31690918732463808</v>
      </c>
      <c r="AA53" s="112">
        <v>0.33236844142016714</v>
      </c>
    </row>
    <row r="54" spans="1:27" ht="16.5" customHeight="1">
      <c r="A54" s="299"/>
      <c r="B54" s="5">
        <v>25</v>
      </c>
      <c r="C54" s="1">
        <f>客戶R_TC!D30</f>
        <v>0.68579999999999997</v>
      </c>
      <c r="D54" s="1">
        <f>客戶R_TC!E30</f>
        <v>0.31119999999999998</v>
      </c>
      <c r="E54" s="1">
        <f>客戶R_TC!F30</f>
        <v>0.95626100000000003</v>
      </c>
      <c r="F54" s="1">
        <f>客戶R_TC!G30</f>
        <v>0.17100000000000001</v>
      </c>
      <c r="G54" s="1">
        <f>客戶R_TC!H30</f>
        <v>0.73380000000000001</v>
      </c>
      <c r="H54" s="1">
        <f>客戶R_TC!I30</f>
        <v>2.4474100000000001</v>
      </c>
      <c r="I54" s="1">
        <f>客戶R_TC!J30</f>
        <v>0.13869999999999999</v>
      </c>
      <c r="J54" s="1">
        <f>客戶R_TC!K30</f>
        <v>4.9000000000000002E-2</v>
      </c>
      <c r="K54" s="1">
        <f>客戶R_TC!L30</f>
        <v>0.21568200000000001</v>
      </c>
      <c r="Z54" s="112">
        <v>0.31691469563102048</v>
      </c>
      <c r="AA54" s="112">
        <v>0.33245117201247965</v>
      </c>
    </row>
    <row r="55" spans="1:27" ht="16.5" customHeight="1">
      <c r="A55" s="299"/>
      <c r="Z55" s="112">
        <v>0.316918920100285</v>
      </c>
      <c r="AA55" s="112">
        <v>0.33253285134436483</v>
      </c>
    </row>
    <row r="56" spans="1:27" ht="16.5" customHeight="1">
      <c r="A56" s="299"/>
      <c r="B56" s="30" t="s">
        <v>16</v>
      </c>
      <c r="C56" s="36" t="s">
        <v>10</v>
      </c>
      <c r="D56" s="36" t="s">
        <v>11</v>
      </c>
      <c r="E56" s="37" t="s">
        <v>12</v>
      </c>
      <c r="F56" s="38" t="s">
        <v>13</v>
      </c>
      <c r="G56" s="38" t="s">
        <v>14</v>
      </c>
      <c r="H56" s="38" t="s">
        <v>15</v>
      </c>
      <c r="Z56" s="112">
        <v>0.3169218594456174</v>
      </c>
      <c r="AA56" s="112">
        <v>0.33261345453550706</v>
      </c>
    </row>
    <row r="57" spans="1:27" ht="16.5" customHeight="1">
      <c r="A57" s="299"/>
      <c r="B57" s="301">
        <v>25</v>
      </c>
      <c r="C57" s="5">
        <f>客戶R_TC!D14+0.001</f>
        <v>0.313</v>
      </c>
      <c r="D57" s="1">
        <f>客戶R_TC!F14-0.001</f>
        <v>0.32800000000000001</v>
      </c>
      <c r="E57" s="1">
        <f>客戶R_TC!H14+0.03</f>
        <v>3.4816499999999997</v>
      </c>
      <c r="F57" s="1">
        <f>E57*C57/D57</f>
        <v>3.3224282012195117</v>
      </c>
      <c r="G57" s="1">
        <f>E57</f>
        <v>3.4816499999999997</v>
      </c>
      <c r="H57" s="1">
        <f>E57*(1-C57-D57)/D57</f>
        <v>3.8107083841463414</v>
      </c>
      <c r="Z57" s="112">
        <v>0.31692351277166458</v>
      </c>
      <c r="AA57" s="112">
        <v>0.33269295703339347</v>
      </c>
    </row>
    <row r="58" spans="1:27" ht="16.5" customHeight="1">
      <c r="A58" s="299"/>
      <c r="B58" s="302"/>
      <c r="C58" s="38" t="s">
        <v>17</v>
      </c>
      <c r="D58" s="38" t="s">
        <v>18</v>
      </c>
      <c r="E58" s="38" t="s">
        <v>19</v>
      </c>
      <c r="F58" s="38" t="s">
        <v>20</v>
      </c>
      <c r="G58" s="38" t="s">
        <v>21</v>
      </c>
      <c r="H58" s="38" t="s">
        <v>22</v>
      </c>
      <c r="I58" s="38" t="s">
        <v>23</v>
      </c>
      <c r="J58" s="38" t="s">
        <v>24</v>
      </c>
      <c r="K58" s="38" t="s">
        <v>25</v>
      </c>
      <c r="L58" s="39" t="s">
        <v>26</v>
      </c>
      <c r="M58" s="39" t="s">
        <v>27</v>
      </c>
      <c r="N58" s="39" t="s">
        <v>28</v>
      </c>
      <c r="O58" s="39" t="s">
        <v>29</v>
      </c>
      <c r="Z58" s="112">
        <v>0.31692387957480744</v>
      </c>
      <c r="AA58" s="112">
        <v>0.332771334620793</v>
      </c>
    </row>
    <row r="59" spans="1:27" ht="16.5" customHeight="1">
      <c r="A59" s="299"/>
      <c r="B59" s="302"/>
      <c r="C59" s="21" t="s">
        <v>30</v>
      </c>
      <c r="D59" s="21" t="s">
        <v>31</v>
      </c>
      <c r="E59" s="21" t="s">
        <v>32</v>
      </c>
      <c r="F59" s="21" t="s">
        <v>33</v>
      </c>
      <c r="G59" s="21" t="s">
        <v>34</v>
      </c>
      <c r="H59" s="21" t="s">
        <v>35</v>
      </c>
      <c r="I59" s="21"/>
      <c r="J59" s="21"/>
      <c r="K59" s="21"/>
      <c r="L59" s="22"/>
      <c r="M59" s="22"/>
      <c r="N59" s="22"/>
      <c r="O59" s="22"/>
      <c r="Z59" s="112">
        <v>0.31692295974331419</v>
      </c>
      <c r="AA59" s="112">
        <v>0.33284856342313335</v>
      </c>
    </row>
    <row r="60" spans="1:27" ht="16.5" customHeight="1">
      <c r="A60" s="299"/>
      <c r="B60" s="303"/>
      <c r="C60" s="6">
        <f>C54/D54</f>
        <v>2.2037275064267354</v>
      </c>
      <c r="D60" s="6">
        <f>F54/G54</f>
        <v>0.23303352412101391</v>
      </c>
      <c r="E60" s="6">
        <f>I54/J54</f>
        <v>2.8306122448979587</v>
      </c>
      <c r="F60" s="6">
        <f>(1-C54-D54)/D54</f>
        <v>9.6401028277636833E-3</v>
      </c>
      <c r="G60" s="6">
        <f>(1-F54-G54)/G54</f>
        <v>0.12973562278550008</v>
      </c>
      <c r="H60" s="6">
        <f>(1-I54-J54)/J54</f>
        <v>16.577551020408162</v>
      </c>
      <c r="I60" s="6">
        <f>C60*H60+E60*G60+D60*F60-E60*F60-D60*H60-C60*G60</f>
        <v>32.725568393273235</v>
      </c>
      <c r="J60" s="6">
        <f>H60*F57+E60*G60*G57+H57*D60-E60*H57-D60*H60*G57-G60*F57</f>
        <v>32.576591742768727</v>
      </c>
      <c r="K60" s="6">
        <f>C60*H60*G57+F60*F57+E60*H57-E60*F60*G57-F57*H60-C60*H57</f>
        <v>74.441223778824337</v>
      </c>
      <c r="L60" s="7">
        <f>C60*H57+G60*F57+D60*F60*G57-F60*F57-D60*H57-C60*G60*G57</f>
        <v>6.9211596748466508</v>
      </c>
      <c r="M60" s="7">
        <f>J60/I60</f>
        <v>0.99544769860941118</v>
      </c>
      <c r="N60" s="7">
        <f>K60/I60</f>
        <v>2.2747114086527458</v>
      </c>
      <c r="O60" s="7">
        <f>L60/I60</f>
        <v>0.21149089273784166</v>
      </c>
      <c r="Z60" s="112">
        <v>0.31692075355737437</v>
      </c>
      <c r="AA60" s="112">
        <v>0.3329246199157731</v>
      </c>
    </row>
    <row r="61" spans="1:27" ht="16.5" customHeight="1">
      <c r="A61" s="299"/>
      <c r="Z61" s="112">
        <v>0.31691726168901357</v>
      </c>
      <c r="AA61" s="112">
        <v>0.33299948093116788</v>
      </c>
    </row>
    <row r="62" spans="1:27" ht="16.5" customHeight="1">
      <c r="A62" s="299"/>
      <c r="B62" s="5"/>
      <c r="C62" s="50" t="s">
        <v>73</v>
      </c>
      <c r="D62" s="61" t="s">
        <v>74</v>
      </c>
      <c r="E62" s="21" t="s">
        <v>75</v>
      </c>
      <c r="Z62" s="112">
        <v>0.3169124852018888</v>
      </c>
      <c r="AA62" s="112">
        <v>0.33307312366592717</v>
      </c>
    </row>
    <row r="63" spans="1:27" ht="17.25" customHeight="1" thickBot="1">
      <c r="A63" s="300"/>
      <c r="B63" s="5" t="s">
        <v>126</v>
      </c>
      <c r="C63" s="53">
        <f>ROUND(M60/E54*C26,0)</f>
        <v>266</v>
      </c>
      <c r="D63" s="53">
        <f>ROUND(N60/H54*D26,0)</f>
        <v>357</v>
      </c>
      <c r="E63" s="53">
        <f>ROUND(O60/K54*E26,0)</f>
        <v>251</v>
      </c>
      <c r="Z63" s="112">
        <v>0.31690642555096432</v>
      </c>
      <c r="AA63" s="112">
        <v>0.33314552568776057</v>
      </c>
    </row>
    <row r="64" spans="1:27">
      <c r="B64" s="1" t="s">
        <v>127</v>
      </c>
      <c r="C64" s="23" t="str">
        <f>DEC2HEX(C63)</f>
        <v>10A</v>
      </c>
      <c r="D64" s="23" t="str">
        <f>DEC2HEX(D63)</f>
        <v>165</v>
      </c>
      <c r="E64" s="23" t="str">
        <f>DEC2HEX(E63)</f>
        <v>FB</v>
      </c>
      <c r="Z64" s="112">
        <v>0.31689908458206839</v>
      </c>
      <c r="AA64" s="112">
        <v>0.33321666494231089</v>
      </c>
    </row>
    <row r="65" spans="1:27">
      <c r="B65" s="1" t="s">
        <v>118</v>
      </c>
      <c r="C65" s="55">
        <f>C63/256/3</f>
        <v>0.34635416666666669</v>
      </c>
      <c r="D65" s="55">
        <f>D63/256/3</f>
        <v>0.46484375</v>
      </c>
      <c r="E65" s="55">
        <f>E63/256/3</f>
        <v>0.32682291666666669</v>
      </c>
      <c r="Z65" s="112">
        <v>0.31689046453133135</v>
      </c>
      <c r="AA65" s="112">
        <v>0.333286519759872</v>
      </c>
    </row>
    <row r="66" spans="1:27">
      <c r="B66" s="51"/>
      <c r="C66" s="51"/>
      <c r="D66" s="51"/>
      <c r="E66" s="51"/>
      <c r="Z66" s="112">
        <v>0.31688056802450415</v>
      </c>
      <c r="AA66" s="112">
        <v>0.33335506886198984</v>
      </c>
    </row>
    <row r="67" spans="1:27">
      <c r="Z67" s="112">
        <v>0.3168693980761586</v>
      </c>
      <c r="AA67" s="112">
        <v>0.33342229136794382</v>
      </c>
    </row>
    <row r="68" spans="1:27" ht="17.25" thickBot="1">
      <c r="C68">
        <f>C54</f>
        <v>0.68579999999999997</v>
      </c>
      <c r="D68">
        <f>D54</f>
        <v>0.31119999999999998</v>
      </c>
      <c r="E68">
        <f>E54/C26*C63</f>
        <v>0.99361494531250005</v>
      </c>
      <c r="F68">
        <f>F54</f>
        <v>0.17100000000000001</v>
      </c>
      <c r="G68">
        <f>G54</f>
        <v>0.73380000000000001</v>
      </c>
      <c r="H68">
        <f>H54/D26*D63</f>
        <v>2.2753264843749998</v>
      </c>
      <c r="I68">
        <f>I54</f>
        <v>0.13869999999999999</v>
      </c>
      <c r="J68">
        <f>J54</f>
        <v>4.9000000000000002E-2</v>
      </c>
      <c r="K68">
        <f>K54/E26*E63</f>
        <v>0.21146946093750002</v>
      </c>
      <c r="Z68" s="112">
        <v>0.31685695808876913</v>
      </c>
      <c r="AA68" s="112">
        <v>0.33348816680110738</v>
      </c>
    </row>
    <row r="69" spans="1:27" ht="16.5" customHeight="1" thickBot="1">
      <c r="A69" s="298">
        <v>7</v>
      </c>
      <c r="B69" s="244" t="s">
        <v>48</v>
      </c>
      <c r="C69" s="266" t="s">
        <v>0</v>
      </c>
      <c r="D69" s="266"/>
      <c r="E69" s="266"/>
      <c r="F69" s="267" t="s">
        <v>1</v>
      </c>
      <c r="G69" s="267"/>
      <c r="H69" s="267"/>
      <c r="I69" s="254" t="s">
        <v>2</v>
      </c>
      <c r="J69" s="254"/>
      <c r="K69" s="254"/>
      <c r="M69" s="323" t="s">
        <v>104</v>
      </c>
      <c r="N69" s="250"/>
      <c r="O69" s="250"/>
      <c r="P69" s="250"/>
      <c r="Q69" s="250"/>
      <c r="R69" s="250"/>
      <c r="S69" s="250"/>
      <c r="T69" s="250"/>
      <c r="U69" s="251"/>
      <c r="Z69" s="112">
        <v>0.3168432518516765</v>
      </c>
      <c r="AA69" s="112">
        <v>0.33355267509518555</v>
      </c>
    </row>
    <row r="70" spans="1:27" ht="33" customHeight="1">
      <c r="A70" s="299"/>
      <c r="B70" s="244"/>
      <c r="C70" s="3" t="s">
        <v>4</v>
      </c>
      <c r="D70" s="3" t="s">
        <v>5</v>
      </c>
      <c r="E70" s="3" t="s">
        <v>6</v>
      </c>
      <c r="F70" s="4" t="s">
        <v>4</v>
      </c>
      <c r="G70" s="4" t="s">
        <v>5</v>
      </c>
      <c r="H70" s="4" t="s">
        <v>6</v>
      </c>
      <c r="I70" s="2" t="s">
        <v>4</v>
      </c>
      <c r="J70" s="2" t="s">
        <v>5</v>
      </c>
      <c r="K70" s="2" t="s">
        <v>6</v>
      </c>
      <c r="M70" s="245" t="s">
        <v>50</v>
      </c>
      <c r="N70" s="245"/>
      <c r="O70" s="245"/>
      <c r="P70" s="289" t="s">
        <v>51</v>
      </c>
      <c r="Q70" s="289"/>
      <c r="R70" s="289"/>
      <c r="S70" s="252" t="s">
        <v>52</v>
      </c>
      <c r="T70" s="252"/>
      <c r="U70" s="252"/>
      <c r="Z70" s="112">
        <v>0.31682828353993331</v>
      </c>
      <c r="AA70" s="112">
        <v>0.33361579660032692</v>
      </c>
    </row>
    <row r="71" spans="1:27" ht="16.5" customHeight="1">
      <c r="A71" s="299"/>
      <c r="B71" s="5">
        <f>客戶R_TC!C30</f>
        <v>25</v>
      </c>
      <c r="C71" s="5">
        <f>客戶R_TC!D45</f>
        <v>0.68579999999999997</v>
      </c>
      <c r="D71" s="5">
        <f>客戶R_TC!E45</f>
        <v>0.31119999999999998</v>
      </c>
      <c r="E71" s="5">
        <f>客戶R_TC!F45</f>
        <v>0.99361494531250005</v>
      </c>
      <c r="F71" s="5">
        <f>客戶R_TC!G45</f>
        <v>0.17100000000000001</v>
      </c>
      <c r="G71" s="5">
        <f>客戶R_TC!H45</f>
        <v>0.73380000000000001</v>
      </c>
      <c r="H71" s="5">
        <f>客戶R_TC!I45</f>
        <v>2.2753264843749998</v>
      </c>
      <c r="I71" s="5">
        <f>客戶R_TC!J45</f>
        <v>0.13869999999999999</v>
      </c>
      <c r="J71" s="5">
        <f>客戶R_TC!K45</f>
        <v>4.9000000000000002E-2</v>
      </c>
      <c r="K71" s="5">
        <f>客戶R_TC!L45</f>
        <v>0.21146946093750002</v>
      </c>
      <c r="M71" s="3" t="s">
        <v>76</v>
      </c>
      <c r="N71" s="3" t="s">
        <v>77</v>
      </c>
      <c r="O71" s="3" t="s">
        <v>78</v>
      </c>
      <c r="P71" s="4" t="s">
        <v>76</v>
      </c>
      <c r="Q71" s="4" t="s">
        <v>77</v>
      </c>
      <c r="R71" s="4" t="s">
        <v>78</v>
      </c>
      <c r="S71" s="2" t="s">
        <v>76</v>
      </c>
      <c r="T71" s="2" t="s">
        <v>77</v>
      </c>
      <c r="U71" s="2" t="s">
        <v>78</v>
      </c>
      <c r="Z71" s="112">
        <v>0.31681205771303222</v>
      </c>
      <c r="AA71" s="112">
        <v>0.33367751208910962</v>
      </c>
    </row>
    <row r="72" spans="1:27" ht="16.5" customHeight="1">
      <c r="A72" s="299"/>
      <c r="B72" s="5">
        <f>客戶R_TC!C49</f>
        <v>85</v>
      </c>
      <c r="C72" s="52">
        <f>客戶R_TC!D49</f>
        <v>0.69869999999999999</v>
      </c>
      <c r="D72" s="52">
        <f>客戶R_TC!E49</f>
        <v>0.30070000000000002</v>
      </c>
      <c r="E72" s="52">
        <f>客戶R_TC!F49</f>
        <v>0.50571100000000002</v>
      </c>
      <c r="F72" s="52">
        <f>客戶R_TC!G49</f>
        <v>0.189</v>
      </c>
      <c r="G72" s="52">
        <f>客戶R_TC!H49</f>
        <v>0.72760000000000002</v>
      </c>
      <c r="H72" s="52">
        <f>客戶R_TC!I49</f>
        <v>1.93849</v>
      </c>
      <c r="I72" s="52">
        <f>客戶R_TC!J49</f>
        <v>0.1346</v>
      </c>
      <c r="J72" s="52">
        <f>客戶R_TC!K49</f>
        <v>5.5599999999999997E-2</v>
      </c>
      <c r="K72" s="52">
        <f>客戶R_TC!L49</f>
        <v>0.19320300000000001</v>
      </c>
      <c r="M72" s="45">
        <f t="shared" ref="M72:U72" si="0">(C72-C71)/($B$72-$B$71)</f>
        <v>2.1500000000000037E-4</v>
      </c>
      <c r="N72" s="45">
        <f t="shared" si="0"/>
        <v>-1.7499999999999924E-4</v>
      </c>
      <c r="O72" s="45">
        <f t="shared" si="0"/>
        <v>-8.1317324218750011E-3</v>
      </c>
      <c r="P72" s="45">
        <f t="shared" si="0"/>
        <v>2.9999999999999981E-4</v>
      </c>
      <c r="Q72" s="45">
        <f t="shared" si="0"/>
        <v>-1.0333333333333306E-4</v>
      </c>
      <c r="R72" s="45">
        <f t="shared" si="0"/>
        <v>-5.6139414062499971E-3</v>
      </c>
      <c r="S72" s="45">
        <f t="shared" si="0"/>
        <v>-6.833333333333321E-5</v>
      </c>
      <c r="T72" s="45">
        <f t="shared" si="0"/>
        <v>1.0999999999999991E-4</v>
      </c>
      <c r="U72" s="45">
        <f t="shared" si="0"/>
        <v>-3.0444101562500012E-4</v>
      </c>
      <c r="Z72" s="112">
        <v>0.31679457931351734</v>
      </c>
      <c r="AA72" s="112">
        <v>0.33373780276239789</v>
      </c>
    </row>
    <row r="73" spans="1:27" ht="16.5" customHeight="1">
      <c r="A73" s="299"/>
      <c r="B73" s="313" t="s">
        <v>114</v>
      </c>
      <c r="C73" s="314"/>
      <c r="D73" s="314"/>
      <c r="E73" s="314"/>
      <c r="F73" s="314"/>
      <c r="G73" s="314"/>
      <c r="H73" s="314"/>
      <c r="I73" s="314"/>
      <c r="J73" s="314"/>
      <c r="K73" s="315"/>
      <c r="M73" s="45">
        <f t="shared" ref="M73:U73" si="1">C72-$B$72*M72</f>
        <v>0.68042499999999995</v>
      </c>
      <c r="N73" s="45">
        <f t="shared" si="1"/>
        <v>0.31557499999999994</v>
      </c>
      <c r="O73" s="45">
        <f t="shared" si="1"/>
        <v>1.1969082558593751</v>
      </c>
      <c r="P73" s="45">
        <f t="shared" si="1"/>
        <v>0.16350000000000001</v>
      </c>
      <c r="Q73" s="45">
        <f t="shared" si="1"/>
        <v>0.73638333333333339</v>
      </c>
      <c r="R73" s="45">
        <f t="shared" si="1"/>
        <v>2.4156750195312497</v>
      </c>
      <c r="S73" s="45">
        <f t="shared" si="1"/>
        <v>0.14040833333333333</v>
      </c>
      <c r="T73" s="45">
        <f t="shared" si="1"/>
        <v>4.6250000000000006E-2</v>
      </c>
      <c r="U73" s="45">
        <f t="shared" si="1"/>
        <v>0.21908048632812502</v>
      </c>
      <c r="Z73" s="112">
        <v>0.31677585366547856</v>
      </c>
      <c r="AA73" s="112">
        <v>0.33379665025506861</v>
      </c>
    </row>
    <row r="74" spans="1:27" ht="16.5" customHeight="1">
      <c r="A74" s="299"/>
      <c r="B74" s="244" t="s">
        <v>48</v>
      </c>
      <c r="C74" s="266" t="s">
        <v>0</v>
      </c>
      <c r="D74" s="266"/>
      <c r="E74" s="266"/>
      <c r="F74" s="267" t="s">
        <v>1</v>
      </c>
      <c r="G74" s="267"/>
      <c r="H74" s="267"/>
      <c r="I74" s="254" t="s">
        <v>2</v>
      </c>
      <c r="J74" s="254"/>
      <c r="K74" s="254"/>
      <c r="Z74" s="112">
        <v>0.31675588647292952</v>
      </c>
      <c r="AA74" s="112">
        <v>0.3338540366416054</v>
      </c>
    </row>
    <row r="75" spans="1:27" ht="33" customHeight="1">
      <c r="A75" s="299"/>
      <c r="B75" s="244"/>
      <c r="C75" s="3" t="s">
        <v>4</v>
      </c>
      <c r="D75" s="3" t="s">
        <v>5</v>
      </c>
      <c r="E75" s="3" t="s">
        <v>6</v>
      </c>
      <c r="F75" s="4" t="s">
        <v>4</v>
      </c>
      <c r="G75" s="4" t="s">
        <v>5</v>
      </c>
      <c r="H75" s="4" t="s">
        <v>6</v>
      </c>
      <c r="I75" s="2" t="s">
        <v>4</v>
      </c>
      <c r="J75" s="2" t="s">
        <v>5</v>
      </c>
      <c r="K75" s="2" t="s">
        <v>6</v>
      </c>
      <c r="Z75" s="112">
        <v>0.31673468381807057</v>
      </c>
      <c r="AA75" s="112">
        <v>0.33390994444155914</v>
      </c>
    </row>
    <row r="76" spans="1:27" ht="16.5" customHeight="1">
      <c r="A76" s="299"/>
      <c r="B76" s="5">
        <v>-33</v>
      </c>
      <c r="C76" s="5">
        <f>RTC!$M$72*B76+RTC!$M$73</f>
        <v>0.67332999999999998</v>
      </c>
      <c r="D76" s="1">
        <f>RTC!$N$72*B76+RTC!$N$73</f>
        <v>0.32134999999999991</v>
      </c>
      <c r="E76" s="1">
        <f>RTC!$O$72*B76+RTC!$O$73</f>
        <v>1.4652554257812502</v>
      </c>
      <c r="F76" s="1">
        <f>RTC!$P$72*B76+RTC!$P$73</f>
        <v>0.15360000000000001</v>
      </c>
      <c r="G76" s="1">
        <f>RTC!$Q$72*B76+RTC!$Q$73</f>
        <v>0.73979333333333341</v>
      </c>
      <c r="H76" s="1">
        <f>RTC!$R$72*B76+RTC!$R$73</f>
        <v>2.6009350859374996</v>
      </c>
      <c r="I76" s="1">
        <f>RTC!$S$72*B76+RTC!$S$73</f>
        <v>0.14266333333333334</v>
      </c>
      <c r="J76" s="1">
        <f>RTC!$T$72*B76+RTC!$T$73</f>
        <v>4.2620000000000012E-2</v>
      </c>
      <c r="K76" s="1">
        <f>RTC!$U$72*B76+RTC!$U$73</f>
        <v>0.22912703984375002</v>
      </c>
      <c r="M76" s="110" t="s">
        <v>178</v>
      </c>
      <c r="N76" s="60" t="s">
        <v>13</v>
      </c>
      <c r="O76" s="60" t="s">
        <v>14</v>
      </c>
      <c r="P76" s="60" t="s">
        <v>15</v>
      </c>
      <c r="Q76" s="60" t="s">
        <v>179</v>
      </c>
      <c r="R76" s="60" t="s">
        <v>10</v>
      </c>
      <c r="S76" s="60" t="s">
        <v>11</v>
      </c>
      <c r="Z76" s="112">
        <v>0.31671225215943583</v>
      </c>
      <c r="AA76" s="112">
        <v>0.33396435662487223</v>
      </c>
    </row>
    <row r="77" spans="1:27" ht="16.5" customHeight="1">
      <c r="A77" s="299"/>
      <c r="B77" s="5">
        <f>B76+15</f>
        <v>-18</v>
      </c>
      <c r="C77" s="5">
        <f>RTC!$M$72*B77+RTC!$M$73</f>
        <v>0.67655499999999991</v>
      </c>
      <c r="D77" s="1">
        <f>RTC!$N$72*B77+RTC!$N$73</f>
        <v>0.31872499999999993</v>
      </c>
      <c r="E77" s="1">
        <f>RTC!$O$72*B77+RTC!$O$73</f>
        <v>1.3432794394531251</v>
      </c>
      <c r="F77" s="1">
        <f>RTC!$P$72*B77+RTC!$P$73</f>
        <v>0.15810000000000002</v>
      </c>
      <c r="G77" s="1">
        <f>RTC!$Q$72*B77+RTC!$Q$73</f>
        <v>0.73824333333333336</v>
      </c>
      <c r="H77" s="1">
        <f>RTC!$R$72*B77+RTC!$R$73</f>
        <v>2.5167259648437499</v>
      </c>
      <c r="I77" s="1">
        <f>RTC!$S$72*B77+RTC!$S$73</f>
        <v>0.14163833333333334</v>
      </c>
      <c r="J77" s="1">
        <f>RTC!$T$72*B77+RTC!$T$73</f>
        <v>4.4270000000000011E-2</v>
      </c>
      <c r="K77" s="1">
        <f>RTC!$U$72*B77+RTC!$U$73</f>
        <v>0.22456042460937503</v>
      </c>
      <c r="M77" s="1">
        <f>B71</f>
        <v>25</v>
      </c>
      <c r="N77" s="64">
        <f>(客戶R_TC!F45*客戶R_TC!D45/客戶R_TC!E45)+(客戶R_TC!I45*客戶R_TC!G45/客戶R_TC!H45)+(客戶R_TC!L45*客戶R_TC!J45/客戶R_TC!K45)</f>
        <v>3.3184719805132943</v>
      </c>
      <c r="O77" s="1">
        <f>客戶R_TC!F45+客戶R_TC!I45+客戶R_TC!L45</f>
        <v>3.4804108906249995</v>
      </c>
      <c r="P77" s="1">
        <f>(客戶R_TC!L45*(1-客戶R_TC!J45-客戶R_TC!K45)/客戶R_TC!K45)+(客戶R_TC!I45*(1-客戶R_TC!G45-客戶R_TC!H45)/客戶R_TC!H45)+(客戶R_TC!F45*(1-客戶R_TC!D45-客戶R_TC!E45)/客戶R_TC!E45)</f>
        <v>3.8104152266843654</v>
      </c>
      <c r="Q77" s="1">
        <f>N77+O77+P77</f>
        <v>10.609298097822659</v>
      </c>
      <c r="R77" s="1">
        <f>N77/$Q77</f>
        <v>0.31278902241368284</v>
      </c>
      <c r="S77" s="1">
        <f>O77/$Q77</f>
        <v>0.32805288894081336</v>
      </c>
      <c r="Z77" s="112">
        <v>0.31668859832992569</v>
      </c>
      <c r="AA77" s="112">
        <v>0.33401725661706655</v>
      </c>
    </row>
    <row r="78" spans="1:27" ht="16.5" customHeight="1">
      <c r="A78" s="299"/>
      <c r="B78" s="5">
        <f t="shared" ref="B78:B83" si="2">B77+15</f>
        <v>-3</v>
      </c>
      <c r="C78" s="5">
        <f>RTC!$M$72*B78+RTC!$M$73</f>
        <v>0.67977999999999994</v>
      </c>
      <c r="D78" s="1">
        <f>RTC!$N$72*B78+RTC!$N$73</f>
        <v>0.31609999999999994</v>
      </c>
      <c r="E78" s="1">
        <f>RTC!$O$72*B78+RTC!$O$73</f>
        <v>1.221303453125</v>
      </c>
      <c r="F78" s="1">
        <f>RTC!$P$72*B78+RTC!$P$73</f>
        <v>0.16259999999999999</v>
      </c>
      <c r="G78" s="1">
        <f>RTC!$Q$72*B78+RTC!$Q$73</f>
        <v>0.73669333333333342</v>
      </c>
      <c r="H78" s="1">
        <f>RTC!$R$72*B78+RTC!$R$73</f>
        <v>2.4325168437499998</v>
      </c>
      <c r="I78" s="1">
        <f>RTC!$S$72*B78+RTC!$S$73</f>
        <v>0.14061333333333334</v>
      </c>
      <c r="J78" s="1">
        <f>RTC!$T$72*B78+RTC!$T$73</f>
        <v>4.5920000000000009E-2</v>
      </c>
      <c r="K78" s="1">
        <f>RTC!$U$72*B78+RTC!$U$73</f>
        <v>0.21999380937500002</v>
      </c>
      <c r="M78" s="1">
        <f>B72</f>
        <v>85</v>
      </c>
      <c r="N78" s="1">
        <f>(客戶R_TC!F49*客戶R_TC!D49/客戶R_TC!E49)+(客戶R_TC!I49*客戶R_TC!G49/客戶R_TC!H49)+(客戶R_TC!L49*客戶R_TC!J49/客戶R_TC!K49)</f>
        <v>2.1463156647831765</v>
      </c>
      <c r="O78" s="1">
        <f>客戶R_TC!F49+客戶R_TC!I49+客戶R_TC!L49</f>
        <v>2.6374040000000001</v>
      </c>
      <c r="P78" s="1">
        <f>(客戶R_TC!L49*(1-客戶R_TC!J49-客戶R_TC!K49)/客戶R_TC!K49)+(客戶R_TC!I49*(1-客戶R_TC!G49-客戶R_TC!H49)/客戶R_TC!H49)+(客戶R_TC!F49*(1-客戶R_TC!D49-客戶R_TC!E49)/客戶R_TC!E49)</f>
        <v>3.037158466663159</v>
      </c>
      <c r="Q78" s="1">
        <f>N78+O78+P78</f>
        <v>7.8208781314463351</v>
      </c>
      <c r="R78" s="1">
        <f>N78/$Q78</f>
        <v>0.2744341017351018</v>
      </c>
      <c r="S78" s="1">
        <f>O78/$Q78</f>
        <v>0.33722607048375758</v>
      </c>
      <c r="Z78" s="112">
        <v>0.31666372953472588</v>
      </c>
      <c r="AA78" s="112">
        <v>0.33406862830429213</v>
      </c>
    </row>
    <row r="79" spans="1:27" ht="16.5" customHeight="1">
      <c r="A79" s="299"/>
      <c r="B79" s="5">
        <f t="shared" si="2"/>
        <v>12</v>
      </c>
      <c r="C79" s="5">
        <f>RTC!$M$72*B79+RTC!$M$73</f>
        <v>0.68300499999999997</v>
      </c>
      <c r="D79" s="1">
        <f>RTC!$N$72*B79+RTC!$N$73</f>
        <v>0.31347499999999995</v>
      </c>
      <c r="E79" s="1">
        <f>RTC!$O$72*B79+RTC!$O$73</f>
        <v>1.0993274667968751</v>
      </c>
      <c r="F79" s="1">
        <f>RTC!$P$72*B79+RTC!$P$73</f>
        <v>0.1671</v>
      </c>
      <c r="G79" s="1">
        <f>RTC!$Q$72*B79+RTC!$Q$73</f>
        <v>0.73514333333333337</v>
      </c>
      <c r="H79" s="1">
        <f>RTC!$R$72*B79+RTC!$R$73</f>
        <v>2.3483077226562497</v>
      </c>
      <c r="I79" s="1">
        <f>RTC!$S$72*B79+RTC!$S$73</f>
        <v>0.13958833333333334</v>
      </c>
      <c r="J79" s="1">
        <f>RTC!$T$72*B79+RTC!$T$73</f>
        <v>4.7570000000000008E-2</v>
      </c>
      <c r="K79" s="1">
        <f>RTC!$U$72*B79+RTC!$U$73</f>
        <v>0.21542719414062503</v>
      </c>
      <c r="Z79" s="112">
        <v>0.31663765334911231</v>
      </c>
      <c r="AA79" s="112">
        <v>0.33411845603823526</v>
      </c>
    </row>
    <row r="80" spans="1:27" ht="16.5" customHeight="1">
      <c r="A80" s="299"/>
      <c r="B80" s="5">
        <v>25</v>
      </c>
      <c r="C80" s="5">
        <f>RTC!$M$72*B80+RTC!$M$73</f>
        <v>0.68579999999999997</v>
      </c>
      <c r="D80" s="1">
        <f>RTC!$N$72*B80+RTC!$N$73</f>
        <v>0.31119999999999998</v>
      </c>
      <c r="E80" s="53">
        <f>RTC!$O$72*B80+RTC!$O$73</f>
        <v>0.99361494531250005</v>
      </c>
      <c r="F80" s="1">
        <f>RTC!$P$72*B80+RTC!$P$73</f>
        <v>0.17100000000000001</v>
      </c>
      <c r="G80" s="1">
        <f>RTC!$Q$72*B80+RTC!$Q$73</f>
        <v>0.73380000000000001</v>
      </c>
      <c r="H80" s="1">
        <f>RTC!$R$72*B80+RTC!$R$73</f>
        <v>2.2753264843749998</v>
      </c>
      <c r="I80" s="1">
        <f>RTC!$S$72*B80+RTC!$S$73</f>
        <v>0.13869999999999999</v>
      </c>
      <c r="J80" s="1">
        <f>RTC!$T$72*B80+RTC!$T$73</f>
        <v>4.9000000000000002E-2</v>
      </c>
      <c r="K80" s="1">
        <f>RTC!$U$72*B80+RTC!$U$73</f>
        <v>0.21146946093750002</v>
      </c>
      <c r="Z80" s="112">
        <v>0.31661037771614364</v>
      </c>
      <c r="AA80" s="112">
        <v>0.33416672464088554</v>
      </c>
    </row>
    <row r="81" spans="1:27" ht="16.5" customHeight="1">
      <c r="A81" s="299"/>
      <c r="B81" s="5">
        <f>B80+17</f>
        <v>42</v>
      </c>
      <c r="C81" s="5">
        <f>RTC!$M$72*B81+RTC!$M$73</f>
        <v>0.68945499999999993</v>
      </c>
      <c r="D81" s="1">
        <f>RTC!$N$72*B81+RTC!$N$73</f>
        <v>0.30822499999999997</v>
      </c>
      <c r="E81" s="53">
        <f>RTC!$O$72*B81+RTC!$O$73</f>
        <v>0.85537549414062508</v>
      </c>
      <c r="F81" s="1">
        <f>RTC!$P$72*B81+RTC!$P$73</f>
        <v>0.17610000000000001</v>
      </c>
      <c r="G81" s="1">
        <f>RTC!$Q$72*B81+RTC!$Q$73</f>
        <v>0.73204333333333338</v>
      </c>
      <c r="H81" s="1">
        <f>RTC!$R$72*B81+RTC!$R$73</f>
        <v>2.1798894804687499</v>
      </c>
      <c r="I81" s="1">
        <f>RTC!$S$72*B81+RTC!$S$73</f>
        <v>0.13753833333333335</v>
      </c>
      <c r="J81" s="1">
        <f>RTC!$T$72*B81+RTC!$T$73</f>
        <v>5.0870000000000005E-2</v>
      </c>
      <c r="K81" s="1">
        <f>RTC!$U$72*B81+RTC!$U$73</f>
        <v>0.20629396367187502</v>
      </c>
      <c r="Z81" s="112">
        <v>0.31658191094424198</v>
      </c>
      <c r="AA81" s="112">
        <v>0.33421341940915905</v>
      </c>
    </row>
    <row r="82" spans="1:27" ht="16.5" customHeight="1">
      <c r="A82" s="299"/>
      <c r="B82" s="5">
        <f t="shared" si="2"/>
        <v>57</v>
      </c>
      <c r="C82" s="5">
        <f>RTC!$M$72*B82+RTC!$M$73</f>
        <v>0.69267999999999996</v>
      </c>
      <c r="D82" s="1">
        <f>RTC!$N$72*B82+RTC!$N$73</f>
        <v>0.30559999999999998</v>
      </c>
      <c r="E82" s="53">
        <f>RTC!$O$72*B82+RTC!$O$73</f>
        <v>0.73339950781249996</v>
      </c>
      <c r="F82" s="1">
        <f>RTC!$P$72*B82+RTC!$P$73</f>
        <v>0.18059999999999998</v>
      </c>
      <c r="G82" s="1">
        <f>RTC!$Q$72*B82+RTC!$Q$73</f>
        <v>0.73049333333333344</v>
      </c>
      <c r="H82" s="1">
        <f>RTC!$R$72*B82+RTC!$R$73</f>
        <v>2.0956803593749997</v>
      </c>
      <c r="I82" s="1">
        <f>RTC!$S$72*B82+RTC!$S$73</f>
        <v>0.13651333333333335</v>
      </c>
      <c r="J82" s="1">
        <f>RTC!$T$72*B82+RTC!$T$73</f>
        <v>5.2520000000000004E-2</v>
      </c>
      <c r="K82" s="1">
        <f>RTC!$U$72*B82+RTC!$U$73</f>
        <v>0.20172734843750001</v>
      </c>
      <c r="Z82" s="112">
        <v>0.31655226170466177</v>
      </c>
      <c r="AA82" s="112">
        <v>0.33425852611937701</v>
      </c>
    </row>
    <row r="83" spans="1:27" ht="16.5" customHeight="1">
      <c r="A83" s="299"/>
      <c r="B83" s="5">
        <f t="shared" si="2"/>
        <v>72</v>
      </c>
      <c r="C83" s="5">
        <f>RTC!$M$72*B83+RTC!$M$73</f>
        <v>0.695905</v>
      </c>
      <c r="D83" s="1">
        <f>RTC!$N$72*B83+RTC!$N$73</f>
        <v>0.30297499999999999</v>
      </c>
      <c r="E83" s="53">
        <f>RTC!$O$72*B83+RTC!$O$73</f>
        <v>0.61142352148437507</v>
      </c>
      <c r="F83" s="1">
        <f>RTC!$P$72*B83+RTC!$P$73</f>
        <v>0.18509999999999999</v>
      </c>
      <c r="G83" s="1">
        <f>RTC!$Q$72*B83+RTC!$Q$73</f>
        <v>0.72894333333333339</v>
      </c>
      <c r="H83" s="1">
        <f>RTC!$R$72*B83+RTC!$R$73</f>
        <v>2.0114712382812501</v>
      </c>
      <c r="I83" s="1">
        <f>RTC!$S$72*B83+RTC!$S$73</f>
        <v>0.13548833333333335</v>
      </c>
      <c r="J83" s="1">
        <f>RTC!$T$72*B83+RTC!$T$73</f>
        <v>5.4169999999999996E-2</v>
      </c>
      <c r="K83" s="1">
        <f>RTC!$U$72*B83+RTC!$U$73</f>
        <v>0.19716073320312499</v>
      </c>
      <c r="Z83" s="112">
        <v>0.31652143902884866</v>
      </c>
      <c r="AA83" s="112">
        <v>0.3343020310315985</v>
      </c>
    </row>
    <row r="84" spans="1:27" ht="16.5" customHeight="1">
      <c r="A84" s="299"/>
      <c r="B84" s="5">
        <f>B72</f>
        <v>85</v>
      </c>
      <c r="C84" s="5">
        <f>RTC!$M$72*B84+RTC!$M$73</f>
        <v>0.69869999999999999</v>
      </c>
      <c r="D84" s="1">
        <f>RTC!$N$72*B84+RTC!$N$73</f>
        <v>0.30070000000000002</v>
      </c>
      <c r="E84" s="53">
        <f>RTC!$O$72*B84+RTC!$O$73</f>
        <v>0.50571100000000002</v>
      </c>
      <c r="F84" s="1">
        <f>RTC!$P$72*B84+RTC!$P$73</f>
        <v>0.189</v>
      </c>
      <c r="G84" s="1">
        <f>RTC!$Q$72*B84+RTC!$Q$73</f>
        <v>0.72760000000000002</v>
      </c>
      <c r="H84" s="1">
        <f>RTC!$R$72*B84+RTC!$R$73</f>
        <v>1.93849</v>
      </c>
      <c r="I84" s="1">
        <f>RTC!$S$72*B84+RTC!$S$73</f>
        <v>0.1346</v>
      </c>
      <c r="J84" s="1">
        <f>RTC!$T$72*B84+RTC!$T$73</f>
        <v>5.5599999999999997E-2</v>
      </c>
      <c r="K84" s="1">
        <f>RTC!$U$72*B84+RTC!$U$73</f>
        <v>0.19320300000000001</v>
      </c>
      <c r="O84" s="51"/>
      <c r="Z84" s="112">
        <v>0.3164894523056882</v>
      </c>
      <c r="AA84" s="112">
        <v>0.33434392089380588</v>
      </c>
    </row>
    <row r="85" spans="1:27" ht="17.25" customHeight="1">
      <c r="A85" s="299"/>
      <c r="B85" s="54">
        <v>102</v>
      </c>
      <c r="C85" s="5">
        <f>RTC!$M$72*B85+RTC!$M$73</f>
        <v>0.70235499999999995</v>
      </c>
      <c r="D85" s="1">
        <f>RTC!$N$72*B85+RTC!$N$73</f>
        <v>0.29772500000000002</v>
      </c>
      <c r="E85" s="53">
        <f>RTC!$O$72*B85+RTC!$O$73</f>
        <v>0.36747154882812494</v>
      </c>
      <c r="F85" s="1">
        <f>RTC!$P$72*B85+RTC!$P$73</f>
        <v>0.19409999999999999</v>
      </c>
      <c r="G85" s="1">
        <f>RTC!$Q$72*B85+RTC!$Q$73</f>
        <v>0.7258433333333334</v>
      </c>
      <c r="H85" s="1">
        <f>RTC!$R$72*B85+RTC!$R$73</f>
        <v>1.8430529960937501</v>
      </c>
      <c r="I85" s="1">
        <f>RTC!$S$72*B85+RTC!$S$73</f>
        <v>0.13343833333333335</v>
      </c>
      <c r="J85" s="1">
        <f>RTC!$T$72*B85+RTC!$T$73</f>
        <v>5.7469999999999993E-2</v>
      </c>
      <c r="K85" s="1">
        <f>RTC!$U$72*B85+RTC!$U$73</f>
        <v>0.18802750273437502</v>
      </c>
      <c r="Z85" s="112">
        <v>0.31645631127864626</v>
      </c>
      <c r="AA85" s="112">
        <v>0.33438418294594124</v>
      </c>
    </row>
    <row r="86" spans="1:27" ht="17.25" customHeight="1">
      <c r="A86" s="299"/>
      <c r="B86" s="54">
        <v>117</v>
      </c>
      <c r="C86" s="5">
        <f>RTC!$M$72*B86+RTC!$M$73</f>
        <v>0.70557999999999998</v>
      </c>
      <c r="D86" s="1">
        <f>RTC!$N$72*B86+RTC!$N$73</f>
        <v>0.29510000000000003</v>
      </c>
      <c r="E86" s="1">
        <f>RTC!$O$72*B86+RTC!$O$73</f>
        <v>0.24549556249999993</v>
      </c>
      <c r="F86" s="1">
        <f>RTC!$P$72*B86+RTC!$P$73</f>
        <v>0.1986</v>
      </c>
      <c r="G86" s="1">
        <f>RTC!$Q$72*B86+RTC!$Q$73</f>
        <v>0.72429333333333346</v>
      </c>
      <c r="H86" s="1">
        <f>RTC!$R$72*B86+RTC!$R$73</f>
        <v>1.7588438750000002</v>
      </c>
      <c r="I86" s="1">
        <f>RTC!$S$72*B86+RTC!$S$73</f>
        <v>0.13241333333333336</v>
      </c>
      <c r="J86" s="1">
        <f>RTC!$T$72*B86+RTC!$T$73</f>
        <v>5.9119999999999992E-2</v>
      </c>
      <c r="K86" s="1">
        <f>RTC!$U$72*B86+RTC!$U$73</f>
        <v>0.1834608875</v>
      </c>
      <c r="Z86" s="112">
        <v>0.31642202604280056</v>
      </c>
      <c r="AA86" s="112">
        <v>0.3344228049237935</v>
      </c>
    </row>
    <row r="87" spans="1:27" ht="17.25" customHeight="1" thickBot="1">
      <c r="A87" s="299"/>
      <c r="B87" s="81">
        <v>132</v>
      </c>
      <c r="C87" s="5">
        <f>RTC!$M$72*B87+RTC!$M$73</f>
        <v>0.70880500000000002</v>
      </c>
      <c r="D87" s="1">
        <f>RTC!$N$72*B87+RTC!$N$73</f>
        <v>0.29247500000000004</v>
      </c>
      <c r="E87" s="1">
        <f>RTC!$O$72*B87+RTC!$O$73</f>
        <v>0.12351957617187503</v>
      </c>
      <c r="F87" s="1">
        <f>RTC!$P$72*B87+RTC!$P$73</f>
        <v>0.20309999999999997</v>
      </c>
      <c r="G87" s="1">
        <f>RTC!$Q$72*B87+RTC!$Q$73</f>
        <v>0.7227433333333334</v>
      </c>
      <c r="H87" s="1">
        <f>RTC!$R$72*B87+RTC!$R$73</f>
        <v>1.6746347539062501</v>
      </c>
      <c r="I87" s="1">
        <f>RTC!$S$72*B87+RTC!$S$73</f>
        <v>0.13138833333333336</v>
      </c>
      <c r="J87" s="1">
        <f>RTC!$T$72*B87+RTC!$T$73</f>
        <v>6.0769999999999991E-2</v>
      </c>
      <c r="K87" s="1">
        <f>RTC!$U$72*B87+RTC!$U$73</f>
        <v>0.17889427226562499</v>
      </c>
      <c r="Z87" s="112">
        <v>0.31638660704176619</v>
      </c>
      <c r="AA87" s="112">
        <v>0.33445977506273411</v>
      </c>
    </row>
    <row r="88" spans="1:27" ht="16.5" customHeight="1">
      <c r="A88" s="299"/>
      <c r="Z88" s="112">
        <v>0.31635006506451391</v>
      </c>
      <c r="AA88" s="112">
        <v>0.33449508210130058</v>
      </c>
    </row>
    <row r="89" spans="1:27" ht="16.5" customHeight="1">
      <c r="A89" s="299"/>
      <c r="Z89" s="112">
        <v>0.31631241124208404</v>
      </c>
      <c r="AA89" s="112">
        <v>0.33452871528462691</v>
      </c>
    </row>
    <row r="90" spans="1:27" ht="16.5" customHeight="1">
      <c r="A90" s="299"/>
      <c r="Z90" s="112">
        <v>0.31627365704419558</v>
      </c>
      <c r="AA90" s="112">
        <v>0.3345606643677197</v>
      </c>
    </row>
    <row r="91" spans="1:27" ht="16.5" customHeight="1">
      <c r="A91" s="299"/>
      <c r="Z91" s="112">
        <v>0.31623381427575264</v>
      </c>
      <c r="AA91" s="112">
        <v>0.33459091961857873</v>
      </c>
    </row>
    <row r="92" spans="1:27" ht="16.5" customHeight="1">
      <c r="A92" s="299"/>
      <c r="Z92" s="112">
        <v>0.31619289507324855</v>
      </c>
      <c r="AA92" s="112">
        <v>0.33461947182116147</v>
      </c>
    </row>
    <row r="93" spans="1:27" ht="16.5" customHeight="1">
      <c r="A93" s="299"/>
      <c r="Z93" s="112">
        <v>0.31615091190106864</v>
      </c>
      <c r="AA93" s="112">
        <v>0.33464631227819047</v>
      </c>
    </row>
    <row r="94" spans="1:27" ht="16.5" customHeight="1">
      <c r="A94" s="299"/>
      <c r="B94" s="321" t="s">
        <v>16</v>
      </c>
      <c r="J94" s="46" t="s">
        <v>17</v>
      </c>
      <c r="K94" s="46" t="s">
        <v>18</v>
      </c>
      <c r="L94" s="46" t="s">
        <v>19</v>
      </c>
      <c r="M94" s="46" t="s">
        <v>20</v>
      </c>
      <c r="N94" s="46" t="s">
        <v>21</v>
      </c>
      <c r="O94" s="46" t="s">
        <v>22</v>
      </c>
      <c r="P94" s="46" t="s">
        <v>23</v>
      </c>
      <c r="Q94" s="46" t="s">
        <v>24</v>
      </c>
      <c r="R94" s="46" t="s">
        <v>25</v>
      </c>
      <c r="S94" s="47" t="s">
        <v>26</v>
      </c>
      <c r="T94" s="47" t="s">
        <v>27</v>
      </c>
      <c r="U94" s="47" t="s">
        <v>28</v>
      </c>
      <c r="V94" s="47" t="s">
        <v>29</v>
      </c>
      <c r="Z94" s="112">
        <v>0.31610787754769398</v>
      </c>
      <c r="AA94" s="112">
        <v>0.33467143281380246</v>
      </c>
    </row>
    <row r="95" spans="1:27" ht="16.5" customHeight="1">
      <c r="A95" s="299"/>
      <c r="B95" s="322"/>
      <c r="C95" s="104" t="s">
        <v>10</v>
      </c>
      <c r="D95" s="104" t="s">
        <v>11</v>
      </c>
      <c r="E95" s="105" t="s">
        <v>12</v>
      </c>
      <c r="F95" s="46" t="s">
        <v>13</v>
      </c>
      <c r="G95" s="46" t="s">
        <v>14</v>
      </c>
      <c r="H95" s="46" t="s">
        <v>15</v>
      </c>
      <c r="I95" s="46" t="s">
        <v>107</v>
      </c>
      <c r="J95" s="21" t="s">
        <v>30</v>
      </c>
      <c r="K95" s="21" t="s">
        <v>31</v>
      </c>
      <c r="L95" s="21" t="s">
        <v>32</v>
      </c>
      <c r="M95" s="21" t="s">
        <v>33</v>
      </c>
      <c r="N95" s="21" t="s">
        <v>34</v>
      </c>
      <c r="O95" s="21" t="s">
        <v>35</v>
      </c>
      <c r="P95" s="21"/>
      <c r="Q95" s="21"/>
      <c r="R95" s="21"/>
      <c r="S95" s="22"/>
      <c r="T95" s="22"/>
      <c r="U95" s="22"/>
      <c r="V95" s="22"/>
      <c r="Z95" s="112">
        <v>0.31606380512180543</v>
      </c>
      <c r="AA95" s="112">
        <v>0.33469482577603893</v>
      </c>
    </row>
    <row r="96" spans="1:27" ht="16.5" customHeight="1">
      <c r="A96" s="299"/>
      <c r="B96" s="5">
        <f t="shared" ref="B96:B107" si="3">B76</f>
        <v>-33</v>
      </c>
      <c r="C96" s="1">
        <f t="shared" ref="C96:C107" si="4">$C$57</f>
        <v>0.313</v>
      </c>
      <c r="D96" s="1">
        <f t="shared" ref="D96:D107" si="5">$D$57</f>
        <v>0.32800000000000001</v>
      </c>
      <c r="E96" s="45"/>
      <c r="F96" s="45"/>
      <c r="G96" s="45"/>
      <c r="H96" s="45"/>
      <c r="I96" s="45">
        <f t="shared" ref="I96:I107" si="6">C96/D96</f>
        <v>0.95426829268292679</v>
      </c>
      <c r="J96" s="1">
        <f t="shared" ref="J96:J107" si="7">C76/D76</f>
        <v>2.0953166329547228</v>
      </c>
      <c r="K96" s="1">
        <f t="shared" ref="K96:K107" si="8">F76/G76</f>
        <v>0.20762555308239239</v>
      </c>
      <c r="L96" s="1">
        <f t="shared" ref="L96:L107" si="9">I76/J76</f>
        <v>3.3473330204911615</v>
      </c>
      <c r="M96" s="1"/>
      <c r="N96" s="1"/>
      <c r="O96" s="1"/>
      <c r="P96" s="1"/>
      <c r="Q96" s="1"/>
      <c r="R96" s="1"/>
      <c r="S96" s="97"/>
      <c r="T96" s="97"/>
      <c r="U96" s="53">
        <f t="shared" ref="U96:U107" si="10">H76</f>
        <v>2.6009350859374996</v>
      </c>
      <c r="V96" s="53">
        <f t="shared" ref="V96:V107" si="11">K76</f>
        <v>0.22912703984375002</v>
      </c>
      <c r="Z96" s="112">
        <v>0.31601870804829091</v>
      </c>
      <c r="AA96" s="112">
        <v>0.33471648403917703</v>
      </c>
    </row>
    <row r="97" spans="1:27" ht="16.5" customHeight="1">
      <c r="A97" s="299"/>
      <c r="B97" s="5">
        <f t="shared" si="3"/>
        <v>-18</v>
      </c>
      <c r="C97" s="1">
        <f t="shared" si="4"/>
        <v>0.313</v>
      </c>
      <c r="D97" s="1">
        <f t="shared" si="5"/>
        <v>0.32800000000000001</v>
      </c>
      <c r="E97" s="45"/>
      <c r="F97" s="45"/>
      <c r="G97" s="45"/>
      <c r="H97" s="45"/>
      <c r="I97" s="45">
        <f t="shared" si="6"/>
        <v>0.95426829268292679</v>
      </c>
      <c r="J97" s="1">
        <f t="shared" si="7"/>
        <v>2.1226919758412426</v>
      </c>
      <c r="K97" s="1">
        <f t="shared" si="8"/>
        <v>0.21415703042808831</v>
      </c>
      <c r="L97" s="1">
        <f t="shared" si="9"/>
        <v>3.1994202243806935</v>
      </c>
      <c r="M97" s="1"/>
      <c r="N97" s="1"/>
      <c r="O97" s="1"/>
      <c r="P97" s="1"/>
      <c r="Q97" s="1"/>
      <c r="R97" s="1"/>
      <c r="S97" s="97"/>
      <c r="T97" s="97"/>
      <c r="U97" s="53">
        <f t="shared" si="10"/>
        <v>2.5167259648437499</v>
      </c>
      <c r="V97" s="53">
        <f t="shared" si="11"/>
        <v>0.22456042460937503</v>
      </c>
      <c r="Z97" s="112">
        <v>0.31597260006415578</v>
      </c>
      <c r="AA97" s="112">
        <v>0.33473640100589996</v>
      </c>
    </row>
    <row r="98" spans="1:27" ht="16.5" customHeight="1">
      <c r="A98" s="299"/>
      <c r="B98" s="5">
        <f t="shared" si="3"/>
        <v>-3</v>
      </c>
      <c r="C98" s="1">
        <f t="shared" si="4"/>
        <v>0.313</v>
      </c>
      <c r="D98" s="1">
        <f t="shared" si="5"/>
        <v>0.32800000000000001</v>
      </c>
      <c r="E98" s="45"/>
      <c r="F98" s="45"/>
      <c r="G98" s="45"/>
      <c r="H98" s="45"/>
      <c r="I98" s="45">
        <f t="shared" si="6"/>
        <v>0.95426829268292679</v>
      </c>
      <c r="J98" s="1">
        <f t="shared" si="7"/>
        <v>2.1505219867130658</v>
      </c>
      <c r="K98" s="1">
        <f t="shared" si="8"/>
        <v>0.22071599218127846</v>
      </c>
      <c r="L98" s="1">
        <f t="shared" si="9"/>
        <v>3.0621370499419274</v>
      </c>
      <c r="M98" s="1"/>
      <c r="N98" s="1"/>
      <c r="O98" s="1"/>
      <c r="P98" s="1"/>
      <c r="Q98" s="1"/>
      <c r="R98" s="1"/>
      <c r="S98" s="97"/>
      <c r="T98" s="97"/>
      <c r="U98" s="53">
        <f t="shared" si="10"/>
        <v>2.4325168437499998</v>
      </c>
      <c r="V98" s="53">
        <f t="shared" si="11"/>
        <v>0.21999380937500002</v>
      </c>
      <c r="Z98" s="112">
        <v>0.31592549521433871</v>
      </c>
      <c r="AA98" s="112">
        <v>0.33475457060930675</v>
      </c>
    </row>
    <row r="99" spans="1:27" ht="16.5" customHeight="1">
      <c r="A99" s="299"/>
      <c r="B99" s="5">
        <f t="shared" si="3"/>
        <v>12</v>
      </c>
      <c r="C99" s="1">
        <f t="shared" si="4"/>
        <v>0.313</v>
      </c>
      <c r="D99" s="1">
        <f t="shared" si="5"/>
        <v>0.32800000000000001</v>
      </c>
      <c r="E99" s="45"/>
      <c r="F99" s="45"/>
      <c r="G99" s="45"/>
      <c r="H99" s="45"/>
      <c r="I99" s="45">
        <f t="shared" si="6"/>
        <v>0.95426829268292679</v>
      </c>
      <c r="J99" s="1">
        <f t="shared" si="7"/>
        <v>2.1788180875667917</v>
      </c>
      <c r="K99" s="1">
        <f t="shared" si="8"/>
        <v>0.22730261218900621</v>
      </c>
      <c r="L99" s="1">
        <f t="shared" si="9"/>
        <v>2.9343774087309926</v>
      </c>
      <c r="M99" s="1"/>
      <c r="N99" s="1"/>
      <c r="O99" s="1"/>
      <c r="P99" s="1"/>
      <c r="Q99" s="1"/>
      <c r="R99" s="1"/>
      <c r="S99" s="97"/>
      <c r="T99" s="97"/>
      <c r="U99" s="53">
        <f t="shared" si="10"/>
        <v>2.3483077226562497</v>
      </c>
      <c r="V99" s="53">
        <f t="shared" si="11"/>
        <v>0.21542719414062503</v>
      </c>
      <c r="Z99" s="112">
        <v>0.31587740784743329</v>
      </c>
      <c r="AA99" s="112">
        <v>0.33477098731476013</v>
      </c>
    </row>
    <row r="100" spans="1:27" ht="16.5" customHeight="1">
      <c r="A100" s="299"/>
      <c r="B100" s="5">
        <f t="shared" si="3"/>
        <v>25</v>
      </c>
      <c r="C100" s="1">
        <f>$C$57</f>
        <v>0.313</v>
      </c>
      <c r="D100" s="1">
        <f>$D$57</f>
        <v>0.32800000000000001</v>
      </c>
      <c r="E100" s="1">
        <f>$E$57</f>
        <v>3.4816499999999997</v>
      </c>
      <c r="F100" s="1">
        <f>E100*C100/D100</f>
        <v>3.3224282012195117</v>
      </c>
      <c r="G100" s="1">
        <f>E100</f>
        <v>3.4816499999999997</v>
      </c>
      <c r="H100" s="1">
        <f>E100*(1-C100-D100)/D100</f>
        <v>3.8107083841463414</v>
      </c>
      <c r="I100" s="45">
        <f>C100/D100</f>
        <v>0.95426829268292679</v>
      </c>
      <c r="J100" s="1">
        <f t="shared" si="7"/>
        <v>2.2037275064267354</v>
      </c>
      <c r="K100" s="1">
        <f t="shared" si="8"/>
        <v>0.23303352412101391</v>
      </c>
      <c r="L100" s="1">
        <f t="shared" si="9"/>
        <v>2.8306122448979587</v>
      </c>
      <c r="M100" s="1">
        <f>(1-C80-D80)/D80</f>
        <v>9.6401028277636833E-3</v>
      </c>
      <c r="N100" s="1">
        <f>(1-F80-G80)/G80</f>
        <v>0.12973562278550008</v>
      </c>
      <c r="O100" s="1">
        <f>(1-I80-J80)/J80</f>
        <v>16.577551020408162</v>
      </c>
      <c r="P100" s="1">
        <f>J100*O100+L100*N100+K100*M100-L100*M100-K100*O100-J100*N100</f>
        <v>32.725568393273235</v>
      </c>
      <c r="Q100" s="1">
        <f>O100*F100+L100*N100*G100+H100*K100-L100*H100-K100*O100*G100-N100*F100</f>
        <v>32.576591742768727</v>
      </c>
      <c r="R100" s="1">
        <f>J100*O100*G100+M100*F100+L100*H100-L100*M100*G100-F100*O100-J100*H100</f>
        <v>74.441223778824337</v>
      </c>
      <c r="S100" s="1">
        <f>J100*H100+N100*F100+K100*M100*G100-M100*F100-K100*H100-J100*N100*G100</f>
        <v>6.9211596748466508</v>
      </c>
      <c r="T100" s="1">
        <f>Q100/P100</f>
        <v>0.99544769860941118</v>
      </c>
      <c r="U100" s="53">
        <f>H80</f>
        <v>2.2753264843749998</v>
      </c>
      <c r="V100" s="53">
        <f t="shared" si="11"/>
        <v>0.21146946093750002</v>
      </c>
      <c r="Z100" s="112">
        <v>0.31582835261131731</v>
      </c>
      <c r="AA100" s="112">
        <v>0.33478564612157269</v>
      </c>
    </row>
    <row r="101" spans="1:27" ht="16.5" customHeight="1">
      <c r="A101" s="299"/>
      <c r="B101" s="5">
        <f t="shared" si="3"/>
        <v>42</v>
      </c>
      <c r="C101" s="1">
        <f t="shared" si="4"/>
        <v>0.313</v>
      </c>
      <c r="D101" s="1">
        <f t="shared" si="5"/>
        <v>0.32800000000000001</v>
      </c>
      <c r="E101" s="45"/>
      <c r="F101" s="45"/>
      <c r="G101" s="45"/>
      <c r="H101" s="45"/>
      <c r="I101" s="45">
        <f t="shared" si="6"/>
        <v>0.95426829268292679</v>
      </c>
      <c r="J101" s="1">
        <f t="shared" si="7"/>
        <v>2.2368561927163597</v>
      </c>
      <c r="K101" s="1">
        <f t="shared" si="8"/>
        <v>0.24055952971818609</v>
      </c>
      <c r="L101" s="1">
        <f t="shared" si="9"/>
        <v>2.7037219055107791</v>
      </c>
      <c r="M101" s="1"/>
      <c r="N101" s="1"/>
      <c r="O101" s="1"/>
      <c r="P101" s="1"/>
      <c r="Q101" s="1"/>
      <c r="R101" s="1"/>
      <c r="S101" s="1"/>
      <c r="T101" s="1"/>
      <c r="U101" s="53">
        <f t="shared" si="10"/>
        <v>2.1798894804687499</v>
      </c>
      <c r="V101" s="53">
        <f t="shared" si="11"/>
        <v>0.20629396367187502</v>
      </c>
      <c r="Z101" s="112">
        <v>0.31577834444869091</v>
      </c>
      <c r="AA101" s="112">
        <v>0.33479854256452973</v>
      </c>
    </row>
    <row r="102" spans="1:27" ht="16.5" customHeight="1">
      <c r="A102" s="299"/>
      <c r="B102" s="5">
        <f t="shared" si="3"/>
        <v>57</v>
      </c>
      <c r="C102" s="1">
        <f t="shared" si="4"/>
        <v>0.313</v>
      </c>
      <c r="D102" s="1">
        <f t="shared" si="5"/>
        <v>0.32800000000000001</v>
      </c>
      <c r="E102" s="45"/>
      <c r="F102" s="45"/>
      <c r="G102" s="45"/>
      <c r="H102" s="45"/>
      <c r="I102" s="45">
        <f t="shared" si="6"/>
        <v>0.95426829268292679</v>
      </c>
      <c r="J102" s="1">
        <f t="shared" si="7"/>
        <v>2.2666230366492148</v>
      </c>
      <c r="K102" s="1">
        <f t="shared" si="8"/>
        <v>0.24723018234252644</v>
      </c>
      <c r="L102" s="1">
        <f t="shared" si="9"/>
        <v>2.5992637725310992</v>
      </c>
      <c r="M102" s="1"/>
      <c r="N102" s="1"/>
      <c r="O102" s="1"/>
      <c r="P102" s="1"/>
      <c r="Q102" s="1"/>
      <c r="R102" s="1"/>
      <c r="S102" s="1"/>
      <c r="T102" s="1"/>
      <c r="U102" s="53">
        <f t="shared" si="10"/>
        <v>2.0956803593749997</v>
      </c>
      <c r="V102" s="53">
        <f t="shared" si="11"/>
        <v>0.20172734843750001</v>
      </c>
      <c r="Z102" s="112">
        <v>0.3157273985925248</v>
      </c>
      <c r="AA102" s="112">
        <v>0.33480967271524992</v>
      </c>
    </row>
    <row r="103" spans="1:27" ht="16.5" customHeight="1">
      <c r="A103" s="299"/>
      <c r="B103" s="5">
        <f t="shared" si="3"/>
        <v>72</v>
      </c>
      <c r="C103" s="1">
        <f t="shared" si="4"/>
        <v>0.313</v>
      </c>
      <c r="D103" s="1">
        <f t="shared" si="5"/>
        <v>0.32800000000000001</v>
      </c>
      <c r="E103" s="45"/>
      <c r="F103" s="45"/>
      <c r="G103" s="45"/>
      <c r="H103" s="45"/>
      <c r="I103" s="45">
        <f t="shared" si="6"/>
        <v>0.95426829268292679</v>
      </c>
      <c r="J103" s="1">
        <f t="shared" si="7"/>
        <v>2.2969056852875651</v>
      </c>
      <c r="K103" s="1">
        <f t="shared" si="8"/>
        <v>0.25392920345888792</v>
      </c>
      <c r="L103" s="1">
        <f t="shared" si="9"/>
        <v>2.5011691588209963</v>
      </c>
      <c r="M103" s="1"/>
      <c r="N103" s="1"/>
      <c r="O103" s="1"/>
      <c r="P103" s="1"/>
      <c r="Q103" s="1"/>
      <c r="R103" s="1"/>
      <c r="S103" s="1"/>
      <c r="T103" s="1"/>
      <c r="U103" s="53">
        <f t="shared" si="10"/>
        <v>2.0114712382812501</v>
      </c>
      <c r="V103" s="53">
        <f t="shared" si="11"/>
        <v>0.19716073320312499</v>
      </c>
      <c r="Z103" s="112">
        <v>0.31567553056142039</v>
      </c>
      <c r="AA103" s="112">
        <v>0.33481903318338146</v>
      </c>
    </row>
    <row r="104" spans="1:27" ht="16.5" customHeight="1">
      <c r="A104" s="299"/>
      <c r="B104" s="5">
        <f t="shared" si="3"/>
        <v>85</v>
      </c>
      <c r="C104" s="1">
        <f t="shared" si="4"/>
        <v>0.313</v>
      </c>
      <c r="D104" s="1">
        <f t="shared" si="5"/>
        <v>0.32800000000000001</v>
      </c>
      <c r="E104" s="45"/>
      <c r="F104" s="45"/>
      <c r="G104" s="45"/>
      <c r="H104" s="45"/>
      <c r="I104" s="45">
        <f t="shared" si="6"/>
        <v>0.95426829268292679</v>
      </c>
      <c r="J104" s="1">
        <f t="shared" si="7"/>
        <v>2.3235783172597273</v>
      </c>
      <c r="K104" s="1">
        <f t="shared" si="8"/>
        <v>0.25975810885101702</v>
      </c>
      <c r="L104" s="1">
        <f t="shared" si="9"/>
        <v>2.420863309352518</v>
      </c>
      <c r="M104" s="1"/>
      <c r="N104" s="1"/>
      <c r="O104" s="1"/>
      <c r="P104" s="1"/>
      <c r="Q104" s="1"/>
      <c r="R104" s="1"/>
      <c r="S104" s="1"/>
      <c r="T104" s="1"/>
      <c r="U104" s="53">
        <f t="shared" si="10"/>
        <v>1.93849</v>
      </c>
      <c r="V104" s="53">
        <f t="shared" si="11"/>
        <v>0.19320300000000001</v>
      </c>
      <c r="Z104" s="112">
        <v>0.31562275615488233</v>
      </c>
      <c r="AA104" s="112">
        <v>0.33482662111763511</v>
      </c>
    </row>
    <row r="105" spans="1:27" ht="16.5" customHeight="1">
      <c r="A105" s="299"/>
      <c r="B105" s="5">
        <f t="shared" si="3"/>
        <v>102</v>
      </c>
      <c r="C105" s="1">
        <f t="shared" si="4"/>
        <v>0.313</v>
      </c>
      <c r="D105" s="1">
        <f t="shared" si="5"/>
        <v>0.32800000000000001</v>
      </c>
      <c r="E105" s="45"/>
      <c r="F105" s="45"/>
      <c r="G105" s="45"/>
      <c r="H105" s="45"/>
      <c r="I105" s="45">
        <f t="shared" si="6"/>
        <v>0.95426829268292679</v>
      </c>
      <c r="J105" s="1">
        <f t="shared" si="7"/>
        <v>2.3590729700226718</v>
      </c>
      <c r="K105" s="1">
        <f t="shared" si="8"/>
        <v>0.26741307812062287</v>
      </c>
      <c r="L105" s="1">
        <f t="shared" si="9"/>
        <v>2.3218780813177897</v>
      </c>
      <c r="M105" s="1"/>
      <c r="N105" s="1"/>
      <c r="O105" s="1"/>
      <c r="P105" s="1"/>
      <c r="Q105" s="1"/>
      <c r="R105" s="1"/>
      <c r="S105" s="1"/>
      <c r="T105" s="1"/>
      <c r="U105" s="53">
        <f t="shared" si="10"/>
        <v>1.8430529960937501</v>
      </c>
      <c r="V105" s="53">
        <f t="shared" si="11"/>
        <v>0.18802750273437502</v>
      </c>
      <c r="Z105" s="112">
        <v>0.31556909144850614</v>
      </c>
      <c r="AA105" s="112">
        <v>0.3348324342066526</v>
      </c>
    </row>
    <row r="106" spans="1:27" ht="16.5" customHeight="1">
      <c r="A106" s="299"/>
      <c r="B106" s="5">
        <f t="shared" si="3"/>
        <v>117</v>
      </c>
      <c r="C106" s="1">
        <f t="shared" si="4"/>
        <v>0.313</v>
      </c>
      <c r="D106" s="1">
        <f t="shared" si="5"/>
        <v>0.32800000000000001</v>
      </c>
      <c r="E106" s="45"/>
      <c r="F106" s="45"/>
      <c r="G106" s="45"/>
      <c r="H106" s="45"/>
      <c r="I106" s="45">
        <f t="shared" si="6"/>
        <v>0.95426829268292679</v>
      </c>
      <c r="J106" s="1">
        <f t="shared" si="7"/>
        <v>2.3909861064046085</v>
      </c>
      <c r="K106" s="1">
        <f t="shared" si="8"/>
        <v>0.27419829903169979</v>
      </c>
      <c r="L106" s="1">
        <f t="shared" si="9"/>
        <v>2.2397383852052331</v>
      </c>
      <c r="M106" s="1"/>
      <c r="N106" s="1"/>
      <c r="O106" s="1"/>
      <c r="P106" s="1"/>
      <c r="Q106" s="1"/>
      <c r="R106" s="1"/>
      <c r="S106" s="1"/>
      <c r="T106" s="1"/>
      <c r="U106" s="53">
        <f t="shared" si="10"/>
        <v>1.7588438750000002</v>
      </c>
      <c r="V106" s="53">
        <f t="shared" si="11"/>
        <v>0.1834608875</v>
      </c>
      <c r="Z106" s="112">
        <v>0.31551455278908119</v>
      </c>
      <c r="AA106" s="112">
        <v>0.33483647067971067</v>
      </c>
    </row>
    <row r="107" spans="1:27" ht="16.5" customHeight="1">
      <c r="A107" s="299"/>
      <c r="B107" s="5">
        <f t="shared" si="3"/>
        <v>132</v>
      </c>
      <c r="C107" s="1">
        <f t="shared" si="4"/>
        <v>0.313</v>
      </c>
      <c r="D107" s="1">
        <f t="shared" si="5"/>
        <v>0.32800000000000001</v>
      </c>
      <c r="E107" s="45"/>
      <c r="F107" s="45"/>
      <c r="G107" s="45"/>
      <c r="H107" s="45"/>
      <c r="I107" s="45">
        <f t="shared" si="6"/>
        <v>0.95426829268292679</v>
      </c>
      <c r="J107" s="1">
        <f t="shared" si="7"/>
        <v>2.4234720916317629</v>
      </c>
      <c r="K107" s="1">
        <f t="shared" si="8"/>
        <v>0.28101262319956827</v>
      </c>
      <c r="L107" s="1">
        <f t="shared" si="9"/>
        <v>2.1620591300532066</v>
      </c>
      <c r="M107" s="1"/>
      <c r="N107" s="1"/>
      <c r="O107" s="1"/>
      <c r="P107" s="1"/>
      <c r="Q107" s="1"/>
      <c r="R107" s="1"/>
      <c r="S107" s="1"/>
      <c r="T107" s="1"/>
      <c r="U107" s="53">
        <f t="shared" si="10"/>
        <v>1.6746347539062501</v>
      </c>
      <c r="V107" s="53">
        <f t="shared" si="11"/>
        <v>0.17889427226562499</v>
      </c>
      <c r="Z107" s="112">
        <v>0.31545915678961151</v>
      </c>
      <c r="AA107" s="112">
        <v>0.3348387293072605</v>
      </c>
    </row>
    <row r="108" spans="1:27" ht="16.5" customHeight="1">
      <c r="A108" s="299"/>
      <c r="B108" s="321" t="s">
        <v>16</v>
      </c>
      <c r="C108" s="21" t="s">
        <v>79</v>
      </c>
      <c r="D108" s="21" t="s">
        <v>80</v>
      </c>
      <c r="E108" s="48" t="s">
        <v>81</v>
      </c>
      <c r="F108" s="49" t="s">
        <v>82</v>
      </c>
      <c r="G108" s="48" t="s">
        <v>83</v>
      </c>
      <c r="H108" s="21" t="s">
        <v>84</v>
      </c>
      <c r="I108" s="21" t="s">
        <v>85</v>
      </c>
      <c r="J108" s="21" t="s">
        <v>86</v>
      </c>
      <c r="Z108" s="112">
        <v>0.31540292032425515</v>
      </c>
      <c r="AA108" s="112">
        <v>0.33483920940130235</v>
      </c>
    </row>
    <row r="109" spans="1:27" ht="16.5" customHeight="1">
      <c r="A109" s="299"/>
      <c r="B109" s="322"/>
      <c r="C109" s="46" t="s">
        <v>87</v>
      </c>
      <c r="D109" s="46" t="s">
        <v>88</v>
      </c>
      <c r="E109" s="46" t="s">
        <v>89</v>
      </c>
      <c r="F109" s="46" t="s">
        <v>90</v>
      </c>
      <c r="G109" s="46" t="s">
        <v>91</v>
      </c>
      <c r="H109" s="46" t="s">
        <v>92</v>
      </c>
      <c r="I109" s="46" t="s">
        <v>93</v>
      </c>
      <c r="J109" s="46" t="s">
        <v>94</v>
      </c>
      <c r="Z109" s="112">
        <v>0.31534586052318431</v>
      </c>
      <c r="AA109" s="112">
        <v>0.33483791081559489</v>
      </c>
    </row>
    <row r="110" spans="1:27" ht="16.5" customHeight="1">
      <c r="A110" s="299"/>
      <c r="B110" s="5">
        <f t="shared" ref="B110:B121" si="12">B76</f>
        <v>-33</v>
      </c>
      <c r="C110" s="45">
        <f>H76*I96</f>
        <v>2.4819898838366994</v>
      </c>
      <c r="D110" s="45">
        <f>I96*K76</f>
        <v>0.21864866911918826</v>
      </c>
      <c r="E110" s="45">
        <f t="shared" ref="E110:E121" si="13">I96-J96</f>
        <v>-1.1410483402717961</v>
      </c>
      <c r="F110" s="45">
        <f>-(C110+D110)</f>
        <v>-2.7006385529558878</v>
      </c>
      <c r="G110" s="45">
        <f>K96*H76</f>
        <v>0.54002058574917311</v>
      </c>
      <c r="H110" s="45">
        <f>L96*K76</f>
        <v>0.76696450635637847</v>
      </c>
      <c r="I110" s="45">
        <f>F110+G110+H110</f>
        <v>-1.3936534608503366</v>
      </c>
      <c r="J110" s="23">
        <f>I110/E110</f>
        <v>1.22137985890972</v>
      </c>
      <c r="Z110" s="112">
        <v>0.31528799476736702</v>
      </c>
      <c r="AA110" s="112">
        <v>0.33483483394569979</v>
      </c>
    </row>
    <row r="111" spans="1:27" ht="16.5" customHeight="1">
      <c r="A111" s="299"/>
      <c r="B111" s="5">
        <f t="shared" si="12"/>
        <v>-18</v>
      </c>
      <c r="C111" s="45">
        <f t="shared" ref="C111:C121" si="14">H77*I97</f>
        <v>2.401631789622237</v>
      </c>
      <c r="D111" s="45">
        <f t="shared" ref="D111:D121" si="15">I97*K77</f>
        <v>0.2142908929961414</v>
      </c>
      <c r="E111" s="45">
        <f t="shared" si="13"/>
        <v>-1.1684236831583159</v>
      </c>
      <c r="F111" s="45">
        <f>-(C111+D111)</f>
        <v>-2.6159226826183786</v>
      </c>
      <c r="G111" s="45">
        <f t="shared" ref="G111:G121" si="16">K97*H77</f>
        <v>0.53897455903220282</v>
      </c>
      <c r="H111" s="45">
        <f t="shared" ref="H111:H121" si="17">L97*K77</f>
        <v>0.71846316409075051</v>
      </c>
      <c r="I111" s="45">
        <f>F111+G111+H111</f>
        <v>-1.3584849594954251</v>
      </c>
      <c r="J111" s="23">
        <f>I111/E111</f>
        <v>1.1626646901091244</v>
      </c>
      <c r="Z111" s="112">
        <v>0.31522934068327313</v>
      </c>
      <c r="AA111" s="112">
        <v>0.33482997972886164</v>
      </c>
    </row>
    <row r="112" spans="1:27" ht="16.5" customHeight="1">
      <c r="A112" s="299"/>
      <c r="B112" s="5">
        <f t="shared" si="12"/>
        <v>-3</v>
      </c>
      <c r="C112" s="45">
        <f t="shared" si="14"/>
        <v>2.3212736954077742</v>
      </c>
      <c r="D112" s="45">
        <f t="shared" si="15"/>
        <v>0.20993311687309452</v>
      </c>
      <c r="E112" s="45">
        <f t="shared" si="13"/>
        <v>-1.1962536940301391</v>
      </c>
      <c r="F112" s="45">
        <f>-(C112+D112)</f>
        <v>-2.5312068122808689</v>
      </c>
      <c r="G112" s="45">
        <f t="shared" si="16"/>
        <v>0.53689536866595311</v>
      </c>
      <c r="H112" s="45">
        <f t="shared" si="17"/>
        <v>0.67365119444504928</v>
      </c>
      <c r="I112" s="45">
        <f>F112+G112+H112</f>
        <v>-1.3206602491698662</v>
      </c>
      <c r="J112" s="23">
        <f>I112/E112</f>
        <v>1.1039967991409962</v>
      </c>
      <c r="Z112" s="112">
        <v>0.31516991613750484</v>
      </c>
      <c r="AA112" s="112">
        <v>0.33482334964372173</v>
      </c>
    </row>
    <row r="113" spans="1:27" ht="16.5" customHeight="1">
      <c r="A113" s="299"/>
      <c r="B113" s="5">
        <f t="shared" si="12"/>
        <v>12</v>
      </c>
      <c r="C113" s="45">
        <f t="shared" si="14"/>
        <v>2.2409156011933113</v>
      </c>
      <c r="D113" s="45">
        <f t="shared" si="15"/>
        <v>0.20557534075004766</v>
      </c>
      <c r="E113" s="45">
        <f t="shared" si="13"/>
        <v>-1.2245497948838651</v>
      </c>
      <c r="F113" s="45">
        <f>-(C113+D113)</f>
        <v>-2.4464909419433591</v>
      </c>
      <c r="G113" s="45">
        <f t="shared" si="16"/>
        <v>0.53377647958338192</v>
      </c>
      <c r="H113" s="45">
        <f t="shared" si="17"/>
        <v>0.63214469171255572</v>
      </c>
      <c r="I113" s="45">
        <f>F113+G113+H113</f>
        <v>-1.2805697706474215</v>
      </c>
      <c r="J113" s="23">
        <f>I113/E113</f>
        <v>1.0457474052893614</v>
      </c>
      <c r="Z113" s="112">
        <v>0.31510973923135449</v>
      </c>
      <c r="AA113" s="112">
        <v>0.33481494570986831</v>
      </c>
    </row>
    <row r="114" spans="1:27" ht="16.5" customHeight="1">
      <c r="A114" s="299"/>
      <c r="B114" s="5">
        <f t="shared" si="12"/>
        <v>25</v>
      </c>
      <c r="C114" s="45">
        <f t="shared" si="14"/>
        <v>2.1712719195407773</v>
      </c>
      <c r="D114" s="45">
        <f t="shared" si="15"/>
        <v>0.20179860144340703</v>
      </c>
      <c r="E114" s="45">
        <f t="shared" si="13"/>
        <v>-1.2494592137438087</v>
      </c>
      <c r="F114" s="45">
        <f t="shared" ref="F114:F119" si="18">-(C114+D114)</f>
        <v>-2.3730705209841845</v>
      </c>
      <c r="G114" s="45">
        <f t="shared" si="16"/>
        <v>0.53022734917978331</v>
      </c>
      <c r="H114" s="45">
        <f t="shared" si="17"/>
        <v>0.59858804555165812</v>
      </c>
      <c r="I114" s="45">
        <f t="shared" ref="I114:I119" si="19">F114+G114+H114</f>
        <v>-1.244255126252743</v>
      </c>
      <c r="J114" s="23">
        <f t="shared" ref="J114:J119" si="20">I114/E114</f>
        <v>0.99583492807622553</v>
      </c>
      <c r="Z114" s="112">
        <v>0.31504882829529052</v>
      </c>
      <c r="AA114" s="112">
        <v>0.33480477048722102</v>
      </c>
    </row>
    <row r="115" spans="1:27" ht="16.5" customHeight="1">
      <c r="A115" s="299"/>
      <c r="B115" s="5">
        <f t="shared" si="12"/>
        <v>42</v>
      </c>
      <c r="C115" s="45">
        <f t="shared" si="14"/>
        <v>2.0801994127643861</v>
      </c>
      <c r="D115" s="45">
        <f t="shared" si="15"/>
        <v>0.19685978850395391</v>
      </c>
      <c r="E115" s="45">
        <f t="shared" si="13"/>
        <v>-1.282587900033433</v>
      </c>
      <c r="F115" s="45">
        <f t="shared" si="18"/>
        <v>-2.2770592012683402</v>
      </c>
      <c r="G115" s="45">
        <f t="shared" si="16"/>
        <v>0.52439318825918346</v>
      </c>
      <c r="H115" s="45">
        <f t="shared" si="17"/>
        <v>0.55776150855429341</v>
      </c>
      <c r="I115" s="45">
        <f t="shared" si="19"/>
        <v>-1.1949045044548634</v>
      </c>
      <c r="J115" s="23">
        <f t="shared" si="20"/>
        <v>0.93163556620463672</v>
      </c>
      <c r="Z115" s="112">
        <v>0.31498720188337426</v>
      </c>
      <c r="AA115" s="112">
        <v>0.33479282707525121</v>
      </c>
    </row>
    <row r="116" spans="1:27" ht="16.5" customHeight="1">
      <c r="A116" s="299"/>
      <c r="B116" s="5">
        <f t="shared" si="12"/>
        <v>57</v>
      </c>
      <c r="C116" s="45">
        <f t="shared" si="14"/>
        <v>1.9998413185499235</v>
      </c>
      <c r="D116" s="45">
        <f t="shared" si="15"/>
        <v>0.192502012380907</v>
      </c>
      <c r="E116" s="45">
        <f t="shared" si="13"/>
        <v>-1.3123547439662882</v>
      </c>
      <c r="F116" s="45">
        <f t="shared" si="18"/>
        <v>-2.1923433309308304</v>
      </c>
      <c r="G116" s="45">
        <f t="shared" si="16"/>
        <v>0.51811543737993249</v>
      </c>
      <c r="H116" s="45">
        <f t="shared" si="17"/>
        <v>0.52434258872235184</v>
      </c>
      <c r="I116" s="45">
        <f t="shared" si="19"/>
        <v>-1.149885304828546</v>
      </c>
      <c r="J116" s="23">
        <f t="shared" si="20"/>
        <v>0.87620005956109404</v>
      </c>
      <c r="Z116" s="112">
        <v>0.31492487876760772</v>
      </c>
      <c r="AA116" s="112">
        <v>0.33477911911203795</v>
      </c>
    </row>
    <row r="117" spans="1:27" ht="16.5" customHeight="1">
      <c r="A117" s="299"/>
      <c r="B117" s="5">
        <f t="shared" si="12"/>
        <v>72</v>
      </c>
      <c r="C117" s="45">
        <f t="shared" si="14"/>
        <v>1.9194832243354611</v>
      </c>
      <c r="D117" s="45">
        <f t="shared" si="15"/>
        <v>0.18814423625786011</v>
      </c>
      <c r="E117" s="45">
        <f t="shared" si="13"/>
        <v>-1.3426373926046384</v>
      </c>
      <c r="F117" s="45">
        <f t="shared" si="18"/>
        <v>-2.1076274605933212</v>
      </c>
      <c r="G117" s="45">
        <f t="shared" si="16"/>
        <v>0.51077128931722082</v>
      </c>
      <c r="H117" s="45">
        <f t="shared" si="17"/>
        <v>0.49313234521819105</v>
      </c>
      <c r="I117" s="45">
        <f t="shared" si="19"/>
        <v>-1.1037238260579092</v>
      </c>
      <c r="J117" s="23">
        <f t="shared" si="20"/>
        <v>0.82205652258555761</v>
      </c>
      <c r="Z117" s="112">
        <v>0.31486187793221565</v>
      </c>
      <c r="AA117" s="112">
        <v>0.33476365077315956</v>
      </c>
    </row>
    <row r="118" spans="1:27" ht="16.5" customHeight="1">
      <c r="A118" s="299"/>
      <c r="B118" s="5">
        <f t="shared" si="12"/>
        <v>85</v>
      </c>
      <c r="C118" s="45">
        <f t="shared" si="14"/>
        <v>1.8498395426829268</v>
      </c>
      <c r="D118" s="45">
        <f t="shared" si="15"/>
        <v>0.18436749695121951</v>
      </c>
      <c r="E118" s="45">
        <f t="shared" si="13"/>
        <v>-1.3693100245768006</v>
      </c>
      <c r="F118" s="45">
        <f t="shared" si="18"/>
        <v>-2.0342070396341465</v>
      </c>
      <c r="G118" s="45">
        <f t="shared" si="16"/>
        <v>0.50353849642660797</v>
      </c>
      <c r="H118" s="45">
        <f t="shared" si="17"/>
        <v>0.46771805395683458</v>
      </c>
      <c r="I118" s="45">
        <f t="shared" si="19"/>
        <v>-1.0629504892507038</v>
      </c>
      <c r="J118" s="23">
        <f t="shared" si="20"/>
        <v>0.77626722230359746</v>
      </c>
      <c r="Z118" s="112">
        <v>0.31479821856786283</v>
      </c>
      <c r="AA118" s="112">
        <v>0.33474642677042193</v>
      </c>
    </row>
    <row r="119" spans="1:27" ht="17.25" customHeight="1">
      <c r="A119" s="299"/>
      <c r="B119" s="5">
        <f t="shared" si="12"/>
        <v>102</v>
      </c>
      <c r="C119" s="45">
        <f t="shared" si="14"/>
        <v>1.7587670359065357</v>
      </c>
      <c r="D119" s="45">
        <f t="shared" si="15"/>
        <v>0.1794286840117664</v>
      </c>
      <c r="E119" s="45">
        <f t="shared" si="13"/>
        <v>-1.4048046773397451</v>
      </c>
      <c r="F119" s="45">
        <f t="shared" si="18"/>
        <v>-1.9381957199183022</v>
      </c>
      <c r="G119" s="45">
        <f t="shared" si="16"/>
        <v>0.492856474824866</v>
      </c>
      <c r="H119" s="45">
        <f t="shared" si="17"/>
        <v>0.43657693728386615</v>
      </c>
      <c r="I119" s="45">
        <f t="shared" si="19"/>
        <v>-1.00876230780957</v>
      </c>
      <c r="J119" s="23">
        <f t="shared" si="20"/>
        <v>0.71808011752911172</v>
      </c>
      <c r="Z119" s="112">
        <v>0.31473392006580836</v>
      </c>
      <c r="AA119" s="112">
        <v>0.33472745235042312</v>
      </c>
    </row>
    <row r="120" spans="1:27" ht="17.25" customHeight="1">
      <c r="A120" s="299"/>
      <c r="B120" s="5">
        <f t="shared" si="12"/>
        <v>117</v>
      </c>
      <c r="C120" s="45">
        <f t="shared" si="14"/>
        <v>1.6784089416920733</v>
      </c>
      <c r="D120" s="45">
        <f t="shared" si="15"/>
        <v>0.17507090788871951</v>
      </c>
      <c r="E120" s="45">
        <f t="shared" si="13"/>
        <v>-1.4367178137216818</v>
      </c>
      <c r="F120" s="45">
        <f>-(C120+D120)</f>
        <v>-1.8534798495807929</v>
      </c>
      <c r="G120" s="45">
        <f t="shared" si="16"/>
        <v>0.48227199878732363</v>
      </c>
      <c r="H120" s="45">
        <f t="shared" si="17"/>
        <v>0.41090439191756895</v>
      </c>
      <c r="I120" s="45">
        <f>F120+G120+H120</f>
        <v>-0.9603034588759003</v>
      </c>
      <c r="J120" s="23">
        <f>I120/E120</f>
        <v>0.66840088547960919</v>
      </c>
      <c r="Z120" s="112">
        <v>0.31466900201199877</v>
      </c>
      <c r="AA120" s="112">
        <v>0.33470673329295531</v>
      </c>
    </row>
    <row r="121" spans="1:27" ht="17.25" customHeight="1" thickBot="1">
      <c r="A121" s="300"/>
      <c r="B121" s="5">
        <f t="shared" si="12"/>
        <v>132</v>
      </c>
      <c r="C121" s="45">
        <f t="shared" si="14"/>
        <v>1.5980508474776105</v>
      </c>
      <c r="D121" s="45">
        <f t="shared" si="15"/>
        <v>0.17071313176567263</v>
      </c>
      <c r="E121" s="45">
        <f t="shared" si="13"/>
        <v>-1.4692037989488362</v>
      </c>
      <c r="F121" s="45">
        <f>-(C121+D121)</f>
        <v>-1.7687639792432832</v>
      </c>
      <c r="G121" s="45">
        <f t="shared" si="16"/>
        <v>0.47059350509635878</v>
      </c>
      <c r="H121" s="45">
        <f t="shared" si="17"/>
        <v>0.38677999466611862</v>
      </c>
      <c r="I121" s="45">
        <f>F121+G121+H121</f>
        <v>-0.91139047948080587</v>
      </c>
      <c r="J121" s="23">
        <f>I121/E121</f>
        <v>0.6203295146206903</v>
      </c>
      <c r="Z121" s="112">
        <v>0.31460348418110223</v>
      </c>
      <c r="AA121" s="112">
        <v>0.3346842759092441</v>
      </c>
    </row>
    <row r="122" spans="1:27" ht="16.5" customHeight="1">
      <c r="Z122" s="112">
        <v>0.31453738653048463</v>
      </c>
      <c r="AA122" s="112">
        <v>0.33466008704002614</v>
      </c>
    </row>
    <row r="123" spans="1:27" ht="16.5" customHeight="1" thickBot="1">
      <c r="Z123" s="112">
        <v>0.31447072919413072</v>
      </c>
      <c r="AA123" s="112">
        <v>0.33463417405346529</v>
      </c>
    </row>
    <row r="124" spans="1:27" ht="16.5" customHeight="1">
      <c r="A124" s="298">
        <v>8</v>
      </c>
      <c r="B124" s="5"/>
      <c r="C124" s="266" t="s">
        <v>0</v>
      </c>
      <c r="D124" s="266"/>
      <c r="E124" s="266"/>
      <c r="Z124" s="112">
        <v>0.31440353247651082</v>
      </c>
      <c r="AA124" s="112">
        <v>0.33460654484290825</v>
      </c>
    </row>
    <row r="125" spans="1:27" ht="16.5" customHeight="1">
      <c r="A125" s="299"/>
      <c r="B125" s="30" t="s">
        <v>3</v>
      </c>
      <c r="C125" s="50" t="s">
        <v>4</v>
      </c>
      <c r="D125" s="50" t="s">
        <v>5</v>
      </c>
      <c r="E125" s="50" t="s">
        <v>6</v>
      </c>
      <c r="F125" s="50" t="s">
        <v>95</v>
      </c>
      <c r="H125" s="330" t="s">
        <v>99</v>
      </c>
      <c r="I125" s="330"/>
      <c r="J125" s="330"/>
      <c r="K125" s="330"/>
      <c r="Z125" s="112">
        <v>0.31433581684639611</v>
      </c>
      <c r="AA125" s="112">
        <v>0.3345772078244803</v>
      </c>
    </row>
    <row r="126" spans="1:27" ht="16.5" customHeight="1">
      <c r="A126" s="299"/>
      <c r="B126" s="5">
        <f t="shared" ref="B126:B137" si="21">B76</f>
        <v>-33</v>
      </c>
      <c r="C126" s="1">
        <f>RTC!C76</f>
        <v>0.67332999999999998</v>
      </c>
      <c r="D126" s="1">
        <f>RTC!D76</f>
        <v>0.32134999999999991</v>
      </c>
      <c r="E126" s="1">
        <f t="shared" ref="E126:E137" si="22">E76</f>
        <v>1.4652554257812502</v>
      </c>
      <c r="F126" s="23">
        <f>RTC!J110</f>
        <v>1.22137985890972</v>
      </c>
      <c r="H126" s="331" t="s">
        <v>100</v>
      </c>
      <c r="I126" s="331"/>
      <c r="J126" s="331" t="s">
        <v>101</v>
      </c>
      <c r="K126" s="331"/>
      <c r="Z126" s="112">
        <v>0.31426760293062339</v>
      </c>
      <c r="AA126" s="112">
        <v>0.33454617193452135</v>
      </c>
    </row>
    <row r="127" spans="1:27" ht="16.5" customHeight="1">
      <c r="A127" s="299"/>
      <c r="B127" s="5">
        <f t="shared" si="21"/>
        <v>-18</v>
      </c>
      <c r="C127" s="1">
        <f>RTC!C77</f>
        <v>0.67655499999999991</v>
      </c>
      <c r="D127" s="1">
        <f>RTC!D77</f>
        <v>0.31872499999999993</v>
      </c>
      <c r="E127" s="1">
        <f t="shared" si="22"/>
        <v>1.3432794394531251</v>
      </c>
      <c r="F127" s="23">
        <f>RTC!J111</f>
        <v>1.1626646901091244</v>
      </c>
      <c r="H127" s="1" t="s">
        <v>67</v>
      </c>
      <c r="I127" s="1" t="s">
        <v>68</v>
      </c>
      <c r="J127" s="1" t="s">
        <v>67</v>
      </c>
      <c r="K127" s="1" t="s">
        <v>68</v>
      </c>
      <c r="Z127" s="112">
        <v>0.31419891150781237</v>
      </c>
      <c r="AA127" s="112">
        <v>0.33451344662686416</v>
      </c>
    </row>
    <row r="128" spans="1:27" ht="16.5" customHeight="1">
      <c r="A128" s="299"/>
      <c r="B128" s="5">
        <f t="shared" si="21"/>
        <v>-3</v>
      </c>
      <c r="C128" s="1">
        <f>RTC!C78</f>
        <v>0.67977999999999994</v>
      </c>
      <c r="D128" s="1">
        <f>RTC!D78</f>
        <v>0.31609999999999994</v>
      </c>
      <c r="E128" s="1">
        <f t="shared" si="22"/>
        <v>1.221303453125</v>
      </c>
      <c r="F128" s="23">
        <f>RTC!J112</f>
        <v>1.1039967991409962</v>
      </c>
      <c r="H128" s="1">
        <f>ROUND((F131-E131)/F131*256,0)</f>
        <v>21</v>
      </c>
      <c r="I128" s="23" t="str">
        <f>DEC2HEX(H128)</f>
        <v>15</v>
      </c>
      <c r="J128" s="1">
        <f>256-H128*4</f>
        <v>172</v>
      </c>
      <c r="K128" s="23" t="str">
        <f>DEC2HEX(J128)</f>
        <v>AC</v>
      </c>
      <c r="Z128" s="112">
        <v>0.31412976350203575</v>
      </c>
      <c r="AA128" s="112">
        <v>0.33447904186995447</v>
      </c>
    </row>
    <row r="129" spans="1:27" ht="16.5" customHeight="1">
      <c r="A129" s="299"/>
      <c r="B129" s="5">
        <f t="shared" si="21"/>
        <v>12</v>
      </c>
      <c r="C129" s="1">
        <f>RTC!C79</f>
        <v>0.68300499999999997</v>
      </c>
      <c r="D129" s="1">
        <f>RTC!D79</f>
        <v>0.31347499999999995</v>
      </c>
      <c r="E129" s="1">
        <f t="shared" si="22"/>
        <v>1.0993274667968751</v>
      </c>
      <c r="F129" s="23">
        <f>RTC!J113</f>
        <v>1.0457474052893614</v>
      </c>
      <c r="Z129" s="112">
        <v>0.31406017997644603</v>
      </c>
      <c r="AA129" s="112">
        <v>0.33444296814381452</v>
      </c>
    </row>
    <row r="130" spans="1:27" ht="16.5" customHeight="1">
      <c r="A130" s="299"/>
      <c r="B130" s="5">
        <f t="shared" si="21"/>
        <v>25</v>
      </c>
      <c r="C130" s="1">
        <f>RTC!C80</f>
        <v>0.68579999999999997</v>
      </c>
      <c r="D130" s="1">
        <f>RTC!D80</f>
        <v>0.31119999999999998</v>
      </c>
      <c r="E130" s="1">
        <f t="shared" si="22"/>
        <v>0.99361494531250005</v>
      </c>
      <c r="F130" s="23">
        <f>RTC!J114</f>
        <v>0.99583492807622553</v>
      </c>
      <c r="Z130" s="112">
        <v>0.31399018212685909</v>
      </c>
      <c r="AA130" s="112">
        <v>0.33440523643685077</v>
      </c>
    </row>
    <row r="131" spans="1:27" ht="16.5" customHeight="1">
      <c r="A131" s="299"/>
      <c r="B131" s="5">
        <f t="shared" si="21"/>
        <v>42</v>
      </c>
      <c r="C131" s="1">
        <f>RTC!C81</f>
        <v>0.68945499999999993</v>
      </c>
      <c r="D131" s="1">
        <f>RTC!D81</f>
        <v>0.30822499999999997</v>
      </c>
      <c r="E131" s="1">
        <f t="shared" si="22"/>
        <v>0.85537549414062508</v>
      </c>
      <c r="F131" s="23">
        <f>RTC!J115</f>
        <v>0.93163556620463672</v>
      </c>
      <c r="Z131" s="112">
        <v>0.31391979127529801</v>
      </c>
      <c r="AA131" s="112">
        <v>0.33436585824250664</v>
      </c>
    </row>
    <row r="132" spans="1:27" ht="16.5" customHeight="1">
      <c r="A132" s="299"/>
      <c r="B132" s="5">
        <f t="shared" si="21"/>
        <v>57</v>
      </c>
      <c r="C132" s="1">
        <f>RTC!C82</f>
        <v>0.69267999999999996</v>
      </c>
      <c r="D132" s="1">
        <f>RTC!D82</f>
        <v>0.30559999999999998</v>
      </c>
      <c r="E132" s="1">
        <f t="shared" si="22"/>
        <v>0.73339950781249996</v>
      </c>
      <c r="F132" s="23">
        <f>RTC!J116</f>
        <v>0.87620005956109404</v>
      </c>
      <c r="Z132" s="112">
        <v>0.31384902886349814</v>
      </c>
      <c r="AA132" s="112">
        <v>0.33432484555576164</v>
      </c>
    </row>
    <row r="133" spans="1:27" ht="16.5" customHeight="1">
      <c r="A133" s="299"/>
      <c r="B133" s="5">
        <f t="shared" si="21"/>
        <v>72</v>
      </c>
      <c r="C133" s="1">
        <f>RTC!C83</f>
        <v>0.695905</v>
      </c>
      <c r="D133" s="1">
        <f>RTC!D83</f>
        <v>0.30297499999999999</v>
      </c>
      <c r="E133" s="1">
        <f t="shared" si="22"/>
        <v>0.61142352148437507</v>
      </c>
      <c r="F133" s="23">
        <f>RTC!J117</f>
        <v>0.82205652258555761</v>
      </c>
      <c r="Z133" s="112">
        <v>0.31377791644637554</v>
      </c>
      <c r="AA133" s="112">
        <v>0.33428221086947735</v>
      </c>
    </row>
    <row r="134" spans="1:27" ht="16.5" customHeight="1">
      <c r="A134" s="299"/>
      <c r="B134" s="5">
        <f t="shared" si="21"/>
        <v>85</v>
      </c>
      <c r="C134" s="1">
        <f>RTC!C84</f>
        <v>0.69869999999999999</v>
      </c>
      <c r="D134" s="1">
        <f>RTC!D84</f>
        <v>0.30070000000000002</v>
      </c>
      <c r="E134" s="1">
        <f t="shared" si="22"/>
        <v>0.50571100000000002</v>
      </c>
      <c r="F134" s="23">
        <f>RTC!J118</f>
        <v>0.77626722230359746</v>
      </c>
      <c r="Z134" s="112">
        <v>0.31370647568546134</v>
      </c>
      <c r="AA134" s="112">
        <v>0.33423796717059234</v>
      </c>
    </row>
    <row r="135" spans="1:27" ht="16.5" customHeight="1">
      <c r="A135" s="299"/>
      <c r="B135" s="5">
        <f t="shared" si="21"/>
        <v>102</v>
      </c>
      <c r="C135" s="1">
        <f>RTC!C85</f>
        <v>0.70235499999999995</v>
      </c>
      <c r="D135" s="1">
        <f>RTC!D85</f>
        <v>0.29772500000000002</v>
      </c>
      <c r="E135" s="1">
        <f t="shared" si="22"/>
        <v>0.36747154882812494</v>
      </c>
      <c r="F135" s="23">
        <f>RTC!J119</f>
        <v>0.71808011752911172</v>
      </c>
      <c r="Z135" s="112">
        <v>0.31363472834230344</v>
      </c>
      <c r="AA135" s="112">
        <v>0.33419212793616582</v>
      </c>
    </row>
    <row r="136" spans="1:27" ht="16.5" customHeight="1">
      <c r="A136" s="299"/>
      <c r="B136" s="5">
        <f t="shared" si="21"/>
        <v>117</v>
      </c>
      <c r="C136" s="1">
        <f>RTC!C86</f>
        <v>0.70557999999999998</v>
      </c>
      <c r="D136" s="1">
        <f>RTC!D86</f>
        <v>0.29510000000000003</v>
      </c>
      <c r="E136" s="1">
        <f t="shared" si="22"/>
        <v>0.24549556249999993</v>
      </c>
      <c r="F136" s="23">
        <f>RTC!J120</f>
        <v>0.66840088547960919</v>
      </c>
      <c r="Z136" s="112">
        <v>0.31356269627183753</v>
      </c>
      <c r="AA136" s="112">
        <v>0.33414470712927269</v>
      </c>
    </row>
    <row r="137" spans="1:27" ht="16.5" customHeight="1">
      <c r="A137" s="299"/>
      <c r="B137" s="5">
        <f t="shared" si="21"/>
        <v>132</v>
      </c>
      <c r="C137" s="1">
        <f>RTC!C87</f>
        <v>0.70880500000000002</v>
      </c>
      <c r="D137" s="1">
        <f>RTC!D87</f>
        <v>0.29247500000000004</v>
      </c>
      <c r="E137" s="1">
        <f t="shared" si="22"/>
        <v>0.12351957617187503</v>
      </c>
      <c r="F137" s="23">
        <f>RTC!J121</f>
        <v>0.6203295146206903</v>
      </c>
      <c r="Z137" s="112">
        <v>0.31349040141573009</v>
      </c>
      <c r="AA137" s="112">
        <v>0.33409571919475012</v>
      </c>
    </row>
    <row r="138" spans="1:27" ht="16.5" customHeight="1">
      <c r="A138" s="299"/>
      <c r="Z138" s="112">
        <v>0.31341786579569458</v>
      </c>
      <c r="AA138" s="112">
        <v>0.33404517905479741</v>
      </c>
    </row>
    <row r="139" spans="1:27" ht="16.5" customHeight="1">
      <c r="A139" s="299"/>
      <c r="Z139" s="112">
        <v>0.31334511150678368</v>
      </c>
      <c r="AA139" s="112">
        <v>0.33399310210443089</v>
      </c>
    </row>
    <row r="140" spans="1:27" ht="16.5" customHeight="1">
      <c r="A140" s="299"/>
      <c r="B140" s="327" t="s">
        <v>96</v>
      </c>
      <c r="C140" s="329"/>
      <c r="D140" s="329"/>
      <c r="E140" s="329"/>
      <c r="Z140" s="112">
        <v>0.31327216071065839</v>
      </c>
      <c r="AA140" s="112">
        <v>0.33393950420679414</v>
      </c>
    </row>
    <row r="141" spans="1:27" ht="16.5" customHeight="1">
      <c r="A141" s="299"/>
      <c r="B141" s="30" t="s">
        <v>3</v>
      </c>
      <c r="C141" s="1" t="s">
        <v>97</v>
      </c>
      <c r="D141" s="1" t="s">
        <v>9</v>
      </c>
      <c r="E141" s="45" t="s">
        <v>98</v>
      </c>
      <c r="Z141" s="112">
        <v>0.31319903562883805</v>
      </c>
      <c r="AA141" s="112">
        <v>0.33388440168832589</v>
      </c>
    </row>
    <row r="142" spans="1:27" ht="16.5" customHeight="1">
      <c r="A142" s="299"/>
      <c r="B142" s="5">
        <f t="shared" ref="B142:B153" si="23">B76</f>
        <v>-33</v>
      </c>
      <c r="C142" s="1">
        <f>J128</f>
        <v>172</v>
      </c>
      <c r="D142" s="20">
        <f t="shared" ref="D142:D147" si="24">C142/256</f>
        <v>0.671875</v>
      </c>
      <c r="E142" s="45">
        <f t="shared" ref="E142:E153" si="25">E126*D142</f>
        <v>0.98446848919677754</v>
      </c>
      <c r="Z142" s="112">
        <v>0.31312575853593089</v>
      </c>
      <c r="AA142" s="112">
        <v>0.33382781133378714</v>
      </c>
    </row>
    <row r="143" spans="1:27" ht="16.5" customHeight="1">
      <c r="A143" s="299"/>
      <c r="B143" s="5">
        <f t="shared" si="23"/>
        <v>-18</v>
      </c>
      <c r="C143" s="1">
        <f>C142+$H$128</f>
        <v>193</v>
      </c>
      <c r="D143" s="20">
        <f t="shared" si="24"/>
        <v>0.75390625</v>
      </c>
      <c r="E143" s="45">
        <f t="shared" si="25"/>
        <v>1.0127067649002075</v>
      </c>
      <c r="Z143" s="112">
        <v>0.31305235175284923</v>
      </c>
      <c r="AA143" s="112">
        <v>0.33376975038114803</v>
      </c>
    </row>
    <row r="144" spans="1:27" ht="16.5" customHeight="1">
      <c r="A144" s="299"/>
      <c r="B144" s="5">
        <f t="shared" si="23"/>
        <v>-3</v>
      </c>
      <c r="C144" s="1">
        <f>C143+$H$128</f>
        <v>214</v>
      </c>
      <c r="D144" s="20">
        <f t="shared" si="24"/>
        <v>0.8359375</v>
      </c>
      <c r="E144" s="45">
        <f t="shared" si="25"/>
        <v>1.0209333553466797</v>
      </c>
      <c r="Z144" s="112">
        <v>0.31297883764001039</v>
      </c>
      <c r="AA144" s="112">
        <v>0.33371023651633724</v>
      </c>
    </row>
    <row r="145" spans="1:27" ht="16.5" customHeight="1">
      <c r="A145" s="299"/>
      <c r="B145" s="5">
        <f t="shared" si="23"/>
        <v>12</v>
      </c>
      <c r="C145" s="1">
        <f>C144+$H$128</f>
        <v>235</v>
      </c>
      <c r="D145" s="20">
        <f t="shared" si="24"/>
        <v>0.91796875</v>
      </c>
      <c r="E145" s="45">
        <f t="shared" si="25"/>
        <v>1.0091482605361939</v>
      </c>
      <c r="Z145" s="112">
        <v>0.31290523859052521</v>
      </c>
      <c r="AA145" s="112">
        <v>0.33364928786785453</v>
      </c>
    </row>
    <row r="146" spans="1:27" ht="16.5" customHeight="1">
      <c r="A146" s="299"/>
      <c r="B146" s="5">
        <f t="shared" si="23"/>
        <v>25</v>
      </c>
      <c r="C146" s="1">
        <f>C145+$H$128</f>
        <v>256</v>
      </c>
      <c r="D146" s="20">
        <f t="shared" si="24"/>
        <v>1</v>
      </c>
      <c r="E146" s="45">
        <f t="shared" si="25"/>
        <v>0.99361494531250005</v>
      </c>
      <c r="Z146" s="112">
        <v>0.31283157702337716</v>
      </c>
      <c r="AA146" s="112">
        <v>0.33358692300124854</v>
      </c>
    </row>
    <row r="147" spans="1:27" ht="16.5" customHeight="1">
      <c r="A147" s="299"/>
      <c r="B147" s="5">
        <f t="shared" si="23"/>
        <v>42</v>
      </c>
      <c r="C147" s="1">
        <f>C146+$H$128</f>
        <v>277</v>
      </c>
      <c r="D147" s="20">
        <f t="shared" si="24"/>
        <v>1.08203125</v>
      </c>
      <c r="E147" s="45">
        <f t="shared" si="25"/>
        <v>0.92554301514434822</v>
      </c>
      <c r="Z147" s="112">
        <v>0.31275787537659322</v>
      </c>
      <c r="AA147" s="112">
        <v>0.3335231609134619</v>
      </c>
    </row>
    <row r="148" spans="1:27" ht="16.5" customHeight="1">
      <c r="A148" s="299"/>
      <c r="B148" s="5">
        <f t="shared" si="23"/>
        <v>57</v>
      </c>
      <c r="C148" s="1">
        <f t="shared" ref="C148:C153" si="26">C147+$H$128</f>
        <v>298</v>
      </c>
      <c r="D148" s="20">
        <f t="shared" ref="D148:D153" si="27">C148/256</f>
        <v>1.1640625</v>
      </c>
      <c r="E148" s="45">
        <f t="shared" si="25"/>
        <v>0.85372286456298818</v>
      </c>
      <c r="Z148" s="112">
        <v>0.31268415610040889</v>
      </c>
      <c r="AA148" s="112">
        <v>0.33345802102704414</v>
      </c>
    </row>
    <row r="149" spans="1:27" ht="16.5" customHeight="1">
      <c r="A149" s="299"/>
      <c r="B149" s="5">
        <f t="shared" si="23"/>
        <v>72</v>
      </c>
      <c r="C149" s="1">
        <f t="shared" si="26"/>
        <v>319</v>
      </c>
      <c r="D149" s="20">
        <f t="shared" si="27"/>
        <v>1.24609375</v>
      </c>
      <c r="E149" s="45">
        <f t="shared" si="25"/>
        <v>0.76189102872467052</v>
      </c>
      <c r="Z149" s="112">
        <v>0.31261044165042984</v>
      </c>
      <c r="AA149" s="112">
        <v>0.33339152318423571</v>
      </c>
    </row>
    <row r="150" spans="1:27" ht="16.5" customHeight="1">
      <c r="A150" s="299"/>
      <c r="B150" s="5">
        <f t="shared" si="23"/>
        <v>85</v>
      </c>
      <c r="C150" s="1">
        <f t="shared" si="26"/>
        <v>340</v>
      </c>
      <c r="D150" s="20">
        <f t="shared" si="27"/>
        <v>1.328125</v>
      </c>
      <c r="E150" s="45">
        <f t="shared" si="25"/>
        <v>0.67164742187500004</v>
      </c>
      <c r="Z150" s="112">
        <v>0.31253675448079166</v>
      </c>
      <c r="AA150" s="112">
        <v>0.33332368764092374</v>
      </c>
    </row>
    <row r="151" spans="1:27" ht="16.5" customHeight="1">
      <c r="A151" s="299"/>
      <c r="B151" s="5">
        <f t="shared" si="23"/>
        <v>102</v>
      </c>
      <c r="C151" s="1">
        <f t="shared" si="26"/>
        <v>361</v>
      </c>
      <c r="D151" s="20">
        <f t="shared" si="27"/>
        <v>1.41015625</v>
      </c>
      <c r="E151" s="45">
        <f t="shared" si="25"/>
        <v>0.51819230127716054</v>
      </c>
      <c r="Z151" s="112">
        <v>0.31246311703732005</v>
      </c>
      <c r="AA151" s="112">
        <v>0.33325453506047187</v>
      </c>
    </row>
    <row r="152" spans="1:27" ht="16.5" customHeight="1">
      <c r="A152" s="299"/>
      <c r="B152" s="5">
        <f t="shared" si="23"/>
        <v>117</v>
      </c>
      <c r="C152" s="1">
        <f t="shared" si="26"/>
        <v>382</v>
      </c>
      <c r="D152" s="20">
        <f t="shared" si="27"/>
        <v>1.4921875</v>
      </c>
      <c r="E152" s="45">
        <f t="shared" si="25"/>
        <v>0.36632540966796867</v>
      </c>
      <c r="Z152" s="112">
        <v>0.31238955175069355</v>
      </c>
      <c r="AA152" s="112">
        <v>0.33318408650742593</v>
      </c>
    </row>
    <row r="153" spans="1:27" ht="16.5" customHeight="1">
      <c r="A153" s="299"/>
      <c r="B153" s="5">
        <f t="shared" si="23"/>
        <v>132</v>
      </c>
      <c r="C153" s="1">
        <f t="shared" si="26"/>
        <v>403</v>
      </c>
      <c r="D153" s="20">
        <f t="shared" si="27"/>
        <v>1.57421875</v>
      </c>
      <c r="E153" s="45">
        <f t="shared" si="25"/>
        <v>0.1944468328018189</v>
      </c>
      <c r="Z153" s="112">
        <v>0.31231608102961123</v>
      </c>
      <c r="AA153" s="112">
        <v>0.33311236344109774</v>
      </c>
    </row>
    <row r="154" spans="1:27" ht="16.5" customHeight="1">
      <c r="A154" s="299"/>
      <c r="Z154" s="112">
        <v>0.31224272725396635</v>
      </c>
      <c r="AA154" s="112">
        <v>0.33303938770902797</v>
      </c>
    </row>
    <row r="155" spans="1:27" ht="16.5" customHeight="1">
      <c r="A155" s="299"/>
      <c r="Z155" s="112">
        <v>0.31216951276802968</v>
      </c>
      <c r="AA155" s="112">
        <v>0.33296518154033161</v>
      </c>
    </row>
    <row r="156" spans="1:27" ht="16.5" customHeight="1">
      <c r="A156" s="299"/>
      <c r="B156" s="326" t="s">
        <v>105</v>
      </c>
      <c r="C156" s="326"/>
      <c r="D156" s="326"/>
      <c r="E156" s="326"/>
      <c r="F156" s="326"/>
      <c r="G156" s="326"/>
      <c r="H156" s="326"/>
      <c r="I156" s="327"/>
      <c r="Z156" s="112">
        <v>0.31209645987364276</v>
      </c>
      <c r="AA156" s="112">
        <v>0.33288976753892652</v>
      </c>
    </row>
    <row r="157" spans="1:27" ht="16.5" customHeight="1">
      <c r="A157" s="299"/>
      <c r="B157" s="5" t="s">
        <v>132</v>
      </c>
      <c r="C157" s="65" t="s">
        <v>3</v>
      </c>
      <c r="D157" s="66" t="s">
        <v>102</v>
      </c>
      <c r="E157" s="66" t="s">
        <v>102</v>
      </c>
      <c r="F157" s="66" t="s">
        <v>129</v>
      </c>
      <c r="G157" s="66" t="s">
        <v>103</v>
      </c>
      <c r="H157" s="66" t="s">
        <v>9</v>
      </c>
      <c r="I157" s="66" t="s">
        <v>98</v>
      </c>
      <c r="Z157" s="112">
        <v>0.31202359082342496</v>
      </c>
      <c r="AA157" s="112">
        <v>0.33281316867664801</v>
      </c>
    </row>
    <row r="158" spans="1:27" ht="16.5" customHeight="1">
      <c r="A158" s="299"/>
      <c r="B158" s="5">
        <v>0</v>
      </c>
      <c r="C158" s="5">
        <f t="shared" ref="C158:C169" si="28">B76</f>
        <v>-33</v>
      </c>
      <c r="D158" s="64">
        <f t="shared" ref="D158:D169" si="29">ROUNDUP((F126*256/E126)-C142,0)</f>
        <v>42</v>
      </c>
      <c r="E158" s="23">
        <f t="shared" ref="E158:E167" si="30">IF(D158&lt;0,0,D158)</f>
        <v>42</v>
      </c>
      <c r="F158" s="23" t="str">
        <f t="shared" ref="F158:F169" si="31">DEC2HEX(E158)</f>
        <v>2A</v>
      </c>
      <c r="G158" s="1">
        <f t="shared" ref="G158:G169" si="32">C142+E158</f>
        <v>214</v>
      </c>
      <c r="H158" s="20">
        <f t="shared" ref="H158:H169" si="33">G158/256</f>
        <v>0.8359375</v>
      </c>
      <c r="I158" s="1">
        <f t="shared" ref="I158:I169" si="34">E126*H158</f>
        <v>1.2248619574890138</v>
      </c>
      <c r="Z158" s="112">
        <v>0.31195092781399486</v>
      </c>
      <c r="AA158" s="112">
        <v>0.33273540828625159</v>
      </c>
    </row>
    <row r="159" spans="1:27" ht="16.5" customHeight="1">
      <c r="A159" s="299"/>
      <c r="B159" s="5">
        <v>1</v>
      </c>
      <c r="C159" s="5">
        <f t="shared" si="28"/>
        <v>-18</v>
      </c>
      <c r="D159" s="64">
        <f t="shared" si="29"/>
        <v>29</v>
      </c>
      <c r="E159" s="23">
        <f t="shared" si="30"/>
        <v>29</v>
      </c>
      <c r="F159" s="23" t="str">
        <f t="shared" si="31"/>
        <v>1D</v>
      </c>
      <c r="G159" s="1">
        <f t="shared" si="32"/>
        <v>222</v>
      </c>
      <c r="H159" s="20">
        <f t="shared" si="33"/>
        <v>0.8671875</v>
      </c>
      <c r="I159" s="1">
        <f t="shared" si="34"/>
        <v>1.164875138900757</v>
      </c>
      <c r="Z159" s="112">
        <v>0.31187849297920905</v>
      </c>
      <c r="AA159" s="112">
        <v>0.33265651005430552</v>
      </c>
    </row>
    <row r="160" spans="1:27" ht="16.5" customHeight="1">
      <c r="A160" s="299"/>
      <c r="B160" s="5">
        <v>2</v>
      </c>
      <c r="C160" s="5">
        <f t="shared" si="28"/>
        <v>-3</v>
      </c>
      <c r="D160" s="64">
        <f t="shared" si="29"/>
        <v>18</v>
      </c>
      <c r="E160" s="23">
        <f t="shared" si="30"/>
        <v>18</v>
      </c>
      <c r="F160" s="23" t="str">
        <f t="shared" si="31"/>
        <v>12</v>
      </c>
      <c r="G160" s="1">
        <f t="shared" si="32"/>
        <v>232</v>
      </c>
      <c r="H160" s="20">
        <f t="shared" si="33"/>
        <v>0.90625</v>
      </c>
      <c r="I160" s="1">
        <f t="shared" si="34"/>
        <v>1.1068062543945312</v>
      </c>
      <c r="Z160" s="112">
        <v>0.31180630838341988</v>
      </c>
      <c r="AA160" s="112">
        <v>0.33257649801397543</v>
      </c>
    </row>
    <row r="161" spans="1:27" ht="16.5" customHeight="1">
      <c r="A161" s="299"/>
      <c r="B161" s="5">
        <v>3</v>
      </c>
      <c r="C161" s="5">
        <f t="shared" si="28"/>
        <v>12</v>
      </c>
      <c r="D161" s="64">
        <f t="shared" si="29"/>
        <v>9</v>
      </c>
      <c r="E161" s="23">
        <f t="shared" si="30"/>
        <v>9</v>
      </c>
      <c r="F161" s="23" t="str">
        <f t="shared" si="31"/>
        <v>9</v>
      </c>
      <c r="G161" s="1">
        <f t="shared" si="32"/>
        <v>244</v>
      </c>
      <c r="H161" s="20">
        <f t="shared" si="33"/>
        <v>0.953125</v>
      </c>
      <c r="I161" s="1">
        <f t="shared" si="34"/>
        <v>1.0477964917907716</v>
      </c>
      <c r="Z161" s="112">
        <v>0.3117343960147545</v>
      </c>
      <c r="AA161" s="112">
        <v>0.33249539653770405</v>
      </c>
    </row>
    <row r="162" spans="1:27" ht="16.5" customHeight="1">
      <c r="A162" s="299"/>
      <c r="B162" s="5">
        <v>4</v>
      </c>
      <c r="C162" s="5">
        <f t="shared" si="28"/>
        <v>25</v>
      </c>
      <c r="D162" s="64">
        <f t="shared" si="29"/>
        <v>1</v>
      </c>
      <c r="E162" s="23">
        <f t="shared" si="30"/>
        <v>1</v>
      </c>
      <c r="F162" s="23" t="str">
        <f t="shared" si="31"/>
        <v>1</v>
      </c>
      <c r="G162" s="1">
        <f t="shared" si="32"/>
        <v>257</v>
      </c>
      <c r="H162" s="20">
        <f t="shared" si="33"/>
        <v>1.00390625</v>
      </c>
      <c r="I162" s="1">
        <f t="shared" si="34"/>
        <v>0.99749625369262696</v>
      </c>
      <c r="J162" s="68"/>
      <c r="Z162" s="112">
        <v>0.31166277777841705</v>
      </c>
      <c r="AA162" s="112">
        <v>0.33241323032978654</v>
      </c>
    </row>
    <row r="163" spans="1:27" ht="16.5" customHeight="1">
      <c r="A163" s="299"/>
      <c r="B163" s="5">
        <v>5</v>
      </c>
      <c r="C163" s="5">
        <f t="shared" si="28"/>
        <v>42</v>
      </c>
      <c r="D163" s="64">
        <f t="shared" si="29"/>
        <v>2</v>
      </c>
      <c r="E163" s="23">
        <f t="shared" si="30"/>
        <v>2</v>
      </c>
      <c r="F163" s="23" t="str">
        <f t="shared" si="31"/>
        <v>2</v>
      </c>
      <c r="G163" s="1">
        <f t="shared" si="32"/>
        <v>279</v>
      </c>
      <c r="H163" s="20">
        <f t="shared" si="33"/>
        <v>1.08984375</v>
      </c>
      <c r="I163" s="1">
        <f t="shared" si="34"/>
        <v>0.9322256361923219</v>
      </c>
      <c r="J163" s="68"/>
      <c r="Z163" s="112">
        <v>0.31159147549001609</v>
      </c>
      <c r="AA163" s="112">
        <v>0.3323300244188459</v>
      </c>
    </row>
    <row r="164" spans="1:27" ht="16.5" customHeight="1">
      <c r="A164" s="299"/>
      <c r="B164" s="5">
        <v>6</v>
      </c>
      <c r="C164" s="5">
        <f t="shared" si="28"/>
        <v>57</v>
      </c>
      <c r="D164" s="64">
        <f t="shared" si="29"/>
        <v>8</v>
      </c>
      <c r="E164" s="23">
        <f t="shared" si="30"/>
        <v>8</v>
      </c>
      <c r="F164" s="23" t="str">
        <f t="shared" si="31"/>
        <v>8</v>
      </c>
      <c r="G164" s="1">
        <f t="shared" si="32"/>
        <v>306</v>
      </c>
      <c r="H164" s="20">
        <f t="shared" si="33"/>
        <v>1.1953125</v>
      </c>
      <c r="I164" s="1">
        <f t="shared" si="34"/>
        <v>0.87664159918212881</v>
      </c>
      <c r="J164" s="68"/>
      <c r="Z164" s="112">
        <v>0.31152051086891941</v>
      </c>
      <c r="AA164" s="112">
        <v>0.33224580415020866</v>
      </c>
    </row>
    <row r="165" spans="1:27" ht="16.5" customHeight="1">
      <c r="A165" s="299"/>
      <c r="B165" s="5">
        <v>7</v>
      </c>
      <c r="C165" s="5">
        <f t="shared" si="28"/>
        <v>72</v>
      </c>
      <c r="D165" s="64">
        <f t="shared" si="29"/>
        <v>26</v>
      </c>
      <c r="E165" s="23">
        <f t="shared" si="30"/>
        <v>26</v>
      </c>
      <c r="F165" s="23" t="str">
        <f t="shared" si="31"/>
        <v>1A</v>
      </c>
      <c r="G165" s="1">
        <f t="shared" si="32"/>
        <v>345</v>
      </c>
      <c r="H165" s="20">
        <f t="shared" si="33"/>
        <v>1.34765625</v>
      </c>
      <c r="I165" s="1">
        <f t="shared" si="34"/>
        <v>0.82398873012542728</v>
      </c>
      <c r="J165" s="68"/>
      <c r="Z165" s="112">
        <v>0.31144990553163798</v>
      </c>
      <c r="AA165" s="112">
        <v>0.33216059517818441</v>
      </c>
    </row>
    <row r="166" spans="1:27" ht="16.5" customHeight="1">
      <c r="A166" s="299"/>
      <c r="B166" s="5">
        <v>8</v>
      </c>
      <c r="C166" s="5">
        <f t="shared" si="28"/>
        <v>85</v>
      </c>
      <c r="D166" s="64">
        <f t="shared" si="29"/>
        <v>53</v>
      </c>
      <c r="E166" s="23">
        <f t="shared" si="30"/>
        <v>53</v>
      </c>
      <c r="F166" s="23" t="str">
        <f t="shared" si="31"/>
        <v>35</v>
      </c>
      <c r="G166" s="1">
        <f t="shared" si="32"/>
        <v>393</v>
      </c>
      <c r="H166" s="20">
        <f t="shared" si="33"/>
        <v>1.53515625</v>
      </c>
      <c r="I166" s="1">
        <f t="shared" si="34"/>
        <v>0.77634540234375005</v>
      </c>
      <c r="J166" s="68"/>
      <c r="Z166" s="112">
        <v>0.3113796809852416</v>
      </c>
      <c r="AA166" s="112">
        <v>0.3320744234582515</v>
      </c>
    </row>
    <row r="167" spans="1:27" ht="17.25" customHeight="1">
      <c r="A167" s="299"/>
      <c r="B167" s="5">
        <v>9</v>
      </c>
      <c r="C167" s="5">
        <f t="shared" si="28"/>
        <v>102</v>
      </c>
      <c r="D167" s="64">
        <f t="shared" si="29"/>
        <v>140</v>
      </c>
      <c r="E167" s="23">
        <f t="shared" si="30"/>
        <v>140</v>
      </c>
      <c r="F167" s="23" t="str">
        <f t="shared" si="31"/>
        <v>8C</v>
      </c>
      <c r="G167" s="1">
        <f t="shared" si="32"/>
        <v>501</v>
      </c>
      <c r="H167" s="20">
        <f t="shared" si="33"/>
        <v>1.95703125</v>
      </c>
      <c r="I167" s="1">
        <f t="shared" si="34"/>
        <v>0.71915330454254134</v>
      </c>
      <c r="J167" s="68"/>
      <c r="Z167" s="112">
        <v>0.31130985862080734</v>
      </c>
      <c r="AA167" s="112">
        <v>0.33198731523915059</v>
      </c>
    </row>
    <row r="168" spans="1:27" ht="16.5" customHeight="1">
      <c r="A168" s="299"/>
      <c r="B168" s="5">
        <v>10</v>
      </c>
      <c r="C168" s="5">
        <f t="shared" si="28"/>
        <v>117</v>
      </c>
      <c r="D168" s="64">
        <f t="shared" si="29"/>
        <v>316</v>
      </c>
      <c r="E168" s="23">
        <f>IF(D168&gt;255,255,D168)</f>
        <v>255</v>
      </c>
      <c r="F168" s="23" t="str">
        <f t="shared" si="31"/>
        <v>FF</v>
      </c>
      <c r="G168" s="1">
        <f t="shared" si="32"/>
        <v>637</v>
      </c>
      <c r="H168" s="20">
        <f t="shared" si="33"/>
        <v>2.48828125</v>
      </c>
      <c r="I168" s="1">
        <f t="shared" si="34"/>
        <v>0.61086200512695299</v>
      </c>
      <c r="Z168" s="112">
        <v>0.31124045970690373</v>
      </c>
      <c r="AA168" s="112">
        <v>0.33189929705488913</v>
      </c>
    </row>
    <row r="169" spans="1:27" ht="16.5" customHeight="1" thickBot="1">
      <c r="A169" s="300"/>
      <c r="B169" s="5">
        <v>11</v>
      </c>
      <c r="C169" s="5">
        <f t="shared" si="28"/>
        <v>132</v>
      </c>
      <c r="D169" s="64">
        <f t="shared" si="29"/>
        <v>883</v>
      </c>
      <c r="E169" s="23">
        <f>IF(D169&gt;255,255,D169)</f>
        <v>255</v>
      </c>
      <c r="F169" s="23" t="str">
        <f t="shared" si="31"/>
        <v>FF</v>
      </c>
      <c r="G169" s="1">
        <f t="shared" si="32"/>
        <v>658</v>
      </c>
      <c r="H169" s="67">
        <f t="shared" si="33"/>
        <v>2.5703125</v>
      </c>
      <c r="I169" s="1">
        <f t="shared" si="34"/>
        <v>0.31748391062927256</v>
      </c>
      <c r="Z169" s="112">
        <v>0.31117150538311233</v>
      </c>
      <c r="AA169" s="112">
        <v>0.33181039571665855</v>
      </c>
    </row>
    <row r="170" spans="1:27">
      <c r="Z170" s="112">
        <v>0.31110301665358808</v>
      </c>
      <c r="AA170" s="112">
        <v>0.3317206383046678</v>
      </c>
    </row>
    <row r="171" spans="1:27">
      <c r="Z171" s="112">
        <v>0.31103501438066145</v>
      </c>
      <c r="AA171" s="112">
        <v>0.33163005215989405</v>
      </c>
    </row>
    <row r="172" spans="1:27">
      <c r="Z172" s="112">
        <v>0.31096751927848354</v>
      </c>
      <c r="AA172" s="112">
        <v>0.33153866487575445</v>
      </c>
    </row>
    <row r="173" spans="1:27" ht="17.25" thickBot="1">
      <c r="Z173" s="112">
        <v>0.31090055190671639</v>
      </c>
      <c r="AA173" s="112">
        <v>0.33144650428970118</v>
      </c>
    </row>
    <row r="174" spans="1:27">
      <c r="A174" s="328" t="s">
        <v>131</v>
      </c>
      <c r="B174" s="5" t="s">
        <v>132</v>
      </c>
      <c r="C174" s="5" t="s">
        <v>3</v>
      </c>
      <c r="D174" s="1" t="s">
        <v>163</v>
      </c>
      <c r="E174" s="1" t="s">
        <v>201</v>
      </c>
      <c r="Z174" s="112">
        <v>0.31083413266427001</v>
      </c>
      <c r="AA174" s="112">
        <v>0.33135359847474138</v>
      </c>
    </row>
    <row r="175" spans="1:27">
      <c r="A175" s="211"/>
      <c r="B175" s="5">
        <v>0</v>
      </c>
      <c r="C175" s="5">
        <f t="shared" ref="C175:C184" si="35">C158</f>
        <v>-33</v>
      </c>
      <c r="D175" s="1">
        <f t="shared" ref="D175:D186" si="36">I158+U96+V96</f>
        <v>4.0549240832702633</v>
      </c>
      <c r="E175" s="20">
        <f t="shared" ref="E175:E186" si="37">D175/$D$179</f>
        <v>1.1637726837112197</v>
      </c>
      <c r="Z175" s="112">
        <v>0.31076828178308924</v>
      </c>
      <c r="AA175" s="112">
        <v>0.33125997573088639</v>
      </c>
    </row>
    <row r="176" spans="1:27">
      <c r="A176" s="211"/>
      <c r="B176" s="5">
        <v>1</v>
      </c>
      <c r="C176" s="5">
        <f t="shared" si="35"/>
        <v>-18</v>
      </c>
      <c r="D176" s="1">
        <f t="shared" si="36"/>
        <v>3.906161528353882</v>
      </c>
      <c r="E176" s="20">
        <f t="shared" si="37"/>
        <v>1.1210774829588668</v>
      </c>
      <c r="Z176" s="112">
        <v>0.31070301932199024</v>
      </c>
      <c r="AA176" s="112">
        <v>0.33116566457653085</v>
      </c>
    </row>
    <row r="177" spans="1:27">
      <c r="A177" s="211"/>
      <c r="B177" s="5">
        <v>2</v>
      </c>
      <c r="C177" s="5">
        <f t="shared" si="35"/>
        <v>-3</v>
      </c>
      <c r="D177" s="1">
        <f t="shared" si="36"/>
        <v>3.7593169075195312</v>
      </c>
      <c r="E177" s="20">
        <f t="shared" si="37"/>
        <v>1.0789327337681187</v>
      </c>
      <c r="Z177" s="112">
        <v>0.31063836516055099</v>
      </c>
      <c r="AA177" s="112">
        <v>0.33107069373976611</v>
      </c>
    </row>
    <row r="178" spans="1:27">
      <c r="A178" s="211"/>
      <c r="B178" s="5">
        <v>3</v>
      </c>
      <c r="C178" s="5">
        <f t="shared" si="35"/>
        <v>12</v>
      </c>
      <c r="D178" s="1">
        <f t="shared" si="36"/>
        <v>3.6115314085876462</v>
      </c>
      <c r="E178" s="20">
        <f t="shared" si="37"/>
        <v>1.036517950365601</v>
      </c>
      <c r="Z178" s="112">
        <v>0.31057433899305537</v>
      </c>
      <c r="AA178" s="112">
        <v>0.33097509214962889</v>
      </c>
    </row>
    <row r="179" spans="1:27">
      <c r="A179" s="211"/>
      <c r="B179" s="5">
        <v>4</v>
      </c>
      <c r="C179" s="5">
        <f t="shared" si="35"/>
        <v>25</v>
      </c>
      <c r="D179" s="1">
        <f t="shared" si="36"/>
        <v>3.4842921990051265</v>
      </c>
      <c r="E179" s="20">
        <f>D179/$D$179</f>
        <v>1</v>
      </c>
      <c r="Z179" s="112">
        <v>0.31051096032249415</v>
      </c>
      <c r="AA179" s="112">
        <v>0.33087888892728978</v>
      </c>
    </row>
    <row r="180" spans="1:27" ht="16.5" customHeight="1">
      <c r="A180" s="211"/>
      <c r="B180" s="5">
        <v>5</v>
      </c>
      <c r="C180" s="5">
        <f t="shared" si="35"/>
        <v>42</v>
      </c>
      <c r="D180" s="1">
        <f t="shared" si="36"/>
        <v>3.3184090803329465</v>
      </c>
      <c r="E180" s="20">
        <f t="shared" si="37"/>
        <v>0.95239115745816472</v>
      </c>
      <c r="Z180" s="112">
        <v>0.31044824845462443</v>
      </c>
      <c r="AA180" s="112">
        <v>0.33078211337718227</v>
      </c>
    </row>
    <row r="181" spans="1:27" ht="16.5" customHeight="1">
      <c r="A181" s="211"/>
      <c r="B181" s="5">
        <v>6</v>
      </c>
      <c r="C181" s="5">
        <f t="shared" si="35"/>
        <v>57</v>
      </c>
      <c r="D181" s="1">
        <f t="shared" si="36"/>
        <v>3.1740493069946289</v>
      </c>
      <c r="E181" s="20">
        <f t="shared" si="37"/>
        <v>0.91095956530308175</v>
      </c>
      <c r="Z181" s="112">
        <v>0.31038622249208864</v>
      </c>
      <c r="AA181" s="112">
        <v>0.33068479497807629</v>
      </c>
    </row>
    <row r="182" spans="1:27" ht="16.5" customHeight="1">
      <c r="A182" s="211"/>
      <c r="B182" s="5">
        <v>7</v>
      </c>
      <c r="C182" s="5">
        <f t="shared" si="35"/>
        <v>72</v>
      </c>
      <c r="D182" s="1">
        <f t="shared" si="36"/>
        <v>3.0326207016098023</v>
      </c>
      <c r="E182" s="20">
        <f t="shared" si="37"/>
        <v>0.87036922519750481</v>
      </c>
      <c r="Z182" s="112">
        <v>0.3103249013285958</v>
      </c>
      <c r="AA182" s="112">
        <v>0.33058696337409899</v>
      </c>
    </row>
    <row r="183" spans="1:27" ht="16.5" customHeight="1">
      <c r="A183" s="211"/>
      <c r="B183" s="5">
        <v>8</v>
      </c>
      <c r="C183" s="5">
        <f t="shared" si="35"/>
        <v>85</v>
      </c>
      <c r="D183" s="1">
        <f t="shared" si="36"/>
        <v>2.9080384023437502</v>
      </c>
      <c r="E183" s="20">
        <f t="shared" si="37"/>
        <v>0.83461381429895154</v>
      </c>
      <c r="Z183" s="112">
        <v>0.31026430364316637</v>
      </c>
      <c r="AA183" s="112">
        <v>0.33048864836570474</v>
      </c>
    </row>
    <row r="184" spans="1:27" ht="16.5" customHeight="1">
      <c r="A184" s="211"/>
      <c r="B184" s="5">
        <v>9</v>
      </c>
      <c r="C184" s="5">
        <f t="shared" si="35"/>
        <v>102</v>
      </c>
      <c r="D184" s="1">
        <f t="shared" si="36"/>
        <v>2.7502338033706666</v>
      </c>
      <c r="E184" s="20">
        <f t="shared" si="37"/>
        <v>0.78932352578120268</v>
      </c>
      <c r="Z184" s="112">
        <v>0.3102044478944424</v>
      </c>
      <c r="AA184" s="112">
        <v>0.33038987990059743</v>
      </c>
    </row>
    <row r="185" spans="1:27">
      <c r="A185" s="211"/>
      <c r="B185" s="5">
        <v>10</v>
      </c>
      <c r="C185" s="5">
        <f>C168</f>
        <v>117</v>
      </c>
      <c r="D185" s="1">
        <f t="shared" si="36"/>
        <v>2.5531667676269532</v>
      </c>
      <c r="E185" s="20">
        <f t="shared" si="37"/>
        <v>0.73276482619797545</v>
      </c>
      <c r="Z185" s="112">
        <v>0.31014535231506468</v>
      </c>
      <c r="AA185" s="112">
        <v>0.33029068806460826</v>
      </c>
    </row>
    <row r="186" spans="1:27" ht="17.25" thickBot="1">
      <c r="A186" s="212"/>
      <c r="B186" s="5">
        <v>11</v>
      </c>
      <c r="C186" s="5">
        <f>C169</f>
        <v>132</v>
      </c>
      <c r="D186" s="1">
        <f t="shared" si="36"/>
        <v>2.1710129368011475</v>
      </c>
      <c r="E186" s="20">
        <f t="shared" si="37"/>
        <v>0.62308578408580051</v>
      </c>
      <c r="Z186" s="112">
        <v>0.31008703490611927</v>
      </c>
      <c r="AA186" s="112">
        <v>0.33019110307253152</v>
      </c>
    </row>
    <row r="187" spans="1:27">
      <c r="Z187" s="112">
        <v>0.3100295134316538</v>
      </c>
      <c r="AA187" s="112">
        <v>0.33009115525892035</v>
      </c>
    </row>
    <row r="188" spans="1:27">
      <c r="Z188" s="112">
        <v>0.30997280541326661</v>
      </c>
      <c r="AA188" s="112">
        <v>0.32999087506884711</v>
      </c>
    </row>
    <row r="189" spans="1:27">
      <c r="Z189" s="112">
        <v>0.30991692812476945</v>
      </c>
      <c r="AA189" s="112">
        <v>0.32989029304862905</v>
      </c>
    </row>
    <row r="190" spans="1:27">
      <c r="Z190" s="112">
        <v>0.30986189858692575</v>
      </c>
      <c r="AA190" s="112">
        <v>0.32978943983652387</v>
      </c>
    </row>
    <row r="191" spans="1:27">
      <c r="Z191" s="112">
        <v>0.30980773356226576</v>
      </c>
      <c r="AA191" s="112">
        <v>0.32968834615339709</v>
      </c>
    </row>
    <row r="192" spans="1:27">
      <c r="M192" s="46" t="s">
        <v>17</v>
      </c>
      <c r="N192" s="46" t="s">
        <v>18</v>
      </c>
      <c r="O192" s="46" t="s">
        <v>19</v>
      </c>
      <c r="P192" s="46" t="s">
        <v>20</v>
      </c>
      <c r="Q192" s="46" t="s">
        <v>21</v>
      </c>
      <c r="R192" s="46" t="s">
        <v>22</v>
      </c>
      <c r="S192" s="46" t="s">
        <v>13</v>
      </c>
      <c r="T192" s="46" t="s">
        <v>14</v>
      </c>
      <c r="U192" s="46" t="s">
        <v>15</v>
      </c>
      <c r="V192" s="46" t="s">
        <v>10</v>
      </c>
      <c r="W192" s="46" t="s">
        <v>11</v>
      </c>
      <c r="Z192" s="112">
        <v>0.30975444954998071</v>
      </c>
      <c r="AA192" s="112">
        <v>0.32958704279336376</v>
      </c>
    </row>
    <row r="193" spans="1:27" ht="33">
      <c r="A193" s="5" t="s">
        <v>203</v>
      </c>
      <c r="B193" s="1" t="s">
        <v>3</v>
      </c>
      <c r="C193" s="3" t="s">
        <v>4</v>
      </c>
      <c r="D193" s="3" t="s">
        <v>5</v>
      </c>
      <c r="E193" s="3" t="s">
        <v>6</v>
      </c>
      <c r="F193" s="4" t="s">
        <v>4</v>
      </c>
      <c r="G193" s="4" t="s">
        <v>5</v>
      </c>
      <c r="H193" s="4" t="s">
        <v>6</v>
      </c>
      <c r="I193" s="2" t="s">
        <v>4</v>
      </c>
      <c r="J193" s="2" t="s">
        <v>5</v>
      </c>
      <c r="K193" s="2" t="s">
        <v>6</v>
      </c>
      <c r="M193" s="21" t="s">
        <v>30</v>
      </c>
      <c r="N193" s="21" t="s">
        <v>31</v>
      </c>
      <c r="O193" s="21" t="s">
        <v>32</v>
      </c>
      <c r="P193" s="21" t="s">
        <v>33</v>
      </c>
      <c r="Q193" s="21" t="s">
        <v>34</v>
      </c>
      <c r="R193" s="21" t="s">
        <v>35</v>
      </c>
      <c r="S193" s="21"/>
      <c r="T193" s="21"/>
      <c r="U193" s="21"/>
      <c r="V193" s="21"/>
      <c r="W193" s="21"/>
      <c r="X193" s="1" t="s">
        <v>3</v>
      </c>
      <c r="Z193" s="112">
        <v>0.30970206278089696</v>
      </c>
      <c r="AA193" s="112">
        <v>0.32948556061440881</v>
      </c>
    </row>
    <row r="194" spans="1:27">
      <c r="A194" s="5">
        <v>0</v>
      </c>
      <c r="B194" s="1">
        <v>-33</v>
      </c>
      <c r="C194" s="45">
        <f t="shared" ref="C194:D205" si="38">C76</f>
        <v>0.67332999999999998</v>
      </c>
      <c r="D194" s="45">
        <f t="shared" si="38"/>
        <v>0.32134999999999991</v>
      </c>
      <c r="E194" s="45">
        <f>I158</f>
        <v>1.2248619574890138</v>
      </c>
      <c r="F194" s="45">
        <f t="shared" ref="F194:K194" si="39">F76</f>
        <v>0.15360000000000001</v>
      </c>
      <c r="G194" s="45">
        <f t="shared" si="39"/>
        <v>0.73979333333333341</v>
      </c>
      <c r="H194" s="45">
        <f t="shared" si="39"/>
        <v>2.6009350859374996</v>
      </c>
      <c r="I194" s="45">
        <f t="shared" si="39"/>
        <v>0.14266333333333334</v>
      </c>
      <c r="J194" s="45">
        <f t="shared" si="39"/>
        <v>4.2620000000000012E-2</v>
      </c>
      <c r="K194" s="45">
        <f t="shared" si="39"/>
        <v>0.22912703984375002</v>
      </c>
      <c r="M194" s="1">
        <f t="shared" ref="M194:M205" si="40">C194/D194</f>
        <v>2.0953166329547228</v>
      </c>
      <c r="N194" s="1">
        <f t="shared" ref="N194:N205" si="41">F194/G194</f>
        <v>0.20762555308239239</v>
      </c>
      <c r="O194" s="1">
        <f t="shared" ref="O194:O205" si="42">I194/J194</f>
        <v>3.3473330204911615</v>
      </c>
      <c r="P194" s="1">
        <f t="shared" ref="P194:P205" si="43">(1-C194-D194)/D194</f>
        <v>1.6555157927493711E-2</v>
      </c>
      <c r="Q194" s="1">
        <f t="shared" ref="Q194:Q205" si="44">(1-F194-G194)/G194</f>
        <v>0.14410330813109962</v>
      </c>
      <c r="R194" s="1">
        <f t="shared" ref="R194:R205" si="45">(1-I194-J194)/J194</f>
        <v>19.115829813858902</v>
      </c>
      <c r="S194" s="1">
        <f t="shared" ref="S194:S205" si="46">E194*M194+H194*N194+K194*O194</f>
        <v>3.8734587247057628</v>
      </c>
      <c r="T194" s="1">
        <f t="shared" ref="T194:T205" si="47">E194+H194+K194</f>
        <v>4.0549240832702633</v>
      </c>
      <c r="U194" s="1">
        <f t="shared" ref="U194:U205" si="48">E194*P194+H194*Q194+K194*R194</f>
        <v>4.7750346326698425</v>
      </c>
      <c r="V194" s="144">
        <f t="shared" ref="V194:V205" si="49">S194/(S194+T194+U194)</f>
        <v>0.30491470053658476</v>
      </c>
      <c r="W194" s="144">
        <f t="shared" ref="W194:W205" si="50">T194/(S194+T194+U194)</f>
        <v>0.3191994675618644</v>
      </c>
      <c r="X194" s="1">
        <v>-33</v>
      </c>
      <c r="Z194" s="112">
        <v>0.3096505892125318</v>
      </c>
      <c r="AA194" s="112">
        <v>0.32938393052898696</v>
      </c>
    </row>
    <row r="195" spans="1:27">
      <c r="A195" s="5">
        <v>1</v>
      </c>
      <c r="B195" s="1">
        <v>-18</v>
      </c>
      <c r="C195" s="45">
        <f t="shared" si="38"/>
        <v>0.67655499999999991</v>
      </c>
      <c r="D195" s="45">
        <f t="shared" si="38"/>
        <v>0.31872499999999993</v>
      </c>
      <c r="E195" s="45">
        <f t="shared" ref="E195:E205" si="51">I159</f>
        <v>1.164875138900757</v>
      </c>
      <c r="F195" s="45">
        <f t="shared" ref="F195:K195" si="52">F77</f>
        <v>0.15810000000000002</v>
      </c>
      <c r="G195" s="45">
        <f t="shared" si="52"/>
        <v>0.73824333333333336</v>
      </c>
      <c r="H195" s="45">
        <f t="shared" si="52"/>
        <v>2.5167259648437499</v>
      </c>
      <c r="I195" s="45">
        <f t="shared" si="52"/>
        <v>0.14163833333333334</v>
      </c>
      <c r="J195" s="45">
        <f t="shared" si="52"/>
        <v>4.4270000000000011E-2</v>
      </c>
      <c r="K195" s="45">
        <f t="shared" si="52"/>
        <v>0.22456042460937503</v>
      </c>
      <c r="M195" s="1">
        <f t="shared" si="40"/>
        <v>2.1226919758412426</v>
      </c>
      <c r="N195" s="1">
        <f t="shared" si="41"/>
        <v>0.21415703042808831</v>
      </c>
      <c r="O195" s="1">
        <f t="shared" si="42"/>
        <v>3.1994202243806935</v>
      </c>
      <c r="P195" s="1">
        <f t="shared" si="43"/>
        <v>1.4809004627814478E-2</v>
      </c>
      <c r="Q195" s="1">
        <f t="shared" si="44"/>
        <v>0.14040989195071177</v>
      </c>
      <c r="R195" s="1">
        <f t="shared" si="45"/>
        <v>18.389240268052099</v>
      </c>
      <c r="S195" s="1">
        <f t="shared" si="46"/>
        <v>3.7301088333245431</v>
      </c>
      <c r="T195" s="1">
        <f t="shared" si="47"/>
        <v>3.906161528353882</v>
      </c>
      <c r="U195" s="1">
        <f t="shared" si="48"/>
        <v>4.5001194649536664</v>
      </c>
      <c r="V195" s="144">
        <f t="shared" si="49"/>
        <v>0.30734912825057686</v>
      </c>
      <c r="W195" s="144">
        <f t="shared" si="50"/>
        <v>0.32185531151794428</v>
      </c>
      <c r="X195" s="1">
        <v>-18</v>
      </c>
      <c r="Z195" s="112">
        <v>0.30960004452423279</v>
      </c>
      <c r="AA195" s="112">
        <v>0.32928218349460675</v>
      </c>
    </row>
    <row r="196" spans="1:27">
      <c r="A196" s="5">
        <v>2</v>
      </c>
      <c r="B196" s="1">
        <v>-3</v>
      </c>
      <c r="C196" s="45">
        <f t="shared" si="38"/>
        <v>0.67977999999999994</v>
      </c>
      <c r="D196" s="45">
        <f t="shared" si="38"/>
        <v>0.31609999999999994</v>
      </c>
      <c r="E196" s="45">
        <f t="shared" si="51"/>
        <v>1.1068062543945312</v>
      </c>
      <c r="F196" s="45">
        <f t="shared" ref="F196:K196" si="53">F78</f>
        <v>0.16259999999999999</v>
      </c>
      <c r="G196" s="45">
        <f t="shared" si="53"/>
        <v>0.73669333333333342</v>
      </c>
      <c r="H196" s="45">
        <f t="shared" si="53"/>
        <v>2.4325168437499998</v>
      </c>
      <c r="I196" s="45">
        <f t="shared" si="53"/>
        <v>0.14061333333333334</v>
      </c>
      <c r="J196" s="45">
        <f t="shared" si="53"/>
        <v>4.5920000000000009E-2</v>
      </c>
      <c r="K196" s="45">
        <f t="shared" si="53"/>
        <v>0.21999380937500002</v>
      </c>
      <c r="M196" s="1">
        <f t="shared" si="40"/>
        <v>2.1505219867130658</v>
      </c>
      <c r="N196" s="1">
        <f t="shared" si="41"/>
        <v>0.22071599218127846</v>
      </c>
      <c r="O196" s="1">
        <f t="shared" si="42"/>
        <v>3.0621370499419274</v>
      </c>
      <c r="P196" s="1">
        <f t="shared" si="43"/>
        <v>1.3033850047453732E-2</v>
      </c>
      <c r="Q196" s="1">
        <f t="shared" si="44"/>
        <v>0.13670093390284505</v>
      </c>
      <c r="R196" s="1">
        <f t="shared" si="45"/>
        <v>17.714866434378624</v>
      </c>
      <c r="S196" s="1">
        <f t="shared" si="46"/>
        <v>3.5907577482179769</v>
      </c>
      <c r="T196" s="1">
        <f t="shared" si="47"/>
        <v>3.7593169075195312</v>
      </c>
      <c r="U196" s="1">
        <f t="shared" si="48"/>
        <v>4.2441142204946658</v>
      </c>
      <c r="V196" s="144">
        <f t="shared" si="49"/>
        <v>0.30970323034662212</v>
      </c>
      <c r="W196" s="144">
        <f t="shared" si="50"/>
        <v>0.32424147541929788</v>
      </c>
      <c r="X196" s="1">
        <v>-3</v>
      </c>
      <c r="Z196" s="112">
        <v>0.30955044411240168</v>
      </c>
      <c r="AA196" s="112">
        <v>0.32918035050440053</v>
      </c>
    </row>
    <row r="197" spans="1:27">
      <c r="A197" s="5">
        <v>3</v>
      </c>
      <c r="B197" s="1">
        <v>12</v>
      </c>
      <c r="C197" s="45">
        <f t="shared" si="38"/>
        <v>0.68300499999999997</v>
      </c>
      <c r="D197" s="45">
        <f t="shared" si="38"/>
        <v>0.31347499999999995</v>
      </c>
      <c r="E197" s="45">
        <f t="shared" si="51"/>
        <v>1.0477964917907716</v>
      </c>
      <c r="F197" s="45">
        <f t="shared" ref="F197:K197" si="54">F79</f>
        <v>0.1671</v>
      </c>
      <c r="G197" s="45">
        <f t="shared" si="54"/>
        <v>0.73514333333333337</v>
      </c>
      <c r="H197" s="45">
        <f t="shared" si="54"/>
        <v>2.3483077226562497</v>
      </c>
      <c r="I197" s="45">
        <f t="shared" si="54"/>
        <v>0.13958833333333334</v>
      </c>
      <c r="J197" s="45">
        <f t="shared" si="54"/>
        <v>4.7570000000000008E-2</v>
      </c>
      <c r="K197" s="45">
        <f t="shared" si="54"/>
        <v>0.21542719414062503</v>
      </c>
      <c r="M197" s="1">
        <f t="shared" si="40"/>
        <v>2.1788180875667917</v>
      </c>
      <c r="N197" s="1">
        <f t="shared" si="41"/>
        <v>0.22730261218900621</v>
      </c>
      <c r="O197" s="1">
        <f t="shared" si="42"/>
        <v>2.9343774087309926</v>
      </c>
      <c r="P197" s="1">
        <f t="shared" si="43"/>
        <v>1.1228965627243254E-2</v>
      </c>
      <c r="Q197" s="1">
        <f t="shared" si="44"/>
        <v>0.13297633568057013</v>
      </c>
      <c r="R197" s="1">
        <f t="shared" si="45"/>
        <v>17.087274893139931</v>
      </c>
      <c r="S197" s="1">
        <f t="shared" si="46"/>
        <v>3.4488791196987005</v>
      </c>
      <c r="T197" s="1">
        <f t="shared" si="47"/>
        <v>3.6115314085876462</v>
      </c>
      <c r="U197" s="1">
        <f t="shared" si="48"/>
        <v>4.0050987125385609</v>
      </c>
      <c r="V197" s="144">
        <f t="shared" si="49"/>
        <v>0.3116783009836061</v>
      </c>
      <c r="W197" s="144">
        <f t="shared" si="50"/>
        <v>0.32637733429052873</v>
      </c>
      <c r="X197" s="1">
        <v>12</v>
      </c>
      <c r="Z197" s="112">
        <v>0.30950180308580433</v>
      </c>
      <c r="AA197" s="112">
        <v>0.32907846257768353</v>
      </c>
    </row>
    <row r="198" spans="1:27">
      <c r="A198" s="5">
        <v>4</v>
      </c>
      <c r="B198" s="1">
        <v>25</v>
      </c>
      <c r="C198" s="45">
        <f t="shared" si="38"/>
        <v>0.68579999999999997</v>
      </c>
      <c r="D198" s="45">
        <f t="shared" si="38"/>
        <v>0.31119999999999998</v>
      </c>
      <c r="E198" s="45">
        <f t="shared" si="51"/>
        <v>0.99749625369262696</v>
      </c>
      <c r="F198" s="45">
        <f t="shared" ref="F198:K198" si="55">F80</f>
        <v>0.17100000000000001</v>
      </c>
      <c r="G198" s="45">
        <f t="shared" si="55"/>
        <v>0.73380000000000001</v>
      </c>
      <c r="H198" s="45">
        <f t="shared" si="55"/>
        <v>2.2753264843749998</v>
      </c>
      <c r="I198" s="45">
        <f t="shared" si="55"/>
        <v>0.13869999999999999</v>
      </c>
      <c r="J198" s="45">
        <f t="shared" si="55"/>
        <v>4.9000000000000002E-2</v>
      </c>
      <c r="K198" s="45">
        <f t="shared" si="55"/>
        <v>0.21146946093750002</v>
      </c>
      <c r="M198" s="1">
        <f t="shared" si="40"/>
        <v>2.2037275064267354</v>
      </c>
      <c r="N198" s="1">
        <f t="shared" si="41"/>
        <v>0.23303352412101391</v>
      </c>
      <c r="O198" s="1">
        <f t="shared" si="42"/>
        <v>2.8306122448979587</v>
      </c>
      <c r="P198" s="1">
        <f t="shared" si="43"/>
        <v>9.6401028277636833E-3</v>
      </c>
      <c r="Q198" s="1">
        <f t="shared" si="44"/>
        <v>0.12973562278550008</v>
      </c>
      <c r="R198" s="1">
        <f t="shared" si="45"/>
        <v>16.577551020408162</v>
      </c>
      <c r="S198" s="1">
        <f t="shared" si="46"/>
        <v>3.3270253265515048</v>
      </c>
      <c r="T198" s="1">
        <f t="shared" si="47"/>
        <v>3.4842921990051265</v>
      </c>
      <c r="U198" s="1">
        <f t="shared" si="48"/>
        <v>3.8104526428962564</v>
      </c>
      <c r="V198" s="144">
        <f t="shared" si="49"/>
        <v>0.31322701148561022</v>
      </c>
      <c r="W198" s="144">
        <f t="shared" si="50"/>
        <v>0.32803310029750249</v>
      </c>
      <c r="X198" s="1">
        <v>25</v>
      </c>
      <c r="Z198" s="112">
        <v>0.30945413626096868</v>
      </c>
      <c r="AA198" s="112">
        <v>0.3289765507505053</v>
      </c>
    </row>
    <row r="199" spans="1:27">
      <c r="A199" s="5">
        <v>5</v>
      </c>
      <c r="B199" s="1">
        <v>42</v>
      </c>
      <c r="C199" s="45">
        <f t="shared" si="38"/>
        <v>0.68945499999999993</v>
      </c>
      <c r="D199" s="45">
        <f t="shared" si="38"/>
        <v>0.30822499999999997</v>
      </c>
      <c r="E199" s="45">
        <f t="shared" si="51"/>
        <v>0.9322256361923219</v>
      </c>
      <c r="F199" s="45">
        <f t="shared" ref="F199:K199" si="56">F81</f>
        <v>0.17610000000000001</v>
      </c>
      <c r="G199" s="45">
        <f t="shared" si="56"/>
        <v>0.73204333333333338</v>
      </c>
      <c r="H199" s="45">
        <f t="shared" si="56"/>
        <v>2.1798894804687499</v>
      </c>
      <c r="I199" s="45">
        <f t="shared" si="56"/>
        <v>0.13753833333333335</v>
      </c>
      <c r="J199" s="45">
        <f t="shared" si="56"/>
        <v>5.0870000000000005E-2</v>
      </c>
      <c r="K199" s="45">
        <f t="shared" si="56"/>
        <v>0.20629396367187502</v>
      </c>
      <c r="M199" s="1">
        <f t="shared" si="40"/>
        <v>2.2368561927163597</v>
      </c>
      <c r="N199" s="1">
        <f t="shared" si="41"/>
        <v>0.24055952971818609</v>
      </c>
      <c r="O199" s="1">
        <f t="shared" si="42"/>
        <v>2.7037219055107791</v>
      </c>
      <c r="P199" s="1">
        <f t="shared" si="43"/>
        <v>7.5269689350315515E-3</v>
      </c>
      <c r="Q199" s="1">
        <f t="shared" si="44"/>
        <v>0.12547982132205276</v>
      </c>
      <c r="R199" s="1">
        <f t="shared" si="45"/>
        <v>15.954229735928182</v>
      </c>
      <c r="S199" s="1">
        <f t="shared" si="46"/>
        <v>3.1674093841392206</v>
      </c>
      <c r="T199" s="1">
        <f t="shared" si="47"/>
        <v>3.3184090803329465</v>
      </c>
      <c r="U199" s="1">
        <f t="shared" si="48"/>
        <v>3.5718102654714174</v>
      </c>
      <c r="V199" s="144">
        <f t="shared" si="49"/>
        <v>0.31492605953023556</v>
      </c>
      <c r="W199" s="144">
        <f t="shared" si="50"/>
        <v>0.32993950854970167</v>
      </c>
      <c r="X199" s="1">
        <v>42</v>
      </c>
      <c r="Z199" s="112">
        <v>0.30940745815767134</v>
      </c>
      <c r="AA199" s="112">
        <v>0.32887464606619565</v>
      </c>
    </row>
    <row r="200" spans="1:27">
      <c r="A200" s="5">
        <v>6</v>
      </c>
      <c r="B200" s="1">
        <v>57</v>
      </c>
      <c r="C200" s="45">
        <f t="shared" si="38"/>
        <v>0.69267999999999996</v>
      </c>
      <c r="D200" s="45">
        <f t="shared" si="38"/>
        <v>0.30559999999999998</v>
      </c>
      <c r="E200" s="45">
        <f t="shared" si="51"/>
        <v>0.87664159918212881</v>
      </c>
      <c r="F200" s="45">
        <f t="shared" ref="F200:K200" si="57">F82</f>
        <v>0.18059999999999998</v>
      </c>
      <c r="G200" s="45">
        <f t="shared" si="57"/>
        <v>0.73049333333333344</v>
      </c>
      <c r="H200" s="45">
        <f t="shared" si="57"/>
        <v>2.0956803593749997</v>
      </c>
      <c r="I200" s="45">
        <f t="shared" si="57"/>
        <v>0.13651333333333335</v>
      </c>
      <c r="J200" s="45">
        <f t="shared" si="57"/>
        <v>5.2520000000000004E-2</v>
      </c>
      <c r="K200" s="45">
        <f t="shared" si="57"/>
        <v>0.20172734843750001</v>
      </c>
      <c r="M200" s="1">
        <f t="shared" si="40"/>
        <v>2.2666230366492148</v>
      </c>
      <c r="N200" s="1">
        <f t="shared" si="41"/>
        <v>0.24723018234252644</v>
      </c>
      <c r="O200" s="1">
        <f t="shared" si="42"/>
        <v>2.5992637725310992</v>
      </c>
      <c r="P200" s="1">
        <f t="shared" si="43"/>
        <v>5.6282722513090805E-3</v>
      </c>
      <c r="Q200" s="1">
        <f t="shared" si="44"/>
        <v>0.12170770438242635</v>
      </c>
      <c r="R200" s="1">
        <f t="shared" si="45"/>
        <v>15.441101802487939</v>
      </c>
      <c r="S200" s="1">
        <f t="shared" si="46"/>
        <v>3.0294740696935047</v>
      </c>
      <c r="T200" s="1">
        <f t="shared" si="47"/>
        <v>3.1740493069946289</v>
      </c>
      <c r="U200" s="1">
        <f t="shared" si="48"/>
        <v>3.3748869468152831</v>
      </c>
      <c r="V200" s="144">
        <f t="shared" si="49"/>
        <v>0.31628150886998535</v>
      </c>
      <c r="W200" s="144">
        <f t="shared" si="50"/>
        <v>0.33137537438818793</v>
      </c>
      <c r="X200" s="1">
        <v>57</v>
      </c>
      <c r="Z200" s="112">
        <v>0.30936178299451472</v>
      </c>
      <c r="AA200" s="112">
        <v>0.32877277956590856</v>
      </c>
    </row>
    <row r="201" spans="1:27">
      <c r="A201" s="5">
        <v>7</v>
      </c>
      <c r="B201" s="1">
        <v>72</v>
      </c>
      <c r="C201" s="45">
        <f t="shared" si="38"/>
        <v>0.695905</v>
      </c>
      <c r="D201" s="45">
        <f t="shared" si="38"/>
        <v>0.30297499999999999</v>
      </c>
      <c r="E201" s="45">
        <f t="shared" si="51"/>
        <v>0.82398873012542728</v>
      </c>
      <c r="F201" s="45">
        <f t="shared" ref="F201:K201" si="58">F83</f>
        <v>0.18509999999999999</v>
      </c>
      <c r="G201" s="45">
        <f t="shared" si="58"/>
        <v>0.72894333333333339</v>
      </c>
      <c r="H201" s="45">
        <f t="shared" si="58"/>
        <v>2.0114712382812501</v>
      </c>
      <c r="I201" s="45">
        <f t="shared" si="58"/>
        <v>0.13548833333333335</v>
      </c>
      <c r="J201" s="45">
        <f t="shared" si="58"/>
        <v>5.4169999999999996E-2</v>
      </c>
      <c r="K201" s="45">
        <f t="shared" si="58"/>
        <v>0.19716073320312499</v>
      </c>
      <c r="M201" s="1">
        <f t="shared" si="40"/>
        <v>2.2969056852875651</v>
      </c>
      <c r="N201" s="1">
        <f t="shared" si="41"/>
        <v>0.25392920345888792</v>
      </c>
      <c r="O201" s="1">
        <f t="shared" si="42"/>
        <v>2.5011691588209963</v>
      </c>
      <c r="P201" s="1">
        <f t="shared" si="43"/>
        <v>3.6966746431224026E-3</v>
      </c>
      <c r="Q201" s="1">
        <f t="shared" si="44"/>
        <v>0.11791954564369415</v>
      </c>
      <c r="R201" s="1">
        <f t="shared" si="45"/>
        <v>14.959233277952128</v>
      </c>
      <c r="S201" s="1">
        <f t="shared" si="46"/>
        <v>2.8965280333733872</v>
      </c>
      <c r="T201" s="1">
        <f t="shared" si="47"/>
        <v>3.0326207016098023</v>
      </c>
      <c r="U201" s="1">
        <f t="shared" si="48"/>
        <v>3.1896111939759857</v>
      </c>
      <c r="V201" s="144">
        <f t="shared" si="49"/>
        <v>0.3176449490872823</v>
      </c>
      <c r="W201" s="144">
        <f t="shared" si="50"/>
        <v>0.33256942010051893</v>
      </c>
      <c r="X201" s="1">
        <v>72</v>
      </c>
      <c r="Z201" s="112">
        <v>0.30931712468459605</v>
      </c>
      <c r="AA201" s="112">
        <v>0.32867098227916686</v>
      </c>
    </row>
    <row r="202" spans="1:27">
      <c r="A202" s="5">
        <v>8</v>
      </c>
      <c r="B202" s="1">
        <v>85</v>
      </c>
      <c r="C202" s="45">
        <f t="shared" si="38"/>
        <v>0.69869999999999999</v>
      </c>
      <c r="D202" s="45">
        <f t="shared" si="38"/>
        <v>0.30070000000000002</v>
      </c>
      <c r="E202" s="45">
        <f t="shared" si="51"/>
        <v>0.77634540234375005</v>
      </c>
      <c r="F202" s="45">
        <f t="shared" ref="F202:K202" si="59">F84</f>
        <v>0.189</v>
      </c>
      <c r="G202" s="45">
        <f t="shared" si="59"/>
        <v>0.72760000000000002</v>
      </c>
      <c r="H202" s="45">
        <f t="shared" si="59"/>
        <v>1.93849</v>
      </c>
      <c r="I202" s="45">
        <f t="shared" si="59"/>
        <v>0.1346</v>
      </c>
      <c r="J202" s="45">
        <f t="shared" si="59"/>
        <v>5.5599999999999997E-2</v>
      </c>
      <c r="K202" s="45">
        <f t="shared" si="59"/>
        <v>0.19320300000000001</v>
      </c>
      <c r="M202" s="1">
        <f t="shared" si="40"/>
        <v>2.3235783172597273</v>
      </c>
      <c r="N202" s="1">
        <f t="shared" si="41"/>
        <v>0.25975810885101702</v>
      </c>
      <c r="O202" s="1">
        <f t="shared" si="42"/>
        <v>2.420863309352518</v>
      </c>
      <c r="P202" s="1">
        <f t="shared" si="43"/>
        <v>1.9953441968739256E-3</v>
      </c>
      <c r="Q202" s="1">
        <f t="shared" si="44"/>
        <v>0.11462341946124233</v>
      </c>
      <c r="R202" s="1">
        <f t="shared" si="45"/>
        <v>14.564748201438849</v>
      </c>
      <c r="S202" s="1">
        <f t="shared" si="46"/>
        <v>2.7751558939736594</v>
      </c>
      <c r="T202" s="1">
        <f t="shared" si="47"/>
        <v>2.9080384023437502</v>
      </c>
      <c r="U202" s="1">
        <f t="shared" si="48"/>
        <v>3.0376984754473506</v>
      </c>
      <c r="V202" s="144">
        <f t="shared" si="49"/>
        <v>0.31821924275444091</v>
      </c>
      <c r="W202" s="144">
        <f t="shared" si="50"/>
        <v>0.33345650249925957</v>
      </c>
      <c r="X202" s="1">
        <v>85</v>
      </c>
      <c r="Z202" s="112">
        <v>0.30927349683126909</v>
      </c>
      <c r="AA202" s="112">
        <v>0.32856928521441015</v>
      </c>
    </row>
    <row r="203" spans="1:27">
      <c r="A203" s="5">
        <v>9</v>
      </c>
      <c r="B203" s="1">
        <v>102</v>
      </c>
      <c r="C203" s="45">
        <f t="shared" si="38"/>
        <v>0.70235499999999995</v>
      </c>
      <c r="D203" s="45">
        <f t="shared" si="38"/>
        <v>0.29772500000000002</v>
      </c>
      <c r="E203" s="45">
        <f t="shared" si="51"/>
        <v>0.71915330454254134</v>
      </c>
      <c r="F203" s="45">
        <f t="shared" ref="F203:K203" si="60">F85</f>
        <v>0.19409999999999999</v>
      </c>
      <c r="G203" s="45">
        <f t="shared" si="60"/>
        <v>0.7258433333333334</v>
      </c>
      <c r="H203" s="45">
        <f t="shared" si="60"/>
        <v>1.8430529960937501</v>
      </c>
      <c r="I203" s="45">
        <f t="shared" si="60"/>
        <v>0.13343833333333335</v>
      </c>
      <c r="J203" s="45">
        <f t="shared" si="60"/>
        <v>5.7469999999999993E-2</v>
      </c>
      <c r="K203" s="45">
        <f t="shared" si="60"/>
        <v>0.18802750273437502</v>
      </c>
      <c r="M203" s="1">
        <f t="shared" si="40"/>
        <v>2.3590729700226718</v>
      </c>
      <c r="N203" s="1">
        <f t="shared" si="41"/>
        <v>0.26741307812062287</v>
      </c>
      <c r="O203" s="1">
        <f t="shared" si="42"/>
        <v>2.3218780813177897</v>
      </c>
      <c r="P203" s="1">
        <f t="shared" si="43"/>
        <v>-2.6870434125440921E-4</v>
      </c>
      <c r="Q203" s="1">
        <f t="shared" si="44"/>
        <v>0.1102946916919629</v>
      </c>
      <c r="R203" s="1">
        <f t="shared" si="45"/>
        <v>14.078504727103997</v>
      </c>
      <c r="S203" s="1">
        <f t="shared" si="46"/>
        <v>2.6259685341575243</v>
      </c>
      <c r="T203" s="1">
        <f t="shared" si="47"/>
        <v>2.7502338033706666</v>
      </c>
      <c r="U203" s="1">
        <f t="shared" si="48"/>
        <v>2.8502318084326093</v>
      </c>
      <c r="V203" s="144">
        <f t="shared" si="49"/>
        <v>0.31921103209060286</v>
      </c>
      <c r="W203" s="144">
        <f t="shared" si="50"/>
        <v>0.33431663763102487</v>
      </c>
      <c r="X203" s="1">
        <v>102</v>
      </c>
      <c r="Z203" s="112">
        <v>0.30923091272400055</v>
      </c>
      <c r="AA203" s="112">
        <v>0.32846771934954955</v>
      </c>
    </row>
    <row r="204" spans="1:27">
      <c r="A204" s="5">
        <v>10</v>
      </c>
      <c r="B204" s="1">
        <v>117</v>
      </c>
      <c r="C204" s="45">
        <f t="shared" si="38"/>
        <v>0.70557999999999998</v>
      </c>
      <c r="D204" s="45">
        <f t="shared" si="38"/>
        <v>0.29510000000000003</v>
      </c>
      <c r="E204" s="45">
        <f t="shared" si="51"/>
        <v>0.61086200512695299</v>
      </c>
      <c r="F204" s="45">
        <f t="shared" ref="F204:K204" si="61">F86</f>
        <v>0.1986</v>
      </c>
      <c r="G204" s="45">
        <f t="shared" si="61"/>
        <v>0.72429333333333346</v>
      </c>
      <c r="H204" s="45">
        <f t="shared" si="61"/>
        <v>1.7588438750000002</v>
      </c>
      <c r="I204" s="45">
        <f t="shared" si="61"/>
        <v>0.13241333333333336</v>
      </c>
      <c r="J204" s="45">
        <f t="shared" si="61"/>
        <v>5.9119999999999992E-2</v>
      </c>
      <c r="K204" s="45">
        <f t="shared" si="61"/>
        <v>0.1834608875</v>
      </c>
      <c r="M204" s="1">
        <f t="shared" si="40"/>
        <v>2.3909861064046085</v>
      </c>
      <c r="N204" s="1">
        <f t="shared" si="41"/>
        <v>0.27419829903169979</v>
      </c>
      <c r="O204" s="1">
        <f t="shared" si="42"/>
        <v>2.2397383852052331</v>
      </c>
      <c r="P204" s="1">
        <f t="shared" si="43"/>
        <v>-2.304303625889576E-3</v>
      </c>
      <c r="Q204" s="1">
        <f t="shared" si="44"/>
        <v>0.10645778874120963</v>
      </c>
      <c r="R204" s="1">
        <f t="shared" si="45"/>
        <v>13.675011276499776</v>
      </c>
      <c r="S204" s="1">
        <f t="shared" si="46"/>
        <v>2.3537389578938979</v>
      </c>
      <c r="T204" s="1">
        <f t="shared" si="47"/>
        <v>2.5531667676269532</v>
      </c>
      <c r="U204" s="1">
        <f t="shared" si="48"/>
        <v>2.6946647234993453</v>
      </c>
      <c r="V204" s="144">
        <f t="shared" si="49"/>
        <v>0.30963851136804016</v>
      </c>
      <c r="W204" s="144">
        <f t="shared" si="50"/>
        <v>0.3358735914834603</v>
      </c>
      <c r="X204" s="1">
        <v>117</v>
      </c>
      <c r="Z204" s="112">
        <v>0.30918938533432211</v>
      </c>
      <c r="AA204" s="112">
        <v>0.32836631562253144</v>
      </c>
    </row>
    <row r="205" spans="1:27">
      <c r="A205" s="5">
        <v>11</v>
      </c>
      <c r="B205" s="1">
        <v>132</v>
      </c>
      <c r="C205" s="45">
        <f t="shared" si="38"/>
        <v>0.70880500000000002</v>
      </c>
      <c r="D205" s="45">
        <f t="shared" si="38"/>
        <v>0.29247500000000004</v>
      </c>
      <c r="E205" s="45">
        <f t="shared" si="51"/>
        <v>0.31748391062927256</v>
      </c>
      <c r="F205" s="45">
        <f t="shared" ref="F205:K205" si="62">F87</f>
        <v>0.20309999999999997</v>
      </c>
      <c r="G205" s="45">
        <f t="shared" si="62"/>
        <v>0.7227433333333334</v>
      </c>
      <c r="H205" s="45">
        <f t="shared" si="62"/>
        <v>1.6746347539062501</v>
      </c>
      <c r="I205" s="45">
        <f t="shared" si="62"/>
        <v>0.13138833333333336</v>
      </c>
      <c r="J205" s="45">
        <f t="shared" si="62"/>
        <v>6.0769999999999991E-2</v>
      </c>
      <c r="K205" s="45">
        <f t="shared" si="62"/>
        <v>0.17889427226562499</v>
      </c>
      <c r="M205" s="1">
        <f t="shared" si="40"/>
        <v>2.4234720916317629</v>
      </c>
      <c r="N205" s="1">
        <f t="shared" si="41"/>
        <v>0.28101262319956827</v>
      </c>
      <c r="O205" s="1">
        <f t="shared" si="42"/>
        <v>2.1620591300532066</v>
      </c>
      <c r="P205" s="1">
        <f t="shared" si="43"/>
        <v>-4.3764424309772074E-3</v>
      </c>
      <c r="Q205" s="1">
        <f t="shared" si="44"/>
        <v>0.10260442849697676</v>
      </c>
      <c r="R205" s="1">
        <f t="shared" si="45"/>
        <v>13.293428775163186</v>
      </c>
      <c r="S205" s="1">
        <f t="shared" si="46"/>
        <v>1.6267868967146322</v>
      </c>
      <c r="T205" s="1">
        <f t="shared" si="47"/>
        <v>2.1710129368011475</v>
      </c>
      <c r="U205" s="1">
        <f t="shared" si="48"/>
        <v>2.548553758455832</v>
      </c>
      <c r="V205" s="144">
        <f t="shared" si="49"/>
        <v>0.25633410952276309</v>
      </c>
      <c r="W205" s="144">
        <f t="shared" si="50"/>
        <v>0.34208824096211166</v>
      </c>
      <c r="X205" s="1">
        <v>132</v>
      </c>
      <c r="Z205" s="112">
        <v>0.30914892731187893</v>
      </c>
      <c r="AA205" s="112">
        <v>0.3282651049219133</v>
      </c>
    </row>
    <row r="206" spans="1:27">
      <c r="K206" s="143">
        <f>E205+H205+K205</f>
        <v>2.1710129368011475</v>
      </c>
      <c r="V206" s="146" t="e">
        <f>V205-#REF!</f>
        <v>#REF!</v>
      </c>
      <c r="W206" s="145" t="e">
        <f>W205-#REF!</f>
        <v>#REF!</v>
      </c>
      <c r="Z206" s="112">
        <v>0.30910955098057658</v>
      </c>
      <c r="AA206" s="112">
        <v>0.32816411807745505</v>
      </c>
    </row>
    <row r="207" spans="1:27">
      <c r="K207" t="e">
        <f>K206-#REF!</f>
        <v>#REF!</v>
      </c>
      <c r="Z207" s="112">
        <v>0.30907126833482701</v>
      </c>
      <c r="AA207" s="112">
        <v>0.32806338585072781</v>
      </c>
    </row>
    <row r="208" spans="1:27">
      <c r="Z208" s="112">
        <v>0.30903409103589496</v>
      </c>
      <c r="AA208" s="112">
        <v>0.32796293892574357</v>
      </c>
    </row>
    <row r="209" spans="26:27">
      <c r="Z209" s="112">
        <v>0.30899803040834584</v>
      </c>
      <c r="AA209" s="112">
        <v>0.32786280789960881</v>
      </c>
    </row>
    <row r="210" spans="26:27">
      <c r="Z210" s="112">
        <v>0.30896309743659611</v>
      </c>
      <c r="AA210" s="112">
        <v>0.32776302327320406</v>
      </c>
    </row>
    <row r="211" spans="26:27">
      <c r="Z211" s="112">
        <v>0.30892930276156733</v>
      </c>
      <c r="AA211" s="112">
        <v>0.32766361544189315</v>
      </c>
    </row>
    <row r="212" spans="26:27">
      <c r="Z212" s="112">
        <v>0.30889665667744504</v>
      </c>
      <c r="AA212" s="112">
        <v>0.32756461468626447</v>
      </c>
    </row>
    <row r="213" spans="26:27">
      <c r="Z213" s="112">
        <v>0.30886516912854256</v>
      </c>
      <c r="AA213" s="112">
        <v>0.32746605116290728</v>
      </c>
    </row>
    <row r="214" spans="26:27">
      <c r="Z214" s="112">
        <v>0.30883484970627234</v>
      </c>
      <c r="AA214" s="112">
        <v>0.32736795489522552</v>
      </c>
    </row>
    <row r="215" spans="26:27">
      <c r="Z215" s="112">
        <v>0.30880570764622417</v>
      </c>
      <c r="AA215" s="112">
        <v>0.3272703557642927</v>
      </c>
    </row>
    <row r="216" spans="26:27">
      <c r="Z216" s="112">
        <v>0.30877775182535183</v>
      </c>
      <c r="AA216" s="112">
        <v>0.3271732834997495</v>
      </c>
    </row>
    <row r="217" spans="26:27">
      <c r="Z217" s="112">
        <v>0.30875099075926915</v>
      </c>
      <c r="AA217" s="112">
        <v>0.32707676767074806</v>
      </c>
    </row>
    <row r="218" spans="26:27">
      <c r="Z218" s="112">
        <v>0.30872543259965612</v>
      </c>
      <c r="AA218" s="112">
        <v>0.32698083767694486</v>
      </c>
    </row>
    <row r="219" spans="26:27">
      <c r="Z219" s="112">
        <v>0.30870108513177569</v>
      </c>
      <c r="AA219" s="112">
        <v>0.32688552273954535</v>
      </c>
    </row>
    <row r="220" spans="26:27">
      <c r="Z220" s="112">
        <v>0.3086779557721025</v>
      </c>
      <c r="AA220" s="112">
        <v>0.32679085189240281</v>
      </c>
    </row>
    <row r="221" spans="26:27">
      <c r="Z221" s="112">
        <v>0.30865605156606357</v>
      </c>
      <c r="AA221" s="112">
        <v>0.32669685397317433</v>
      </c>
    </row>
    <row r="222" spans="26:27">
      <c r="Z222" s="112">
        <v>0.30863537918589223</v>
      </c>
      <c r="AA222" s="112">
        <v>0.32660355761453663</v>
      </c>
    </row>
    <row r="223" spans="26:27">
      <c r="Z223" s="112">
        <v>0.30861594492859568</v>
      </c>
      <c r="AA223" s="112">
        <v>0.32651099123546445</v>
      </c>
    </row>
    <row r="224" spans="26:27">
      <c r="Z224" s="112">
        <v>0.30859775471403705</v>
      </c>
      <c r="AA224" s="112">
        <v>0.32641918303257356</v>
      </c>
    </row>
    <row r="225" spans="26:27">
      <c r="Z225" s="112">
        <v>0.30858081408313187</v>
      </c>
      <c r="AA225" s="112">
        <v>0.32632816097153183</v>
      </c>
    </row>
    <row r="226" spans="26:27">
      <c r="Z226" s="112">
        <v>0.30856512819616039</v>
      </c>
      <c r="AA226" s="112">
        <v>0.32623795277854084</v>
      </c>
    </row>
    <row r="227" spans="26:27">
      <c r="Z227" s="112">
        <v>0.30855070183119576</v>
      </c>
      <c r="AA227" s="112">
        <v>0.32614858593189011</v>
      </c>
    </row>
    <row r="228" spans="26:27">
      <c r="Z228" s="112">
        <v>0.30853753938264855</v>
      </c>
      <c r="AA228" s="112">
        <v>0.32606008765358679</v>
      </c>
    </row>
    <row r="229" spans="26:27">
      <c r="Z229" s="112">
        <v>0.30852564485992801</v>
      </c>
      <c r="AA229" s="112">
        <v>0.32597248490106373</v>
      </c>
    </row>
    <row r="230" spans="26:27">
      <c r="Z230" s="112">
        <v>0.30851502188622104</v>
      </c>
      <c r="AA230" s="112">
        <v>0.32588580435896802</v>
      </c>
    </row>
    <row r="231" spans="26:27">
      <c r="Z231" s="112">
        <v>0.30850567369738829</v>
      </c>
      <c r="AA231" s="112">
        <v>0.32580007243103243</v>
      </c>
    </row>
    <row r="232" spans="26:27">
      <c r="Z232" s="112">
        <v>0.30849760314097868</v>
      </c>
      <c r="AA232" s="112">
        <v>0.32571531523203279</v>
      </c>
    </row>
    <row r="233" spans="26:27" ht="16.5" customHeight="1">
      <c r="Z233" s="112">
        <v>0.30849081267536188</v>
      </c>
      <c r="AA233" s="112">
        <v>0.32563155857983289</v>
      </c>
    </row>
    <row r="234" spans="26:27">
      <c r="Z234" s="112">
        <v>0.30848530436897947</v>
      </c>
      <c r="AA234" s="112">
        <v>0.32554882798752038</v>
      </c>
    </row>
    <row r="235" spans="26:27">
      <c r="Z235" s="112">
        <v>0.30848107989971496</v>
      </c>
      <c r="AA235" s="112">
        <v>0.3254671486556352</v>
      </c>
    </row>
    <row r="236" spans="26:27">
      <c r="Z236" s="112">
        <v>0.30847814055438255</v>
      </c>
      <c r="AA236" s="112">
        <v>0.32538654546449292</v>
      </c>
    </row>
    <row r="237" spans="26:27">
      <c r="Z237" s="112">
        <v>0.30847648722833537</v>
      </c>
      <c r="AA237" s="112">
        <v>0.32530704296660656</v>
      </c>
    </row>
    <row r="238" spans="26:27">
      <c r="Z238" s="112">
        <v>0.30847612042519251</v>
      </c>
      <c r="AA238" s="112">
        <v>0.32522866537920703</v>
      </c>
    </row>
    <row r="239" spans="26:27">
      <c r="Z239" s="112">
        <v>0.30847704025668576</v>
      </c>
      <c r="AA239" s="112">
        <v>0.32515143657686668</v>
      </c>
    </row>
    <row r="240" spans="26:27">
      <c r="Z240" s="112">
        <v>0.30847924644262559</v>
      </c>
      <c r="AA240" s="112">
        <v>0.32507538008422693</v>
      </c>
    </row>
    <row r="241" spans="26:27">
      <c r="Z241" s="112">
        <v>0.30848273831098638</v>
      </c>
      <c r="AA241" s="112">
        <v>0.32500051906883215</v>
      </c>
    </row>
    <row r="242" spans="26:27">
      <c r="Z242" s="112">
        <v>0.30848751479811115</v>
      </c>
      <c r="AA242" s="112">
        <v>0.32492687633407286</v>
      </c>
    </row>
    <row r="243" spans="26:27">
      <c r="Z243" s="112">
        <v>0.30849357444903563</v>
      </c>
      <c r="AA243" s="112">
        <v>0.32485447431223946</v>
      </c>
    </row>
    <row r="244" spans="26:27">
      <c r="Z244" s="112">
        <v>0.30850091541793156</v>
      </c>
      <c r="AA244" s="112">
        <v>0.32478333505768914</v>
      </c>
    </row>
    <row r="245" spans="26:27">
      <c r="Z245" s="112">
        <v>0.30850953546866861</v>
      </c>
      <c r="AA245" s="112">
        <v>0.32471348024012803</v>
      </c>
    </row>
    <row r="246" spans="26:27">
      <c r="Z246" s="112">
        <v>0.30851943197549581</v>
      </c>
      <c r="AA246" s="112">
        <v>0.32464493113801018</v>
      </c>
    </row>
    <row r="247" spans="26:27">
      <c r="Z247" s="112">
        <v>0.30853060192384141</v>
      </c>
      <c r="AA247" s="112">
        <v>0.32457770863205621</v>
      </c>
    </row>
    <row r="248" spans="26:27">
      <c r="Z248" s="112">
        <v>0.30854304191123083</v>
      </c>
      <c r="AA248" s="112">
        <v>0.32451183319889265</v>
      </c>
    </row>
    <row r="249" spans="26:27">
      <c r="Z249" s="112">
        <v>0.30855674814832346</v>
      </c>
      <c r="AA249" s="112">
        <v>0.32444732490481448</v>
      </c>
    </row>
    <row r="250" spans="26:27">
      <c r="Z250" s="112">
        <v>0.30857171646006665</v>
      </c>
      <c r="AA250" s="112">
        <v>0.32438420339967311</v>
      </c>
    </row>
    <row r="251" spans="26:27">
      <c r="Z251" s="112">
        <v>0.30858794228696773</v>
      </c>
      <c r="AA251" s="112">
        <v>0.32432248791089041</v>
      </c>
    </row>
    <row r="252" spans="26:27">
      <c r="Z252" s="112">
        <v>0.30860542068648261</v>
      </c>
      <c r="AA252" s="112">
        <v>0.32426219723760213</v>
      </c>
    </row>
    <row r="253" spans="26:27">
      <c r="Z253" s="112">
        <v>0.3086241463345214</v>
      </c>
      <c r="AA253" s="112">
        <v>0.32420334974493142</v>
      </c>
    </row>
    <row r="254" spans="26:27">
      <c r="Z254" s="112">
        <v>0.30864411352707044</v>
      </c>
      <c r="AA254" s="112">
        <v>0.32414596335839463</v>
      </c>
    </row>
    <row r="255" spans="26:27">
      <c r="Z255" s="112">
        <v>0.30866531618192938</v>
      </c>
      <c r="AA255" s="112">
        <v>0.32409005555844089</v>
      </c>
    </row>
    <row r="256" spans="26:27">
      <c r="Z256" s="112">
        <v>0.30868774784056413</v>
      </c>
      <c r="AA256" s="112">
        <v>0.3240356433751278</v>
      </c>
    </row>
    <row r="257" spans="26:27">
      <c r="Z257" s="112">
        <v>0.30871140167007427</v>
      </c>
      <c r="AA257" s="112">
        <v>0.32398274338293348</v>
      </c>
    </row>
    <row r="258" spans="26:27">
      <c r="Z258" s="112">
        <v>0.30873627046527408</v>
      </c>
      <c r="AA258" s="112">
        <v>0.3239313716957079</v>
      </c>
    </row>
    <row r="259" spans="26:27">
      <c r="Z259" s="112">
        <v>0.30876234665088764</v>
      </c>
      <c r="AA259" s="112">
        <v>0.32388154396176477</v>
      </c>
    </row>
    <row r="260" spans="26:27">
      <c r="Z260" s="112">
        <v>0.30878962228385631</v>
      </c>
      <c r="AA260" s="112">
        <v>0.32383327535911449</v>
      </c>
    </row>
    <row r="261" spans="26:27">
      <c r="Z261" s="112">
        <v>0.30881808905575797</v>
      </c>
      <c r="AA261" s="112">
        <v>0.32378658059084098</v>
      </c>
    </row>
    <row r="262" spans="26:27">
      <c r="Z262" s="112">
        <v>0.30884773829533818</v>
      </c>
      <c r="AA262" s="112">
        <v>0.32374147388062302</v>
      </c>
    </row>
    <row r="263" spans="26:27">
      <c r="Z263" s="112">
        <v>0.30887856097115129</v>
      </c>
      <c r="AA263" s="112">
        <v>0.32369796896840153</v>
      </c>
    </row>
    <row r="264" spans="26:27">
      <c r="Z264" s="112">
        <v>0.30891054769431175</v>
      </c>
      <c r="AA264" s="112">
        <v>0.32365607910619415</v>
      </c>
    </row>
    <row r="265" spans="26:27">
      <c r="Z265" s="112">
        <v>0.30894368872135369</v>
      </c>
      <c r="AA265" s="112">
        <v>0.32361581705405879</v>
      </c>
    </row>
    <row r="266" spans="26:27">
      <c r="Z266" s="112">
        <v>0.30897797395719939</v>
      </c>
      <c r="AA266" s="112">
        <v>0.32357719507620653</v>
      </c>
    </row>
    <row r="267" spans="26:27">
      <c r="Z267" s="112">
        <v>0.30901339295823377</v>
      </c>
      <c r="AA267" s="112">
        <v>0.32354022493726592</v>
      </c>
    </row>
    <row r="268" spans="26:27">
      <c r="Z268" s="112">
        <v>0.30904993493548605</v>
      </c>
      <c r="AA268" s="112">
        <v>0.32350491789869945</v>
      </c>
    </row>
    <row r="269" spans="26:27">
      <c r="Z269" s="112">
        <v>0.30908758875791592</v>
      </c>
      <c r="AA269" s="112">
        <v>0.32347128471537312</v>
      </c>
    </row>
    <row r="270" spans="26:27">
      <c r="Z270" s="112">
        <v>0.30912634295580438</v>
      </c>
      <c r="AA270" s="112">
        <v>0.32343933563228033</v>
      </c>
    </row>
    <row r="271" spans="26:27">
      <c r="Z271" s="112">
        <v>0.30916618572424731</v>
      </c>
      <c r="AA271" s="112">
        <v>0.3234090803814213</v>
      </c>
    </row>
    <row r="272" spans="26:27">
      <c r="Z272" s="112">
        <v>0.30920710492675141</v>
      </c>
      <c r="AA272" s="112">
        <v>0.32338052817883856</v>
      </c>
    </row>
    <row r="273" spans="26:27">
      <c r="Z273" s="112">
        <v>0.30924908809893131</v>
      </c>
      <c r="AA273" s="112">
        <v>0.32335368772180956</v>
      </c>
    </row>
    <row r="274" spans="26:27">
      <c r="Z274" s="112">
        <v>0.30929212245230597</v>
      </c>
      <c r="AA274" s="112">
        <v>0.32332856718619757</v>
      </c>
    </row>
    <row r="275" spans="26:27">
      <c r="Z275" s="112">
        <v>0.30933619487819453</v>
      </c>
      <c r="AA275" s="112">
        <v>0.3233051742239611</v>
      </c>
    </row>
    <row r="276" spans="26:27">
      <c r="Z276" s="112">
        <v>0.30938129195170905</v>
      </c>
      <c r="AA276" s="112">
        <v>0.323283515960823</v>
      </c>
    </row>
    <row r="277" spans="26:27">
      <c r="Z277" s="112">
        <v>0.30942739993584417</v>
      </c>
      <c r="AA277" s="112">
        <v>0.32326359899410007</v>
      </c>
    </row>
    <row r="278" spans="26:27">
      <c r="Z278" s="112">
        <v>0.30947450478566124</v>
      </c>
      <c r="AA278" s="112">
        <v>0.32324542939069328</v>
      </c>
    </row>
    <row r="279" spans="26:27">
      <c r="Z279" s="112">
        <v>0.30952259215256667</v>
      </c>
      <c r="AA279" s="112">
        <v>0.3232290126852399</v>
      </c>
    </row>
    <row r="280" spans="26:27">
      <c r="Z280" s="112">
        <v>0.30957164738868265</v>
      </c>
      <c r="AA280" s="112">
        <v>0.32321435387842734</v>
      </c>
    </row>
    <row r="281" spans="26:27">
      <c r="Z281" s="112">
        <v>0.30962165555130905</v>
      </c>
      <c r="AA281" s="112">
        <v>0.3232014574354703</v>
      </c>
    </row>
    <row r="282" spans="26:27">
      <c r="Z282" s="112">
        <v>0.30967260140747516</v>
      </c>
      <c r="AA282" s="112">
        <v>0.32319032728475011</v>
      </c>
    </row>
    <row r="283" spans="26:27">
      <c r="Z283" s="112">
        <v>0.30972446943857956</v>
      </c>
      <c r="AA283" s="112">
        <v>0.32318096681661856</v>
      </c>
    </row>
    <row r="284" spans="26:27">
      <c r="Z284" s="112">
        <v>0.30977724384511762</v>
      </c>
      <c r="AA284" s="112">
        <v>0.32317337888236491</v>
      </c>
    </row>
    <row r="285" spans="26:27">
      <c r="Z285" s="112">
        <v>0.30983090855149381</v>
      </c>
      <c r="AA285" s="112">
        <v>0.32316756579334743</v>
      </c>
    </row>
    <row r="286" spans="26:27">
      <c r="Z286" s="112">
        <v>0.30988544721091876</v>
      </c>
      <c r="AA286" s="112">
        <v>0.32316352932028936</v>
      </c>
    </row>
    <row r="287" spans="26:27">
      <c r="Z287" s="112">
        <v>0.30994084321038845</v>
      </c>
      <c r="AA287" s="112">
        <v>0.32316127069273953</v>
      </c>
    </row>
    <row r="288" spans="26:27">
      <c r="Z288" s="112">
        <v>0.3099970796757448</v>
      </c>
      <c r="AA288" s="112">
        <v>0.32316079059869768</v>
      </c>
    </row>
    <row r="289" spans="26:27">
      <c r="Z289" s="112">
        <v>0.31005413947681565</v>
      </c>
      <c r="AA289" s="112">
        <v>0.32316208918440514</v>
      </c>
    </row>
    <row r="290" spans="26:27">
      <c r="Z290" s="112">
        <v>0.31011200523263294</v>
      </c>
      <c r="AA290" s="112">
        <v>0.32316516605430023</v>
      </c>
    </row>
    <row r="291" spans="26:27">
      <c r="Z291" s="112">
        <v>0.31017065931672683</v>
      </c>
      <c r="AA291" s="112">
        <v>0.32317002027113839</v>
      </c>
    </row>
    <row r="292" spans="26:27">
      <c r="Z292" s="112">
        <v>0.31023008386249512</v>
      </c>
      <c r="AA292" s="112">
        <v>0.32317665035627829</v>
      </c>
    </row>
    <row r="293" spans="26:27">
      <c r="Z293" s="112">
        <v>0.31029026076864547</v>
      </c>
      <c r="AA293" s="112">
        <v>0.32318505429013172</v>
      </c>
    </row>
    <row r="294" spans="26:27">
      <c r="Z294" s="112">
        <v>0.31035117170470938</v>
      </c>
      <c r="AA294" s="112">
        <v>0.32319522951277901</v>
      </c>
    </row>
    <row r="295" spans="26:27">
      <c r="Z295" s="112">
        <v>0.3104127981166257</v>
      </c>
      <c r="AA295" s="112">
        <v>0.32320717292474882</v>
      </c>
    </row>
    <row r="296" spans="26:27">
      <c r="Z296" s="112">
        <v>0.31047512123239224</v>
      </c>
      <c r="AA296" s="112">
        <v>0.32322088088796208</v>
      </c>
    </row>
    <row r="297" spans="26:27">
      <c r="Z297" s="112">
        <v>0.31053812206778436</v>
      </c>
      <c r="AA297" s="112">
        <v>0.32323634922684047</v>
      </c>
    </row>
    <row r="298" spans="26:27">
      <c r="Z298" s="112">
        <v>0.31060178143213713</v>
      </c>
      <c r="AA298" s="112">
        <v>0.3232535732295781</v>
      </c>
    </row>
    <row r="299" spans="26:27">
      <c r="Z299" s="112">
        <v>0.3106660799341916</v>
      </c>
      <c r="AA299" s="112">
        <v>0.32327254764957691</v>
      </c>
    </row>
    <row r="300" spans="26:27">
      <c r="Z300" s="112">
        <v>0.31073099798800119</v>
      </c>
      <c r="AA300" s="112">
        <v>0.32329326670704472</v>
      </c>
    </row>
    <row r="301" spans="26:27">
      <c r="Z301" s="112">
        <v>0.31079651581889772</v>
      </c>
      <c r="AA301" s="112">
        <v>0.32331572409075587</v>
      </c>
    </row>
    <row r="302" spans="26:27">
      <c r="Z302" s="112">
        <v>0.31086261346951533</v>
      </c>
      <c r="AA302" s="112">
        <v>0.32333991295997389</v>
      </c>
    </row>
    <row r="303" spans="26:27">
      <c r="Z303" s="112">
        <v>0.31092927080586924</v>
      </c>
      <c r="AA303" s="112">
        <v>0.32336582594653474</v>
      </c>
    </row>
    <row r="304" spans="26:27">
      <c r="Z304" s="112">
        <v>0.31099646752348914</v>
      </c>
      <c r="AA304" s="112">
        <v>0.32339345515709178</v>
      </c>
    </row>
    <row r="305" spans="26:27">
      <c r="Z305" s="112">
        <v>0.31106418315360385</v>
      </c>
      <c r="AA305" s="112">
        <v>0.32342279217551972</v>
      </c>
    </row>
    <row r="306" spans="26:27">
      <c r="Z306" s="112">
        <v>0.31113239706937651</v>
      </c>
      <c r="AA306" s="112">
        <v>0.32345382806547868</v>
      </c>
    </row>
    <row r="307" spans="26:27">
      <c r="Z307" s="112">
        <v>0.31120108849218758</v>
      </c>
      <c r="AA307" s="112">
        <v>0.32348655337313587</v>
      </c>
    </row>
    <row r="308" spans="26:27">
      <c r="Z308" s="112">
        <v>0.3112702364979642</v>
      </c>
      <c r="AA308" s="112">
        <v>0.32352095813004556</v>
      </c>
    </row>
    <row r="309" spans="26:27">
      <c r="Z309" s="112">
        <v>0.31133982002355393</v>
      </c>
      <c r="AA309" s="112">
        <v>0.32355703185618551</v>
      </c>
    </row>
    <row r="310" spans="26:27">
      <c r="Z310" s="112">
        <v>0.31140981787314087</v>
      </c>
      <c r="AA310" s="112">
        <v>0.32359476356314926</v>
      </c>
    </row>
    <row r="311" spans="26:27">
      <c r="Z311" s="112">
        <v>0.31148020872470195</v>
      </c>
      <c r="AA311" s="112">
        <v>0.32363414175749339</v>
      </c>
    </row>
    <row r="312" spans="26:27">
      <c r="Z312" s="112">
        <v>0.31155097113650182</v>
      </c>
      <c r="AA312" s="112">
        <v>0.32367515444423839</v>
      </c>
    </row>
    <row r="313" spans="26:27">
      <c r="Z313" s="112">
        <v>0.31162208355362442</v>
      </c>
      <c r="AA313" s="112">
        <v>0.32371778913052268</v>
      </c>
    </row>
    <row r="314" spans="26:27">
      <c r="Z314" s="112">
        <v>0.31169352431453862</v>
      </c>
      <c r="AA314" s="112">
        <v>0.32376203282940769</v>
      </c>
    </row>
    <row r="315" spans="26:27">
      <c r="Z315" s="112">
        <v>0.31176527165769652</v>
      </c>
      <c r="AA315" s="112">
        <v>0.32380787206383421</v>
      </c>
    </row>
    <row r="316" spans="26:27">
      <c r="Z316" s="112">
        <v>0.31183730372816243</v>
      </c>
      <c r="AA316" s="112">
        <v>0.32385529287072734</v>
      </c>
    </row>
    <row r="317" spans="26:27">
      <c r="Z317" s="112">
        <v>0.31190959858426986</v>
      </c>
      <c r="AA317" s="112">
        <v>0.32390428080524991</v>
      </c>
    </row>
    <row r="318" spans="26:27">
      <c r="Z318" s="112">
        <v>0.31198213420430537</v>
      </c>
      <c r="AA318" s="112">
        <v>0.32395482094520262</v>
      </c>
    </row>
    <row r="319" spans="26:27">
      <c r="Z319" s="112">
        <v>0.31205488849321628</v>
      </c>
      <c r="AA319" s="112">
        <v>0.32400689789556913</v>
      </c>
    </row>
    <row r="320" spans="26:27">
      <c r="Z320" s="112">
        <v>0.31212783928934157</v>
      </c>
      <c r="AA320" s="112">
        <v>0.32406049579320589</v>
      </c>
    </row>
    <row r="321" spans="26:27">
      <c r="Z321" s="112">
        <v>0.3122009643711619</v>
      </c>
      <c r="AA321" s="112">
        <v>0.32411559831167414</v>
      </c>
    </row>
    <row r="322" spans="26:27">
      <c r="Z322" s="112">
        <v>0.31227424146406907</v>
      </c>
      <c r="AA322" s="112">
        <v>0.32417218866621289</v>
      </c>
    </row>
    <row r="323" spans="26:27">
      <c r="Z323" s="112">
        <v>0.31234764824715072</v>
      </c>
      <c r="AA323" s="112">
        <v>0.324230249618852</v>
      </c>
    </row>
    <row r="324" spans="26:27">
      <c r="Z324" s="112">
        <v>0.31242116235998957</v>
      </c>
      <c r="AA324" s="112">
        <v>0.32428976348366279</v>
      </c>
    </row>
    <row r="325" spans="26:27">
      <c r="Z325" s="112">
        <v>0.31249476140947474</v>
      </c>
      <c r="AA325" s="112">
        <v>0.3243507121321455</v>
      </c>
    </row>
    <row r="326" spans="26:27">
      <c r="Z326" s="112">
        <v>0.3125684229766228</v>
      </c>
      <c r="AA326" s="112">
        <v>0.32441307699875149</v>
      </c>
    </row>
    <row r="327" spans="26:27">
      <c r="Z327" s="112">
        <v>0.31264212462340674</v>
      </c>
      <c r="AA327" s="112">
        <v>0.32447683908653813</v>
      </c>
    </row>
    <row r="328" spans="26:27">
      <c r="Z328" s="112">
        <v>0.31271584389959106</v>
      </c>
      <c r="AA328" s="112">
        <v>0.32454197897295589</v>
      </c>
    </row>
    <row r="329" spans="26:27">
      <c r="Z329" s="112">
        <v>0.31278955834957012</v>
      </c>
      <c r="AA329" s="112">
        <v>0.32460847681576432</v>
      </c>
    </row>
    <row r="330" spans="26:27">
      <c r="Z330" s="112">
        <v>0.3128632455192083</v>
      </c>
      <c r="AA330" s="112">
        <v>0.32467631235907629</v>
      </c>
    </row>
    <row r="331" spans="26:27">
      <c r="Z331" s="112">
        <v>0.31293688296267991</v>
      </c>
      <c r="AA331" s="112">
        <v>0.32474546493952816</v>
      </c>
    </row>
    <row r="332" spans="26:27">
      <c r="Z332" s="112">
        <v>0.31301044824930641</v>
      </c>
      <c r="AA332" s="112">
        <v>0.3248159134925741</v>
      </c>
    </row>
    <row r="333" spans="26:27">
      <c r="Z333" s="112">
        <v>0.31308391897038873</v>
      </c>
      <c r="AA333" s="112">
        <v>0.32488763655890229</v>
      </c>
    </row>
    <row r="334" spans="26:27">
      <c r="Z334" s="112">
        <v>0.31315727274603361</v>
      </c>
      <c r="AA334" s="112">
        <v>0.32496061229097206</v>
      </c>
    </row>
    <row r="335" spans="26:27">
      <c r="Z335" s="112">
        <v>0.31323048723197033</v>
      </c>
      <c r="AA335" s="112">
        <v>0.32503481845966842</v>
      </c>
    </row>
    <row r="336" spans="26:27">
      <c r="Z336" s="112">
        <v>0.31330354012635719</v>
      </c>
      <c r="AA336" s="112">
        <v>0.32511023246107351</v>
      </c>
    </row>
    <row r="337" spans="26:27">
      <c r="Z337" s="112">
        <v>0.313376409176575</v>
      </c>
      <c r="AA337" s="112">
        <v>0.32518683132335202</v>
      </c>
    </row>
    <row r="338" spans="26:27">
      <c r="Z338" s="112">
        <v>0.3134490721860051</v>
      </c>
      <c r="AA338" s="112">
        <v>0.32526459171374844</v>
      </c>
    </row>
    <row r="339" spans="26:27">
      <c r="Z339" s="112">
        <v>0.31352150702079096</v>
      </c>
      <c r="AA339" s="112">
        <v>0.32534348994569451</v>
      </c>
    </row>
    <row r="340" spans="26:27">
      <c r="Z340" s="112">
        <v>0.31359369161658007</v>
      </c>
      <c r="AA340" s="112">
        <v>0.3254235019860246</v>
      </c>
    </row>
    <row r="341" spans="26:27">
      <c r="Z341" s="112">
        <v>0.31366560398524546</v>
      </c>
      <c r="AA341" s="112">
        <v>0.32550460346229598</v>
      </c>
    </row>
    <row r="342" spans="26:27">
      <c r="Z342" s="112">
        <v>0.3137372222215829</v>
      </c>
      <c r="AA342" s="112">
        <v>0.32558676967021349</v>
      </c>
    </row>
    <row r="343" spans="26:27">
      <c r="Z343" s="112">
        <v>0.31380852450998387</v>
      </c>
      <c r="AA343" s="112">
        <v>0.32566997558115413</v>
      </c>
    </row>
    <row r="344" spans="26:27">
      <c r="Z344" s="112">
        <v>0.31387948913108055</v>
      </c>
      <c r="AA344" s="112">
        <v>0.32575419584979137</v>
      </c>
    </row>
    <row r="345" spans="26:27">
      <c r="Z345" s="112">
        <v>0.31395009446836197</v>
      </c>
      <c r="AA345" s="112">
        <v>0.32583940482181561</v>
      </c>
    </row>
    <row r="346" spans="26:27">
      <c r="Z346" s="112">
        <v>0.31402031901475835</v>
      </c>
      <c r="AA346" s="112">
        <v>0.32592557654174853</v>
      </c>
    </row>
    <row r="347" spans="26:27">
      <c r="Z347" s="112">
        <v>0.31409014137919261</v>
      </c>
      <c r="AA347" s="112">
        <v>0.32601268476084944</v>
      </c>
    </row>
    <row r="348" spans="26:27">
      <c r="Z348" s="112">
        <v>0.31415954029309623</v>
      </c>
      <c r="AA348" s="112">
        <v>0.3261007029451109</v>
      </c>
    </row>
    <row r="349" spans="26:27">
      <c r="Z349" s="112">
        <v>0.31422849461688762</v>
      </c>
      <c r="AA349" s="112">
        <v>0.32618960428334148</v>
      </c>
    </row>
    <row r="350" spans="26:27">
      <c r="Z350" s="112">
        <v>0.31429698334641187</v>
      </c>
      <c r="AA350" s="112">
        <v>0.32627936169533223</v>
      </c>
    </row>
    <row r="351" spans="26:27">
      <c r="Z351" s="112">
        <v>0.31436498561933851</v>
      </c>
      <c r="AA351" s="112">
        <v>0.32636994784010598</v>
      </c>
    </row>
    <row r="352" spans="26:27">
      <c r="Z352" s="112">
        <v>0.31443248072151642</v>
      </c>
      <c r="AA352" s="112">
        <v>0.32646133512424558</v>
      </c>
    </row>
    <row r="353" spans="26:27">
      <c r="Z353" s="112">
        <v>0.31449944809328356</v>
      </c>
      <c r="AA353" s="112">
        <v>0.32655349571029885</v>
      </c>
    </row>
    <row r="354" spans="26:27">
      <c r="Z354" s="112">
        <v>0.31456586733572994</v>
      </c>
      <c r="AA354" s="112">
        <v>0.32664640152525865</v>
      </c>
    </row>
    <row r="355" spans="26:27">
      <c r="Z355" s="112">
        <v>0.31463171821691072</v>
      </c>
      <c r="AA355" s="112">
        <v>0.32674002426911364</v>
      </c>
    </row>
    <row r="356" spans="26:27">
      <c r="Z356" s="112">
        <v>0.31469698067800972</v>
      </c>
      <c r="AA356" s="112">
        <v>0.32683433542346918</v>
      </c>
    </row>
    <row r="357" spans="26:27">
      <c r="Z357" s="112">
        <v>0.31476163483944897</v>
      </c>
      <c r="AA357" s="112">
        <v>0.32692930626023392</v>
      </c>
    </row>
    <row r="358" spans="26:27">
      <c r="Z358" s="112">
        <v>0.31482566100694459</v>
      </c>
      <c r="AA358" s="112">
        <v>0.32702490785037114</v>
      </c>
    </row>
    <row r="359" spans="26:27">
      <c r="Z359" s="112">
        <v>0.31488903967750581</v>
      </c>
      <c r="AA359" s="112">
        <v>0.32712111107271025</v>
      </c>
    </row>
    <row r="360" spans="26:27">
      <c r="Z360" s="112">
        <v>0.31495175154537552</v>
      </c>
      <c r="AA360" s="112">
        <v>0.32721788662281776</v>
      </c>
    </row>
    <row r="361" spans="26:27">
      <c r="Z361" s="112">
        <v>0.31501377750791132</v>
      </c>
      <c r="AA361" s="112">
        <v>0.32731520502192374</v>
      </c>
    </row>
    <row r="362" spans="26:27">
      <c r="Z362" s="112">
        <v>0.31507509867140415</v>
      </c>
      <c r="AA362" s="112">
        <v>0.32741303662590099</v>
      </c>
    </row>
    <row r="363" spans="26:27">
      <c r="Z363" s="112">
        <v>0.31513569635683358</v>
      </c>
      <c r="AA363" s="112">
        <v>0.32751135163429529</v>
      </c>
    </row>
  </sheetData>
  <sheetProtection algorithmName="SHA-512" hashValue="9baTiYWKX6yEjoDDZ46zO7l6HC9GugnuYUThru1vWnsuIwLHMue4IWMpQ3Qp49rrQT+4fjkNNYhNGJSJPfw6HQ==" saltValue="qNz4F3aYEEhDmLHzyAGKYQ==" spinCount="100000" sheet="1" objects="1" scenarios="1"/>
  <mergeCells count="55">
    <mergeCell ref="B1:K1"/>
    <mergeCell ref="B9:K9"/>
    <mergeCell ref="B156:I156"/>
    <mergeCell ref="A174:A186"/>
    <mergeCell ref="A124:A169"/>
    <mergeCell ref="B140:E140"/>
    <mergeCell ref="H125:K125"/>
    <mergeCell ref="H126:I126"/>
    <mergeCell ref="J126:K126"/>
    <mergeCell ref="C124:E124"/>
    <mergeCell ref="C16:E16"/>
    <mergeCell ref="B52:B53"/>
    <mergeCell ref="C52:E52"/>
    <mergeCell ref="B69:B70"/>
    <mergeCell ref="C69:E69"/>
    <mergeCell ref="C47:E47"/>
    <mergeCell ref="C44:E44"/>
    <mergeCell ref="G33:H33"/>
    <mergeCell ref="G34:H34"/>
    <mergeCell ref="C33:D33"/>
    <mergeCell ref="E33:F33"/>
    <mergeCell ref="C34:D34"/>
    <mergeCell ref="E34:F34"/>
    <mergeCell ref="M70:O70"/>
    <mergeCell ref="P70:R70"/>
    <mergeCell ref="M69:U69"/>
    <mergeCell ref="S70:U70"/>
    <mergeCell ref="F52:H52"/>
    <mergeCell ref="I52:K52"/>
    <mergeCell ref="A69:A121"/>
    <mergeCell ref="B73:K73"/>
    <mergeCell ref="C74:E74"/>
    <mergeCell ref="F74:H74"/>
    <mergeCell ref="I74:K74"/>
    <mergeCell ref="B74:B75"/>
    <mergeCell ref="F69:H69"/>
    <mergeCell ref="I69:K69"/>
    <mergeCell ref="B108:B109"/>
    <mergeCell ref="B94:B95"/>
    <mergeCell ref="A52:A63"/>
    <mergeCell ref="B57:B60"/>
    <mergeCell ref="B10:C10"/>
    <mergeCell ref="A14:A49"/>
    <mergeCell ref="B39:B41"/>
    <mergeCell ref="C39:E39"/>
    <mergeCell ref="C40:E40"/>
    <mergeCell ref="B14:K14"/>
    <mergeCell ref="F16:H16"/>
    <mergeCell ref="I16:K16"/>
    <mergeCell ref="C15:K15"/>
    <mergeCell ref="B16:B17"/>
    <mergeCell ref="C27:E27"/>
    <mergeCell ref="C32:H32"/>
    <mergeCell ref="B18:B34"/>
    <mergeCell ref="C24:I24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163"/>
  <sheetViews>
    <sheetView topLeftCell="O1" zoomScale="70" zoomScaleNormal="70" workbookViewId="0">
      <selection activeCell="N1" sqref="A1:N1048576"/>
    </sheetView>
  </sheetViews>
  <sheetFormatPr defaultRowHeight="16.5"/>
  <cols>
    <col min="1" max="11" width="15.625" hidden="1" customWidth="1"/>
    <col min="12" max="14" width="12.625" hidden="1" customWidth="1"/>
    <col min="15" max="15" width="12.625" customWidth="1"/>
    <col min="16" max="16" width="9" customWidth="1"/>
  </cols>
  <sheetData>
    <row r="2" spans="1:11">
      <c r="A2" s="332" t="s">
        <v>229</v>
      </c>
      <c r="B2" s="334" t="s">
        <v>230</v>
      </c>
      <c r="C2" s="335"/>
      <c r="D2" s="335"/>
      <c r="E2" s="335"/>
      <c r="F2" s="335"/>
      <c r="G2" s="335"/>
      <c r="H2" s="335"/>
      <c r="I2" s="335"/>
      <c r="J2" s="335"/>
      <c r="K2" s="335"/>
    </row>
    <row r="3" spans="1:11">
      <c r="A3" s="333"/>
      <c r="B3" s="156" t="s">
        <v>256</v>
      </c>
      <c r="C3" s="162"/>
      <c r="D3" s="160"/>
      <c r="E3" s="160"/>
      <c r="F3" s="160"/>
      <c r="G3" s="160"/>
      <c r="H3" s="160"/>
      <c r="I3" s="160"/>
      <c r="J3" s="160"/>
      <c r="K3" s="160"/>
    </row>
    <row r="4" spans="1:11">
      <c r="A4" s="333"/>
      <c r="B4" s="155" t="s">
        <v>189</v>
      </c>
      <c r="C4" s="162"/>
      <c r="D4" s="160"/>
      <c r="E4" s="160"/>
      <c r="F4" s="160"/>
      <c r="G4" s="160"/>
      <c r="H4" s="160"/>
      <c r="I4" s="160"/>
      <c r="J4" s="160"/>
      <c r="K4" s="160"/>
    </row>
    <row r="5" spans="1:11">
      <c r="A5" s="333"/>
      <c r="B5" s="336" t="s">
        <v>257</v>
      </c>
      <c r="C5" s="336"/>
      <c r="D5" s="160"/>
      <c r="E5" s="160"/>
      <c r="F5" s="160"/>
      <c r="G5" s="160"/>
      <c r="H5" s="160"/>
      <c r="I5" s="160"/>
      <c r="J5" s="160"/>
      <c r="K5" s="160"/>
    </row>
    <row r="6" spans="1:11">
      <c r="A6" s="333"/>
      <c r="B6" s="163" t="s">
        <v>144</v>
      </c>
      <c r="C6" s="164" t="str">
        <f>RGBTC!H3</f>
        <v>38</v>
      </c>
      <c r="D6" s="160"/>
      <c r="E6" s="160"/>
      <c r="F6" s="160"/>
      <c r="G6" s="160"/>
      <c r="H6" s="160"/>
      <c r="I6" s="160"/>
      <c r="J6" s="160"/>
      <c r="K6" s="160"/>
    </row>
    <row r="9" spans="1:11">
      <c r="A9" s="333" t="s">
        <v>267</v>
      </c>
      <c r="B9" s="341" t="s">
        <v>204</v>
      </c>
      <c r="C9" s="341"/>
      <c r="D9" s="341"/>
      <c r="E9" s="335"/>
      <c r="F9" s="335"/>
      <c r="G9" s="335"/>
      <c r="H9" s="335"/>
      <c r="I9" s="335"/>
      <c r="J9" s="335"/>
      <c r="K9" s="335"/>
    </row>
    <row r="10" spans="1:11" ht="31.5">
      <c r="A10" s="333"/>
      <c r="B10" s="161" t="s">
        <v>207</v>
      </c>
      <c r="C10" s="161" t="s">
        <v>208</v>
      </c>
      <c r="D10" s="154" t="s">
        <v>206</v>
      </c>
      <c r="E10" s="154" t="s">
        <v>210</v>
      </c>
    </row>
    <row r="11" spans="1:11">
      <c r="A11" s="333"/>
      <c r="B11" s="163">
        <v>0.3125</v>
      </c>
      <c r="C11" s="167">
        <v>0.32900000000000001</v>
      </c>
      <c r="D11" s="167">
        <v>3</v>
      </c>
      <c r="E11" s="163">
        <v>12</v>
      </c>
    </row>
    <row r="12" spans="1:11">
      <c r="A12" s="333"/>
      <c r="B12" s="336" t="s">
        <v>233</v>
      </c>
      <c r="C12" s="336"/>
      <c r="D12" s="336"/>
      <c r="E12" s="336"/>
    </row>
    <row r="13" spans="1:11">
      <c r="A13" s="333"/>
      <c r="B13" s="342" t="s">
        <v>216</v>
      </c>
      <c r="C13" s="342"/>
      <c r="D13" s="342" t="s">
        <v>211</v>
      </c>
      <c r="E13" s="342"/>
    </row>
    <row r="14" spans="1:11" ht="16.5" customHeight="1">
      <c r="A14" s="333"/>
      <c r="B14" s="340">
        <f>RGBTC!D22</f>
        <v>0</v>
      </c>
      <c r="C14" s="340"/>
      <c r="D14" s="340" t="str">
        <f>RGBTC!G22</f>
        <v>3000</v>
      </c>
      <c r="E14" s="340"/>
    </row>
    <row r="17" spans="1:11">
      <c r="A17" s="356" t="s">
        <v>268</v>
      </c>
      <c r="B17" s="334" t="s">
        <v>275</v>
      </c>
      <c r="C17" s="335"/>
      <c r="D17" s="335"/>
      <c r="E17" s="335"/>
      <c r="F17" s="335"/>
      <c r="G17" s="335"/>
      <c r="H17" s="335"/>
      <c r="I17" s="335"/>
      <c r="J17" s="335"/>
      <c r="K17" s="335"/>
    </row>
    <row r="18" spans="1:11">
      <c r="A18" s="242"/>
      <c r="B18" s="156" t="s">
        <v>176</v>
      </c>
      <c r="C18" s="158" t="s">
        <v>234</v>
      </c>
      <c r="D18" s="160"/>
      <c r="E18" s="160"/>
      <c r="F18" s="160"/>
      <c r="G18" s="160"/>
      <c r="H18" s="160"/>
      <c r="I18" s="160"/>
      <c r="J18" s="160"/>
      <c r="K18" s="160"/>
    </row>
    <row r="19" spans="1:11">
      <c r="A19" s="242"/>
      <c r="B19" s="155" t="s">
        <v>270</v>
      </c>
      <c r="C19" s="165">
        <f>RGBTC!D11</f>
        <v>30.074399999999994</v>
      </c>
      <c r="D19" s="160"/>
      <c r="E19" s="160"/>
      <c r="F19" s="160"/>
      <c r="G19" s="160"/>
      <c r="H19" s="160"/>
      <c r="I19" s="160"/>
      <c r="J19" s="160"/>
      <c r="K19" s="160"/>
    </row>
    <row r="20" spans="1:11">
      <c r="A20" s="242"/>
      <c r="B20" s="357" t="s">
        <v>3</v>
      </c>
      <c r="C20" s="358" t="s">
        <v>0</v>
      </c>
      <c r="D20" s="358"/>
      <c r="E20" s="358"/>
      <c r="F20" s="358" t="s">
        <v>1</v>
      </c>
      <c r="G20" s="358"/>
      <c r="H20" s="358"/>
      <c r="I20" s="358" t="s">
        <v>2</v>
      </c>
      <c r="J20" s="358"/>
      <c r="K20" s="358"/>
    </row>
    <row r="21" spans="1:11" ht="31.5">
      <c r="A21" s="242"/>
      <c r="B21" s="357"/>
      <c r="C21" s="168" t="s">
        <v>4</v>
      </c>
      <c r="D21" s="168" t="s">
        <v>5</v>
      </c>
      <c r="E21" s="168" t="s">
        <v>166</v>
      </c>
      <c r="F21" s="168" t="s">
        <v>4</v>
      </c>
      <c r="G21" s="168" t="s">
        <v>5</v>
      </c>
      <c r="H21" s="168" t="s">
        <v>166</v>
      </c>
      <c r="I21" s="168" t="s">
        <v>4</v>
      </c>
      <c r="J21" s="168" t="s">
        <v>5</v>
      </c>
      <c r="K21" s="168" t="s">
        <v>166</v>
      </c>
    </row>
    <row r="22" spans="1:11">
      <c r="A22" s="242"/>
      <c r="B22" s="152">
        <v>25</v>
      </c>
      <c r="C22" s="166">
        <v>0.68989999999999996</v>
      </c>
      <c r="D22" s="166">
        <v>0.31</v>
      </c>
      <c r="E22" s="167">
        <f>2.95275/3</f>
        <v>0.98424999999999996</v>
      </c>
      <c r="F22" s="167">
        <v>0.1593</v>
      </c>
      <c r="G22" s="167">
        <v>0.74439999999999995</v>
      </c>
      <c r="H22" s="167">
        <f>5.09507/3</f>
        <v>1.6983566666666665</v>
      </c>
      <c r="I22" s="167">
        <v>0.1394</v>
      </c>
      <c r="J22" s="167">
        <v>4.3799999999999999E-2</v>
      </c>
      <c r="K22" s="167">
        <f>0.823312/3</f>
        <v>0.27443733333333337</v>
      </c>
    </row>
    <row r="23" spans="1:11">
      <c r="A23" s="242"/>
      <c r="B23" s="353" t="s">
        <v>235</v>
      </c>
      <c r="C23" s="336"/>
      <c r="D23" s="336"/>
    </row>
    <row r="24" spans="1:11" ht="16.5" customHeight="1">
      <c r="A24" s="242"/>
      <c r="B24" s="354" t="s">
        <v>62</v>
      </c>
      <c r="C24" s="355"/>
      <c r="D24" s="355"/>
    </row>
    <row r="25" spans="1:11">
      <c r="A25" s="242"/>
      <c r="B25" s="182" t="s">
        <v>50</v>
      </c>
      <c r="C25" s="157" t="s">
        <v>51</v>
      </c>
      <c r="D25" s="157" t="s">
        <v>52</v>
      </c>
    </row>
    <row r="26" spans="1:11">
      <c r="A26" s="242"/>
      <c r="B26" s="183" t="str">
        <f>RGBTC!B47</f>
        <v>58</v>
      </c>
      <c r="C26" s="183" t="str">
        <f>RGBTC!C47</f>
        <v>4A</v>
      </c>
      <c r="D26" s="183" t="str">
        <f>RGBTC!D47</f>
        <v>2E</v>
      </c>
    </row>
    <row r="27" spans="1:11">
      <c r="A27" s="242"/>
      <c r="B27" s="354" t="s">
        <v>116</v>
      </c>
      <c r="C27" s="355"/>
      <c r="D27" s="355"/>
    </row>
    <row r="28" spans="1:11">
      <c r="A28" s="242"/>
      <c r="B28" s="182" t="s">
        <v>50</v>
      </c>
      <c r="C28" s="157" t="s">
        <v>51</v>
      </c>
      <c r="D28" s="157" t="s">
        <v>52</v>
      </c>
    </row>
    <row r="29" spans="1:11">
      <c r="A29" s="242"/>
      <c r="B29" s="159">
        <f>RGBTC!B53</f>
        <v>26.232599999999998</v>
      </c>
      <c r="C29" s="159">
        <f>RGBTC!C53</f>
        <v>23.401799999999998</v>
      </c>
      <c r="D29" s="159">
        <f>RGBTC!D53</f>
        <v>17.740199999999998</v>
      </c>
    </row>
    <row r="32" spans="1:11" ht="16.5" customHeight="1">
      <c r="A32" s="332" t="s">
        <v>248</v>
      </c>
      <c r="B32" s="337" t="s">
        <v>130</v>
      </c>
      <c r="C32" s="338"/>
      <c r="D32" s="338"/>
      <c r="E32" s="338"/>
      <c r="F32" s="338"/>
      <c r="G32" s="338"/>
      <c r="H32" s="338"/>
      <c r="I32" s="338"/>
      <c r="J32" s="338"/>
      <c r="K32" s="338"/>
    </row>
    <row r="33" spans="1:11">
      <c r="A33" s="332"/>
      <c r="B33" s="339" t="s">
        <v>48</v>
      </c>
      <c r="C33" s="254" t="s">
        <v>0</v>
      </c>
      <c r="D33" s="254"/>
      <c r="E33" s="254"/>
      <c r="F33" s="254" t="s">
        <v>1</v>
      </c>
      <c r="G33" s="254"/>
      <c r="H33" s="254"/>
      <c r="I33" s="254" t="s">
        <v>2</v>
      </c>
      <c r="J33" s="254"/>
      <c r="K33" s="254"/>
    </row>
    <row r="34" spans="1:11" ht="33">
      <c r="A34" s="332"/>
      <c r="B34" s="339"/>
      <c r="C34" s="2" t="s">
        <v>4</v>
      </c>
      <c r="D34" s="2" t="s">
        <v>5</v>
      </c>
      <c r="E34" s="2" t="s">
        <v>202</v>
      </c>
      <c r="F34" s="2" t="s">
        <v>4</v>
      </c>
      <c r="G34" s="2" t="s">
        <v>5</v>
      </c>
      <c r="H34" s="2" t="s">
        <v>166</v>
      </c>
      <c r="I34" s="2" t="s">
        <v>4</v>
      </c>
      <c r="J34" s="2" t="s">
        <v>5</v>
      </c>
      <c r="K34" s="2" t="s">
        <v>167</v>
      </c>
    </row>
    <row r="35" spans="1:11">
      <c r="A35" s="332"/>
      <c r="B35" s="163">
        <v>25</v>
      </c>
      <c r="C35" s="170">
        <v>0.68579999999999997</v>
      </c>
      <c r="D35" s="170">
        <v>0.31119999999999998</v>
      </c>
      <c r="E35" s="170">
        <v>0.95626100000000003</v>
      </c>
      <c r="F35" s="170">
        <v>0.17100000000000001</v>
      </c>
      <c r="G35" s="170">
        <v>0.73380000000000001</v>
      </c>
      <c r="H35" s="170">
        <v>2.4474100000000001</v>
      </c>
      <c r="I35" s="170">
        <v>0.13869999999999999</v>
      </c>
      <c r="J35" s="170">
        <v>4.9000000000000002E-2</v>
      </c>
      <c r="K35" s="170">
        <v>0.21568200000000001</v>
      </c>
    </row>
    <row r="36" spans="1:11">
      <c r="A36" s="332"/>
      <c r="B36" s="186" t="s">
        <v>223</v>
      </c>
      <c r="C36" s="187" t="s">
        <v>224</v>
      </c>
      <c r="D36" s="187" t="s">
        <v>225</v>
      </c>
    </row>
    <row r="37" spans="1:11">
      <c r="A37" s="332"/>
      <c r="B37" s="159">
        <v>0.312</v>
      </c>
      <c r="C37" s="163">
        <v>0.32900000000000001</v>
      </c>
      <c r="D37" s="163">
        <v>3</v>
      </c>
    </row>
    <row r="38" spans="1:11">
      <c r="A38" s="332"/>
      <c r="B38" s="352" t="s">
        <v>237</v>
      </c>
      <c r="C38" s="352"/>
      <c r="D38" s="353"/>
    </row>
    <row r="39" spans="1:11">
      <c r="A39" s="332"/>
      <c r="B39" s="174" t="s">
        <v>73</v>
      </c>
      <c r="C39" s="169" t="s">
        <v>74</v>
      </c>
      <c r="D39" s="169" t="s">
        <v>75</v>
      </c>
    </row>
    <row r="40" spans="1:11">
      <c r="A40" s="332"/>
      <c r="B40" s="183" t="str">
        <f>RGBTC!B73</f>
        <v>E3</v>
      </c>
      <c r="C40" s="183" t="str">
        <f>RGBTC!C73</f>
        <v>135</v>
      </c>
      <c r="D40" s="183" t="str">
        <f>RGBTC!D73</f>
        <v>D8</v>
      </c>
    </row>
    <row r="41" spans="1:11">
      <c r="A41" s="332"/>
      <c r="B41" s="354" t="s">
        <v>118</v>
      </c>
      <c r="C41" s="355"/>
      <c r="D41" s="355"/>
    </row>
    <row r="42" spans="1:11">
      <c r="A42" s="332"/>
      <c r="B42" s="174" t="s">
        <v>50</v>
      </c>
      <c r="C42" s="169" t="s">
        <v>51</v>
      </c>
      <c r="D42" s="169" t="s">
        <v>52</v>
      </c>
    </row>
    <row r="43" spans="1:11">
      <c r="A43" s="332"/>
      <c r="B43" s="184">
        <f>RGBTC!B74</f>
        <v>0.29557291666666669</v>
      </c>
      <c r="C43" s="184">
        <f>RGBTC!C74</f>
        <v>0.40234375</v>
      </c>
      <c r="D43" s="184">
        <f>RGBTC!D74</f>
        <v>0.28125</v>
      </c>
    </row>
    <row r="46" spans="1:11">
      <c r="A46" s="359" t="s">
        <v>250</v>
      </c>
      <c r="B46" s="360" t="s">
        <v>238</v>
      </c>
      <c r="C46" s="335"/>
      <c r="D46" s="335"/>
      <c r="E46" s="335"/>
      <c r="F46" s="335"/>
      <c r="G46" s="335"/>
      <c r="H46" s="335"/>
      <c r="I46" s="335"/>
      <c r="J46" s="335"/>
      <c r="K46" s="335"/>
    </row>
    <row r="47" spans="1:11">
      <c r="A47" s="332"/>
      <c r="B47" s="361" t="s">
        <v>236</v>
      </c>
      <c r="C47" s="358" t="s">
        <v>190</v>
      </c>
      <c r="D47" s="358"/>
      <c r="E47" s="358"/>
      <c r="F47" s="358" t="s">
        <v>1</v>
      </c>
      <c r="G47" s="358"/>
      <c r="H47" s="358"/>
      <c r="I47" s="358" t="s">
        <v>2</v>
      </c>
      <c r="J47" s="358"/>
      <c r="K47" s="358"/>
    </row>
    <row r="48" spans="1:11" ht="31.5">
      <c r="A48" s="332"/>
      <c r="B48" s="361"/>
      <c r="C48" s="168" t="s">
        <v>4</v>
      </c>
      <c r="D48" s="168" t="s">
        <v>5</v>
      </c>
      <c r="E48" s="168" t="s">
        <v>166</v>
      </c>
      <c r="F48" s="168" t="s">
        <v>4</v>
      </c>
      <c r="G48" s="168" t="s">
        <v>5</v>
      </c>
      <c r="H48" s="168" t="s">
        <v>166</v>
      </c>
      <c r="I48" s="168" t="s">
        <v>4</v>
      </c>
      <c r="J48" s="168" t="s">
        <v>5</v>
      </c>
      <c r="K48" s="168" t="s">
        <v>166</v>
      </c>
    </row>
    <row r="49" spans="1:15">
      <c r="A49" s="332"/>
      <c r="B49" s="163">
        <v>25</v>
      </c>
      <c r="C49" s="170">
        <v>0.69510000000000005</v>
      </c>
      <c r="D49" s="170">
        <v>0.30480000000000002</v>
      </c>
      <c r="E49" s="170">
        <v>2.1969699999999999</v>
      </c>
      <c r="F49" s="170">
        <v>0.1356</v>
      </c>
      <c r="G49" s="170">
        <v>0.72740000000000005</v>
      </c>
      <c r="H49" s="170">
        <v>4.6749900000000002</v>
      </c>
      <c r="I49" s="170">
        <v>0.13919999999999999</v>
      </c>
      <c r="J49" s="170">
        <v>4.3799999999999999E-2</v>
      </c>
      <c r="K49" s="170">
        <v>0.37921899999999997</v>
      </c>
    </row>
    <row r="50" spans="1:15">
      <c r="A50" s="332"/>
      <c r="B50" s="362" t="s">
        <v>249</v>
      </c>
      <c r="C50" s="362"/>
      <c r="D50" s="362"/>
      <c r="E50" s="362"/>
      <c r="F50" s="362"/>
      <c r="G50" s="362"/>
      <c r="H50" s="362"/>
      <c r="I50" s="362"/>
      <c r="J50" s="362"/>
      <c r="K50" s="362"/>
    </row>
    <row r="51" spans="1:15">
      <c r="A51" s="332"/>
      <c r="B51" s="361" t="s">
        <v>236</v>
      </c>
      <c r="C51" s="358" t="s">
        <v>0</v>
      </c>
      <c r="D51" s="358"/>
      <c r="E51" s="358"/>
      <c r="F51" s="358" t="s">
        <v>1</v>
      </c>
      <c r="G51" s="358"/>
      <c r="H51" s="358"/>
      <c r="I51" s="358" t="s">
        <v>2</v>
      </c>
      <c r="J51" s="358"/>
      <c r="K51" s="358"/>
    </row>
    <row r="52" spans="1:15" ht="31.5">
      <c r="A52" s="332"/>
      <c r="B52" s="361"/>
      <c r="C52" s="168" t="s">
        <v>4</v>
      </c>
      <c r="D52" s="168" t="s">
        <v>5</v>
      </c>
      <c r="E52" s="168" t="s">
        <v>166</v>
      </c>
      <c r="F52" s="168" t="s">
        <v>4</v>
      </c>
      <c r="G52" s="168" t="s">
        <v>5</v>
      </c>
      <c r="H52" s="168" t="s">
        <v>166</v>
      </c>
      <c r="I52" s="168" t="s">
        <v>4</v>
      </c>
      <c r="J52" s="168" t="s">
        <v>5</v>
      </c>
      <c r="K52" s="168" t="s">
        <v>166</v>
      </c>
    </row>
    <row r="53" spans="1:15">
      <c r="A53" s="332"/>
      <c r="B53" s="171">
        <v>42</v>
      </c>
      <c r="C53" s="171">
        <v>0.69740000000000002</v>
      </c>
      <c r="D53" s="171">
        <v>0.30249999999999999</v>
      </c>
      <c r="E53" s="171">
        <v>1.911</v>
      </c>
      <c r="F53" s="171">
        <v>0.14180000000000001</v>
      </c>
      <c r="G53" s="171">
        <v>0.72489999999999999</v>
      </c>
      <c r="H53" s="171">
        <v>4.6081399999999997</v>
      </c>
      <c r="I53" s="171">
        <v>0.13850000000000001</v>
      </c>
      <c r="J53" s="171">
        <v>4.5499999999999999E-2</v>
      </c>
      <c r="K53" s="171">
        <v>0.38371300000000003</v>
      </c>
      <c r="O53" s="96"/>
    </row>
    <row r="54" spans="1:15">
      <c r="A54" s="117"/>
      <c r="B54" s="160"/>
      <c r="C54" s="160"/>
      <c r="D54" s="160"/>
      <c r="E54" s="172">
        <f>1-E53/E49</f>
        <v>0.13016563721853269</v>
      </c>
      <c r="F54" s="160"/>
      <c r="G54" s="160"/>
      <c r="H54" s="172">
        <f>1-H53/H49</f>
        <v>1.4299495827798658E-2</v>
      </c>
      <c r="I54" s="160"/>
      <c r="J54" s="160"/>
      <c r="K54" s="172">
        <f>1-K53/K49</f>
        <v>-1.1850672039112053E-2</v>
      </c>
    </row>
    <row r="58" spans="1:15">
      <c r="A58" s="332" t="s">
        <v>239</v>
      </c>
      <c r="B58" s="336" t="s">
        <v>240</v>
      </c>
      <c r="C58" s="336"/>
      <c r="D58" s="336"/>
      <c r="E58" s="336"/>
      <c r="F58" s="336"/>
      <c r="G58" s="336"/>
      <c r="H58" s="336"/>
      <c r="I58" s="336"/>
    </row>
    <row r="59" spans="1:15">
      <c r="A59" s="333"/>
      <c r="B59" s="367" t="s">
        <v>50</v>
      </c>
      <c r="C59" s="333"/>
      <c r="D59" s="333" t="s">
        <v>273</v>
      </c>
      <c r="E59" s="333"/>
      <c r="F59" s="333"/>
      <c r="G59" s="333" t="s">
        <v>52</v>
      </c>
      <c r="H59" s="333"/>
      <c r="I59" s="333"/>
    </row>
    <row r="60" spans="1:15">
      <c r="A60" s="333"/>
      <c r="B60" s="159" t="s">
        <v>135</v>
      </c>
      <c r="C60" s="163" t="s">
        <v>134</v>
      </c>
      <c r="D60" s="162" t="s">
        <v>253</v>
      </c>
      <c r="E60" s="163" t="s">
        <v>135</v>
      </c>
      <c r="F60" s="163" t="s">
        <v>134</v>
      </c>
      <c r="G60" s="162" t="s">
        <v>253</v>
      </c>
      <c r="H60" s="163" t="s">
        <v>135</v>
      </c>
      <c r="I60" s="163" t="s">
        <v>134</v>
      </c>
    </row>
    <row r="61" spans="1:15">
      <c r="A61" s="333"/>
      <c r="B61" s="174" t="s">
        <v>68</v>
      </c>
      <c r="C61" s="169" t="s">
        <v>68</v>
      </c>
      <c r="D61" s="169" t="s">
        <v>147</v>
      </c>
      <c r="E61" s="169" t="s">
        <v>68</v>
      </c>
      <c r="F61" s="169" t="s">
        <v>68</v>
      </c>
      <c r="G61" s="169" t="s">
        <v>147</v>
      </c>
      <c r="H61" s="169" t="s">
        <v>68</v>
      </c>
      <c r="I61" s="169" t="s">
        <v>68</v>
      </c>
    </row>
    <row r="62" spans="1:15">
      <c r="A62" s="333"/>
      <c r="B62" s="177" t="str">
        <f>RGBTC!E201</f>
        <v>90</v>
      </c>
      <c r="C62" s="175" t="str">
        <f>RGBTC!C201</f>
        <v>1C</v>
      </c>
      <c r="D62" s="176">
        <v>1</v>
      </c>
      <c r="E62" s="175" t="str">
        <f>RGBTC!E152</f>
        <v>EC</v>
      </c>
      <c r="F62" s="175" t="str">
        <f>RGBTC!C152</f>
        <v>5</v>
      </c>
      <c r="G62" s="176">
        <v>1</v>
      </c>
      <c r="H62" s="175" t="str">
        <f>RGBTC!I152</f>
        <v>E0</v>
      </c>
      <c r="I62" s="175" t="str">
        <f>RGBTC!G152</f>
        <v>8</v>
      </c>
    </row>
    <row r="63" spans="1:15" ht="16.5" customHeight="1">
      <c r="A63" s="333"/>
      <c r="B63" s="336" t="s">
        <v>241</v>
      </c>
      <c r="C63" s="336"/>
      <c r="D63" s="336"/>
      <c r="E63" s="336"/>
      <c r="F63" s="366" t="s">
        <v>242</v>
      </c>
      <c r="G63" s="366"/>
      <c r="H63" s="366"/>
      <c r="I63" s="366"/>
    </row>
    <row r="64" spans="1:15">
      <c r="A64" s="333"/>
      <c r="B64" s="163" t="s">
        <v>243</v>
      </c>
      <c r="C64" s="163" t="s">
        <v>244</v>
      </c>
      <c r="D64" s="163" t="s">
        <v>271</v>
      </c>
      <c r="E64" s="163" t="s">
        <v>245</v>
      </c>
      <c r="F64" s="366"/>
      <c r="G64" s="366"/>
      <c r="H64" s="366"/>
      <c r="I64" s="366"/>
    </row>
    <row r="65" spans="1:9">
      <c r="A65" s="333"/>
      <c r="B65" s="163">
        <v>0</v>
      </c>
      <c r="C65" s="163">
        <f>RGBTC!B219</f>
        <v>-33</v>
      </c>
      <c r="D65" s="23">
        <f>RGBTC!I219</f>
        <v>0</v>
      </c>
      <c r="E65" s="164" t="str">
        <f>RGBTC!L219</f>
        <v>2C</v>
      </c>
      <c r="F65" s="366"/>
      <c r="G65" s="366"/>
      <c r="H65" s="366"/>
      <c r="I65" s="366"/>
    </row>
    <row r="66" spans="1:9">
      <c r="A66" s="333"/>
      <c r="B66" s="163">
        <v>1</v>
      </c>
      <c r="C66" s="163">
        <f>RGBTC!B220</f>
        <v>-18</v>
      </c>
      <c r="D66" s="23">
        <f>RGBTC!I220</f>
        <v>0</v>
      </c>
      <c r="E66" s="164" t="str">
        <f>RGBTC!L220</f>
        <v>1E</v>
      </c>
      <c r="F66" s="366"/>
      <c r="G66" s="366"/>
      <c r="H66" s="366"/>
      <c r="I66" s="366"/>
    </row>
    <row r="67" spans="1:9">
      <c r="A67" s="333"/>
      <c r="B67" s="163">
        <v>2</v>
      </c>
      <c r="C67" s="163">
        <f>RGBTC!B221</f>
        <v>-3</v>
      </c>
      <c r="D67" s="23">
        <f>RGBTC!I221</f>
        <v>0</v>
      </c>
      <c r="E67" s="164" t="str">
        <f>RGBTC!L221</f>
        <v>11</v>
      </c>
      <c r="F67" s="366"/>
      <c r="G67" s="366"/>
      <c r="H67" s="366"/>
      <c r="I67" s="366"/>
    </row>
    <row r="68" spans="1:9">
      <c r="A68" s="333"/>
      <c r="B68" s="163">
        <v>3</v>
      </c>
      <c r="C68" s="163">
        <f>RGBTC!B222</f>
        <v>12</v>
      </c>
      <c r="D68" s="23">
        <f>RGBTC!I222</f>
        <v>0</v>
      </c>
      <c r="E68" s="164" t="str">
        <f>RGBTC!L222</f>
        <v>8</v>
      </c>
      <c r="F68" s="366"/>
      <c r="G68" s="366"/>
      <c r="H68" s="366"/>
      <c r="I68" s="366"/>
    </row>
    <row r="69" spans="1:9">
      <c r="A69" s="333"/>
      <c r="B69" s="163">
        <v>4</v>
      </c>
      <c r="C69" s="163">
        <f>RGBTC!B223</f>
        <v>25</v>
      </c>
      <c r="D69" s="23">
        <f>RGBTC!I223</f>
        <v>0</v>
      </c>
      <c r="E69" s="164" t="str">
        <f>RGBTC!L223</f>
        <v>0</v>
      </c>
      <c r="F69" s="366"/>
      <c r="G69" s="366"/>
      <c r="H69" s="366"/>
      <c r="I69" s="366"/>
    </row>
    <row r="70" spans="1:9">
      <c r="A70" s="333"/>
      <c r="B70" s="163">
        <v>5</v>
      </c>
      <c r="C70" s="163">
        <f>RGBTC!B224</f>
        <v>42</v>
      </c>
      <c r="D70" s="23">
        <f>RGBTC!I224</f>
        <v>0</v>
      </c>
      <c r="E70" s="164" t="str">
        <f>RGBTC!L224</f>
        <v>4</v>
      </c>
      <c r="F70" s="366"/>
      <c r="G70" s="366"/>
      <c r="H70" s="366"/>
      <c r="I70" s="366"/>
    </row>
    <row r="71" spans="1:9">
      <c r="A71" s="333"/>
      <c r="B71" s="163">
        <v>6</v>
      </c>
      <c r="C71" s="163">
        <f>RGBTC!B225</f>
        <v>57</v>
      </c>
      <c r="D71" s="23">
        <f>RGBTC!I225</f>
        <v>0</v>
      </c>
      <c r="E71" s="164" t="str">
        <f>RGBTC!L225</f>
        <v>E</v>
      </c>
      <c r="F71" s="366"/>
      <c r="G71" s="366"/>
      <c r="H71" s="366"/>
      <c r="I71" s="366"/>
    </row>
    <row r="72" spans="1:9">
      <c r="A72" s="333"/>
      <c r="B72" s="163">
        <v>7</v>
      </c>
      <c r="C72" s="163">
        <f>RGBTC!B226</f>
        <v>72</v>
      </c>
      <c r="D72" s="23">
        <f>RGBTC!I226</f>
        <v>0</v>
      </c>
      <c r="E72" s="164" t="str">
        <f>RGBTC!L226</f>
        <v>26</v>
      </c>
      <c r="F72" s="366"/>
      <c r="G72" s="366"/>
      <c r="H72" s="366"/>
      <c r="I72" s="366"/>
    </row>
    <row r="73" spans="1:9">
      <c r="A73" s="333"/>
      <c r="B73" s="163">
        <v>8</v>
      </c>
      <c r="C73" s="163">
        <f>RGBTC!B227</f>
        <v>85</v>
      </c>
      <c r="D73" s="23">
        <f>RGBTC!I227</f>
        <v>0</v>
      </c>
      <c r="E73" s="164" t="str">
        <f>RGBTC!L227</f>
        <v>48</v>
      </c>
      <c r="F73" s="366"/>
      <c r="G73" s="366"/>
      <c r="H73" s="366"/>
      <c r="I73" s="366"/>
    </row>
    <row r="74" spans="1:9">
      <c r="A74" s="333"/>
      <c r="B74" s="163">
        <v>9</v>
      </c>
      <c r="C74" s="163">
        <f>RGBTC!B228</f>
        <v>102</v>
      </c>
      <c r="D74" s="23">
        <f>RGBTC!I228</f>
        <v>0</v>
      </c>
      <c r="E74" s="164" t="str">
        <f>RGBTC!L228</f>
        <v>AA</v>
      </c>
      <c r="F74" s="366"/>
      <c r="G74" s="366"/>
      <c r="H74" s="366"/>
      <c r="I74" s="366"/>
    </row>
    <row r="75" spans="1:9">
      <c r="A75" s="333"/>
      <c r="B75" s="163">
        <v>10</v>
      </c>
      <c r="C75" s="163">
        <f>RGBTC!B229</f>
        <v>117</v>
      </c>
      <c r="D75" s="23">
        <f>RGBTC!I229</f>
        <v>1</v>
      </c>
      <c r="E75" s="164" t="str">
        <f>RGBTC!L229</f>
        <v>AD</v>
      </c>
      <c r="F75" s="366"/>
      <c r="G75" s="366"/>
      <c r="H75" s="366"/>
      <c r="I75" s="366"/>
    </row>
    <row r="76" spans="1:9">
      <c r="A76" s="333"/>
      <c r="B76" s="163">
        <v>11</v>
      </c>
      <c r="C76" s="163">
        <f>RGBTC!B230</f>
        <v>132</v>
      </c>
      <c r="D76" s="23">
        <f>RGBTC!I230</f>
        <v>1</v>
      </c>
      <c r="E76" s="164" t="str">
        <f>RGBTC!L230</f>
        <v>9E</v>
      </c>
      <c r="F76" s="366"/>
      <c r="G76" s="366"/>
      <c r="H76" s="366"/>
      <c r="I76" s="366"/>
    </row>
    <row r="77" spans="1:9">
      <c r="A77" s="333"/>
      <c r="B77" s="160"/>
      <c r="C77" s="160"/>
      <c r="D77" s="160"/>
      <c r="E77" s="160"/>
      <c r="F77" s="160"/>
      <c r="G77" s="160"/>
      <c r="H77" s="160"/>
    </row>
    <row r="78" spans="1:9">
      <c r="A78" s="333"/>
      <c r="B78" s="363" t="s">
        <v>246</v>
      </c>
      <c r="C78" s="364"/>
      <c r="D78" s="365"/>
      <c r="E78" s="160"/>
      <c r="F78" s="160"/>
      <c r="G78" s="160"/>
      <c r="H78" s="160"/>
    </row>
    <row r="79" spans="1:9" ht="49.5">
      <c r="A79" s="333"/>
      <c r="B79" s="169" t="str">
        <f t="shared" ref="B79:B91" si="0">B64</f>
        <v>溫度idx</v>
      </c>
      <c r="C79" s="169" t="s">
        <v>247</v>
      </c>
      <c r="D79" s="178" t="s">
        <v>255</v>
      </c>
      <c r="E79" s="160"/>
      <c r="F79" s="160"/>
      <c r="G79" s="160"/>
      <c r="H79" s="160"/>
    </row>
    <row r="80" spans="1:9">
      <c r="A80" s="333"/>
      <c r="B80" s="163">
        <f t="shared" si="0"/>
        <v>0</v>
      </c>
      <c r="C80" s="163">
        <f>RGBTC!B235</f>
        <v>-33</v>
      </c>
      <c r="D80" s="179">
        <f>RGBTC!C235</f>
        <v>7.1683170000000009</v>
      </c>
      <c r="E80" s="160"/>
      <c r="F80" s="160"/>
      <c r="G80" s="160"/>
      <c r="H80" s="160"/>
    </row>
    <row r="81" spans="1:8">
      <c r="A81" s="333"/>
      <c r="B81" s="163">
        <f t="shared" si="0"/>
        <v>1</v>
      </c>
      <c r="C81" s="163">
        <f>RGBTC!B236</f>
        <v>-18</v>
      </c>
      <c r="D81" s="179">
        <f>RGBTC!C236</f>
        <v>7.197917870404412</v>
      </c>
      <c r="E81" s="160"/>
      <c r="F81" s="160"/>
      <c r="G81" s="160"/>
      <c r="H81" s="160"/>
    </row>
    <row r="82" spans="1:8">
      <c r="A82" s="333"/>
      <c r="B82" s="163">
        <f t="shared" si="0"/>
        <v>2</v>
      </c>
      <c r="C82" s="163">
        <f>RGBTC!B237</f>
        <v>-3</v>
      </c>
      <c r="D82" s="179">
        <f>RGBTC!C237</f>
        <v>7.2082860454963242</v>
      </c>
      <c r="E82" s="160"/>
      <c r="F82" s="160"/>
      <c r="G82" s="160"/>
      <c r="H82" s="160"/>
    </row>
    <row r="83" spans="1:8">
      <c r="A83" s="333"/>
      <c r="B83" s="163">
        <f t="shared" si="0"/>
        <v>3</v>
      </c>
      <c r="C83" s="163">
        <f>RGBTC!B238</f>
        <v>12</v>
      </c>
      <c r="D83" s="179">
        <f>RGBTC!C238</f>
        <v>7.2247730073529421</v>
      </c>
      <c r="E83" s="160"/>
      <c r="F83" s="160"/>
      <c r="G83" s="160"/>
      <c r="H83" s="160"/>
    </row>
    <row r="84" spans="1:8">
      <c r="A84" s="333"/>
      <c r="B84" s="163">
        <f t="shared" si="0"/>
        <v>4</v>
      </c>
      <c r="C84" s="163">
        <f>RGBTC!B239</f>
        <v>25</v>
      </c>
      <c r="D84" s="179">
        <f>RGBTC!C239</f>
        <v>7.2511789999999996</v>
      </c>
      <c r="E84" s="160"/>
      <c r="F84" s="160"/>
      <c r="G84" s="160"/>
      <c r="H84" s="160"/>
    </row>
    <row r="85" spans="1:8">
      <c r="A85" s="333"/>
      <c r="B85" s="163">
        <f t="shared" si="0"/>
        <v>5</v>
      </c>
      <c r="C85" s="163">
        <f>RGBTC!B240</f>
        <v>42</v>
      </c>
      <c r="D85" s="179">
        <f>RGBTC!C240</f>
        <v>7.2437217656249997</v>
      </c>
      <c r="E85" s="160"/>
      <c r="F85" s="160"/>
      <c r="G85" s="160"/>
      <c r="H85" s="160"/>
    </row>
    <row r="86" spans="1:8">
      <c r="A86" s="333"/>
      <c r="B86" s="163">
        <f t="shared" si="0"/>
        <v>6</v>
      </c>
      <c r="C86" s="163">
        <f>RGBTC!B241</f>
        <v>57</v>
      </c>
      <c r="D86" s="179">
        <f>RGBTC!C241</f>
        <v>7.2509813216911754</v>
      </c>
      <c r="E86" s="160"/>
      <c r="F86" s="160"/>
      <c r="G86" s="160"/>
      <c r="H86" s="160"/>
    </row>
    <row r="87" spans="1:8">
      <c r="A87" s="333"/>
      <c r="B87" s="163">
        <f t="shared" si="0"/>
        <v>7</v>
      </c>
      <c r="C87" s="163">
        <f>RGBTC!B242</f>
        <v>72</v>
      </c>
      <c r="D87" s="179">
        <f>RGBTC!C242</f>
        <v>7.2581847794117635</v>
      </c>
      <c r="E87" s="160"/>
      <c r="F87" s="160"/>
      <c r="G87" s="160"/>
      <c r="H87" s="160"/>
    </row>
    <row r="88" spans="1:8">
      <c r="A88" s="333"/>
      <c r="B88" s="163">
        <f t="shared" si="0"/>
        <v>8</v>
      </c>
      <c r="C88" s="163">
        <f>RGBTC!B243</f>
        <v>85</v>
      </c>
      <c r="D88" s="179">
        <f>RGBTC!C243</f>
        <v>7.2716124136029405</v>
      </c>
      <c r="E88" s="160"/>
      <c r="F88" s="160"/>
      <c r="G88" s="160"/>
      <c r="H88" s="160"/>
    </row>
    <row r="89" spans="1:8">
      <c r="A89" s="333"/>
      <c r="B89" s="163">
        <f t="shared" si="0"/>
        <v>9</v>
      </c>
      <c r="C89" s="163">
        <f>RGBTC!B244</f>
        <v>102</v>
      </c>
      <c r="D89" s="179">
        <f>RGBTC!C244</f>
        <v>7.2547683446691167</v>
      </c>
      <c r="E89" s="160"/>
      <c r="F89" s="160"/>
      <c r="G89" s="160"/>
      <c r="H89" s="160"/>
    </row>
    <row r="90" spans="1:8">
      <c r="A90" s="333"/>
      <c r="B90" s="163">
        <f t="shared" si="0"/>
        <v>10</v>
      </c>
      <c r="C90" s="163">
        <f>RGBTC!B245</f>
        <v>117</v>
      </c>
      <c r="D90" s="179">
        <f>RGBTC!C245</f>
        <v>7.2485108947610302</v>
      </c>
      <c r="E90" s="160"/>
      <c r="F90" s="160"/>
      <c r="G90" s="160"/>
      <c r="H90" s="160"/>
    </row>
    <row r="91" spans="1:8">
      <c r="A91" s="333"/>
      <c r="B91" s="163">
        <f t="shared" si="0"/>
        <v>11</v>
      </c>
      <c r="C91" s="163">
        <f>RGBTC!B246</f>
        <v>132</v>
      </c>
      <c r="D91" s="179">
        <f>RGBTC!C246</f>
        <v>6.523630963235294</v>
      </c>
      <c r="E91" s="160"/>
      <c r="F91" s="160"/>
      <c r="G91" s="160"/>
      <c r="H91" s="160"/>
    </row>
    <row r="115" spans="1:12" ht="17.25" thickBot="1"/>
    <row r="116" spans="1:12" ht="17.25" thickBot="1">
      <c r="A116" s="210" t="s">
        <v>162</v>
      </c>
      <c r="B116" s="349" t="s">
        <v>112</v>
      </c>
      <c r="C116" s="272"/>
      <c r="D116" s="350"/>
      <c r="E116" s="350"/>
      <c r="F116" s="350"/>
      <c r="G116" s="351"/>
    </row>
    <row r="117" spans="1:12">
      <c r="A117" s="211"/>
      <c r="B117" s="345" t="s">
        <v>190</v>
      </c>
      <c r="C117" s="346"/>
      <c r="D117" s="347" t="s">
        <v>191</v>
      </c>
      <c r="E117" s="348"/>
      <c r="F117" s="347" t="s">
        <v>192</v>
      </c>
      <c r="G117" s="348"/>
      <c r="J117" s="242" t="s">
        <v>180</v>
      </c>
      <c r="K117" s="242"/>
    </row>
    <row r="118" spans="1:12" ht="33">
      <c r="A118" s="211"/>
      <c r="B118" s="5" t="s">
        <v>135</v>
      </c>
      <c r="C118" s="126" t="s">
        <v>134</v>
      </c>
      <c r="D118" s="128" t="s">
        <v>135</v>
      </c>
      <c r="E118" s="77" t="s">
        <v>134</v>
      </c>
      <c r="F118" s="128" t="s">
        <v>135</v>
      </c>
      <c r="G118" s="77" t="s">
        <v>134</v>
      </c>
      <c r="J118" s="107" t="s">
        <v>4</v>
      </c>
      <c r="K118" s="107" t="s">
        <v>5</v>
      </c>
      <c r="L118" s="82"/>
    </row>
    <row r="119" spans="1:12">
      <c r="A119" s="211"/>
      <c r="B119" s="89" t="s">
        <v>68</v>
      </c>
      <c r="C119" s="127" t="s">
        <v>68</v>
      </c>
      <c r="D119" s="106" t="s">
        <v>68</v>
      </c>
      <c r="E119" s="73" t="s">
        <v>68</v>
      </c>
      <c r="F119" s="106" t="s">
        <v>68</v>
      </c>
      <c r="G119" s="73" t="s">
        <v>68</v>
      </c>
      <c r="J119" s="45">
        <v>0.3145</v>
      </c>
      <c r="K119" s="45">
        <v>0.3352</v>
      </c>
    </row>
    <row r="120" spans="1:12" ht="17.25" thickBot="1">
      <c r="A120" s="211"/>
      <c r="B120" s="91" t="str">
        <f>RGBTC!C201</f>
        <v>1C</v>
      </c>
      <c r="C120" s="129" t="str">
        <f>RGBTC!E201</f>
        <v>90</v>
      </c>
      <c r="D120" s="140" t="str">
        <f>RGBTC!C152</f>
        <v>5</v>
      </c>
      <c r="E120" s="78" t="str">
        <f>RGBTC!E152</f>
        <v>EC</v>
      </c>
      <c r="F120" s="140" t="str">
        <f>RGBTC!G152</f>
        <v>8</v>
      </c>
      <c r="G120" s="78" t="str">
        <f>RGBTC!I152</f>
        <v>E0</v>
      </c>
    </row>
    <row r="121" spans="1:12" ht="17.25" thickBot="1">
      <c r="A121" s="211"/>
      <c r="B121" s="240" t="s">
        <v>113</v>
      </c>
      <c r="C121" s="240"/>
      <c r="D121" s="343"/>
      <c r="E121" s="344" t="s">
        <v>139</v>
      </c>
      <c r="F121" s="235"/>
      <c r="G121" s="236"/>
    </row>
    <row r="122" spans="1:12">
      <c r="A122" s="211"/>
      <c r="B122" s="92" t="s">
        <v>128</v>
      </c>
      <c r="C122" s="79" t="s">
        <v>16</v>
      </c>
      <c r="D122" s="80" t="s">
        <v>102</v>
      </c>
      <c r="E122" s="234"/>
      <c r="F122" s="235"/>
      <c r="G122" s="236"/>
      <c r="H122" s="114"/>
      <c r="I122" s="114"/>
    </row>
    <row r="123" spans="1:12">
      <c r="A123" s="211"/>
      <c r="B123" s="5">
        <v>0</v>
      </c>
      <c r="C123" s="54">
        <f>RTC!C175</f>
        <v>-33</v>
      </c>
      <c r="D123" s="69" t="e">
        <f>RGBTC!#REF!</f>
        <v>#REF!</v>
      </c>
      <c r="E123" s="234"/>
      <c r="F123" s="235"/>
      <c r="G123" s="236"/>
      <c r="J123" s="51"/>
      <c r="K123" s="51"/>
    </row>
    <row r="124" spans="1:12">
      <c r="A124" s="211"/>
      <c r="B124" s="5">
        <v>1</v>
      </c>
      <c r="C124" s="54">
        <f>RTC!C176</f>
        <v>-18</v>
      </c>
      <c r="D124" s="69" t="e">
        <f>RGBTC!#REF!</f>
        <v>#REF!</v>
      </c>
      <c r="E124" s="234"/>
      <c r="F124" s="235"/>
      <c r="G124" s="236"/>
      <c r="J124" s="51"/>
      <c r="K124" s="51"/>
    </row>
    <row r="125" spans="1:12">
      <c r="A125" s="211"/>
      <c r="B125" s="5">
        <v>2</v>
      </c>
      <c r="C125" s="54">
        <f>RTC!C177</f>
        <v>-3</v>
      </c>
      <c r="D125" s="69" t="e">
        <f>RGBTC!#REF!</f>
        <v>#REF!</v>
      </c>
      <c r="E125" s="234"/>
      <c r="F125" s="235"/>
      <c r="G125" s="236"/>
      <c r="J125" s="51"/>
      <c r="K125" s="51"/>
    </row>
    <row r="126" spans="1:12">
      <c r="A126" s="211"/>
      <c r="B126" s="5">
        <v>3</v>
      </c>
      <c r="C126" s="54">
        <f>RTC!C178</f>
        <v>12</v>
      </c>
      <c r="D126" s="69" t="e">
        <f>RGBTC!#REF!</f>
        <v>#REF!</v>
      </c>
      <c r="E126" s="234"/>
      <c r="F126" s="235"/>
      <c r="G126" s="236"/>
      <c r="J126" s="51"/>
      <c r="K126" s="51"/>
    </row>
    <row r="127" spans="1:12">
      <c r="A127" s="211"/>
      <c r="B127" s="5">
        <v>4</v>
      </c>
      <c r="C127" s="54">
        <f>RTC!C179</f>
        <v>25</v>
      </c>
      <c r="D127" s="69" t="e">
        <f>RGBTC!#REF!</f>
        <v>#REF!</v>
      </c>
      <c r="E127" s="234"/>
      <c r="F127" s="235"/>
      <c r="G127" s="236"/>
      <c r="J127" s="51"/>
      <c r="K127" s="51"/>
    </row>
    <row r="128" spans="1:12">
      <c r="A128" s="211"/>
      <c r="B128" s="5">
        <v>5</v>
      </c>
      <c r="C128" s="54">
        <f>RTC!C180</f>
        <v>42</v>
      </c>
      <c r="D128" s="69" t="e">
        <f>RGBTC!#REF!</f>
        <v>#REF!</v>
      </c>
      <c r="E128" s="234"/>
      <c r="F128" s="235"/>
      <c r="G128" s="236"/>
      <c r="J128" s="51"/>
      <c r="K128" s="51"/>
    </row>
    <row r="129" spans="1:11">
      <c r="A129" s="211"/>
      <c r="B129" s="5">
        <v>6</v>
      </c>
      <c r="C129" s="54">
        <f>RTC!C181</f>
        <v>57</v>
      </c>
      <c r="D129" s="69" t="e">
        <f>RGBTC!#REF!</f>
        <v>#REF!</v>
      </c>
      <c r="E129" s="234"/>
      <c r="F129" s="235"/>
      <c r="G129" s="236"/>
      <c r="J129" s="51"/>
      <c r="K129" s="51"/>
    </row>
    <row r="130" spans="1:11">
      <c r="A130" s="211"/>
      <c r="B130" s="5">
        <v>7</v>
      </c>
      <c r="C130" s="54">
        <f>RTC!C182</f>
        <v>72</v>
      </c>
      <c r="D130" s="69" t="e">
        <f>RGBTC!#REF!</f>
        <v>#REF!</v>
      </c>
      <c r="E130" s="234"/>
      <c r="F130" s="235"/>
      <c r="G130" s="236"/>
      <c r="J130" s="51"/>
      <c r="K130" s="51"/>
    </row>
    <row r="131" spans="1:11">
      <c r="A131" s="211"/>
      <c r="B131" s="5">
        <v>8</v>
      </c>
      <c r="C131" s="54">
        <f>RTC!C183</f>
        <v>85</v>
      </c>
      <c r="D131" s="69" t="e">
        <f>RGBTC!#REF!</f>
        <v>#REF!</v>
      </c>
      <c r="E131" s="234"/>
      <c r="F131" s="235"/>
      <c r="G131" s="236"/>
      <c r="J131" s="51"/>
      <c r="K131" s="51"/>
    </row>
    <row r="132" spans="1:11">
      <c r="A132" s="211"/>
      <c r="B132" s="5">
        <v>9</v>
      </c>
      <c r="C132" s="54">
        <f>RTC!C184</f>
        <v>102</v>
      </c>
      <c r="D132" s="69" t="e">
        <f>RGBTC!#REF!</f>
        <v>#REF!</v>
      </c>
      <c r="E132" s="234"/>
      <c r="F132" s="235"/>
      <c r="G132" s="236"/>
      <c r="J132" s="51"/>
      <c r="K132" s="51"/>
    </row>
    <row r="133" spans="1:11">
      <c r="A133" s="211"/>
      <c r="B133" s="5">
        <v>10</v>
      </c>
      <c r="C133" s="54">
        <f>RTC!C185</f>
        <v>117</v>
      </c>
      <c r="D133" s="69" t="e">
        <f>RGBTC!#REF!</f>
        <v>#REF!</v>
      </c>
      <c r="E133" s="234"/>
      <c r="F133" s="235"/>
      <c r="G133" s="236"/>
      <c r="J133" s="51"/>
      <c r="K133" s="51"/>
    </row>
    <row r="134" spans="1:11" ht="17.25" thickBot="1">
      <c r="A134" s="211"/>
      <c r="B134" s="42">
        <v>11</v>
      </c>
      <c r="C134" s="81">
        <f>RTC!C186</f>
        <v>132</v>
      </c>
      <c r="D134" s="69" t="e">
        <f>RGBTC!#REF!</f>
        <v>#REF!</v>
      </c>
      <c r="E134" s="237"/>
      <c r="F134" s="238"/>
      <c r="G134" s="239"/>
      <c r="J134" s="51"/>
      <c r="K134" s="51"/>
    </row>
    <row r="135" spans="1:11" ht="17.25" thickBot="1">
      <c r="A135" s="211"/>
    </row>
    <row r="136" spans="1:11" ht="17.25" thickBot="1">
      <c r="A136" s="211"/>
      <c r="B136" s="222" t="s">
        <v>133</v>
      </c>
      <c r="C136" s="223"/>
      <c r="D136" s="224"/>
    </row>
    <row r="137" spans="1:11">
      <c r="A137" s="211"/>
      <c r="B137" s="93" t="str">
        <f t="shared" ref="B137:B142" si="1">B122</f>
        <v>溫度idx</v>
      </c>
      <c r="C137" s="83" t="s">
        <v>16</v>
      </c>
      <c r="D137" s="95" t="s">
        <v>164</v>
      </c>
    </row>
    <row r="138" spans="1:11">
      <c r="A138" s="211"/>
      <c r="B138" s="5">
        <f t="shared" si="1"/>
        <v>0</v>
      </c>
      <c r="C138" s="1">
        <f>C123</f>
        <v>-33</v>
      </c>
      <c r="D138" s="190">
        <f>RGBTC!C235</f>
        <v>7.1683170000000009</v>
      </c>
    </row>
    <row r="139" spans="1:11">
      <c r="A139" s="211"/>
      <c r="B139" s="5">
        <f t="shared" si="1"/>
        <v>1</v>
      </c>
      <c r="C139" s="1">
        <f>C124</f>
        <v>-18</v>
      </c>
      <c r="D139" s="190">
        <f>RGBTC!C236</f>
        <v>7.197917870404412</v>
      </c>
    </row>
    <row r="140" spans="1:11">
      <c r="A140" s="211"/>
      <c r="B140" s="5">
        <f t="shared" si="1"/>
        <v>2</v>
      </c>
      <c r="C140" s="1">
        <f>C125</f>
        <v>-3</v>
      </c>
      <c r="D140" s="190">
        <f>RGBTC!C237</f>
        <v>7.2082860454963242</v>
      </c>
    </row>
    <row r="141" spans="1:11">
      <c r="A141" s="211"/>
      <c r="B141" s="5">
        <f t="shared" si="1"/>
        <v>3</v>
      </c>
      <c r="C141" s="1">
        <f>C126</f>
        <v>12</v>
      </c>
      <c r="D141" s="190">
        <f>RGBTC!C238</f>
        <v>7.2247730073529421</v>
      </c>
    </row>
    <row r="142" spans="1:11">
      <c r="A142" s="211"/>
      <c r="B142" s="5">
        <f t="shared" si="1"/>
        <v>4</v>
      </c>
      <c r="C142" s="1">
        <f>C127</f>
        <v>25</v>
      </c>
      <c r="D142" s="190">
        <f>RGBTC!C239</f>
        <v>7.2511789999999996</v>
      </c>
    </row>
    <row r="143" spans="1:11">
      <c r="A143" s="211"/>
      <c r="B143" s="5">
        <f t="shared" ref="B143:C149" si="2">B128</f>
        <v>5</v>
      </c>
      <c r="C143" s="1">
        <f t="shared" si="2"/>
        <v>42</v>
      </c>
      <c r="D143" s="190">
        <f>RGBTC!C240</f>
        <v>7.2437217656249997</v>
      </c>
    </row>
    <row r="144" spans="1:11">
      <c r="A144" s="211"/>
      <c r="B144" s="5">
        <f t="shared" si="2"/>
        <v>6</v>
      </c>
      <c r="C144" s="1">
        <f t="shared" si="2"/>
        <v>57</v>
      </c>
      <c r="D144" s="190">
        <f>RGBTC!C241</f>
        <v>7.2509813216911754</v>
      </c>
    </row>
    <row r="145" spans="1:4">
      <c r="A145" s="211"/>
      <c r="B145" s="5">
        <f t="shared" si="2"/>
        <v>7</v>
      </c>
      <c r="C145" s="1">
        <f t="shared" si="2"/>
        <v>72</v>
      </c>
      <c r="D145" s="190">
        <f>RGBTC!C242</f>
        <v>7.2581847794117635</v>
      </c>
    </row>
    <row r="146" spans="1:4">
      <c r="A146" s="211"/>
      <c r="B146" s="5">
        <f t="shared" si="2"/>
        <v>8</v>
      </c>
      <c r="C146" s="1">
        <f t="shared" si="2"/>
        <v>85</v>
      </c>
      <c r="D146" s="190">
        <f>RGBTC!C243</f>
        <v>7.2716124136029405</v>
      </c>
    </row>
    <row r="147" spans="1:4">
      <c r="A147" s="211"/>
      <c r="B147" s="5">
        <f t="shared" si="2"/>
        <v>9</v>
      </c>
      <c r="C147" s="1">
        <f>C132</f>
        <v>102</v>
      </c>
      <c r="D147" s="190">
        <f>RGBTC!C244</f>
        <v>7.2547683446691167</v>
      </c>
    </row>
    <row r="148" spans="1:4" ht="16.5" customHeight="1">
      <c r="A148" s="211"/>
      <c r="B148" s="5">
        <f t="shared" si="2"/>
        <v>10</v>
      </c>
      <c r="C148" s="1">
        <f t="shared" si="2"/>
        <v>117</v>
      </c>
      <c r="D148" s="190">
        <f>RGBTC!C245</f>
        <v>7.2485108947610302</v>
      </c>
    </row>
    <row r="149" spans="1:4" ht="17.25" thickBot="1">
      <c r="A149" s="212"/>
      <c r="B149" s="42">
        <f t="shared" si="2"/>
        <v>11</v>
      </c>
      <c r="C149" s="71">
        <f t="shared" si="2"/>
        <v>132</v>
      </c>
      <c r="D149" s="190">
        <f>RGBTC!C246</f>
        <v>6.523630963235294</v>
      </c>
    </row>
    <row r="158" spans="1:4" ht="16.5" customHeight="1"/>
    <row r="163" ht="16.5" customHeight="1"/>
  </sheetData>
  <sheetProtection algorithmName="SHA-512" hashValue="NqkzUkObHjf7C+TAKpufe1vYDdZpd0aQg6fFPYDYYzUZ/o6Ae9CStkK6DLsaoI/Ivm6UoXrvVzGjmAYn2txuoQ==" saltValue="ae7vny1CjKwyKvwRdY45jQ==" spinCount="100000" sheet="1" objects="1" scenarios="1"/>
  <mergeCells count="55">
    <mergeCell ref="B78:D78"/>
    <mergeCell ref="G59:I59"/>
    <mergeCell ref="B58:I58"/>
    <mergeCell ref="F63:I76"/>
    <mergeCell ref="B59:C59"/>
    <mergeCell ref="D59:F59"/>
    <mergeCell ref="B63:E63"/>
    <mergeCell ref="A46:A53"/>
    <mergeCell ref="B46:K46"/>
    <mergeCell ref="B47:B48"/>
    <mergeCell ref="C47:E47"/>
    <mergeCell ref="F47:H47"/>
    <mergeCell ref="I47:K47"/>
    <mergeCell ref="B50:K50"/>
    <mergeCell ref="B51:B52"/>
    <mergeCell ref="C51:E51"/>
    <mergeCell ref="F51:H51"/>
    <mergeCell ref="I51:K51"/>
    <mergeCell ref="A32:A43"/>
    <mergeCell ref="B38:D38"/>
    <mergeCell ref="B41:D41"/>
    <mergeCell ref="A17:A29"/>
    <mergeCell ref="B17:K17"/>
    <mergeCell ref="B20:B21"/>
    <mergeCell ref="C20:E20"/>
    <mergeCell ref="F20:H20"/>
    <mergeCell ref="I20:K20"/>
    <mergeCell ref="B23:D23"/>
    <mergeCell ref="B24:D24"/>
    <mergeCell ref="B27:D27"/>
    <mergeCell ref="A116:A149"/>
    <mergeCell ref="J117:K117"/>
    <mergeCell ref="B121:D121"/>
    <mergeCell ref="E121:G134"/>
    <mergeCell ref="B136:D136"/>
    <mergeCell ref="B117:C117"/>
    <mergeCell ref="D117:E117"/>
    <mergeCell ref="F117:G117"/>
    <mergeCell ref="B116:G116"/>
    <mergeCell ref="A58:A91"/>
    <mergeCell ref="F33:H33"/>
    <mergeCell ref="I33:K33"/>
    <mergeCell ref="A2:A6"/>
    <mergeCell ref="B2:K2"/>
    <mergeCell ref="B5:C5"/>
    <mergeCell ref="B32:K32"/>
    <mergeCell ref="B33:B34"/>
    <mergeCell ref="C33:E33"/>
    <mergeCell ref="B14:C14"/>
    <mergeCell ref="D14:E14"/>
    <mergeCell ref="A9:A14"/>
    <mergeCell ref="B9:K9"/>
    <mergeCell ref="D13:E13"/>
    <mergeCell ref="B12:E12"/>
    <mergeCell ref="B13:C13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363"/>
  <sheetViews>
    <sheetView topLeftCell="AA10" zoomScale="70" zoomScaleNormal="70" workbookViewId="0">
      <selection activeCell="Z10" sqref="A1:Z1048576"/>
    </sheetView>
  </sheetViews>
  <sheetFormatPr defaultRowHeight="16.5"/>
  <cols>
    <col min="1" max="14" width="12.625" hidden="1" customWidth="1"/>
    <col min="15" max="24" width="0" hidden="1" customWidth="1"/>
    <col min="25" max="25" width="12.625" hidden="1" customWidth="1"/>
    <col min="26" max="26" width="0" hidden="1" customWidth="1"/>
  </cols>
  <sheetData>
    <row r="1" spans="1:26">
      <c r="A1" s="314" t="s">
        <v>145</v>
      </c>
      <c r="B1" s="314"/>
      <c r="C1" s="314"/>
      <c r="D1" s="314"/>
      <c r="E1" s="314"/>
      <c r="F1" s="314"/>
      <c r="G1" s="314"/>
      <c r="H1" s="314"/>
      <c r="I1" s="314"/>
      <c r="J1" s="315"/>
      <c r="Y1" s="111" t="s">
        <v>181</v>
      </c>
      <c r="Z1" s="111" t="s">
        <v>182</v>
      </c>
    </row>
    <row r="2" spans="1:26">
      <c r="A2" s="1" t="str">
        <f>客戶R_TC!C4</f>
        <v>溫度偵測值</v>
      </c>
      <c r="B2" s="1" t="s">
        <v>146</v>
      </c>
      <c r="D2" s="1" t="s">
        <v>159</v>
      </c>
      <c r="E2" s="1" t="s">
        <v>149</v>
      </c>
      <c r="F2" s="1" t="s">
        <v>150</v>
      </c>
      <c r="G2" s="1" t="s">
        <v>151</v>
      </c>
      <c r="H2" s="1" t="s">
        <v>160</v>
      </c>
      <c r="Y2" s="112">
        <v>0.31513569635683358</v>
      </c>
      <c r="Z2" s="112">
        <v>0.32751135163429529</v>
      </c>
    </row>
    <row r="3" spans="1:26">
      <c r="A3" s="1" t="s">
        <v>147</v>
      </c>
      <c r="B3" s="1" t="s">
        <v>147</v>
      </c>
      <c r="D3" s="1" t="s">
        <v>157</v>
      </c>
      <c r="E3" s="1">
        <f>ABS(C6)</f>
        <v>8</v>
      </c>
      <c r="F3" s="1" t="str">
        <f>DEC2BIN(E3)</f>
        <v>1000</v>
      </c>
      <c r="G3" s="1" t="str">
        <f>DEC2HEX(E3)</f>
        <v>8</v>
      </c>
      <c r="H3" s="23" t="str">
        <f>IF(C6&gt;=0,G3,G4)</f>
        <v>38</v>
      </c>
      <c r="Y3" s="112">
        <v>0.31519555210555755</v>
      </c>
      <c r="Z3" s="112">
        <v>0.3276101200994026</v>
      </c>
    </row>
    <row r="4" spans="1:26">
      <c r="A4" s="1" t="str">
        <f>客戶RGB_TC!B4</f>
        <v>1D</v>
      </c>
      <c r="B4" s="1">
        <v>15</v>
      </c>
      <c r="D4" s="1" t="s">
        <v>158</v>
      </c>
      <c r="E4" s="1">
        <f>63-E3+1</f>
        <v>56</v>
      </c>
      <c r="F4" s="1" t="str">
        <f>DEC2BIN(E4)</f>
        <v>111000</v>
      </c>
      <c r="G4" s="1" t="str">
        <f>DEC2HEX(E4)</f>
        <v>38</v>
      </c>
      <c r="Y4" s="112">
        <v>0.31525464768493527</v>
      </c>
      <c r="Z4" s="112">
        <v>0.32770931193539177</v>
      </c>
    </row>
    <row r="5" spans="1:26">
      <c r="A5" s="1" t="s">
        <v>148</v>
      </c>
      <c r="B5" s="1" t="s">
        <v>148</v>
      </c>
      <c r="C5" s="1" t="s">
        <v>156</v>
      </c>
      <c r="Y5" s="112">
        <v>0.31531296509388068</v>
      </c>
      <c r="Z5" s="112">
        <v>0.32780889692746851</v>
      </c>
    </row>
    <row r="6" spans="1:26">
      <c r="A6" s="1">
        <f>HEX2DEC(A4)</f>
        <v>29</v>
      </c>
      <c r="B6" s="1">
        <f>HEX2DEC(B4)</f>
        <v>21</v>
      </c>
      <c r="C6" s="1">
        <f>B6-A6</f>
        <v>-8</v>
      </c>
      <c r="Y6" s="112">
        <v>0.31537048656834621</v>
      </c>
      <c r="Z6" s="112">
        <v>0.32790884474107967</v>
      </c>
    </row>
    <row r="7" spans="1:26">
      <c r="Y7" s="112">
        <v>0.31542719458673335</v>
      </c>
      <c r="Z7" s="112">
        <v>0.32800912493115292</v>
      </c>
    </row>
    <row r="8" spans="1:26">
      <c r="Y8" s="112">
        <v>0.3154830718752305</v>
      </c>
      <c r="Z8" s="112">
        <v>0.32810970695137098</v>
      </c>
    </row>
    <row r="9" spans="1:26">
      <c r="A9" s="314" t="s">
        <v>154</v>
      </c>
      <c r="B9" s="314"/>
      <c r="C9" s="314"/>
      <c r="D9" s="314"/>
      <c r="E9" s="314"/>
      <c r="F9" s="314"/>
      <c r="G9" s="314"/>
      <c r="H9" s="314"/>
      <c r="I9" s="314"/>
      <c r="J9" s="315"/>
      <c r="Y9" s="112">
        <v>0.3155381014130742</v>
      </c>
      <c r="Z9" s="112">
        <v>0.32821056016347616</v>
      </c>
    </row>
    <row r="10" spans="1:26">
      <c r="A10" s="242" t="str">
        <f>客戶R_TC!C11</f>
        <v>F_CR</v>
      </c>
      <c r="B10" s="242"/>
      <c r="C10" s="45" t="s">
        <v>155</v>
      </c>
      <c r="D10" s="45" t="str">
        <f>客戶R_TC!D11</f>
        <v>輸出電流(mA)</v>
      </c>
      <c r="Y10" s="112">
        <v>0.31559226643773419</v>
      </c>
      <c r="Z10" s="112">
        <v>0.32831165384660294</v>
      </c>
    </row>
    <row r="11" spans="1:26">
      <c r="A11" s="1" t="s">
        <v>127</v>
      </c>
      <c r="B11" s="1" t="s">
        <v>126</v>
      </c>
      <c r="C11" s="45">
        <f>1-(255-B12)*$B$42</f>
        <v>0.50123999999999991</v>
      </c>
      <c r="D11" s="45">
        <f>60*C11</f>
        <v>30.074399999999994</v>
      </c>
      <c r="Y11" s="112">
        <v>0.31564555045001924</v>
      </c>
      <c r="Z11" s="112">
        <v>0.32841295720663627</v>
      </c>
    </row>
    <row r="12" spans="1:26">
      <c r="A12" s="1" t="str">
        <f>客戶RGB_TC!B19</f>
        <v>6B</v>
      </c>
      <c r="B12" s="1">
        <f>HEX2DEC(A12)</f>
        <v>107</v>
      </c>
      <c r="Y12" s="112">
        <v>0.315697937219103</v>
      </c>
      <c r="Z12" s="112">
        <v>0.32851443938559122</v>
      </c>
    </row>
    <row r="13" spans="1:26" ht="16.5" customHeight="1">
      <c r="Y13" s="112">
        <v>0.31574941078746815</v>
      </c>
      <c r="Z13" s="112">
        <v>0.32861606947101307</v>
      </c>
    </row>
    <row r="14" spans="1:26" ht="16.5" customHeight="1">
      <c r="Y14" s="112">
        <v>0.31579995547576717</v>
      </c>
      <c r="Z14" s="112">
        <v>0.32871781650539328</v>
      </c>
    </row>
    <row r="15" spans="1:26" ht="16.5" customHeight="1">
      <c r="A15" s="313" t="s">
        <v>269</v>
      </c>
      <c r="B15" s="314"/>
      <c r="C15" s="314"/>
      <c r="D15" s="314"/>
      <c r="E15" s="314"/>
      <c r="F15" s="314"/>
      <c r="G15" s="314"/>
      <c r="H15" s="314"/>
      <c r="I15" s="314"/>
      <c r="J15" s="315"/>
      <c r="Y15" s="112">
        <v>0.31584955588759828</v>
      </c>
      <c r="Z15" s="112">
        <v>0.3288196494955995</v>
      </c>
    </row>
    <row r="16" spans="1:26" ht="16.5" customHeight="1">
      <c r="A16" s="31" t="s">
        <v>8</v>
      </c>
      <c r="B16" s="316">
        <v>60</v>
      </c>
      <c r="C16" s="316"/>
      <c r="D16" s="316"/>
      <c r="E16" s="316"/>
      <c r="F16" s="316"/>
      <c r="G16" s="316"/>
      <c r="H16" s="316"/>
      <c r="I16" s="316"/>
      <c r="J16" s="316"/>
      <c r="Y16" s="112">
        <v>0.31589819691419563</v>
      </c>
      <c r="Z16" s="112">
        <v>0.3289215374223165</v>
      </c>
    </row>
    <row r="17" spans="1:26" ht="16.5" customHeight="1">
      <c r="A17" s="244" t="s">
        <v>48</v>
      </c>
      <c r="B17" s="266" t="s">
        <v>0</v>
      </c>
      <c r="C17" s="266"/>
      <c r="D17" s="266"/>
      <c r="E17" s="267" t="s">
        <v>1</v>
      </c>
      <c r="F17" s="267"/>
      <c r="G17" s="267"/>
      <c r="H17" s="254" t="s">
        <v>2</v>
      </c>
      <c r="I17" s="254"/>
      <c r="J17" s="254"/>
      <c r="Y17" s="112">
        <v>0.31594586373903127</v>
      </c>
      <c r="Z17" s="112">
        <v>0.32902344924949473</v>
      </c>
    </row>
    <row r="18" spans="1:26" ht="33" customHeight="1">
      <c r="A18" s="244"/>
      <c r="B18" s="3" t="s">
        <v>4</v>
      </c>
      <c r="C18" s="3" t="s">
        <v>5</v>
      </c>
      <c r="D18" s="3" t="s">
        <v>6</v>
      </c>
      <c r="E18" s="4" t="s">
        <v>4</v>
      </c>
      <c r="F18" s="4" t="s">
        <v>5</v>
      </c>
      <c r="G18" s="4" t="s">
        <v>6</v>
      </c>
      <c r="H18" s="2" t="s">
        <v>4</v>
      </c>
      <c r="I18" s="2" t="s">
        <v>5</v>
      </c>
      <c r="J18" s="2" t="s">
        <v>6</v>
      </c>
      <c r="Y18" s="112">
        <v>0.31599254184232861</v>
      </c>
      <c r="Z18" s="112">
        <v>0.32912535393380438</v>
      </c>
    </row>
    <row r="19" spans="1:26" ht="16.5" customHeight="1">
      <c r="A19" s="242">
        <f>客戶R_TC!C17</f>
        <v>25</v>
      </c>
      <c r="B19" s="5">
        <f>客戶RGB_TC!C22</f>
        <v>0.68989999999999996</v>
      </c>
      <c r="C19" s="5">
        <f>客戶RGB_TC!D22</f>
        <v>0.31</v>
      </c>
      <c r="D19" s="5">
        <f>客戶RGB_TC!E22*B16/客戶RGB_TC!C19</f>
        <v>1.9636301971111647</v>
      </c>
      <c r="E19" s="5">
        <f>客戶RGB_TC!F22</f>
        <v>0.1593</v>
      </c>
      <c r="F19" s="5">
        <f>客戶RGB_TC!G22</f>
        <v>0.74439999999999995</v>
      </c>
      <c r="G19" s="5">
        <f>客戶RGB_TC!H22*B16/客戶RGB_TC!C19</f>
        <v>3.3883103237304821</v>
      </c>
      <c r="H19" s="5">
        <f>客戶RGB_TC!I22</f>
        <v>0.1394</v>
      </c>
      <c r="I19" s="5">
        <f>客戶RGB_TC!J22</f>
        <v>4.3799999999999999E-2</v>
      </c>
      <c r="J19" s="5">
        <f>客戶RGB_TC!K22*B16/客戶RGB_TC!C19</f>
        <v>0.54751682494081366</v>
      </c>
      <c r="Y19" s="112">
        <v>0.31603821700548523</v>
      </c>
      <c r="Z19" s="112">
        <v>0.32922722043409147</v>
      </c>
    </row>
    <row r="20" spans="1:26" ht="16.5" customHeight="1">
      <c r="A20" s="242"/>
      <c r="B20" s="315" t="s">
        <v>211</v>
      </c>
      <c r="C20" s="338"/>
      <c r="D20" s="338"/>
      <c r="E20" s="338"/>
      <c r="F20" s="338"/>
      <c r="G20" s="338"/>
      <c r="H20" s="338"/>
      <c r="I20" s="338"/>
      <c r="J20" s="338"/>
      <c r="Y20" s="112">
        <v>0.31608287531540391</v>
      </c>
      <c r="Z20" s="112">
        <v>0.32932901772083317</v>
      </c>
    </row>
    <row r="21" spans="1:26" ht="16.5" customHeight="1">
      <c r="A21" s="242"/>
      <c r="B21" s="124" t="s">
        <v>209</v>
      </c>
      <c r="C21" s="142" t="s">
        <v>212</v>
      </c>
      <c r="D21" s="142" t="s">
        <v>216</v>
      </c>
      <c r="E21" s="148" t="s">
        <v>215</v>
      </c>
      <c r="G21" s="142" t="s">
        <v>213</v>
      </c>
      <c r="Y21" s="112">
        <v>0.31612650316873087</v>
      </c>
      <c r="Z21" s="112">
        <v>0.32943071478558988</v>
      </c>
    </row>
    <row r="22" spans="1:26" ht="16.5" customHeight="1">
      <c r="A22" s="242"/>
      <c r="B22" s="5">
        <f>客戶RGB_TC!E11</f>
        <v>12</v>
      </c>
      <c r="C22" s="1">
        <f>(2^B22)-1</f>
        <v>4095</v>
      </c>
      <c r="D22" s="147">
        <f>IF(B22&gt;14,1,0)</f>
        <v>0</v>
      </c>
      <c r="E22" s="1" t="str">
        <f>DEC2HEX(ROUNDUP((F24/4),0))</f>
        <v>C00</v>
      </c>
      <c r="F22" s="45">
        <f>HEX2DEC(E22)</f>
        <v>3072</v>
      </c>
      <c r="G22" s="1" t="str">
        <f>IF(C21=1,#REF!,E24)</f>
        <v>3000</v>
      </c>
      <c r="Y22" s="112">
        <v>0.31616908727599941</v>
      </c>
      <c r="Z22" s="112">
        <v>0.32953228065045048</v>
      </c>
    </row>
    <row r="23" spans="1:26" ht="16.5" customHeight="1">
      <c r="A23" s="242"/>
      <c r="E23" s="148" t="s">
        <v>214</v>
      </c>
      <c r="G23" s="35"/>
      <c r="Y23" s="112">
        <v>0.31621061466567785</v>
      </c>
      <c r="Z23" s="112">
        <v>0.32963368437746859</v>
      </c>
    </row>
    <row r="24" spans="1:26" ht="16.5" customHeight="1">
      <c r="A24" s="242"/>
      <c r="E24" s="1" t="str">
        <f>DEC2HEX(ROUNDDOWN(((C22+1)*3),0))</f>
        <v>3000</v>
      </c>
      <c r="F24" s="45">
        <f>HEX2DEC(E24)</f>
        <v>12288</v>
      </c>
      <c r="G24" s="35"/>
      <c r="Y24" s="112">
        <v>0.31625107268812103</v>
      </c>
      <c r="Z24" s="112">
        <v>0.32973489507808673</v>
      </c>
    </row>
    <row r="25" spans="1:26" ht="16.5" customHeight="1">
      <c r="A25" s="242"/>
      <c r="Y25" s="112">
        <v>0.31629044901942338</v>
      </c>
      <c r="Z25" s="112">
        <v>0.32983588192254498</v>
      </c>
    </row>
    <row r="26" spans="1:26" ht="16.5" customHeight="1">
      <c r="A26" s="242"/>
      <c r="B26" s="334" t="s">
        <v>218</v>
      </c>
      <c r="C26" s="335"/>
      <c r="D26" s="335"/>
      <c r="E26" s="335"/>
      <c r="F26" s="335"/>
      <c r="G26" s="335"/>
      <c r="H26" s="335"/>
      <c r="I26" s="335"/>
      <c r="J26" s="335"/>
      <c r="Y26" s="112">
        <v>0.31632873166517295</v>
      </c>
      <c r="Z26" s="112">
        <v>0.32993661414927222</v>
      </c>
    </row>
    <row r="27" spans="1:26" ht="16.5" customHeight="1">
      <c r="A27" s="242"/>
      <c r="B27" s="41" t="s">
        <v>10</v>
      </c>
      <c r="C27" s="36" t="s">
        <v>11</v>
      </c>
      <c r="D27" s="37" t="s">
        <v>12</v>
      </c>
      <c r="E27" s="38" t="s">
        <v>13</v>
      </c>
      <c r="F27" s="38" t="s">
        <v>14</v>
      </c>
      <c r="G27" s="38" t="s">
        <v>15</v>
      </c>
      <c r="Y27" s="112">
        <v>0.31636590896410499</v>
      </c>
      <c r="Z27" s="112">
        <v>0.33003706107425645</v>
      </c>
    </row>
    <row r="28" spans="1:26" ht="16.5" customHeight="1">
      <c r="A28" s="242"/>
      <c r="B28" s="5">
        <f>客戶RGB_TC!B11</f>
        <v>0.3125</v>
      </c>
      <c r="C28" s="5">
        <f>客戶RGB_TC!C11</f>
        <v>0.32900000000000001</v>
      </c>
      <c r="D28" s="5">
        <f>客戶RGB_TC!D11</f>
        <v>3</v>
      </c>
      <c r="E28" s="1">
        <f>D28*B28/C28</f>
        <v>2.8495440729483281</v>
      </c>
      <c r="F28" s="1">
        <f>D28</f>
        <v>3</v>
      </c>
      <c r="G28" s="1">
        <f>D28*(1-B28-C28)/C28</f>
        <v>3.2689969604863216</v>
      </c>
      <c r="Y28" s="112">
        <v>0.31640196959165412</v>
      </c>
      <c r="Z28" s="112">
        <v>0.33013719210039122</v>
      </c>
    </row>
    <row r="29" spans="1:26" ht="16.5" customHeight="1">
      <c r="A29" s="242"/>
      <c r="B29" s="40" t="s">
        <v>17</v>
      </c>
      <c r="C29" s="38" t="s">
        <v>18</v>
      </c>
      <c r="D29" s="38" t="s">
        <v>19</v>
      </c>
      <c r="E29" s="38" t="s">
        <v>20</v>
      </c>
      <c r="F29" s="38" t="s">
        <v>21</v>
      </c>
      <c r="G29" s="38" t="s">
        <v>22</v>
      </c>
      <c r="H29" s="38" t="s">
        <v>23</v>
      </c>
      <c r="I29" s="38" t="s">
        <v>24</v>
      </c>
      <c r="J29" s="38" t="s">
        <v>25</v>
      </c>
      <c r="K29" s="39" t="s">
        <v>26</v>
      </c>
      <c r="L29" s="39" t="s">
        <v>27</v>
      </c>
      <c r="M29" s="39" t="s">
        <v>28</v>
      </c>
      <c r="N29" s="39" t="s">
        <v>29</v>
      </c>
      <c r="Y29" s="112">
        <v>0.31643690256340384</v>
      </c>
      <c r="Z29" s="112">
        <v>0.33023697672679597</v>
      </c>
    </row>
    <row r="30" spans="1:26" ht="16.5" customHeight="1">
      <c r="A30" s="242"/>
      <c r="B30" s="30" t="s">
        <v>30</v>
      </c>
      <c r="C30" s="21" t="s">
        <v>31</v>
      </c>
      <c r="D30" s="21" t="s">
        <v>32</v>
      </c>
      <c r="E30" s="21" t="s">
        <v>33</v>
      </c>
      <c r="F30" s="21" t="s">
        <v>34</v>
      </c>
      <c r="G30" s="21" t="s">
        <v>35</v>
      </c>
      <c r="H30" s="21"/>
      <c r="I30" s="21"/>
      <c r="J30" s="21"/>
      <c r="K30" s="22"/>
      <c r="L30" s="22"/>
      <c r="M30" s="22"/>
      <c r="N30" s="22"/>
      <c r="Y30" s="112">
        <v>0.31647069723843263</v>
      </c>
      <c r="Z30" s="112">
        <v>0.33033638455810688</v>
      </c>
    </row>
    <row r="31" spans="1:26" ht="16.5" customHeight="1">
      <c r="A31" s="242"/>
      <c r="B31" s="32">
        <f>B19/C19</f>
        <v>2.225483870967742</v>
      </c>
      <c r="C31" s="6">
        <f>E19/F19</f>
        <v>0.21399785061794735</v>
      </c>
      <c r="D31" s="6">
        <f>H19/I19</f>
        <v>3.182648401826484</v>
      </c>
      <c r="E31" s="6">
        <f>(1-B19-C19)/C19</f>
        <v>3.2258064516143387E-4</v>
      </c>
      <c r="F31" s="6">
        <f>(1-E19-F19)/F19</f>
        <v>0.12936593229446541</v>
      </c>
      <c r="G31" s="6">
        <f>(1-H19-I19)/I19</f>
        <v>18.648401826484022</v>
      </c>
      <c r="H31" s="6">
        <f>B31*G31+D31*F31+C31*E31-D31*E31-C31*G31-B31*F31</f>
        <v>37.633866428521856</v>
      </c>
      <c r="I31" s="6">
        <f>G31*E28+D31*F31*F28+G28*C31-D31*G28-C31*G31*F28-F31*E28</f>
        <v>32.329324448379616</v>
      </c>
      <c r="J31" s="6">
        <f>B31*G31*F28+E31*E28+D31*G28-D31*E31*F28-E28*G31-B31*G28</f>
        <v>74.492516725384064</v>
      </c>
      <c r="K31" s="7">
        <f>B31*G28+F31*E28+C31*E31*F28-E31*E28-C31*G28-B31*F31*F28</f>
        <v>6.0797581118019002</v>
      </c>
      <c r="L31" s="7">
        <f>I31/H31</f>
        <v>0.85904871108002745</v>
      </c>
      <c r="M31" s="7">
        <f>J31/H31</f>
        <v>1.9794011031757255</v>
      </c>
      <c r="N31" s="7">
        <f>K31/H31</f>
        <v>0.16155018574424734</v>
      </c>
      <c r="Y31" s="112">
        <v>0.31650334332255492</v>
      </c>
      <c r="Z31" s="112">
        <v>0.33043538531373556</v>
      </c>
    </row>
    <row r="32" spans="1:26" ht="16.5" customHeight="1">
      <c r="A32" s="242"/>
      <c r="B32" s="30" t="s">
        <v>50</v>
      </c>
      <c r="C32" s="21" t="s">
        <v>51</v>
      </c>
      <c r="D32" s="21" t="s">
        <v>52</v>
      </c>
      <c r="E32" s="21" t="s">
        <v>53</v>
      </c>
      <c r="F32" s="21" t="s">
        <v>56</v>
      </c>
      <c r="G32" s="21" t="s">
        <v>217</v>
      </c>
      <c r="Y32" s="112">
        <v>0.3165348308714574</v>
      </c>
      <c r="Z32" s="112">
        <v>0.33053394883709275</v>
      </c>
    </row>
    <row r="33" spans="1:26" ht="16.5" customHeight="1">
      <c r="A33" s="242"/>
      <c r="B33" s="5">
        <v>256</v>
      </c>
      <c r="C33" s="1">
        <v>384</v>
      </c>
      <c r="D33" s="1">
        <v>256</v>
      </c>
      <c r="E33" s="1">
        <v>256</v>
      </c>
      <c r="F33" s="1">
        <v>255</v>
      </c>
      <c r="G33" s="1">
        <f>E33*3</f>
        <v>768</v>
      </c>
      <c r="Y33" s="112">
        <v>0.31656515029372762</v>
      </c>
      <c r="Z33" s="112">
        <v>0.33063204510477451</v>
      </c>
    </row>
    <row r="34" spans="1:26" ht="16.5" customHeight="1">
      <c r="A34" s="242"/>
      <c r="B34" s="33" t="s">
        <v>36</v>
      </c>
      <c r="C34" s="13" t="s">
        <v>37</v>
      </c>
      <c r="D34" s="10" t="s">
        <v>38</v>
      </c>
      <c r="E34" s="11" t="s">
        <v>39</v>
      </c>
      <c r="F34" s="8" t="s">
        <v>40</v>
      </c>
      <c r="G34" s="12" t="s">
        <v>41</v>
      </c>
      <c r="Y34" s="112">
        <v>0.31659429235377579</v>
      </c>
      <c r="Z34" s="112">
        <v>0.33072964423570733</v>
      </c>
    </row>
    <row r="35" spans="1:26" ht="16.5" customHeight="1">
      <c r="A35" s="242"/>
      <c r="B35" s="34" t="s">
        <v>42</v>
      </c>
      <c r="C35" s="9" t="s">
        <v>43</v>
      </c>
      <c r="D35" s="10" t="s">
        <v>44</v>
      </c>
      <c r="E35" s="11" t="s">
        <v>45</v>
      </c>
      <c r="F35" s="8" t="s">
        <v>46</v>
      </c>
      <c r="G35" s="12" t="s">
        <v>47</v>
      </c>
      <c r="Y35" s="112">
        <v>0.31662224817464812</v>
      </c>
      <c r="Z35" s="112">
        <v>0.33082671650025053</v>
      </c>
    </row>
    <row r="36" spans="1:26">
      <c r="A36" s="242"/>
      <c r="B36" s="5">
        <f>D19*B33/E33</f>
        <v>1.9636301971111647</v>
      </c>
      <c r="C36" s="6">
        <f>L31</f>
        <v>0.85904871108002745</v>
      </c>
      <c r="D36" s="1">
        <f>G19*C33/E33</f>
        <v>5.0824654855957228</v>
      </c>
      <c r="E36" s="6">
        <f>M31</f>
        <v>1.9794011031757255</v>
      </c>
      <c r="F36" s="1">
        <f>J19*D33/E33</f>
        <v>0.54751682494081366</v>
      </c>
      <c r="G36" s="6">
        <f>N31</f>
        <v>0.16155018574424734</v>
      </c>
      <c r="Y36" s="112">
        <v>0.31664900924073081</v>
      </c>
      <c r="Z36" s="112">
        <v>0.33092323232925197</v>
      </c>
    </row>
    <row r="37" spans="1:26">
      <c r="A37" s="242"/>
      <c r="B37" s="317" t="s">
        <v>58</v>
      </c>
      <c r="C37" s="318"/>
      <c r="D37" s="318"/>
      <c r="E37" s="318"/>
      <c r="F37" s="318"/>
      <c r="G37" s="318"/>
      <c r="Y37" s="112">
        <v>0.31667456740034383</v>
      </c>
      <c r="Z37" s="112">
        <v>0.33101916232305517</v>
      </c>
    </row>
    <row r="38" spans="1:26">
      <c r="A38" s="242"/>
      <c r="B38" s="325" t="s">
        <v>59</v>
      </c>
      <c r="C38" s="324"/>
      <c r="D38" s="324" t="s">
        <v>60</v>
      </c>
      <c r="E38" s="324"/>
      <c r="F38" s="324" t="s">
        <v>61</v>
      </c>
      <c r="G38" s="324"/>
      <c r="Y38" s="112">
        <v>0.31669891486822427</v>
      </c>
      <c r="Z38" s="112">
        <v>0.33111447726045468</v>
      </c>
    </row>
    <row r="39" spans="1:26">
      <c r="A39" s="242"/>
      <c r="B39" s="319">
        <f>C36/B36</f>
        <v>0.43747988411658917</v>
      </c>
      <c r="C39" s="242"/>
      <c r="D39" s="242">
        <f>E36/D36</f>
        <v>0.38945687064389717</v>
      </c>
      <c r="E39" s="242"/>
      <c r="F39" s="242">
        <f>G36/F36</f>
        <v>0.29505976507975046</v>
      </c>
      <c r="G39" s="242"/>
      <c r="Y39" s="112">
        <v>0.31672204422789746</v>
      </c>
      <c r="Z39" s="112">
        <v>0.33120914810759722</v>
      </c>
    </row>
    <row r="40" spans="1:26">
      <c r="B40" s="15" t="s">
        <v>69</v>
      </c>
      <c r="C40" s="24" t="s">
        <v>70</v>
      </c>
      <c r="D40" s="60" t="s">
        <v>115</v>
      </c>
      <c r="N40" t="s">
        <v>276</v>
      </c>
      <c r="Y40" s="112">
        <v>0.31674394843393638</v>
      </c>
      <c r="Z40" s="112">
        <v>0.33130314602682576</v>
      </c>
    </row>
    <row r="41" spans="1:26">
      <c r="B41" s="14" t="s">
        <v>71</v>
      </c>
      <c r="C41" s="25" t="s">
        <v>72</v>
      </c>
      <c r="D41" s="1"/>
      <c r="M41">
        <f>4096*3</f>
        <v>12288</v>
      </c>
      <c r="N41">
        <f>M41*52</f>
        <v>638976</v>
      </c>
      <c r="Y41" s="112">
        <v>0.31676462081410772</v>
      </c>
      <c r="Z41" s="112">
        <v>0.3313964423854634</v>
      </c>
    </row>
    <row r="42" spans="1:26" ht="17.25" thickBot="1">
      <c r="B42" s="16">
        <v>3.3700000000000002E-3</v>
      </c>
      <c r="C42" s="29">
        <v>255</v>
      </c>
      <c r="D42" s="1">
        <v>60</v>
      </c>
      <c r="Y42" s="112">
        <v>0.31678405507140428</v>
      </c>
      <c r="Z42" s="112">
        <v>0.33148900876453558</v>
      </c>
    </row>
    <row r="43" spans="1:26">
      <c r="B43" s="307" t="s">
        <v>62</v>
      </c>
      <c r="C43" s="308"/>
      <c r="D43" s="309"/>
      <c r="N43" t="s">
        <v>277</v>
      </c>
      <c r="P43" t="s">
        <v>278</v>
      </c>
      <c r="Y43" s="112">
        <v>0.3168022452859629</v>
      </c>
      <c r="Z43" s="112">
        <v>0.33158081696742647</v>
      </c>
    </row>
    <row r="44" spans="1:26">
      <c r="B44" s="311" t="s">
        <v>63</v>
      </c>
      <c r="C44" s="311"/>
      <c r="D44" s="312"/>
      <c r="N44">
        <f>N41/1000000000</f>
        <v>6.3897599999999998E-4</v>
      </c>
      <c r="P44">
        <f>1/N44</f>
        <v>1565.0040064102566</v>
      </c>
      <c r="Y44" s="112">
        <v>0.31681918591686808</v>
      </c>
      <c r="Z44" s="112">
        <v>0.3316718390284682</v>
      </c>
    </row>
    <row r="45" spans="1:26">
      <c r="B45" s="19" t="s">
        <v>64</v>
      </c>
      <c r="C45" s="17" t="s">
        <v>65</v>
      </c>
      <c r="D45" s="18" t="s">
        <v>66</v>
      </c>
      <c r="Y45" s="112">
        <v>0.31683487180383957</v>
      </c>
      <c r="Z45" s="112">
        <v>0.33176204722145919</v>
      </c>
    </row>
    <row r="46" spans="1:26">
      <c r="A46" s="151" t="s">
        <v>67</v>
      </c>
      <c r="B46" s="1">
        <f>ROUND(((C42*B42)+B39-1)/B42,0)</f>
        <v>88</v>
      </c>
      <c r="C46" s="1">
        <f>ROUND(((C42*B42)+D39-1)/B42,0)</f>
        <v>74</v>
      </c>
      <c r="D46" s="1">
        <f>ROUND(((C42*B42)+F39-1)/B42,0)</f>
        <v>46</v>
      </c>
      <c r="P46">
        <f>P44/1000000</f>
        <v>1.5650040064102565E-3</v>
      </c>
      <c r="Y46" s="112"/>
      <c r="Z46" s="112"/>
    </row>
    <row r="47" spans="1:26">
      <c r="A47" s="151" t="s">
        <v>68</v>
      </c>
      <c r="B47" s="23" t="str">
        <f>DEC2HEX(B46)</f>
        <v>58</v>
      </c>
      <c r="C47" s="23" t="str">
        <f>DEC2HEX(C46)</f>
        <v>4A</v>
      </c>
      <c r="D47" s="23" t="str">
        <f>DEC2HEX(D46)</f>
        <v>2E</v>
      </c>
      <c r="Y47" s="112">
        <v>0.31684929816880419</v>
      </c>
      <c r="Z47" s="112">
        <v>0.33185141406810992</v>
      </c>
    </row>
    <row r="48" spans="1:26">
      <c r="B48" s="247" t="s">
        <v>125</v>
      </c>
      <c r="C48" s="247"/>
      <c r="D48" s="247"/>
      <c r="Y48" s="112">
        <v>0.3168624606173514</v>
      </c>
      <c r="Z48" s="112">
        <v>0.33193991234641324</v>
      </c>
    </row>
    <row r="49" spans="1:26" ht="16.5" customHeight="1">
      <c r="B49" s="63" t="s">
        <v>50</v>
      </c>
      <c r="C49" s="63" t="s">
        <v>51</v>
      </c>
      <c r="D49" s="63" t="s">
        <v>52</v>
      </c>
      <c r="Y49" s="112">
        <v>0.31687435514007195</v>
      </c>
      <c r="Z49" s="112">
        <v>0.3320275150989363</v>
      </c>
    </row>
    <row r="50" spans="1:26">
      <c r="B50" s="1">
        <f>1-(255-B46)*$B$42</f>
        <v>0.43720999999999999</v>
      </c>
      <c r="C50" s="1">
        <f>1-(255-C46)*$B$42</f>
        <v>0.39002999999999999</v>
      </c>
      <c r="D50" s="1">
        <f>1-(255-D46)*$B$42</f>
        <v>0.29566999999999999</v>
      </c>
      <c r="Y50" s="112">
        <v>0.31688497811377891</v>
      </c>
      <c r="Z50" s="112">
        <v>0.33211419564103201</v>
      </c>
    </row>
    <row r="51" spans="1:26">
      <c r="B51" s="242" t="s">
        <v>117</v>
      </c>
      <c r="C51" s="242"/>
      <c r="D51" s="242"/>
      <c r="Y51" s="112">
        <v>0.31689432630261166</v>
      </c>
      <c r="Z51" s="112">
        <v>0.3321999275689676</v>
      </c>
    </row>
    <row r="52" spans="1:26">
      <c r="B52" s="63" t="s">
        <v>50</v>
      </c>
      <c r="C52" s="63" t="s">
        <v>51</v>
      </c>
      <c r="D52" s="63" t="s">
        <v>52</v>
      </c>
      <c r="Y52" s="112">
        <v>0.31690239685902127</v>
      </c>
      <c r="Z52" s="112">
        <v>0.33228468476796724</v>
      </c>
    </row>
    <row r="53" spans="1:26">
      <c r="B53" s="1">
        <f>$D$42*B50</f>
        <v>26.232599999999998</v>
      </c>
      <c r="C53" s="1">
        <f>$D$42*C50</f>
        <v>23.401799999999998</v>
      </c>
      <c r="D53" s="1">
        <f>$D$42*D50</f>
        <v>17.740199999999998</v>
      </c>
      <c r="Y53" s="112">
        <v>0.31690918732463808</v>
      </c>
      <c r="Z53" s="112">
        <v>0.33236844142016714</v>
      </c>
    </row>
    <row r="54" spans="1:26" ht="16.5" customHeight="1">
      <c r="Y54" s="112">
        <v>0.31691469563102048</v>
      </c>
      <c r="Z54" s="112">
        <v>0.33245117201247965</v>
      </c>
    </row>
    <row r="55" spans="1:26" ht="16.5" customHeight="1">
      <c r="Y55" s="112">
        <v>0.316918920100285</v>
      </c>
      <c r="Z55" s="112">
        <v>0.33253285134436483</v>
      </c>
    </row>
    <row r="56" spans="1:26" ht="16.5" customHeight="1">
      <c r="A56" s="244" t="s">
        <v>48</v>
      </c>
      <c r="B56" s="266" t="s">
        <v>0</v>
      </c>
      <c r="C56" s="266"/>
      <c r="D56" s="266"/>
      <c r="E56" s="267" t="s">
        <v>1</v>
      </c>
      <c r="F56" s="267"/>
      <c r="G56" s="267"/>
      <c r="H56" s="254" t="s">
        <v>2</v>
      </c>
      <c r="I56" s="254"/>
      <c r="J56" s="254"/>
      <c r="Y56" s="112">
        <v>0.3169218594456174</v>
      </c>
      <c r="Z56" s="112">
        <v>0.33261345453550706</v>
      </c>
    </row>
    <row r="57" spans="1:26" ht="31.5" customHeight="1">
      <c r="A57" s="244"/>
      <c r="B57" s="3" t="s">
        <v>4</v>
      </c>
      <c r="C57" s="3" t="s">
        <v>5</v>
      </c>
      <c r="D57" s="3" t="s">
        <v>6</v>
      </c>
      <c r="E57" s="4" t="s">
        <v>4</v>
      </c>
      <c r="F57" s="4" t="s">
        <v>5</v>
      </c>
      <c r="G57" s="4" t="s">
        <v>6</v>
      </c>
      <c r="H57" s="2" t="s">
        <v>4</v>
      </c>
      <c r="I57" s="2" t="s">
        <v>5</v>
      </c>
      <c r="J57" s="2" t="s">
        <v>6</v>
      </c>
      <c r="Y57" s="112">
        <v>0.31692351277166458</v>
      </c>
      <c r="Z57" s="112">
        <v>0.33269295703339347</v>
      </c>
    </row>
    <row r="58" spans="1:26" ht="16.5" customHeight="1">
      <c r="A58" s="5">
        <v>25</v>
      </c>
      <c r="B58" s="1">
        <f>客戶RGB_TC!C35</f>
        <v>0.68579999999999997</v>
      </c>
      <c r="C58" s="1">
        <f>客戶RGB_TC!D35</f>
        <v>0.31119999999999998</v>
      </c>
      <c r="D58" s="1">
        <f>客戶RGB_TC!E35</f>
        <v>0.95626100000000003</v>
      </c>
      <c r="E58" s="1">
        <f>客戶RGB_TC!F35</f>
        <v>0.17100000000000001</v>
      </c>
      <c r="F58" s="1">
        <f>客戶RGB_TC!G35</f>
        <v>0.73380000000000001</v>
      </c>
      <c r="G58" s="1">
        <f>客戶RGB_TC!H35</f>
        <v>2.4474100000000001</v>
      </c>
      <c r="H58" s="1">
        <f>客戶RGB_TC!I35</f>
        <v>0.13869999999999999</v>
      </c>
      <c r="I58" s="1">
        <f>客戶RGB_TC!J35</f>
        <v>4.9000000000000002E-2</v>
      </c>
      <c r="J58" s="1">
        <f>客戶RGB_TC!K35</f>
        <v>0.21568200000000001</v>
      </c>
      <c r="Y58" s="112">
        <v>0.31692387957480744</v>
      </c>
      <c r="Z58" s="112">
        <v>0.332771334620793</v>
      </c>
    </row>
    <row r="59" spans="1:26" ht="16.5" customHeight="1">
      <c r="J59" s="35"/>
      <c r="K59" s="35"/>
      <c r="L59" s="35"/>
      <c r="M59" s="35"/>
      <c r="Y59" s="112">
        <v>0.31692295974331419</v>
      </c>
      <c r="Z59" s="112">
        <v>0.33284856342313335</v>
      </c>
    </row>
    <row r="60" spans="1:26" ht="16.5" customHeight="1">
      <c r="A60" s="30" t="s">
        <v>16</v>
      </c>
      <c r="B60" s="21" t="s">
        <v>226</v>
      </c>
      <c r="C60" s="21" t="s">
        <v>227</v>
      </c>
      <c r="D60" s="21" t="s">
        <v>228</v>
      </c>
      <c r="Y60" s="112">
        <v>0.31692075355737437</v>
      </c>
      <c r="Z60" s="112">
        <v>0.3329246199157731</v>
      </c>
    </row>
    <row r="61" spans="1:26" ht="16.5" customHeight="1">
      <c r="A61" s="301">
        <v>25</v>
      </c>
      <c r="B61" s="1">
        <f>客戶RGB_TC!B37-B28</f>
        <v>-5.0000000000000044E-4</v>
      </c>
      <c r="C61" s="1">
        <f>客戶RGB_TC!C37-C28</f>
        <v>0</v>
      </c>
      <c r="D61" s="1">
        <f>客戶RGB_TC!D37-D28</f>
        <v>0</v>
      </c>
      <c r="Y61" s="112">
        <v>0.31691726168901357</v>
      </c>
      <c r="Z61" s="112">
        <v>0.33299948093116788</v>
      </c>
    </row>
    <row r="62" spans="1:26" ht="16.5" customHeight="1">
      <c r="A62" s="302"/>
      <c r="B62" s="36" t="s">
        <v>10</v>
      </c>
      <c r="C62" s="36" t="s">
        <v>11</v>
      </c>
      <c r="D62" s="37" t="s">
        <v>12</v>
      </c>
      <c r="E62" s="38" t="s">
        <v>13</v>
      </c>
      <c r="F62" s="38" t="s">
        <v>14</v>
      </c>
      <c r="G62" s="38" t="s">
        <v>15</v>
      </c>
      <c r="Y62" s="112">
        <v>0.3169124852018888</v>
      </c>
      <c r="Z62" s="112">
        <v>0.33307312366592717</v>
      </c>
    </row>
    <row r="63" spans="1:26" ht="16.5" customHeight="1">
      <c r="A63" s="302"/>
      <c r="B63" s="5">
        <f>B28+B61</f>
        <v>0.312</v>
      </c>
      <c r="C63" s="1">
        <f>C28+C61</f>
        <v>0.32900000000000001</v>
      </c>
      <c r="D63" s="1">
        <f>D28+D61</f>
        <v>3</v>
      </c>
      <c r="E63" s="1">
        <f>D63*B63/C63</f>
        <v>2.8449848024316107</v>
      </c>
      <c r="F63" s="1">
        <f>D63</f>
        <v>3</v>
      </c>
      <c r="G63" s="1">
        <f>D63*(1-B63-C63)/C63</f>
        <v>3.2735562310030386</v>
      </c>
      <c r="Y63" s="112">
        <v>0.31690642555096432</v>
      </c>
      <c r="Z63" s="112">
        <v>0.33314552568776057</v>
      </c>
    </row>
    <row r="64" spans="1:26" ht="33" customHeight="1">
      <c r="A64" s="302"/>
      <c r="B64" s="38" t="s">
        <v>17</v>
      </c>
      <c r="C64" s="38" t="s">
        <v>18</v>
      </c>
      <c r="D64" s="38" t="s">
        <v>19</v>
      </c>
      <c r="E64" s="38" t="s">
        <v>20</v>
      </c>
      <c r="F64" s="38" t="s">
        <v>21</v>
      </c>
      <c r="G64" s="38" t="s">
        <v>22</v>
      </c>
      <c r="H64" s="38" t="s">
        <v>23</v>
      </c>
      <c r="I64" s="38" t="s">
        <v>24</v>
      </c>
      <c r="J64" s="38" t="s">
        <v>25</v>
      </c>
      <c r="K64" s="39" t="s">
        <v>26</v>
      </c>
      <c r="L64" s="39" t="s">
        <v>27</v>
      </c>
      <c r="M64" s="39" t="s">
        <v>28</v>
      </c>
      <c r="N64" s="39" t="s">
        <v>29</v>
      </c>
      <c r="Y64" s="112">
        <v>0.31689908458206839</v>
      </c>
      <c r="Z64" s="112">
        <v>0.33321666494231089</v>
      </c>
    </row>
    <row r="65" spans="1:26" ht="16.5" customHeight="1">
      <c r="A65" s="302"/>
      <c r="B65" s="21" t="s">
        <v>30</v>
      </c>
      <c r="C65" s="21" t="s">
        <v>31</v>
      </c>
      <c r="D65" s="21" t="s">
        <v>32</v>
      </c>
      <c r="E65" s="21" t="s">
        <v>33</v>
      </c>
      <c r="F65" s="21" t="s">
        <v>34</v>
      </c>
      <c r="G65" s="21" t="s">
        <v>35</v>
      </c>
      <c r="H65" s="21"/>
      <c r="I65" s="21"/>
      <c r="J65" s="21"/>
      <c r="K65" s="22"/>
      <c r="L65" s="22"/>
      <c r="M65" s="22"/>
      <c r="N65" s="22"/>
      <c r="Y65" s="112">
        <v>0.31689046453133135</v>
      </c>
      <c r="Z65" s="112">
        <v>0.333286519759872</v>
      </c>
    </row>
    <row r="66" spans="1:26" ht="16.5" customHeight="1">
      <c r="A66" s="303"/>
      <c r="B66" s="6">
        <f>B58/C58</f>
        <v>2.2037275064267354</v>
      </c>
      <c r="C66" s="6">
        <f>E58/F58</f>
        <v>0.23303352412101391</v>
      </c>
      <c r="D66" s="6">
        <f>H58/I58</f>
        <v>2.8306122448979587</v>
      </c>
      <c r="E66" s="6">
        <f>(1-B58-C58)/C58</f>
        <v>9.6401028277636833E-3</v>
      </c>
      <c r="F66" s="6">
        <f>(1-E58-F58)/F58</f>
        <v>0.12973562278550008</v>
      </c>
      <c r="G66" s="6">
        <f>(1-H58-I58)/I58</f>
        <v>16.577551020408162</v>
      </c>
      <c r="H66" s="6">
        <f>B66*G66+D66*F66+C66*E66-D66*E66-C66*G66-B66*F66</f>
        <v>32.725568393273235</v>
      </c>
      <c r="I66" s="6">
        <f>G66*E63+D66*F66*F63+G63*C66-D66*G63-C66*G66*F63-F66*E63</f>
        <v>27.802783153140268</v>
      </c>
      <c r="J66" s="6">
        <f>B66*G66*F63+E66*E63+D66*G63-D66*E66*F63-E63*G66-B66*G63</f>
        <v>64.432041012465348</v>
      </c>
      <c r="K66" s="7">
        <f>B66*G63+F66*E63+C66*E66*F63-E66*E63-C66*G63-B66*F66*F63</f>
        <v>5.9418810142140668</v>
      </c>
      <c r="L66" s="7">
        <f>I66/H66</f>
        <v>0.84957372837732437</v>
      </c>
      <c r="M66" s="7">
        <f>J66/H66</f>
        <v>1.9688593407505002</v>
      </c>
      <c r="N66" s="7">
        <f>K66/H66</f>
        <v>0.18156693087217471</v>
      </c>
      <c r="Y66" s="112">
        <v>0.31688056802450415</v>
      </c>
      <c r="Z66" s="112">
        <v>0.33335506886198984</v>
      </c>
    </row>
    <row r="67" spans="1:26" ht="16.5" customHeight="1">
      <c r="Y67" s="112">
        <v>0.3168693980761586</v>
      </c>
      <c r="Z67" s="112">
        <v>0.33342229136794382</v>
      </c>
    </row>
    <row r="68" spans="1:26" ht="16.5" customHeight="1">
      <c r="Y68" s="112">
        <v>0.31685695808876913</v>
      </c>
      <c r="Z68" s="112">
        <v>0.33348816680110738</v>
      </c>
    </row>
    <row r="69" spans="1:26" ht="16.5" customHeight="1">
      <c r="A69" s="242" t="s">
        <v>274</v>
      </c>
      <c r="B69" s="30" t="s">
        <v>50</v>
      </c>
      <c r="C69" s="21" t="s">
        <v>51</v>
      </c>
      <c r="D69" s="21" t="s">
        <v>52</v>
      </c>
      <c r="Y69" s="112">
        <v>0.3168432518516765</v>
      </c>
      <c r="Z69" s="112">
        <v>0.33355267509518555</v>
      </c>
    </row>
    <row r="70" spans="1:26" ht="16.5" customHeight="1">
      <c r="A70" s="242"/>
      <c r="B70" s="5">
        <v>256</v>
      </c>
      <c r="C70" s="1">
        <v>384</v>
      </c>
      <c r="D70" s="1">
        <v>256</v>
      </c>
      <c r="Y70" s="112">
        <v>0.31682828353993331</v>
      </c>
      <c r="Z70" s="112">
        <v>0.33361579660032692</v>
      </c>
    </row>
    <row r="71" spans="1:26" ht="16.5" customHeight="1">
      <c r="A71" s="5"/>
      <c r="B71" s="50" t="s">
        <v>73</v>
      </c>
      <c r="C71" s="61" t="s">
        <v>74</v>
      </c>
      <c r="D71" s="21" t="s">
        <v>75</v>
      </c>
      <c r="Y71" s="112">
        <v>0.31681205771303222</v>
      </c>
      <c r="Z71" s="112">
        <v>0.33367751208910962</v>
      </c>
    </row>
    <row r="72" spans="1:26" ht="16.5" customHeight="1">
      <c r="A72" s="5" t="s">
        <v>126</v>
      </c>
      <c r="B72" s="53">
        <f>ROUND(L66/D58*B70,0)</f>
        <v>227</v>
      </c>
      <c r="C72" s="53">
        <f>ROUND(M66/G58*C70,0)</f>
        <v>309</v>
      </c>
      <c r="D72" s="53">
        <f>ROUND(N66/J58*D70,0)</f>
        <v>216</v>
      </c>
      <c r="Y72" s="112">
        <v>0.31679457931351734</v>
      </c>
      <c r="Z72" s="112">
        <v>0.33373780276239789</v>
      </c>
    </row>
    <row r="73" spans="1:26" ht="16.5" customHeight="1">
      <c r="A73" s="5" t="s">
        <v>127</v>
      </c>
      <c r="B73" s="23" t="str">
        <f>DEC2HEX(B72)</f>
        <v>E3</v>
      </c>
      <c r="C73" s="23" t="str">
        <f>DEC2HEX(C72)</f>
        <v>135</v>
      </c>
      <c r="D73" s="23" t="str">
        <f>DEC2HEX(D72)</f>
        <v>D8</v>
      </c>
      <c r="Y73" s="112">
        <v>0.31677585366547856</v>
      </c>
      <c r="Z73" s="112">
        <v>0.33379665025506861</v>
      </c>
    </row>
    <row r="74" spans="1:26">
      <c r="A74" s="5" t="s">
        <v>118</v>
      </c>
      <c r="B74" s="55">
        <f>B72/256/3</f>
        <v>0.29557291666666669</v>
      </c>
      <c r="C74" s="55">
        <f>C72/256/3</f>
        <v>0.40234375</v>
      </c>
      <c r="D74" s="55">
        <f>D72/256/3</f>
        <v>0.28125</v>
      </c>
      <c r="Y74" s="112">
        <v>0.31675588647292952</v>
      </c>
      <c r="Z74" s="112">
        <v>0.3338540366416054</v>
      </c>
    </row>
    <row r="75" spans="1:26">
      <c r="Y75" s="112">
        <v>0.31673468381807057</v>
      </c>
      <c r="Z75" s="112">
        <v>0.33390994444155914</v>
      </c>
    </row>
    <row r="76" spans="1:26" ht="16.5" customHeight="1">
      <c r="Y76" s="112">
        <v>0.31671225215943583</v>
      </c>
      <c r="Z76" s="112">
        <v>0.33396435662487223</v>
      </c>
    </row>
    <row r="77" spans="1:26">
      <c r="A77" s="313" t="s">
        <v>220</v>
      </c>
      <c r="B77" s="314"/>
      <c r="C77" s="314"/>
      <c r="D77" s="314"/>
      <c r="E77" s="314"/>
      <c r="F77" s="314"/>
      <c r="G77" s="314"/>
      <c r="H77" s="314"/>
      <c r="I77" s="314"/>
      <c r="J77" s="315"/>
      <c r="Y77" s="112">
        <v>0.31668859832992569</v>
      </c>
      <c r="Z77" s="112">
        <v>0.33401725661706655</v>
      </c>
    </row>
    <row r="78" spans="1:26" ht="17.25" customHeight="1">
      <c r="A78" s="244" t="s">
        <v>48</v>
      </c>
      <c r="B78" s="266" t="s">
        <v>0</v>
      </c>
      <c r="C78" s="266"/>
      <c r="D78" s="266"/>
      <c r="E78" s="267" t="s">
        <v>1</v>
      </c>
      <c r="F78" s="267"/>
      <c r="G78" s="267"/>
      <c r="H78" s="254" t="s">
        <v>2</v>
      </c>
      <c r="I78" s="254"/>
      <c r="J78" s="254"/>
      <c r="Y78" s="112">
        <v>0.31666372953472588</v>
      </c>
      <c r="Z78" s="112">
        <v>0.33406862830429213</v>
      </c>
    </row>
    <row r="79" spans="1:26" ht="33" customHeight="1">
      <c r="A79" s="244"/>
      <c r="B79" s="3" t="s">
        <v>4</v>
      </c>
      <c r="C79" s="3" t="s">
        <v>5</v>
      </c>
      <c r="D79" s="3" t="s">
        <v>6</v>
      </c>
      <c r="E79" s="4" t="s">
        <v>4</v>
      </c>
      <c r="F79" s="4" t="s">
        <v>5</v>
      </c>
      <c r="G79" s="4" t="s">
        <v>6</v>
      </c>
      <c r="H79" s="2" t="s">
        <v>4</v>
      </c>
      <c r="I79" s="2" t="s">
        <v>5</v>
      </c>
      <c r="J79" s="2" t="s">
        <v>6</v>
      </c>
      <c r="Y79" s="112">
        <v>0.31663765334911231</v>
      </c>
      <c r="Z79" s="112">
        <v>0.33411845603823526</v>
      </c>
    </row>
    <row r="80" spans="1:26" ht="16.5" customHeight="1">
      <c r="A80" s="5">
        <f>客戶RGB_TC!B49</f>
        <v>25</v>
      </c>
      <c r="B80" s="5">
        <f>客戶RGB_TC!C49</f>
        <v>0.69510000000000005</v>
      </c>
      <c r="C80" s="5">
        <f>客戶RGB_TC!D49</f>
        <v>0.30480000000000002</v>
      </c>
      <c r="D80" s="5">
        <f>客戶RGB_TC!E49</f>
        <v>2.1969699999999999</v>
      </c>
      <c r="E80" s="5">
        <f>客戶RGB_TC!F49</f>
        <v>0.1356</v>
      </c>
      <c r="F80" s="5">
        <f>客戶RGB_TC!G49</f>
        <v>0.72740000000000005</v>
      </c>
      <c r="G80" s="5">
        <f>客戶RGB_TC!H49</f>
        <v>4.6749900000000002</v>
      </c>
      <c r="H80" s="5">
        <f>客戶RGB_TC!I49</f>
        <v>0.13919999999999999</v>
      </c>
      <c r="I80" s="5">
        <f>客戶RGB_TC!J49</f>
        <v>4.3799999999999999E-2</v>
      </c>
      <c r="J80" s="5">
        <f>客戶RGB_TC!K49</f>
        <v>0.37921899999999997</v>
      </c>
      <c r="Y80" s="112">
        <v>0.31661037771614364</v>
      </c>
      <c r="Z80" s="112">
        <v>0.33416672464088554</v>
      </c>
    </row>
    <row r="81" spans="1:26" ht="16.5" customHeight="1">
      <c r="A81" s="5">
        <f>客戶RGB_TC!B53</f>
        <v>42</v>
      </c>
      <c r="B81" s="52">
        <f>客戶RGB_TC!C53</f>
        <v>0.69740000000000002</v>
      </c>
      <c r="C81" s="52">
        <f>客戶RGB_TC!D53</f>
        <v>0.30249999999999999</v>
      </c>
      <c r="D81" s="52">
        <f>客戶RGB_TC!E53</f>
        <v>1.911</v>
      </c>
      <c r="E81" s="52">
        <f>客戶RGB_TC!F53</f>
        <v>0.14180000000000001</v>
      </c>
      <c r="F81" s="52">
        <f>客戶RGB_TC!G53</f>
        <v>0.72489999999999999</v>
      </c>
      <c r="G81" s="52">
        <f>客戶RGB_TC!H53</f>
        <v>4.6081399999999997</v>
      </c>
      <c r="H81" s="52">
        <f>客戶RGB_TC!I53</f>
        <v>0.13850000000000001</v>
      </c>
      <c r="I81" s="52">
        <f>客戶RGB_TC!J53</f>
        <v>4.5499999999999999E-2</v>
      </c>
      <c r="J81" s="52">
        <f>客戶RGB_TC!K53</f>
        <v>0.38371300000000003</v>
      </c>
      <c r="Y81" s="112">
        <v>0.31658191094424198</v>
      </c>
      <c r="Z81" s="112">
        <v>0.33421341940915905</v>
      </c>
    </row>
    <row r="82" spans="1:26" ht="16.5" customHeight="1">
      <c r="D82" s="115">
        <f>1-D81/D80</f>
        <v>0.13016563721853269</v>
      </c>
      <c r="G82" s="115">
        <f>1-G81/G80</f>
        <v>1.4299495827798658E-2</v>
      </c>
      <c r="J82" s="115">
        <f>1-J81/J80</f>
        <v>-1.1850672039112053E-2</v>
      </c>
      <c r="Y82" s="112">
        <v>0.31655226170466177</v>
      </c>
      <c r="Z82" s="112">
        <v>0.33425852611937701</v>
      </c>
    </row>
    <row r="83" spans="1:26" ht="16.5" customHeight="1">
      <c r="Y83" s="112">
        <v>0.31652143902884866</v>
      </c>
      <c r="Z83" s="112">
        <v>0.3343020310315985</v>
      </c>
    </row>
    <row r="84" spans="1:26" ht="16.5" customHeight="1">
      <c r="A84" s="338" t="s">
        <v>104</v>
      </c>
      <c r="B84" s="338"/>
      <c r="C84" s="338"/>
      <c r="D84" s="338"/>
      <c r="E84" s="338"/>
      <c r="F84" s="338"/>
      <c r="G84" s="338"/>
      <c r="H84" s="338"/>
      <c r="I84" s="338"/>
      <c r="Y84" s="112">
        <v>0.3164894523056882</v>
      </c>
      <c r="Z84" s="112">
        <v>0.33434392089380588</v>
      </c>
    </row>
    <row r="85" spans="1:26" ht="16.5" customHeight="1">
      <c r="A85" s="266" t="s">
        <v>50</v>
      </c>
      <c r="B85" s="266"/>
      <c r="C85" s="266"/>
      <c r="D85" s="267" t="s">
        <v>51</v>
      </c>
      <c r="E85" s="267"/>
      <c r="F85" s="267"/>
      <c r="G85" s="254" t="s">
        <v>52</v>
      </c>
      <c r="H85" s="254"/>
      <c r="I85" s="254"/>
      <c r="Y85" s="112">
        <v>0.31645631127864626</v>
      </c>
      <c r="Z85" s="112">
        <v>0.33438418294594124</v>
      </c>
    </row>
    <row r="86" spans="1:26" ht="16.5" customHeight="1">
      <c r="A86" s="3" t="s">
        <v>76</v>
      </c>
      <c r="B86" s="3" t="s">
        <v>77</v>
      </c>
      <c r="C86" s="3" t="s">
        <v>78</v>
      </c>
      <c r="D86" s="4" t="s">
        <v>76</v>
      </c>
      <c r="E86" s="4" t="s">
        <v>77</v>
      </c>
      <c r="F86" s="4" t="s">
        <v>78</v>
      </c>
      <c r="G86" s="2" t="s">
        <v>76</v>
      </c>
      <c r="H86" s="2" t="s">
        <v>77</v>
      </c>
      <c r="I86" s="2" t="s">
        <v>78</v>
      </c>
      <c r="Y86" s="112">
        <v>0.31642202604280056</v>
      </c>
      <c r="Z86" s="112">
        <v>0.3344228049237935</v>
      </c>
    </row>
    <row r="87" spans="1:26" ht="16.5" customHeight="1">
      <c r="A87" s="45">
        <f t="shared" ref="A87:I87" si="0">(B81-B80)/($A$81-$A$80)</f>
        <v>1.35294117647057E-4</v>
      </c>
      <c r="B87" s="45">
        <f t="shared" si="0"/>
        <v>-1.3529411764706025E-4</v>
      </c>
      <c r="C87" s="45">
        <f t="shared" si="0"/>
        <v>-1.6821764705882342E-2</v>
      </c>
      <c r="D87" s="45">
        <f t="shared" si="0"/>
        <v>3.6470588235294185E-4</v>
      </c>
      <c r="E87" s="45">
        <f t="shared" si="0"/>
        <v>-1.4705882352941517E-4</v>
      </c>
      <c r="F87" s="45">
        <f t="shared" si="0"/>
        <v>-3.9323529411765014E-3</v>
      </c>
      <c r="G87" s="45">
        <f t="shared" si="0"/>
        <v>-4.1176470588234023E-5</v>
      </c>
      <c r="H87" s="45">
        <f t="shared" si="0"/>
        <v>1E-4</v>
      </c>
      <c r="I87" s="45">
        <f t="shared" si="0"/>
        <v>2.6435294117647376E-4</v>
      </c>
      <c r="Y87" s="112">
        <v>0.31638660704176619</v>
      </c>
      <c r="Z87" s="112">
        <v>0.33445977506273411</v>
      </c>
    </row>
    <row r="88" spans="1:26" ht="16.5" customHeight="1">
      <c r="A88" s="45">
        <f t="shared" ref="A88:I88" si="1">B81-$A$81*A87</f>
        <v>0.69171764705882366</v>
      </c>
      <c r="B88" s="45">
        <f t="shared" si="1"/>
        <v>0.30818235294117652</v>
      </c>
      <c r="C88" s="45">
        <f t="shared" si="1"/>
        <v>2.6175141176470582</v>
      </c>
      <c r="D88" s="45">
        <f t="shared" si="1"/>
        <v>0.12648235294117646</v>
      </c>
      <c r="E88" s="45">
        <f t="shared" si="1"/>
        <v>0.73107647058823544</v>
      </c>
      <c r="F88" s="45">
        <f t="shared" si="1"/>
        <v>4.7732988235294131</v>
      </c>
      <c r="G88" s="45">
        <f t="shared" si="1"/>
        <v>0.14022941176470585</v>
      </c>
      <c r="H88" s="45">
        <f t="shared" si="1"/>
        <v>4.1299999999999996E-2</v>
      </c>
      <c r="I88" s="45">
        <f t="shared" si="1"/>
        <v>0.37261017647058814</v>
      </c>
      <c r="Y88" s="112">
        <v>0.31635006506451391</v>
      </c>
      <c r="Z88" s="112">
        <v>0.33449508210130058</v>
      </c>
    </row>
    <row r="89" spans="1:26" ht="16.5" customHeight="1">
      <c r="Y89" s="112">
        <v>0.31631241124208404</v>
      </c>
      <c r="Z89" s="112">
        <v>0.33452871528462691</v>
      </c>
    </row>
    <row r="90" spans="1:26" ht="16.5" customHeight="1">
      <c r="Y90" s="112">
        <v>0.31627365704419558</v>
      </c>
      <c r="Z90" s="112">
        <v>0.3345606643677197</v>
      </c>
    </row>
    <row r="91" spans="1:26" ht="16.5" customHeight="1">
      <c r="A91" s="338" t="s">
        <v>114</v>
      </c>
      <c r="B91" s="338"/>
      <c r="C91" s="338"/>
      <c r="D91" s="338"/>
      <c r="E91" s="338"/>
      <c r="F91" s="338"/>
      <c r="G91" s="338"/>
      <c r="H91" s="338"/>
      <c r="I91" s="338"/>
      <c r="J91" s="338"/>
      <c r="Y91" s="112">
        <v>0.31623381427575264</v>
      </c>
      <c r="Z91" s="112">
        <v>0.33459091961857873</v>
      </c>
    </row>
    <row r="92" spans="1:26" ht="16.5" customHeight="1">
      <c r="A92" s="339" t="s">
        <v>48</v>
      </c>
      <c r="B92" s="266" t="s">
        <v>0</v>
      </c>
      <c r="C92" s="266"/>
      <c r="D92" s="266"/>
      <c r="E92" s="267" t="s">
        <v>1</v>
      </c>
      <c r="F92" s="267"/>
      <c r="G92" s="267"/>
      <c r="H92" s="254" t="s">
        <v>2</v>
      </c>
      <c r="I92" s="254"/>
      <c r="J92" s="254"/>
      <c r="Y92" s="112">
        <v>0.31619289507324855</v>
      </c>
      <c r="Z92" s="112">
        <v>0.33461947182116147</v>
      </c>
    </row>
    <row r="93" spans="1:26" ht="33" customHeight="1">
      <c r="A93" s="339"/>
      <c r="B93" s="3" t="s">
        <v>4</v>
      </c>
      <c r="C93" s="3" t="s">
        <v>5</v>
      </c>
      <c r="D93" s="3" t="s">
        <v>6</v>
      </c>
      <c r="E93" s="4" t="s">
        <v>4</v>
      </c>
      <c r="F93" s="4" t="s">
        <v>5</v>
      </c>
      <c r="G93" s="4" t="s">
        <v>6</v>
      </c>
      <c r="H93" s="2" t="s">
        <v>4</v>
      </c>
      <c r="I93" s="2" t="s">
        <v>5</v>
      </c>
      <c r="J93" s="2" t="s">
        <v>6</v>
      </c>
      <c r="Y93" s="112">
        <v>0.31615091190106864</v>
      </c>
      <c r="Z93" s="112">
        <v>0.33464631227819047</v>
      </c>
    </row>
    <row r="94" spans="1:26" ht="16.5" customHeight="1">
      <c r="A94" s="1">
        <v>-33</v>
      </c>
      <c r="B94" s="1">
        <f>RGBTC!$A$87*A94+RGBTC!$A$88</f>
        <v>0.68725294117647073</v>
      </c>
      <c r="C94" s="1">
        <f>RGBTC!$B$87*A94+RGBTC!$B$88</f>
        <v>0.3126470588235295</v>
      </c>
      <c r="D94" s="1">
        <f>RGBTC!$C$87*A94+RGBTC!$C$88</f>
        <v>3.1726323529411755</v>
      </c>
      <c r="E94" s="1">
        <f>RGBTC!$D$87*A94+RGBTC!$D$88</f>
        <v>0.11444705882352937</v>
      </c>
      <c r="F94" s="1">
        <f>RGBTC!$E$87*A94+RGBTC!$E$88</f>
        <v>0.73592941176470617</v>
      </c>
      <c r="G94" s="1">
        <f>RGBTC!$F$87*A94+RGBTC!$F$88</f>
        <v>4.9030664705882376</v>
      </c>
      <c r="H94" s="1">
        <f>RGBTC!$G$87*A94+RGBTC!$G$88</f>
        <v>0.14158823529411757</v>
      </c>
      <c r="I94" s="1">
        <f>RGBTC!$H$87*A94+RGBTC!$H$88</f>
        <v>3.7999999999999999E-2</v>
      </c>
      <c r="J94" s="1">
        <f>RGBTC!$I$87*A94+RGBTC!$I$88</f>
        <v>0.36388652941176453</v>
      </c>
      <c r="Y94" s="112">
        <v>0.31610787754769398</v>
      </c>
      <c r="Z94" s="112">
        <v>0.33467143281380246</v>
      </c>
    </row>
    <row r="95" spans="1:26" ht="16.5" customHeight="1">
      <c r="A95" s="1">
        <v>-18</v>
      </c>
      <c r="B95" s="1">
        <f>RGBTC!$A$87*A95+RGBTC!$A$88</f>
        <v>0.68928235294117668</v>
      </c>
      <c r="C95" s="1">
        <f>RGBTC!$B$87*A95+RGBTC!$B$88</f>
        <v>0.31061764705882361</v>
      </c>
      <c r="D95" s="1">
        <f>RGBTC!$C$87*A95+RGBTC!$C$88</f>
        <v>2.9203058823529404</v>
      </c>
      <c r="E95" s="1">
        <f>RGBTC!$D$87*A95+RGBTC!$D$88</f>
        <v>0.1199176470588235</v>
      </c>
      <c r="F95" s="1">
        <f>RGBTC!$E$87*A95+RGBTC!$E$88</f>
        <v>0.73372352941176489</v>
      </c>
      <c r="G95" s="1">
        <f>RGBTC!$F$87*A95+RGBTC!$F$88</f>
        <v>4.8440811764705902</v>
      </c>
      <c r="H95" s="1">
        <f>RGBTC!$G$87*A95+RGBTC!$G$88</f>
        <v>0.14097058823529407</v>
      </c>
      <c r="I95" s="1">
        <f>RGBTC!$H$87*A95+RGBTC!$H$88</f>
        <v>3.9499999999999993E-2</v>
      </c>
      <c r="J95" s="1">
        <f>RGBTC!$I$87*A95+RGBTC!$I$88</f>
        <v>0.36785182352941159</v>
      </c>
      <c r="Y95" s="112">
        <v>0.31606380512180543</v>
      </c>
      <c r="Z95" s="112">
        <v>0.33469482577603893</v>
      </c>
    </row>
    <row r="96" spans="1:26" ht="16.5" customHeight="1">
      <c r="A96" s="1">
        <v>-3</v>
      </c>
      <c r="B96" s="1">
        <f>RGBTC!$A$87*A96+RGBTC!$A$88</f>
        <v>0.69131176470588251</v>
      </c>
      <c r="C96" s="1">
        <f>RGBTC!$B$87*A96+RGBTC!$B$88</f>
        <v>0.30858823529411772</v>
      </c>
      <c r="D96" s="1">
        <f>RGBTC!$C$87*A96+RGBTC!$C$88</f>
        <v>2.6679794117647053</v>
      </c>
      <c r="E96" s="1">
        <f>RGBTC!$D$87*A96+RGBTC!$D$88</f>
        <v>0.12538823529411763</v>
      </c>
      <c r="F96" s="1">
        <f>RGBTC!$E$87*A96+RGBTC!$E$88</f>
        <v>0.73151764705882372</v>
      </c>
      <c r="G96" s="1">
        <f>RGBTC!$F$87*A96+RGBTC!$F$88</f>
        <v>4.7850958823529428</v>
      </c>
      <c r="H96" s="1">
        <f>RGBTC!$G$87*A96+RGBTC!$G$88</f>
        <v>0.14035294117647054</v>
      </c>
      <c r="I96" s="1">
        <f>RGBTC!$H$87*A96+RGBTC!$H$88</f>
        <v>4.0999999999999995E-2</v>
      </c>
      <c r="J96" s="1">
        <f>RGBTC!$I$87*A96+RGBTC!$I$88</f>
        <v>0.37181711764705871</v>
      </c>
      <c r="Y96" s="112">
        <v>0.31601870804829091</v>
      </c>
      <c r="Z96" s="112">
        <v>0.33471648403917703</v>
      </c>
    </row>
    <row r="97" spans="1:26" ht="16.5" customHeight="1">
      <c r="A97" s="1">
        <v>12</v>
      </c>
      <c r="B97" s="1">
        <f>RGBTC!$A$87*A97+RGBTC!$A$88</f>
        <v>0.69334117647058835</v>
      </c>
      <c r="C97" s="1">
        <f>RGBTC!$B$87*A97+RGBTC!$B$88</f>
        <v>0.30655882352941177</v>
      </c>
      <c r="D97" s="1">
        <f>RGBTC!$C$87*A97+RGBTC!$C$88</f>
        <v>2.4156529411764702</v>
      </c>
      <c r="E97" s="1">
        <f>RGBTC!$D$87*A97+RGBTC!$D$88</f>
        <v>0.13085882352941178</v>
      </c>
      <c r="F97" s="1">
        <f>RGBTC!$E$87*A97+RGBTC!$E$88</f>
        <v>0.72931176470588244</v>
      </c>
      <c r="G97" s="1">
        <f>RGBTC!$F$87*A97+RGBTC!$F$88</f>
        <v>4.7261105882352954</v>
      </c>
      <c r="H97" s="1">
        <f>RGBTC!$G$87*A97+RGBTC!$G$88</f>
        <v>0.13973529411764704</v>
      </c>
      <c r="I97" s="1">
        <f>RGBTC!$H$87*A97+RGBTC!$H$88</f>
        <v>4.2499999999999996E-2</v>
      </c>
      <c r="J97" s="1">
        <f>RGBTC!$I$87*A97+RGBTC!$I$88</f>
        <v>0.37578241176470584</v>
      </c>
      <c r="Y97" s="112">
        <v>0.31597260006415578</v>
      </c>
      <c r="Z97" s="112">
        <v>0.33473640100589996</v>
      </c>
    </row>
    <row r="98" spans="1:26" ht="16.5" customHeight="1">
      <c r="A98" s="1">
        <v>25</v>
      </c>
      <c r="B98" s="1">
        <f>RGBTC!$A$87*A98+RGBTC!$A$88</f>
        <v>0.69510000000000005</v>
      </c>
      <c r="C98" s="1">
        <f>RGBTC!$B$87*A98+RGBTC!$B$88</f>
        <v>0.30480000000000002</v>
      </c>
      <c r="D98" s="1">
        <f>RGBTC!$C$87*A98+RGBTC!$C$88</f>
        <v>2.1969699999999994</v>
      </c>
      <c r="E98" s="1">
        <f>RGBTC!$D$87*A98+RGBTC!$D$88</f>
        <v>0.1356</v>
      </c>
      <c r="F98" s="1">
        <f>RGBTC!$E$87*A98+RGBTC!$E$88</f>
        <v>0.72740000000000005</v>
      </c>
      <c r="G98" s="1">
        <f>RGBTC!$F$87*A98+RGBTC!$F$88</f>
        <v>4.6749900000000002</v>
      </c>
      <c r="H98" s="1">
        <f>RGBTC!$G$87*A98+RGBTC!$G$88</f>
        <v>0.13919999999999999</v>
      </c>
      <c r="I98" s="1">
        <f>RGBTC!$H$87*A98+RGBTC!$H$88</f>
        <v>4.3799999999999999E-2</v>
      </c>
      <c r="J98" s="1">
        <f>RGBTC!$I$87*A98+RGBTC!$I$88</f>
        <v>0.37921899999999997</v>
      </c>
      <c r="Y98" s="112">
        <v>0.31592549521433871</v>
      </c>
      <c r="Z98" s="112">
        <v>0.33475457060930675</v>
      </c>
    </row>
    <row r="99" spans="1:26" ht="16.5" customHeight="1">
      <c r="A99" s="1">
        <v>42</v>
      </c>
      <c r="B99" s="1">
        <f>RGBTC!$A$87*A99+RGBTC!$A$88</f>
        <v>0.69740000000000002</v>
      </c>
      <c r="C99" s="1">
        <f>RGBTC!$B$87*A99+RGBTC!$B$88</f>
        <v>0.30249999999999999</v>
      </c>
      <c r="D99" s="1">
        <f>RGBTC!$C$87*A99+RGBTC!$C$88</f>
        <v>1.9109999999999998</v>
      </c>
      <c r="E99" s="1">
        <f>RGBTC!$D$87*A99+RGBTC!$D$88</f>
        <v>0.14180000000000001</v>
      </c>
      <c r="F99" s="1">
        <f>RGBTC!$E$87*A99+RGBTC!$E$88</f>
        <v>0.72489999999999999</v>
      </c>
      <c r="G99" s="1">
        <f>RGBTC!$F$87*A99+RGBTC!$F$88</f>
        <v>4.6081399999999997</v>
      </c>
      <c r="H99" s="1">
        <f>RGBTC!$G$87*A99+RGBTC!$G$88</f>
        <v>0.13850000000000001</v>
      </c>
      <c r="I99" s="1">
        <f>RGBTC!$H$87*A99+RGBTC!$H$88</f>
        <v>4.5499999999999999E-2</v>
      </c>
      <c r="J99" s="1">
        <f>RGBTC!$I$87*A99+RGBTC!$I$88</f>
        <v>0.38371300000000003</v>
      </c>
      <c r="Y99" s="112">
        <v>0.31587740784743329</v>
      </c>
      <c r="Z99" s="112">
        <v>0.33477098731476013</v>
      </c>
    </row>
    <row r="100" spans="1:26" ht="16.5" customHeight="1">
      <c r="A100" s="1">
        <v>57</v>
      </c>
      <c r="B100" s="1">
        <f>RGBTC!$A$87*A100+RGBTC!$A$88</f>
        <v>0.69942941176470586</v>
      </c>
      <c r="C100" s="1">
        <f>RGBTC!$B$87*A100+RGBTC!$B$88</f>
        <v>0.3004705882352941</v>
      </c>
      <c r="D100" s="1">
        <f>RGBTC!$C$87*A100+RGBTC!$C$88</f>
        <v>1.6586735294117647</v>
      </c>
      <c r="E100" s="1">
        <f>RGBTC!$D$87*A100+RGBTC!$D$88</f>
        <v>0.14727058823529415</v>
      </c>
      <c r="F100" s="1">
        <f>RGBTC!$E$87*A100+RGBTC!$E$88</f>
        <v>0.72269411764705882</v>
      </c>
      <c r="G100" s="1">
        <f>RGBTC!$F$87*A100+RGBTC!$F$88</f>
        <v>4.5491547058823523</v>
      </c>
      <c r="H100" s="1">
        <f>RGBTC!$G$87*A100+RGBTC!$G$88</f>
        <v>0.13788235294117651</v>
      </c>
      <c r="I100" s="1">
        <f>RGBTC!$H$87*A100+RGBTC!$H$88</f>
        <v>4.7E-2</v>
      </c>
      <c r="J100" s="1">
        <f>RGBTC!$I$87*A100+RGBTC!$I$88</f>
        <v>0.38767829411764715</v>
      </c>
      <c r="Y100" s="112">
        <v>0.31582835261131731</v>
      </c>
      <c r="Z100" s="112">
        <v>0.33478564612157269</v>
      </c>
    </row>
    <row r="101" spans="1:26" ht="16.5" customHeight="1">
      <c r="A101" s="1">
        <v>72</v>
      </c>
      <c r="B101" s="1">
        <f>RGBTC!$A$87*A101+RGBTC!$A$88</f>
        <v>0.7014588235294118</v>
      </c>
      <c r="C101" s="1">
        <f>RGBTC!$B$87*A101+RGBTC!$B$88</f>
        <v>0.29844117647058815</v>
      </c>
      <c r="D101" s="1">
        <f>RGBTC!$C$87*A101+RGBTC!$C$88</f>
        <v>1.4063470588235296</v>
      </c>
      <c r="E101" s="1">
        <f>RGBTC!$D$87*A101+RGBTC!$D$88</f>
        <v>0.15274117647058827</v>
      </c>
      <c r="F101" s="1">
        <f>RGBTC!$E$87*A101+RGBTC!$E$88</f>
        <v>0.72048823529411754</v>
      </c>
      <c r="G101" s="1">
        <f>RGBTC!$F$87*A101+RGBTC!$F$88</f>
        <v>4.4901694117647049</v>
      </c>
      <c r="H101" s="1">
        <f>RGBTC!$G$87*A101+RGBTC!$G$88</f>
        <v>0.13726470588235301</v>
      </c>
      <c r="I101" s="1">
        <f>RGBTC!$H$87*A101+RGBTC!$H$88</f>
        <v>4.8499999999999995E-2</v>
      </c>
      <c r="J101" s="1">
        <f>RGBTC!$I$87*A101+RGBTC!$I$88</f>
        <v>0.39164358823529427</v>
      </c>
      <c r="Y101" s="112">
        <v>0.31577834444869091</v>
      </c>
      <c r="Z101" s="112">
        <v>0.33479854256452973</v>
      </c>
    </row>
    <row r="102" spans="1:26" ht="16.5" customHeight="1">
      <c r="A102" s="1">
        <v>85</v>
      </c>
      <c r="B102" s="1">
        <f>RGBTC!$A$87*A102+RGBTC!$A$88</f>
        <v>0.7032176470588235</v>
      </c>
      <c r="C102" s="1">
        <f>RGBTC!$B$87*A102+RGBTC!$B$88</f>
        <v>0.2966823529411764</v>
      </c>
      <c r="D102" s="1">
        <f>RGBTC!$C$87*A102+RGBTC!$C$88</f>
        <v>1.1876641176470593</v>
      </c>
      <c r="E102" s="1">
        <f>RGBTC!$D$87*A102+RGBTC!$D$88</f>
        <v>0.15748235294117652</v>
      </c>
      <c r="F102" s="1">
        <f>RGBTC!$E$87*A102+RGBTC!$E$88</f>
        <v>0.71857647058823515</v>
      </c>
      <c r="G102" s="1">
        <f>RGBTC!$F$87*A102+RGBTC!$F$88</f>
        <v>4.4390488235294105</v>
      </c>
      <c r="H102" s="1">
        <f>RGBTC!$G$87*A102+RGBTC!$G$88</f>
        <v>0.13672941176470596</v>
      </c>
      <c r="I102" s="1">
        <f>RGBTC!$H$87*A102+RGBTC!$H$88</f>
        <v>4.9799999999999997E-2</v>
      </c>
      <c r="J102" s="1">
        <f>RGBTC!$I$87*A102+RGBTC!$I$88</f>
        <v>0.39508017647058841</v>
      </c>
      <c r="Y102" s="112">
        <v>0.3157273985925248</v>
      </c>
      <c r="Z102" s="112">
        <v>0.33480967271524992</v>
      </c>
    </row>
    <row r="103" spans="1:26" ht="16.5" customHeight="1">
      <c r="A103" s="53">
        <v>102</v>
      </c>
      <c r="B103" s="1">
        <f>RGBTC!$A$87*A103+RGBTC!$A$88</f>
        <v>0.70551764705882347</v>
      </c>
      <c r="C103" s="1">
        <f>RGBTC!$B$87*A103+RGBTC!$B$88</f>
        <v>0.29438235294117637</v>
      </c>
      <c r="D103" s="1">
        <f>RGBTC!$C$87*A103+RGBTC!$C$88</f>
        <v>0.90169411764705942</v>
      </c>
      <c r="E103" s="1">
        <f>RGBTC!$D$87*A103+RGBTC!$D$88</f>
        <v>0.16368235294117653</v>
      </c>
      <c r="F103" s="1">
        <f>RGBTC!$E$87*A103+RGBTC!$E$88</f>
        <v>0.71607647058823509</v>
      </c>
      <c r="G103" s="1">
        <f>RGBTC!$F$87*A103+RGBTC!$F$88</f>
        <v>4.37219882352941</v>
      </c>
      <c r="H103" s="1">
        <f>RGBTC!$G$87*A103+RGBTC!$G$88</f>
        <v>0.13602941176470598</v>
      </c>
      <c r="I103" s="1">
        <f>RGBTC!$H$87*A103+RGBTC!$H$88</f>
        <v>5.1499999999999997E-2</v>
      </c>
      <c r="J103" s="1">
        <f>RGBTC!$I$87*A103+RGBTC!$I$88</f>
        <v>0.39957417647058846</v>
      </c>
      <c r="Y103" s="112">
        <v>0.31567553056142039</v>
      </c>
      <c r="Z103" s="112">
        <v>0.33481903318338146</v>
      </c>
    </row>
    <row r="104" spans="1:26" ht="16.5" customHeight="1">
      <c r="A104" s="53">
        <v>117</v>
      </c>
      <c r="B104" s="1">
        <f>RGBTC!$A$87*A104+RGBTC!$A$88</f>
        <v>0.70754705882352931</v>
      </c>
      <c r="C104" s="1">
        <f>RGBTC!$B$87*A104+RGBTC!$B$88</f>
        <v>0.29235294117647048</v>
      </c>
      <c r="D104" s="1">
        <f>RGBTC!$C$87*A104+RGBTC!$C$88</f>
        <v>0.64936764705882433</v>
      </c>
      <c r="E104" s="1">
        <f>RGBTC!$D$87*A104+RGBTC!$D$88</f>
        <v>0.16915294117647067</v>
      </c>
      <c r="F104" s="1">
        <f>RGBTC!$E$87*A104+RGBTC!$E$88</f>
        <v>0.71387058823529381</v>
      </c>
      <c r="G104" s="1">
        <f>RGBTC!$F$87*A104+RGBTC!$F$88</f>
        <v>4.3132135294117626</v>
      </c>
      <c r="H104" s="1">
        <f>RGBTC!$G$87*A104+RGBTC!$G$88</f>
        <v>0.13541176470588248</v>
      </c>
      <c r="I104" s="1">
        <f>RGBTC!$H$87*A104+RGBTC!$H$88</f>
        <v>5.2999999999999999E-2</v>
      </c>
      <c r="J104" s="1">
        <f>RGBTC!$I$87*A104+RGBTC!$I$88</f>
        <v>0.40353947058823558</v>
      </c>
      <c r="Y104" s="112">
        <v>0.31562275615488233</v>
      </c>
      <c r="Z104" s="112">
        <v>0.33482662111763511</v>
      </c>
    </row>
    <row r="105" spans="1:26" ht="17.25" customHeight="1">
      <c r="A105" s="53">
        <v>132</v>
      </c>
      <c r="B105" s="1">
        <f>RGBTC!$A$87*A105+RGBTC!$A$88</f>
        <v>0.70957647058823514</v>
      </c>
      <c r="C105" s="1">
        <f>RGBTC!$B$87*A105+RGBTC!$B$88</f>
        <v>0.29032352941176459</v>
      </c>
      <c r="D105" s="1">
        <f>RGBTC!$C$87*A105+RGBTC!$C$88</f>
        <v>0.39704117647058901</v>
      </c>
      <c r="E105" s="1">
        <f>RGBTC!$D$87*A105+RGBTC!$D$88</f>
        <v>0.17462352941176479</v>
      </c>
      <c r="F105" s="1">
        <f>RGBTC!$E$87*A105+RGBTC!$E$88</f>
        <v>0.71166470588235264</v>
      </c>
      <c r="G105" s="1">
        <f>RGBTC!$F$87*A105+RGBTC!$F$88</f>
        <v>4.2542282352941152</v>
      </c>
      <c r="H105" s="1">
        <f>RGBTC!$G$87*A105+RGBTC!$G$88</f>
        <v>0.13479411764705895</v>
      </c>
      <c r="I105" s="1">
        <f>RGBTC!$H$87*A105+RGBTC!$H$88</f>
        <v>5.4499999999999993E-2</v>
      </c>
      <c r="J105" s="1">
        <f>RGBTC!$I$87*A105+RGBTC!$I$88</f>
        <v>0.4075047647058827</v>
      </c>
      <c r="Y105" s="112">
        <v>0.31556909144850614</v>
      </c>
      <c r="Z105" s="112">
        <v>0.3348324342066526</v>
      </c>
    </row>
    <row r="106" spans="1:26" ht="16.5" customHeight="1">
      <c r="Y106" s="112">
        <v>0.31551455278908119</v>
      </c>
      <c r="Z106" s="112">
        <v>0.33483647067971067</v>
      </c>
    </row>
    <row r="107" spans="1:26" ht="16.5" customHeight="1">
      <c r="Y107" s="112">
        <v>0.31545915678961151</v>
      </c>
      <c r="Z107" s="112">
        <v>0.3348387293072605</v>
      </c>
    </row>
    <row r="108" spans="1:26" ht="16.5" customHeight="1">
      <c r="Y108" s="112">
        <v>0.31540292032425515</v>
      </c>
      <c r="Z108" s="112">
        <v>0.33483920940130235</v>
      </c>
    </row>
    <row r="109" spans="1:26" ht="16.5" customHeight="1">
      <c r="A109" s="21" t="s">
        <v>3</v>
      </c>
      <c r="B109" s="3" t="s">
        <v>4</v>
      </c>
      <c r="C109" s="3" t="s">
        <v>5</v>
      </c>
      <c r="D109" s="3" t="s">
        <v>6</v>
      </c>
      <c r="E109" s="4" t="s">
        <v>4</v>
      </c>
      <c r="F109" s="4" t="s">
        <v>5</v>
      </c>
      <c r="G109" s="4" t="s">
        <v>6</v>
      </c>
      <c r="H109" s="2" t="s">
        <v>4</v>
      </c>
      <c r="I109" s="2" t="s">
        <v>5</v>
      </c>
      <c r="J109" s="2" t="s">
        <v>6</v>
      </c>
      <c r="Y109" s="112">
        <v>0.31534586052318431</v>
      </c>
      <c r="Z109" s="112">
        <v>0.33483791081559489</v>
      </c>
    </row>
    <row r="110" spans="1:26" ht="18" customHeight="1">
      <c r="A110" s="1">
        <v>25</v>
      </c>
      <c r="B110" s="45">
        <f t="shared" ref="B110:J110" si="2">B80</f>
        <v>0.69510000000000005</v>
      </c>
      <c r="C110" s="45">
        <f t="shared" si="2"/>
        <v>0.30480000000000002</v>
      </c>
      <c r="D110" s="45">
        <f t="shared" si="2"/>
        <v>2.1969699999999999</v>
      </c>
      <c r="E110" s="45">
        <f t="shared" si="2"/>
        <v>0.1356</v>
      </c>
      <c r="F110" s="45">
        <f t="shared" si="2"/>
        <v>0.72740000000000005</v>
      </c>
      <c r="G110" s="45">
        <f t="shared" si="2"/>
        <v>4.6749900000000002</v>
      </c>
      <c r="H110" s="45">
        <f t="shared" si="2"/>
        <v>0.13919999999999999</v>
      </c>
      <c r="I110" s="45">
        <f t="shared" si="2"/>
        <v>4.3799999999999999E-2</v>
      </c>
      <c r="J110" s="45">
        <f t="shared" si="2"/>
        <v>0.37921899999999997</v>
      </c>
      <c r="Y110" s="112">
        <v>0.31528799476736702</v>
      </c>
      <c r="Z110" s="112">
        <v>0.33483483394569979</v>
      </c>
    </row>
    <row r="111" spans="1:26" ht="16.5" customHeight="1">
      <c r="J111" s="143">
        <f>D110+G110+J110</f>
        <v>7.2511789999999996</v>
      </c>
      <c r="Y111" s="112">
        <v>0.31522934068327313</v>
      </c>
      <c r="Z111" s="112">
        <v>0.33482997972886164</v>
      </c>
    </row>
    <row r="112" spans="1:26" ht="16.5" customHeight="1">
      <c r="J112">
        <f>J111-D28</f>
        <v>4.2511789999999996</v>
      </c>
      <c r="Y112" s="112">
        <v>0.31516991613750484</v>
      </c>
      <c r="Z112" s="112">
        <v>0.33482334964372173</v>
      </c>
    </row>
    <row r="113" spans="1:26" ht="16.5" customHeight="1">
      <c r="Y113" s="112">
        <v>0.31510973923135449</v>
      </c>
      <c r="Z113" s="112">
        <v>0.33481494570986831</v>
      </c>
    </row>
    <row r="114" spans="1:26" ht="16.5" customHeight="1">
      <c r="A114" s="46" t="s">
        <v>17</v>
      </c>
      <c r="B114" s="46" t="s">
        <v>18</v>
      </c>
      <c r="C114" s="46" t="s">
        <v>19</v>
      </c>
      <c r="D114" s="46" t="s">
        <v>20</v>
      </c>
      <c r="E114" s="46" t="s">
        <v>21</v>
      </c>
      <c r="F114" s="46" t="s">
        <v>22</v>
      </c>
      <c r="G114" s="46" t="s">
        <v>13</v>
      </c>
      <c r="H114" s="46" t="s">
        <v>14</v>
      </c>
      <c r="I114" s="46" t="s">
        <v>15</v>
      </c>
      <c r="J114" s="46" t="s">
        <v>10</v>
      </c>
      <c r="K114" s="46" t="s">
        <v>11</v>
      </c>
      <c r="Y114" s="112">
        <v>0.31504882829529052</v>
      </c>
      <c r="Z114" s="112">
        <v>0.33480477048722102</v>
      </c>
    </row>
    <row r="115" spans="1:26" ht="16.5" customHeight="1">
      <c r="A115" s="21" t="s">
        <v>30</v>
      </c>
      <c r="B115" s="21" t="s">
        <v>31</v>
      </c>
      <c r="C115" s="21" t="s">
        <v>32</v>
      </c>
      <c r="D115" s="21" t="s">
        <v>33</v>
      </c>
      <c r="E115" s="21" t="s">
        <v>34</v>
      </c>
      <c r="F115" s="21" t="s">
        <v>35</v>
      </c>
      <c r="G115" s="21"/>
      <c r="H115" s="21"/>
      <c r="I115" s="21"/>
      <c r="J115" s="21"/>
      <c r="K115" s="21"/>
      <c r="Y115" s="112">
        <v>0.31498720188337426</v>
      </c>
      <c r="Z115" s="112">
        <v>0.33479282707525121</v>
      </c>
    </row>
    <row r="116" spans="1:26" ht="16.5" customHeight="1">
      <c r="A116" s="1">
        <f>B110/C110</f>
        <v>2.2805118110236222</v>
      </c>
      <c r="B116" s="1">
        <f>E110/F110</f>
        <v>0.18641737695903215</v>
      </c>
      <c r="C116" s="1">
        <f>H110/I110</f>
        <v>3.1780821917808217</v>
      </c>
      <c r="D116" s="1">
        <f>(1-B110-C110)/C110</f>
        <v>3.2808398950109408E-4</v>
      </c>
      <c r="E116" s="1">
        <f>(1-E110-F110)/F110</f>
        <v>0.18834204014297498</v>
      </c>
      <c r="F116" s="1">
        <f>(1-H110-I110)/I110</f>
        <v>18.652968036529682</v>
      </c>
      <c r="G116" s="1">
        <f>D110*A116+G110*B116+J110*C116</f>
        <v>7.0869045572592038</v>
      </c>
      <c r="H116" s="1">
        <f>D110+G110+J110</f>
        <v>7.2511789999999996</v>
      </c>
      <c r="I116" s="1">
        <f>D110*D116+G110*E116+J110*F116</f>
        <v>7.9547778307751695</v>
      </c>
      <c r="J116" s="144">
        <f>(G116/(G116+H116+I116))-U266</f>
        <v>0.31790017593089587</v>
      </c>
      <c r="K116" s="144">
        <f>H116/(G116+H116+I116)</f>
        <v>0.32526910178933099</v>
      </c>
      <c r="Y116" s="112">
        <v>0.31492487876760772</v>
      </c>
      <c r="Z116" s="112">
        <v>0.33477911911203795</v>
      </c>
    </row>
    <row r="117" spans="1:26" ht="16.5" customHeight="1">
      <c r="J117" s="146">
        <f>J116-B28</f>
        <v>5.4001759308958674E-3</v>
      </c>
      <c r="K117" s="145">
        <f>K116-C28</f>
        <v>-3.7308982106690203E-3</v>
      </c>
      <c r="Y117" s="112">
        <v>0.31486187793221565</v>
      </c>
      <c r="Z117" s="112">
        <v>0.33476365077315956</v>
      </c>
    </row>
    <row r="118" spans="1:26" ht="16.5" customHeight="1">
      <c r="Y118" s="112">
        <v>0.31479821856786283</v>
      </c>
      <c r="Z118" s="112">
        <v>0.33474642677042193</v>
      </c>
    </row>
    <row r="119" spans="1:26" ht="16.5" customHeight="1">
      <c r="Y119" s="112">
        <v>0.31473392006580836</v>
      </c>
      <c r="Z119" s="112">
        <v>0.33472745235042312</v>
      </c>
    </row>
    <row r="120" spans="1:26" ht="16.5" customHeight="1">
      <c r="Y120" s="112">
        <v>0.31466900201199877</v>
      </c>
      <c r="Z120" s="112">
        <v>0.33470673329295531</v>
      </c>
    </row>
    <row r="121" spans="1:26" ht="16.5" customHeight="1">
      <c r="A121" s="338" t="s">
        <v>221</v>
      </c>
      <c r="B121" s="338"/>
      <c r="C121" s="338"/>
      <c r="D121" s="338"/>
      <c r="E121" s="338"/>
      <c r="F121" s="338"/>
      <c r="G121" s="338"/>
      <c r="H121" s="338"/>
      <c r="I121" s="338"/>
      <c r="J121" s="338"/>
      <c r="Y121" s="112">
        <v>0.31460348418110223</v>
      </c>
      <c r="Z121" s="112">
        <v>0.3346842759092441</v>
      </c>
    </row>
    <row r="122" spans="1:26" ht="16.5" customHeight="1">
      <c r="A122" s="321" t="s">
        <v>16</v>
      </c>
      <c r="I122" s="46" t="s">
        <v>17</v>
      </c>
      <c r="J122" s="46" t="s">
        <v>18</v>
      </c>
      <c r="K122" s="46" t="s">
        <v>19</v>
      </c>
      <c r="L122" s="46" t="s">
        <v>20</v>
      </c>
      <c r="M122" s="46" t="s">
        <v>21</v>
      </c>
      <c r="N122" s="46" t="s">
        <v>22</v>
      </c>
      <c r="O122" s="46" t="s">
        <v>23</v>
      </c>
      <c r="P122" s="46" t="s">
        <v>24</v>
      </c>
      <c r="Q122" s="46" t="s">
        <v>25</v>
      </c>
      <c r="R122" s="47" t="s">
        <v>26</v>
      </c>
      <c r="S122" s="47" t="s">
        <v>27</v>
      </c>
      <c r="T122" s="47" t="s">
        <v>28</v>
      </c>
      <c r="U122" s="47" t="s">
        <v>29</v>
      </c>
      <c r="Y122" s="112">
        <v>0.31453738653048463</v>
      </c>
      <c r="Z122" s="112">
        <v>0.33466008704002614</v>
      </c>
    </row>
    <row r="123" spans="1:26" ht="16.5" customHeight="1">
      <c r="A123" s="322"/>
      <c r="B123" s="104" t="s">
        <v>10</v>
      </c>
      <c r="C123" s="104" t="s">
        <v>11</v>
      </c>
      <c r="D123" s="105" t="s">
        <v>12</v>
      </c>
      <c r="E123" s="46" t="s">
        <v>13</v>
      </c>
      <c r="F123" s="46" t="s">
        <v>14</v>
      </c>
      <c r="G123" s="46" t="s">
        <v>15</v>
      </c>
      <c r="H123" s="46" t="s">
        <v>107</v>
      </c>
      <c r="I123" s="21" t="s">
        <v>30</v>
      </c>
      <c r="J123" s="21" t="s">
        <v>31</v>
      </c>
      <c r="K123" s="21" t="s">
        <v>32</v>
      </c>
      <c r="L123" s="21" t="s">
        <v>33</v>
      </c>
      <c r="M123" s="21" t="s">
        <v>34</v>
      </c>
      <c r="N123" s="21" t="s">
        <v>35</v>
      </c>
      <c r="O123" s="21"/>
      <c r="P123" s="21"/>
      <c r="Q123" s="21"/>
      <c r="R123" s="22"/>
      <c r="S123" s="22"/>
      <c r="T123" s="22"/>
      <c r="U123" s="22"/>
      <c r="Y123" s="112">
        <v>0.31447072919413072</v>
      </c>
      <c r="Z123" s="112">
        <v>0.33463417405346529</v>
      </c>
    </row>
    <row r="124" spans="1:26" ht="16.5" customHeight="1">
      <c r="A124" s="5">
        <f t="shared" ref="A124:A135" si="3">A94</f>
        <v>-33</v>
      </c>
      <c r="B124" s="144">
        <f t="shared" ref="B124:B135" si="4">$J$116</f>
        <v>0.31790017593089587</v>
      </c>
      <c r="C124" s="144">
        <f t="shared" ref="C124:C135" si="5">$K$116</f>
        <v>0.32526910178933099</v>
      </c>
      <c r="D124" s="1">
        <f t="shared" ref="D124:D135" si="6">$J$111</f>
        <v>7.2511789999999996</v>
      </c>
      <c r="E124" s="1">
        <f t="shared" ref="E124:E135" si="7">D124*B124/C124</f>
        <v>7.0869045572592029</v>
      </c>
      <c r="F124" s="1">
        <f t="shared" ref="F124:F135" si="8">D124</f>
        <v>7.2511789999999996</v>
      </c>
      <c r="G124" s="1">
        <f t="shared" ref="G124:G135" si="9">D124*(1-B124-C124)/C124</f>
        <v>7.9547778307751704</v>
      </c>
      <c r="H124" s="45">
        <f t="shared" ref="H124:H135" si="10">B124/C124</f>
        <v>0.97734514032258801</v>
      </c>
      <c r="I124" s="1">
        <f t="shared" ref="I124:I135" si="11">B94/C94</f>
        <v>2.1981749764816554</v>
      </c>
      <c r="J124" s="1">
        <f t="shared" ref="J124:J135" si="12">E94/F94</f>
        <v>0.15551363621830727</v>
      </c>
      <c r="K124" s="1">
        <f t="shared" ref="K124:K135" si="13">H94/I94</f>
        <v>3.7260061919504626</v>
      </c>
      <c r="L124" s="1">
        <f t="shared" ref="L124:L135" si="14">(1-B94-C94)/C94</f>
        <v>3.1984948259567971E-4</v>
      </c>
      <c r="M124" s="1">
        <f t="shared" ref="M124:M135" si="15">(1-E94-F94)/F94</f>
        <v>0.20331233813984681</v>
      </c>
      <c r="N124" s="1">
        <f t="shared" ref="N124:N135" si="16">(1-H94-I94)/I94</f>
        <v>21.589783281733748</v>
      </c>
      <c r="O124" s="1">
        <f t="shared" ref="O124:O135" si="17">I124*N124+K124*M124+J124*L124-K124*L124-J124*N124-I124*M124</f>
        <v>44.410100570764925</v>
      </c>
      <c r="P124" s="1">
        <f t="shared" ref="P124:P135" si="18">N124*E124+K124*M124*F124+G124*J124-K124*G124-J124*N124*F124-M124*E124</f>
        <v>104.30860863495522</v>
      </c>
      <c r="Q124" s="1">
        <f t="shared" ref="Q124:Q135" si="19">I124*N124*F124+L124*E124+K124*G124-K124*L124*F124-E124*N124-I124*G124</f>
        <v>203.2697823891896</v>
      </c>
      <c r="R124" s="1">
        <f t="shared" ref="R124:R135" si="20">I124*G124+M124*E124+J124*L124*F124-L124*E124-J124*G124-I124*M124*F124</f>
        <v>14.447197622473897</v>
      </c>
      <c r="S124" s="130">
        <f t="shared" ref="S124:S135" si="21">P124/O124</f>
        <v>2.3487586673834593</v>
      </c>
      <c r="T124" s="130">
        <f t="shared" ref="T124:T135" si="22">Q124/O124</f>
        <v>4.5771070044142537</v>
      </c>
      <c r="U124" s="130">
        <f t="shared" ref="U124:U135" si="23">R124/O124</f>
        <v>0.32531332820228864</v>
      </c>
      <c r="Y124" s="112">
        <v>0.31440353247651082</v>
      </c>
      <c r="Z124" s="112">
        <v>0.33460654484290825</v>
      </c>
    </row>
    <row r="125" spans="1:26" ht="16.5" customHeight="1">
      <c r="A125" s="5">
        <f t="shared" si="3"/>
        <v>-18</v>
      </c>
      <c r="B125" s="144">
        <f t="shared" si="4"/>
        <v>0.31790017593089587</v>
      </c>
      <c r="C125" s="144">
        <f t="shared" si="5"/>
        <v>0.32526910178933099</v>
      </c>
      <c r="D125" s="1">
        <f t="shared" si="6"/>
        <v>7.2511789999999996</v>
      </c>
      <c r="E125" s="1">
        <f t="shared" si="7"/>
        <v>7.0869045572592029</v>
      </c>
      <c r="F125" s="1">
        <f t="shared" si="8"/>
        <v>7.2511789999999996</v>
      </c>
      <c r="G125" s="1">
        <f t="shared" si="9"/>
        <v>7.9547778307751704</v>
      </c>
      <c r="H125" s="45">
        <f t="shared" si="10"/>
        <v>0.97734514032258801</v>
      </c>
      <c r="I125" s="1">
        <f t="shared" si="11"/>
        <v>2.2190701638102452</v>
      </c>
      <c r="J125" s="1">
        <f t="shared" si="12"/>
        <v>0.16343710164912245</v>
      </c>
      <c r="K125" s="1">
        <f t="shared" si="13"/>
        <v>3.5688756515264326</v>
      </c>
      <c r="L125" s="1">
        <f t="shared" si="14"/>
        <v>3.2193921030112562E-4</v>
      </c>
      <c r="M125" s="1">
        <f t="shared" si="15"/>
        <v>0.19947407662767652</v>
      </c>
      <c r="N125" s="1">
        <f t="shared" si="16"/>
        <v>20.747580044676102</v>
      </c>
      <c r="O125" s="1">
        <f t="shared" si="17"/>
        <v>42.917566358762215</v>
      </c>
      <c r="P125" s="1">
        <f t="shared" si="18"/>
        <v>99.10686041729609</v>
      </c>
      <c r="Q125" s="1">
        <f t="shared" si="19"/>
        <v>197.54194988625082</v>
      </c>
      <c r="R125" s="1">
        <f t="shared" si="20"/>
        <v>14.554145608216121</v>
      </c>
      <c r="S125" s="130">
        <f t="shared" si="21"/>
        <v>2.3092376578119289</v>
      </c>
      <c r="T125" s="130">
        <f t="shared" si="22"/>
        <v>4.6028227284588308</v>
      </c>
      <c r="U125" s="130">
        <f t="shared" si="23"/>
        <v>0.33911861372924029</v>
      </c>
      <c r="Y125" s="112">
        <v>0.31433581684639611</v>
      </c>
      <c r="Z125" s="112">
        <v>0.3345772078244803</v>
      </c>
    </row>
    <row r="126" spans="1:26" ht="16.5" customHeight="1">
      <c r="A126" s="5">
        <f t="shared" si="3"/>
        <v>-3</v>
      </c>
      <c r="B126" s="144">
        <f t="shared" si="4"/>
        <v>0.31790017593089587</v>
      </c>
      <c r="C126" s="144">
        <f t="shared" si="5"/>
        <v>0.32526910178933099</v>
      </c>
      <c r="D126" s="1">
        <f t="shared" si="6"/>
        <v>7.2511789999999996</v>
      </c>
      <c r="E126" s="1">
        <f t="shared" si="7"/>
        <v>7.0869045572592029</v>
      </c>
      <c r="F126" s="1">
        <f t="shared" si="8"/>
        <v>7.2511789999999996</v>
      </c>
      <c r="G126" s="1">
        <f t="shared" si="9"/>
        <v>7.9547778307751704</v>
      </c>
      <c r="H126" s="45">
        <f t="shared" si="10"/>
        <v>0.97734514032258801</v>
      </c>
      <c r="I126" s="1">
        <f t="shared" si="11"/>
        <v>2.240240182996569</v>
      </c>
      <c r="J126" s="1">
        <f t="shared" si="12"/>
        <v>0.17140835330256191</v>
      </c>
      <c r="K126" s="1">
        <f t="shared" si="13"/>
        <v>3.423242467718794</v>
      </c>
      <c r="L126" s="1">
        <f t="shared" si="14"/>
        <v>3.2405642394129578E-4</v>
      </c>
      <c r="M126" s="1">
        <f t="shared" si="15"/>
        <v>0.19561266665594473</v>
      </c>
      <c r="N126" s="1">
        <f t="shared" si="16"/>
        <v>19.967001434720231</v>
      </c>
      <c r="O126" s="1">
        <f t="shared" si="17"/>
        <v>41.538724565535354</v>
      </c>
      <c r="P126" s="1">
        <f t="shared" si="18"/>
        <v>94.288692541716173</v>
      </c>
      <c r="Q126" s="1">
        <f t="shared" si="19"/>
        <v>192.25214961724026</v>
      </c>
      <c r="R126" s="1">
        <f t="shared" si="20"/>
        <v>14.663885097437504</v>
      </c>
      <c r="S126" s="130">
        <f t="shared" si="21"/>
        <v>2.2698985952964823</v>
      </c>
      <c r="T126" s="130">
        <f t="shared" si="22"/>
        <v>4.628263184006177</v>
      </c>
      <c r="U126" s="130">
        <f t="shared" si="23"/>
        <v>0.35301722069733737</v>
      </c>
      <c r="Y126" s="112">
        <v>0.31426760293062339</v>
      </c>
      <c r="Z126" s="112">
        <v>0.33454617193452135</v>
      </c>
    </row>
    <row r="127" spans="1:26" ht="16.5" customHeight="1">
      <c r="A127" s="5">
        <f t="shared" si="3"/>
        <v>12</v>
      </c>
      <c r="B127" s="144">
        <f t="shared" si="4"/>
        <v>0.31790017593089587</v>
      </c>
      <c r="C127" s="144">
        <f t="shared" si="5"/>
        <v>0.32526910178933099</v>
      </c>
      <c r="D127" s="1">
        <f t="shared" si="6"/>
        <v>7.2511789999999996</v>
      </c>
      <c r="E127" s="1">
        <f t="shared" si="7"/>
        <v>7.0869045572592029</v>
      </c>
      <c r="F127" s="1">
        <f t="shared" si="8"/>
        <v>7.2511789999999996</v>
      </c>
      <c r="G127" s="1">
        <f t="shared" si="9"/>
        <v>7.9547778307751704</v>
      </c>
      <c r="H127" s="45">
        <f t="shared" si="10"/>
        <v>0.97734514032258801</v>
      </c>
      <c r="I127" s="1">
        <f t="shared" si="11"/>
        <v>2.2616904921807546</v>
      </c>
      <c r="J127" s="1">
        <f t="shared" si="12"/>
        <v>0.17942782478242986</v>
      </c>
      <c r="K127" s="1">
        <f t="shared" si="13"/>
        <v>3.2878892733564014</v>
      </c>
      <c r="L127" s="1">
        <f t="shared" si="14"/>
        <v>3.262016693846158E-4</v>
      </c>
      <c r="M127" s="1">
        <f t="shared" si="15"/>
        <v>0.19172789817958893</v>
      </c>
      <c r="N127" s="1">
        <f t="shared" si="16"/>
        <v>19.241522491349482</v>
      </c>
      <c r="O127" s="1">
        <f t="shared" si="17"/>
        <v>40.261640897757751</v>
      </c>
      <c r="P127" s="1">
        <f t="shared" si="18"/>
        <v>89.813516570058653</v>
      </c>
      <c r="Q127" s="1">
        <f t="shared" si="19"/>
        <v>187.35436423522941</v>
      </c>
      <c r="R127" s="1">
        <f t="shared" si="20"/>
        <v>14.776484178074075</v>
      </c>
      <c r="S127" s="130">
        <f t="shared" si="21"/>
        <v>2.23074655099466</v>
      </c>
      <c r="T127" s="130">
        <f t="shared" si="22"/>
        <v>4.6534209748431676</v>
      </c>
      <c r="U127" s="130">
        <f t="shared" si="23"/>
        <v>0.36701147416217222</v>
      </c>
      <c r="Y127" s="112">
        <v>0.31419891150781237</v>
      </c>
      <c r="Z127" s="112">
        <v>0.33451344662686416</v>
      </c>
    </row>
    <row r="128" spans="1:26" ht="16.5" customHeight="1">
      <c r="A128" s="5">
        <f t="shared" si="3"/>
        <v>25</v>
      </c>
      <c r="B128" s="144">
        <f t="shared" si="4"/>
        <v>0.31790017593089587</v>
      </c>
      <c r="C128" s="144">
        <f t="shared" si="5"/>
        <v>0.32526910178933099</v>
      </c>
      <c r="D128" s="1">
        <f t="shared" si="6"/>
        <v>7.2511789999999996</v>
      </c>
      <c r="E128" s="1">
        <f t="shared" si="7"/>
        <v>7.0869045572592029</v>
      </c>
      <c r="F128" s="1">
        <f t="shared" si="8"/>
        <v>7.2511789999999996</v>
      </c>
      <c r="G128" s="1">
        <f t="shared" si="9"/>
        <v>7.9547778307751704</v>
      </c>
      <c r="H128" s="45">
        <f t="shared" si="10"/>
        <v>0.97734514032258801</v>
      </c>
      <c r="I128" s="1">
        <f t="shared" si="11"/>
        <v>2.2805118110236222</v>
      </c>
      <c r="J128" s="1">
        <f t="shared" si="12"/>
        <v>0.18641737695903215</v>
      </c>
      <c r="K128" s="1">
        <f t="shared" si="13"/>
        <v>3.1780821917808217</v>
      </c>
      <c r="L128" s="1">
        <f t="shared" si="14"/>
        <v>3.2808398950109408E-4</v>
      </c>
      <c r="M128" s="1">
        <f t="shared" si="15"/>
        <v>0.18834204014297498</v>
      </c>
      <c r="N128" s="1">
        <f t="shared" si="16"/>
        <v>18.652968036529682</v>
      </c>
      <c r="O128" s="1">
        <f t="shared" si="17"/>
        <v>39.229145263437537</v>
      </c>
      <c r="P128" s="1">
        <f t="shared" si="18"/>
        <v>86.185255269414341</v>
      </c>
      <c r="Q128" s="1">
        <f t="shared" si="19"/>
        <v>183.39586181511785</v>
      </c>
      <c r="R128" s="1">
        <f t="shared" si="20"/>
        <v>14.876437237655519</v>
      </c>
      <c r="S128" s="130">
        <f t="shared" si="21"/>
        <v>2.1969699999999994</v>
      </c>
      <c r="T128" s="130">
        <f t="shared" si="22"/>
        <v>4.6749900000000002</v>
      </c>
      <c r="U128" s="130">
        <f t="shared" si="23"/>
        <v>0.37921899999999997</v>
      </c>
      <c r="Y128" s="112">
        <v>0.31412976350203575</v>
      </c>
      <c r="Z128" s="112">
        <v>0.33447904186995447</v>
      </c>
    </row>
    <row r="129" spans="1:26" ht="16.5" customHeight="1">
      <c r="A129" s="5">
        <f t="shared" si="3"/>
        <v>42</v>
      </c>
      <c r="B129" s="144">
        <f t="shared" si="4"/>
        <v>0.31790017593089587</v>
      </c>
      <c r="C129" s="144">
        <f t="shared" si="5"/>
        <v>0.32526910178933099</v>
      </c>
      <c r="D129" s="1">
        <f t="shared" si="6"/>
        <v>7.2511789999999996</v>
      </c>
      <c r="E129" s="1">
        <f t="shared" si="7"/>
        <v>7.0869045572592029</v>
      </c>
      <c r="F129" s="1">
        <f t="shared" si="8"/>
        <v>7.2511789999999996</v>
      </c>
      <c r="G129" s="1">
        <f t="shared" si="9"/>
        <v>7.9547778307751704</v>
      </c>
      <c r="H129" s="45">
        <f t="shared" si="10"/>
        <v>0.97734514032258801</v>
      </c>
      <c r="I129" s="1">
        <f t="shared" si="11"/>
        <v>2.3054545454545456</v>
      </c>
      <c r="J129" s="1">
        <f t="shared" si="12"/>
        <v>0.19561318802593464</v>
      </c>
      <c r="K129" s="1">
        <f t="shared" si="13"/>
        <v>3.0439560439560442</v>
      </c>
      <c r="L129" s="1">
        <f t="shared" si="14"/>
        <v>3.3057851239665781E-4</v>
      </c>
      <c r="M129" s="1">
        <f t="shared" si="15"/>
        <v>0.18388743274934471</v>
      </c>
      <c r="N129" s="1">
        <f t="shared" si="16"/>
        <v>17.934065934065934</v>
      </c>
      <c r="O129" s="1">
        <f t="shared" si="17"/>
        <v>37.972893558240763</v>
      </c>
      <c r="P129" s="1">
        <f t="shared" si="18"/>
        <v>81.756549668710164</v>
      </c>
      <c r="Q129" s="1">
        <f t="shared" si="19"/>
        <v>178.58115528879344</v>
      </c>
      <c r="R129" s="1">
        <f t="shared" si="20"/>
        <v>15.010543381247096</v>
      </c>
      <c r="S129" s="130">
        <f t="shared" si="21"/>
        <v>2.1530239601919301</v>
      </c>
      <c r="T129" s="130">
        <f t="shared" si="22"/>
        <v>4.7028587646315483</v>
      </c>
      <c r="U129" s="130">
        <f t="shared" si="23"/>
        <v>0.39529627517652138</v>
      </c>
      <c r="Y129" s="112">
        <v>0.31406017997644603</v>
      </c>
      <c r="Z129" s="112">
        <v>0.33444296814381452</v>
      </c>
    </row>
    <row r="130" spans="1:26" ht="16.5" customHeight="1">
      <c r="A130" s="5">
        <f t="shared" si="3"/>
        <v>57</v>
      </c>
      <c r="B130" s="144">
        <f t="shared" si="4"/>
        <v>0.31790017593089587</v>
      </c>
      <c r="C130" s="144">
        <f t="shared" si="5"/>
        <v>0.32526910178933099</v>
      </c>
      <c r="D130" s="1">
        <f t="shared" si="6"/>
        <v>7.2511789999999996</v>
      </c>
      <c r="E130" s="1">
        <f t="shared" si="7"/>
        <v>7.0869045572592029</v>
      </c>
      <c r="F130" s="1">
        <f t="shared" si="8"/>
        <v>7.2511789999999996</v>
      </c>
      <c r="G130" s="1">
        <f t="shared" si="9"/>
        <v>7.9547778307751704</v>
      </c>
      <c r="H130" s="45">
        <f t="shared" si="10"/>
        <v>0.97734514032258801</v>
      </c>
      <c r="I130" s="1">
        <f t="shared" si="11"/>
        <v>2.3277799530148786</v>
      </c>
      <c r="J130" s="1">
        <f t="shared" si="12"/>
        <v>0.20377997362809103</v>
      </c>
      <c r="K130" s="1">
        <f t="shared" si="13"/>
        <v>2.9336670838548193</v>
      </c>
      <c r="L130" s="1">
        <f t="shared" si="14"/>
        <v>3.328112764292789E-4</v>
      </c>
      <c r="M130" s="1">
        <f t="shared" si="15"/>
        <v>0.17993130280486411</v>
      </c>
      <c r="N130" s="1">
        <f t="shared" si="16"/>
        <v>17.342928660826029</v>
      </c>
      <c r="O130" s="1">
        <f t="shared" si="17"/>
        <v>36.94448964169208</v>
      </c>
      <c r="P130" s="1">
        <f t="shared" si="18"/>
        <v>78.117782535786233</v>
      </c>
      <c r="Q130" s="1">
        <f t="shared" si="19"/>
        <v>174.64117511609166</v>
      </c>
      <c r="R130" s="1">
        <f t="shared" si="20"/>
        <v>15.132149803677228</v>
      </c>
      <c r="S130" s="130">
        <f t="shared" si="21"/>
        <v>2.1144637074003545</v>
      </c>
      <c r="T130" s="130">
        <f t="shared" si="22"/>
        <v>4.7271237689262335</v>
      </c>
      <c r="U130" s="130">
        <f t="shared" si="23"/>
        <v>0.40959152367341151</v>
      </c>
      <c r="Y130" s="112">
        <v>0.31399018212685909</v>
      </c>
      <c r="Z130" s="112">
        <v>0.33440523643685077</v>
      </c>
    </row>
    <row r="131" spans="1:26" ht="16.5" customHeight="1">
      <c r="A131" s="5">
        <f t="shared" si="3"/>
        <v>72</v>
      </c>
      <c r="B131" s="144">
        <f t="shared" si="4"/>
        <v>0.31790017593089587</v>
      </c>
      <c r="C131" s="144">
        <f t="shared" si="5"/>
        <v>0.32526910178933099</v>
      </c>
      <c r="D131" s="1">
        <f t="shared" si="6"/>
        <v>7.2511789999999996</v>
      </c>
      <c r="E131" s="1">
        <f t="shared" si="7"/>
        <v>7.0869045572592029</v>
      </c>
      <c r="F131" s="1">
        <f t="shared" si="8"/>
        <v>7.2511789999999996</v>
      </c>
      <c r="G131" s="1">
        <f t="shared" si="9"/>
        <v>7.9547778307751704</v>
      </c>
      <c r="H131" s="45">
        <f t="shared" si="10"/>
        <v>0.97734514032258801</v>
      </c>
      <c r="I131" s="1">
        <f t="shared" si="11"/>
        <v>2.3504089878781915</v>
      </c>
      <c r="J131" s="1">
        <f t="shared" si="12"/>
        <v>0.21199676689826352</v>
      </c>
      <c r="K131" s="1">
        <f t="shared" si="13"/>
        <v>2.8302001212856296</v>
      </c>
      <c r="L131" s="1">
        <f t="shared" si="14"/>
        <v>3.3507440622859111E-4</v>
      </c>
      <c r="M131" s="1">
        <f t="shared" si="15"/>
        <v>0.17595094829486554</v>
      </c>
      <c r="N131" s="1">
        <f t="shared" si="16"/>
        <v>16.788356579745301</v>
      </c>
      <c r="O131" s="1">
        <f t="shared" si="17"/>
        <v>35.983969292268284</v>
      </c>
      <c r="P131" s="1">
        <f t="shared" si="18"/>
        <v>74.70671645967019</v>
      </c>
      <c r="Q131" s="1">
        <f t="shared" si="19"/>
        <v>170.96257744631197</v>
      </c>
      <c r="R131" s="1">
        <f t="shared" si="20"/>
        <v>15.256908562758449</v>
      </c>
      <c r="S131" s="130">
        <f t="shared" si="21"/>
        <v>2.0761110552559883</v>
      </c>
      <c r="T131" s="130">
        <f t="shared" si="22"/>
        <v>4.7510761266419248</v>
      </c>
      <c r="U131" s="130">
        <f t="shared" si="23"/>
        <v>0.42399181810208564</v>
      </c>
      <c r="Y131" s="112">
        <v>0.31391979127529801</v>
      </c>
      <c r="Z131" s="112">
        <v>0.33436585824250664</v>
      </c>
    </row>
    <row r="132" spans="1:26" ht="16.5" customHeight="1">
      <c r="A132" s="5">
        <f t="shared" si="3"/>
        <v>85</v>
      </c>
      <c r="B132" s="144">
        <f t="shared" si="4"/>
        <v>0.31790017593089587</v>
      </c>
      <c r="C132" s="144">
        <f t="shared" si="5"/>
        <v>0.32526910178933099</v>
      </c>
      <c r="D132" s="1">
        <f t="shared" si="6"/>
        <v>7.2511789999999996</v>
      </c>
      <c r="E132" s="1">
        <f t="shared" si="7"/>
        <v>7.0869045572592029</v>
      </c>
      <c r="F132" s="1">
        <f t="shared" si="8"/>
        <v>7.2511789999999996</v>
      </c>
      <c r="G132" s="1">
        <f t="shared" si="9"/>
        <v>7.9547778307751704</v>
      </c>
      <c r="H132" s="45">
        <f t="shared" si="10"/>
        <v>0.97734514032258801</v>
      </c>
      <c r="I132" s="1">
        <f t="shared" si="11"/>
        <v>2.3702712348322632</v>
      </c>
      <c r="J132" s="1">
        <f t="shared" si="12"/>
        <v>0.21915879434830313</v>
      </c>
      <c r="K132" s="1">
        <f t="shared" si="13"/>
        <v>2.7455705173635736</v>
      </c>
      <c r="L132" s="1">
        <f t="shared" si="14"/>
        <v>3.3706082956652005E-4</v>
      </c>
      <c r="M132" s="1">
        <f t="shared" si="15"/>
        <v>0.17248154030026705</v>
      </c>
      <c r="N132" s="1">
        <f t="shared" si="16"/>
        <v>16.334750767776988</v>
      </c>
      <c r="O132" s="1">
        <f t="shared" si="17"/>
        <v>35.201766232663395</v>
      </c>
      <c r="P132" s="1">
        <f t="shared" si="18"/>
        <v>71.918758718605673</v>
      </c>
      <c r="Q132" s="1">
        <f t="shared" si="19"/>
        <v>167.96790590921165</v>
      </c>
      <c r="R132" s="1">
        <f t="shared" si="20"/>
        <v>15.367643441380586</v>
      </c>
      <c r="S132" s="130">
        <f t="shared" si="21"/>
        <v>2.0430440405536503</v>
      </c>
      <c r="T132" s="130">
        <f t="shared" si="22"/>
        <v>4.7715760851043827</v>
      </c>
      <c r="U132" s="130">
        <f t="shared" si="23"/>
        <v>0.43655887434196672</v>
      </c>
      <c r="Y132" s="112">
        <v>0.31384902886349814</v>
      </c>
      <c r="Z132" s="112">
        <v>0.33432484555576164</v>
      </c>
    </row>
    <row r="133" spans="1:26" ht="16.5" customHeight="1">
      <c r="A133" s="5">
        <f t="shared" si="3"/>
        <v>102</v>
      </c>
      <c r="B133" s="144">
        <f t="shared" si="4"/>
        <v>0.31790017593089587</v>
      </c>
      <c r="C133" s="144">
        <f t="shared" si="5"/>
        <v>0.32526910178933099</v>
      </c>
      <c r="D133" s="1">
        <f t="shared" si="6"/>
        <v>7.2511789999999996</v>
      </c>
      <c r="E133" s="1">
        <f t="shared" si="7"/>
        <v>7.0869045572592029</v>
      </c>
      <c r="F133" s="1">
        <f t="shared" si="8"/>
        <v>7.2511789999999996</v>
      </c>
      <c r="G133" s="1">
        <f t="shared" si="9"/>
        <v>7.9547778307751704</v>
      </c>
      <c r="H133" s="45">
        <f t="shared" si="10"/>
        <v>0.97734514032258801</v>
      </c>
      <c r="I133" s="1">
        <f t="shared" si="11"/>
        <v>2.3966030572484769</v>
      </c>
      <c r="J133" s="1">
        <f t="shared" si="12"/>
        <v>0.22858222503347506</v>
      </c>
      <c r="K133" s="1">
        <f t="shared" si="13"/>
        <v>2.6413478012564271</v>
      </c>
      <c r="L133" s="1">
        <f t="shared" si="14"/>
        <v>3.3969427515289128E-4</v>
      </c>
      <c r="M133" s="1">
        <f t="shared" si="15"/>
        <v>0.16791667008945838</v>
      </c>
      <c r="N133" s="1">
        <f t="shared" si="16"/>
        <v>15.776127926898914</v>
      </c>
      <c r="O133" s="1">
        <f t="shared" si="17"/>
        <v>34.243251116987899</v>
      </c>
      <c r="P133" s="1">
        <f t="shared" si="18"/>
        <v>68.488193945164099</v>
      </c>
      <c r="Q133" s="1">
        <f t="shared" si="19"/>
        <v>164.29954941965894</v>
      </c>
      <c r="R133" s="1">
        <f t="shared" si="20"/>
        <v>15.516200026406175</v>
      </c>
      <c r="S133" s="130">
        <f t="shared" si="21"/>
        <v>2.0000494027620954</v>
      </c>
      <c r="T133" s="130">
        <f t="shared" si="22"/>
        <v>4.7980125735827341</v>
      </c>
      <c r="U133" s="130">
        <f t="shared" si="23"/>
        <v>0.4531170236551712</v>
      </c>
      <c r="Y133" s="112">
        <v>0.31377791644637554</v>
      </c>
      <c r="Z133" s="112">
        <v>0.33428221086947735</v>
      </c>
    </row>
    <row r="134" spans="1:26" ht="16.5" customHeight="1">
      <c r="A134" s="5">
        <f t="shared" si="3"/>
        <v>117</v>
      </c>
      <c r="B134" s="144">
        <f t="shared" si="4"/>
        <v>0.31790017593089587</v>
      </c>
      <c r="C134" s="144">
        <f t="shared" si="5"/>
        <v>0.32526910178933099</v>
      </c>
      <c r="D134" s="1">
        <f t="shared" si="6"/>
        <v>7.2511789999999996</v>
      </c>
      <c r="E134" s="1">
        <f t="shared" si="7"/>
        <v>7.0869045572592029</v>
      </c>
      <c r="F134" s="1">
        <f t="shared" si="8"/>
        <v>7.2511789999999996</v>
      </c>
      <c r="G134" s="1">
        <f t="shared" si="9"/>
        <v>7.9547778307751704</v>
      </c>
      <c r="H134" s="45">
        <f t="shared" si="10"/>
        <v>0.97734514032258801</v>
      </c>
      <c r="I134" s="1">
        <f t="shared" si="11"/>
        <v>2.4201810865191153</v>
      </c>
      <c r="J134" s="1">
        <f t="shared" si="12"/>
        <v>0.23695182847443125</v>
      </c>
      <c r="K134" s="1">
        <f t="shared" si="13"/>
        <v>2.5549389567147638</v>
      </c>
      <c r="L134" s="1">
        <f t="shared" si="14"/>
        <v>3.4205231388402177E-4</v>
      </c>
      <c r="M134" s="1">
        <f t="shared" si="15"/>
        <v>0.16386229173190095</v>
      </c>
      <c r="N134" s="1">
        <f t="shared" si="16"/>
        <v>15.312985571587124</v>
      </c>
      <c r="O134" s="1">
        <f t="shared" si="17"/>
        <v>33.4530469884835</v>
      </c>
      <c r="P134" s="1">
        <f t="shared" si="18"/>
        <v>65.646615968191668</v>
      </c>
      <c r="Q134" s="1">
        <f t="shared" si="19"/>
        <v>161.27651870500901</v>
      </c>
      <c r="R134" s="1">
        <f t="shared" si="20"/>
        <v>15.65089713570419</v>
      </c>
      <c r="S134" s="130">
        <f t="shared" si="21"/>
        <v>1.9623508731743056</v>
      </c>
      <c r="T134" s="130">
        <f t="shared" si="22"/>
        <v>4.8209814418557997</v>
      </c>
      <c r="U134" s="130">
        <f t="shared" si="23"/>
        <v>0.46784668496989662</v>
      </c>
      <c r="Y134" s="112">
        <v>0.31370647568546134</v>
      </c>
      <c r="Z134" s="112">
        <v>0.33423796717059234</v>
      </c>
    </row>
    <row r="135" spans="1:26" ht="16.5" customHeight="1">
      <c r="A135" s="5">
        <f t="shared" si="3"/>
        <v>132</v>
      </c>
      <c r="B135" s="144">
        <f t="shared" si="4"/>
        <v>0.31790017593089587</v>
      </c>
      <c r="C135" s="144">
        <f t="shared" si="5"/>
        <v>0.32526910178933099</v>
      </c>
      <c r="D135" s="1">
        <f t="shared" si="6"/>
        <v>7.2511789999999996</v>
      </c>
      <c r="E135" s="1">
        <f t="shared" si="7"/>
        <v>7.0869045572592029</v>
      </c>
      <c r="F135" s="1">
        <f t="shared" si="8"/>
        <v>7.2511789999999996</v>
      </c>
      <c r="G135" s="1">
        <f t="shared" si="9"/>
        <v>7.9547778307751704</v>
      </c>
      <c r="H135" s="45">
        <f t="shared" si="10"/>
        <v>0.97734514032258801</v>
      </c>
      <c r="I135" s="1">
        <f t="shared" si="11"/>
        <v>2.444088744808024</v>
      </c>
      <c r="J135" s="1">
        <f t="shared" si="12"/>
        <v>0.24537331691229369</v>
      </c>
      <c r="K135" s="1">
        <f t="shared" si="13"/>
        <v>2.4732865623313574</v>
      </c>
      <c r="L135" s="1">
        <f t="shared" si="14"/>
        <v>3.4444331881360182E-4</v>
      </c>
      <c r="M135" s="1">
        <f t="shared" si="15"/>
        <v>0.15978277939875879</v>
      </c>
      <c r="N135" s="1">
        <f t="shared" si="16"/>
        <v>14.875337290879655</v>
      </c>
      <c r="O135" s="1">
        <f t="shared" si="17"/>
        <v>32.710531515213745</v>
      </c>
      <c r="P135" s="1">
        <f t="shared" si="18"/>
        <v>62.963876687995494</v>
      </c>
      <c r="Q135" s="1">
        <f t="shared" si="19"/>
        <v>158.43696695138874</v>
      </c>
      <c r="R135" s="1">
        <f t="shared" si="20"/>
        <v>15.789075562571799</v>
      </c>
      <c r="S135" s="130">
        <f t="shared" si="21"/>
        <v>1.9248808799915356</v>
      </c>
      <c r="T135" s="130">
        <f t="shared" si="22"/>
        <v>4.8436072302187858</v>
      </c>
      <c r="U135" s="130">
        <f t="shared" si="23"/>
        <v>0.48269088978967717</v>
      </c>
      <c r="Y135" s="112">
        <v>0.31363472834230344</v>
      </c>
      <c r="Z135" s="112">
        <v>0.33419212793616582</v>
      </c>
    </row>
    <row r="136" spans="1:26" ht="16.5" customHeight="1">
      <c r="A136" s="321" t="s">
        <v>16</v>
      </c>
      <c r="B136" s="267" t="s">
        <v>191</v>
      </c>
      <c r="C136" s="267"/>
      <c r="D136" s="267"/>
      <c r="E136" s="267"/>
      <c r="F136" s="254" t="s">
        <v>192</v>
      </c>
      <c r="G136" s="254"/>
      <c r="H136" s="254"/>
      <c r="I136" s="254"/>
      <c r="Y136" s="112">
        <v>0.31356269627183753</v>
      </c>
      <c r="Z136" s="112">
        <v>0.33414470712927269</v>
      </c>
    </row>
    <row r="137" spans="1:26" ht="16.5" customHeight="1">
      <c r="A137" s="322"/>
      <c r="B137" s="61" t="s">
        <v>4</v>
      </c>
      <c r="C137" s="61" t="s">
        <v>5</v>
      </c>
      <c r="D137" s="61" t="s">
        <v>6</v>
      </c>
      <c r="E137" s="61" t="s">
        <v>195</v>
      </c>
      <c r="F137" s="21" t="s">
        <v>4</v>
      </c>
      <c r="G137" s="21" t="s">
        <v>5</v>
      </c>
      <c r="H137" s="21" t="s">
        <v>6</v>
      </c>
      <c r="I137" s="21" t="s">
        <v>195</v>
      </c>
      <c r="Y137" s="112">
        <v>0.31349040141573009</v>
      </c>
      <c r="Z137" s="112">
        <v>0.33409571919475012</v>
      </c>
    </row>
    <row r="138" spans="1:26" ht="16.5" customHeight="1">
      <c r="A138" s="5">
        <f t="shared" ref="A138:A149" si="24">A124</f>
        <v>-33</v>
      </c>
      <c r="B138" s="45">
        <f t="shared" ref="B138:B149" si="25">E94</f>
        <v>0.11444705882352937</v>
      </c>
      <c r="C138" s="45">
        <f t="shared" ref="C138:C149" si="26">F94</f>
        <v>0.73592941176470617</v>
      </c>
      <c r="D138" s="45">
        <f t="shared" ref="D138:D149" si="27">G94</f>
        <v>4.9030664705882376</v>
      </c>
      <c r="E138" s="45">
        <f t="shared" ref="E138:E149" si="28">T124</f>
        <v>4.5771070044142537</v>
      </c>
      <c r="F138" s="45">
        <f t="shared" ref="F138:F149" si="29">H94</f>
        <v>0.14158823529411757</v>
      </c>
      <c r="G138" s="45">
        <f t="shared" ref="G138:G149" si="30">I94</f>
        <v>3.7999999999999999E-2</v>
      </c>
      <c r="H138" s="45">
        <f t="shared" ref="H138:H149" si="31">J94</f>
        <v>0.36388652941176453</v>
      </c>
      <c r="I138" s="45">
        <f t="shared" ref="I138:I149" si="32">U124</f>
        <v>0.32531332820228864</v>
      </c>
      <c r="Y138" s="112">
        <v>0.31341786579569458</v>
      </c>
      <c r="Z138" s="112">
        <v>0.33404517905479741</v>
      </c>
    </row>
    <row r="139" spans="1:26" ht="16.5" customHeight="1">
      <c r="A139" s="5">
        <f t="shared" si="24"/>
        <v>-18</v>
      </c>
      <c r="B139" s="45">
        <f t="shared" si="25"/>
        <v>0.1199176470588235</v>
      </c>
      <c r="C139" s="45">
        <f t="shared" si="26"/>
        <v>0.73372352941176489</v>
      </c>
      <c r="D139" s="45">
        <f t="shared" si="27"/>
        <v>4.8440811764705902</v>
      </c>
      <c r="E139" s="45">
        <f t="shared" si="28"/>
        <v>4.6028227284588308</v>
      </c>
      <c r="F139" s="45">
        <f t="shared" si="29"/>
        <v>0.14097058823529407</v>
      </c>
      <c r="G139" s="45">
        <f t="shared" si="30"/>
        <v>3.9499999999999993E-2</v>
      </c>
      <c r="H139" s="45">
        <f t="shared" si="31"/>
        <v>0.36785182352941159</v>
      </c>
      <c r="I139" s="45">
        <f t="shared" si="32"/>
        <v>0.33911861372924029</v>
      </c>
      <c r="Y139" s="112">
        <v>0.31334511150678368</v>
      </c>
      <c r="Z139" s="112">
        <v>0.33399310210443089</v>
      </c>
    </row>
    <row r="140" spans="1:26" ht="16.5" customHeight="1">
      <c r="A140" s="5">
        <f t="shared" si="24"/>
        <v>-3</v>
      </c>
      <c r="B140" s="45">
        <f t="shared" si="25"/>
        <v>0.12538823529411763</v>
      </c>
      <c r="C140" s="45">
        <f t="shared" si="26"/>
        <v>0.73151764705882372</v>
      </c>
      <c r="D140" s="45">
        <f t="shared" si="27"/>
        <v>4.7850958823529428</v>
      </c>
      <c r="E140" s="45">
        <f t="shared" si="28"/>
        <v>4.628263184006177</v>
      </c>
      <c r="F140" s="45">
        <f t="shared" si="29"/>
        <v>0.14035294117647054</v>
      </c>
      <c r="G140" s="45">
        <f t="shared" si="30"/>
        <v>4.0999999999999995E-2</v>
      </c>
      <c r="H140" s="45">
        <f t="shared" si="31"/>
        <v>0.37181711764705871</v>
      </c>
      <c r="I140" s="45">
        <f t="shared" si="32"/>
        <v>0.35301722069733737</v>
      </c>
      <c r="Y140" s="112">
        <v>0.31327216071065839</v>
      </c>
      <c r="Z140" s="112">
        <v>0.33393950420679414</v>
      </c>
    </row>
    <row r="141" spans="1:26" ht="16.5" customHeight="1">
      <c r="A141" s="5">
        <f t="shared" si="24"/>
        <v>12</v>
      </c>
      <c r="B141" s="45">
        <f t="shared" si="25"/>
        <v>0.13085882352941178</v>
      </c>
      <c r="C141" s="45">
        <f t="shared" si="26"/>
        <v>0.72931176470588244</v>
      </c>
      <c r="D141" s="45">
        <f t="shared" si="27"/>
        <v>4.7261105882352954</v>
      </c>
      <c r="E141" s="45">
        <f t="shared" si="28"/>
        <v>4.6534209748431676</v>
      </c>
      <c r="F141" s="45">
        <f t="shared" si="29"/>
        <v>0.13973529411764704</v>
      </c>
      <c r="G141" s="45">
        <f t="shared" si="30"/>
        <v>4.2499999999999996E-2</v>
      </c>
      <c r="H141" s="45">
        <f t="shared" si="31"/>
        <v>0.37578241176470584</v>
      </c>
      <c r="I141" s="45">
        <f t="shared" si="32"/>
        <v>0.36701147416217222</v>
      </c>
      <c r="Y141" s="112">
        <v>0.31319903562883805</v>
      </c>
      <c r="Z141" s="112">
        <v>0.33388440168832589</v>
      </c>
    </row>
    <row r="142" spans="1:26" ht="16.5" customHeight="1">
      <c r="A142" s="5">
        <f t="shared" si="24"/>
        <v>25</v>
      </c>
      <c r="B142" s="45">
        <f t="shared" si="25"/>
        <v>0.1356</v>
      </c>
      <c r="C142" s="45">
        <f t="shared" si="26"/>
        <v>0.72740000000000005</v>
      </c>
      <c r="D142" s="45">
        <f t="shared" si="27"/>
        <v>4.6749900000000002</v>
      </c>
      <c r="E142" s="45">
        <f t="shared" si="28"/>
        <v>4.6749900000000002</v>
      </c>
      <c r="F142" s="45">
        <f t="shared" si="29"/>
        <v>0.13919999999999999</v>
      </c>
      <c r="G142" s="45">
        <f t="shared" si="30"/>
        <v>4.3799999999999999E-2</v>
      </c>
      <c r="H142" s="45">
        <f t="shared" si="31"/>
        <v>0.37921899999999997</v>
      </c>
      <c r="I142" s="45">
        <f t="shared" si="32"/>
        <v>0.37921899999999997</v>
      </c>
      <c r="Y142" s="112">
        <v>0.31312575853593089</v>
      </c>
      <c r="Z142" s="112">
        <v>0.33382781133378714</v>
      </c>
    </row>
    <row r="143" spans="1:26" ht="16.5" customHeight="1">
      <c r="A143" s="5">
        <f t="shared" si="24"/>
        <v>42</v>
      </c>
      <c r="B143" s="45">
        <f t="shared" si="25"/>
        <v>0.14180000000000001</v>
      </c>
      <c r="C143" s="45">
        <f t="shared" si="26"/>
        <v>0.72489999999999999</v>
      </c>
      <c r="D143" s="45">
        <f t="shared" si="27"/>
        <v>4.6081399999999997</v>
      </c>
      <c r="E143" s="45">
        <f t="shared" si="28"/>
        <v>4.7028587646315483</v>
      </c>
      <c r="F143" s="45">
        <f t="shared" si="29"/>
        <v>0.13850000000000001</v>
      </c>
      <c r="G143" s="45">
        <f t="shared" si="30"/>
        <v>4.5499999999999999E-2</v>
      </c>
      <c r="H143" s="45">
        <f t="shared" si="31"/>
        <v>0.38371300000000003</v>
      </c>
      <c r="I143" s="45">
        <f t="shared" si="32"/>
        <v>0.39529627517652138</v>
      </c>
      <c r="Y143" s="112">
        <v>0.31305235175284923</v>
      </c>
      <c r="Z143" s="112">
        <v>0.33376975038114803</v>
      </c>
    </row>
    <row r="144" spans="1:26" ht="16.5" customHeight="1">
      <c r="A144" s="5">
        <f t="shared" si="24"/>
        <v>57</v>
      </c>
      <c r="B144" s="45">
        <f t="shared" si="25"/>
        <v>0.14727058823529415</v>
      </c>
      <c r="C144" s="45">
        <f t="shared" si="26"/>
        <v>0.72269411764705882</v>
      </c>
      <c r="D144" s="45">
        <f t="shared" si="27"/>
        <v>4.5491547058823523</v>
      </c>
      <c r="E144" s="45">
        <f t="shared" si="28"/>
        <v>4.7271237689262335</v>
      </c>
      <c r="F144" s="45">
        <f t="shared" si="29"/>
        <v>0.13788235294117651</v>
      </c>
      <c r="G144" s="45">
        <f t="shared" si="30"/>
        <v>4.7E-2</v>
      </c>
      <c r="H144" s="45">
        <f t="shared" si="31"/>
        <v>0.38767829411764715</v>
      </c>
      <c r="I144" s="45">
        <f t="shared" si="32"/>
        <v>0.40959152367341151</v>
      </c>
      <c r="Y144" s="112">
        <v>0.31297883764001039</v>
      </c>
      <c r="Z144" s="112">
        <v>0.33371023651633724</v>
      </c>
    </row>
    <row r="145" spans="1:26" ht="16.5" customHeight="1">
      <c r="A145" s="5">
        <f t="shared" si="24"/>
        <v>72</v>
      </c>
      <c r="B145" s="45">
        <f t="shared" si="25"/>
        <v>0.15274117647058827</v>
      </c>
      <c r="C145" s="45">
        <f t="shared" si="26"/>
        <v>0.72048823529411754</v>
      </c>
      <c r="D145" s="45">
        <f t="shared" si="27"/>
        <v>4.4901694117647049</v>
      </c>
      <c r="E145" s="45">
        <f t="shared" si="28"/>
        <v>4.7510761266419248</v>
      </c>
      <c r="F145" s="45">
        <f t="shared" si="29"/>
        <v>0.13726470588235301</v>
      </c>
      <c r="G145" s="45">
        <f t="shared" si="30"/>
        <v>4.8499999999999995E-2</v>
      </c>
      <c r="H145" s="45">
        <f t="shared" si="31"/>
        <v>0.39164358823529427</v>
      </c>
      <c r="I145" s="45">
        <f t="shared" si="32"/>
        <v>0.42399181810208564</v>
      </c>
      <c r="Y145" s="112">
        <v>0.31290523859052521</v>
      </c>
      <c r="Z145" s="112">
        <v>0.33364928786785453</v>
      </c>
    </row>
    <row r="146" spans="1:26" ht="16.5" customHeight="1">
      <c r="A146" s="5">
        <f t="shared" si="24"/>
        <v>85</v>
      </c>
      <c r="B146" s="45">
        <f t="shared" si="25"/>
        <v>0.15748235294117652</v>
      </c>
      <c r="C146" s="45">
        <f t="shared" si="26"/>
        <v>0.71857647058823515</v>
      </c>
      <c r="D146" s="45">
        <f t="shared" si="27"/>
        <v>4.4390488235294105</v>
      </c>
      <c r="E146" s="45">
        <f t="shared" si="28"/>
        <v>4.7715760851043827</v>
      </c>
      <c r="F146" s="45">
        <f t="shared" si="29"/>
        <v>0.13672941176470596</v>
      </c>
      <c r="G146" s="45">
        <f t="shared" si="30"/>
        <v>4.9799999999999997E-2</v>
      </c>
      <c r="H146" s="45">
        <f t="shared" si="31"/>
        <v>0.39508017647058841</v>
      </c>
      <c r="I146" s="45">
        <f t="shared" si="32"/>
        <v>0.43655887434196672</v>
      </c>
      <c r="Y146" s="112">
        <v>0.31283157702337716</v>
      </c>
      <c r="Z146" s="112">
        <v>0.33358692300124854</v>
      </c>
    </row>
    <row r="147" spans="1:26" ht="16.5" customHeight="1">
      <c r="A147" s="5">
        <f t="shared" si="24"/>
        <v>102</v>
      </c>
      <c r="B147" s="45">
        <f t="shared" si="25"/>
        <v>0.16368235294117653</v>
      </c>
      <c r="C147" s="45">
        <f t="shared" si="26"/>
        <v>0.71607647058823509</v>
      </c>
      <c r="D147" s="45">
        <f t="shared" si="27"/>
        <v>4.37219882352941</v>
      </c>
      <c r="E147" s="45">
        <f t="shared" si="28"/>
        <v>4.7980125735827341</v>
      </c>
      <c r="F147" s="45">
        <f t="shared" si="29"/>
        <v>0.13602941176470598</v>
      </c>
      <c r="G147" s="45">
        <f t="shared" si="30"/>
        <v>5.1499999999999997E-2</v>
      </c>
      <c r="H147" s="45">
        <f t="shared" si="31"/>
        <v>0.39957417647058846</v>
      </c>
      <c r="I147" s="45">
        <f t="shared" si="32"/>
        <v>0.4531170236551712</v>
      </c>
      <c r="Y147" s="112">
        <v>0.31275787537659322</v>
      </c>
      <c r="Z147" s="112">
        <v>0.3335231609134619</v>
      </c>
    </row>
    <row r="148" spans="1:26" ht="16.5" customHeight="1">
      <c r="A148" s="5">
        <f t="shared" si="24"/>
        <v>117</v>
      </c>
      <c r="B148" s="45">
        <f t="shared" si="25"/>
        <v>0.16915294117647067</v>
      </c>
      <c r="C148" s="45">
        <f t="shared" si="26"/>
        <v>0.71387058823529381</v>
      </c>
      <c r="D148" s="45">
        <f t="shared" si="27"/>
        <v>4.3132135294117626</v>
      </c>
      <c r="E148" s="45">
        <f t="shared" si="28"/>
        <v>4.8209814418557997</v>
      </c>
      <c r="F148" s="45">
        <f t="shared" si="29"/>
        <v>0.13541176470588248</v>
      </c>
      <c r="G148" s="45">
        <f t="shared" si="30"/>
        <v>5.2999999999999999E-2</v>
      </c>
      <c r="H148" s="45">
        <f t="shared" si="31"/>
        <v>0.40353947058823558</v>
      </c>
      <c r="I148" s="45">
        <f t="shared" si="32"/>
        <v>0.46784668496989662</v>
      </c>
      <c r="Y148" s="112">
        <v>0.31268415610040889</v>
      </c>
      <c r="Z148" s="112">
        <v>0.33345802102704414</v>
      </c>
    </row>
    <row r="149" spans="1:26" ht="17.25" customHeight="1">
      <c r="A149" s="5">
        <f t="shared" si="24"/>
        <v>132</v>
      </c>
      <c r="B149" s="45">
        <f t="shared" si="25"/>
        <v>0.17462352941176479</v>
      </c>
      <c r="C149" s="45">
        <f t="shared" si="26"/>
        <v>0.71166470588235264</v>
      </c>
      <c r="D149" s="45">
        <f t="shared" si="27"/>
        <v>4.2542282352941152</v>
      </c>
      <c r="E149" s="45">
        <f t="shared" si="28"/>
        <v>4.8436072302187858</v>
      </c>
      <c r="F149" s="45">
        <f t="shared" si="29"/>
        <v>0.13479411764705895</v>
      </c>
      <c r="G149" s="45">
        <f t="shared" si="30"/>
        <v>5.4499999999999993E-2</v>
      </c>
      <c r="H149" s="45">
        <f t="shared" si="31"/>
        <v>0.4075047647058827</v>
      </c>
      <c r="I149" s="45">
        <f t="shared" si="32"/>
        <v>0.48269088978967717</v>
      </c>
      <c r="Y149" s="112">
        <v>0.31261044165042984</v>
      </c>
      <c r="Z149" s="112">
        <v>0.33339152318423571</v>
      </c>
    </row>
    <row r="150" spans="1:26" ht="16.5" customHeight="1">
      <c r="B150" s="369" t="s">
        <v>100</v>
      </c>
      <c r="C150" s="369"/>
      <c r="D150" s="369" t="s">
        <v>101</v>
      </c>
      <c r="E150" s="369"/>
      <c r="F150" s="370" t="s">
        <v>100</v>
      </c>
      <c r="G150" s="370"/>
      <c r="H150" s="370" t="s">
        <v>101</v>
      </c>
      <c r="I150" s="370"/>
      <c r="Y150" s="112">
        <v>0.31253675448079166</v>
      </c>
      <c r="Z150" s="112">
        <v>0.33332368764092374</v>
      </c>
    </row>
    <row r="151" spans="1:26" ht="16.5" customHeight="1">
      <c r="B151" s="1" t="s">
        <v>67</v>
      </c>
      <c r="C151" s="1" t="s">
        <v>68</v>
      </c>
      <c r="D151" s="1" t="s">
        <v>67</v>
      </c>
      <c r="E151" s="1" t="s">
        <v>68</v>
      </c>
      <c r="F151" s="1" t="s">
        <v>67</v>
      </c>
      <c r="G151" s="1" t="s">
        <v>68</v>
      </c>
      <c r="H151" s="1" t="s">
        <v>67</v>
      </c>
      <c r="I151" s="1" t="s">
        <v>68</v>
      </c>
      <c r="Y151" s="112">
        <v>0.31246311703732005</v>
      </c>
      <c r="Z151" s="112">
        <v>0.33325453506047187</v>
      </c>
    </row>
    <row r="152" spans="1:26" ht="16.5" customHeight="1" thickBot="1">
      <c r="B152" s="132">
        <f>ROUND((E143-D143)/E143*256,0)</f>
        <v>5</v>
      </c>
      <c r="C152" s="134" t="str">
        <f>DEC2HEX(B152)</f>
        <v>5</v>
      </c>
      <c r="D152" s="132">
        <f>256-B152*4</f>
        <v>236</v>
      </c>
      <c r="E152" s="134" t="str">
        <f>DEC2HEX(D152)</f>
        <v>EC</v>
      </c>
      <c r="F152" s="132">
        <f>ROUND((I143-H143)/I143*256,0)</f>
        <v>8</v>
      </c>
      <c r="G152" s="23" t="str">
        <f>P153</f>
        <v>8</v>
      </c>
      <c r="H152" s="1">
        <f>256-F152*4</f>
        <v>224</v>
      </c>
      <c r="I152" s="23" t="str">
        <f>DEC2HEX(H152)</f>
        <v>E0</v>
      </c>
      <c r="K152" s="1" t="s">
        <v>156</v>
      </c>
      <c r="L152" s="1" t="s">
        <v>159</v>
      </c>
      <c r="M152" s="1" t="s">
        <v>149</v>
      </c>
      <c r="N152" s="1" t="s">
        <v>150</v>
      </c>
      <c r="O152" s="1" t="s">
        <v>151</v>
      </c>
      <c r="P152" s="1" t="s">
        <v>160</v>
      </c>
      <c r="Y152" s="112">
        <v>0.31238955175069355</v>
      </c>
      <c r="Z152" s="112">
        <v>0.33318408650742593</v>
      </c>
    </row>
    <row r="153" spans="1:26" ht="16.5" customHeight="1">
      <c r="A153" s="136" t="s">
        <v>196</v>
      </c>
      <c r="B153" s="137"/>
      <c r="C153" s="137"/>
      <c r="D153" s="137"/>
      <c r="E153" s="137"/>
      <c r="F153" s="137"/>
      <c r="G153" s="138"/>
      <c r="K153" s="1">
        <f>F152</f>
        <v>8</v>
      </c>
      <c r="L153" s="1" t="s">
        <v>157</v>
      </c>
      <c r="M153" s="1">
        <f>ABS(K153)</f>
        <v>8</v>
      </c>
      <c r="N153" s="1" t="str">
        <f>DEC2BIN(M153)</f>
        <v>1000</v>
      </c>
      <c r="O153" s="1" t="str">
        <f>DEC2HEX(M153)</f>
        <v>8</v>
      </c>
      <c r="P153" s="23" t="str">
        <f>IF(K153&gt;=0,O153,O154)</f>
        <v>8</v>
      </c>
      <c r="Y153" s="112">
        <v>0.31231608102961123</v>
      </c>
      <c r="Z153" s="112">
        <v>0.33311236344109774</v>
      </c>
    </row>
    <row r="154" spans="1:26" ht="16.5" customHeight="1">
      <c r="A154" s="368" t="s">
        <v>16</v>
      </c>
      <c r="B154" s="267" t="s">
        <v>191</v>
      </c>
      <c r="C154" s="267"/>
      <c r="D154" s="267"/>
      <c r="E154" s="254" t="s">
        <v>192</v>
      </c>
      <c r="F154" s="254"/>
      <c r="G154" s="254"/>
      <c r="L154" s="1" t="s">
        <v>158</v>
      </c>
      <c r="M154" s="1">
        <f>255-M153+1</f>
        <v>248</v>
      </c>
      <c r="N154" s="1" t="str">
        <f>DEC2BIN(M154)</f>
        <v>11111000</v>
      </c>
      <c r="O154" s="1" t="str">
        <f>DEC2HEX(M154)</f>
        <v>F8</v>
      </c>
      <c r="Y154" s="112">
        <v>0.31224272725396635</v>
      </c>
      <c r="Z154" s="112">
        <v>0.33303938770902797</v>
      </c>
    </row>
    <row r="155" spans="1:26" ht="16.5" customHeight="1">
      <c r="A155" s="339"/>
      <c r="B155" s="61" t="s">
        <v>197</v>
      </c>
      <c r="C155" s="61" t="s">
        <v>198</v>
      </c>
      <c r="D155" s="61" t="s">
        <v>199</v>
      </c>
      <c r="E155" s="21" t="s">
        <v>197</v>
      </c>
      <c r="F155" s="21" t="s">
        <v>198</v>
      </c>
      <c r="G155" s="21" t="s">
        <v>199</v>
      </c>
      <c r="Y155" s="112">
        <v>0.31216951276802968</v>
      </c>
      <c r="Z155" s="112">
        <v>0.33296518154033161</v>
      </c>
    </row>
    <row r="156" spans="1:26" ht="16.5" customHeight="1">
      <c r="A156" s="1">
        <f t="shared" ref="A156:A167" si="33">A124</f>
        <v>-33</v>
      </c>
      <c r="B156" s="1">
        <f>D152</f>
        <v>236</v>
      </c>
      <c r="C156" s="20">
        <f>B156/256</f>
        <v>0.921875</v>
      </c>
      <c r="D156" s="135">
        <f t="shared" ref="D156:D167" si="34">G94*C156</f>
        <v>4.5200144025735316</v>
      </c>
      <c r="E156" s="1">
        <f>H152</f>
        <v>224</v>
      </c>
      <c r="F156" s="20">
        <f>E156/256</f>
        <v>0.875</v>
      </c>
      <c r="G156" s="131">
        <f t="shared" ref="G156:G167" si="35">J94*F156</f>
        <v>0.31840071323529395</v>
      </c>
      <c r="Y156" s="112">
        <v>0.31209645987364276</v>
      </c>
      <c r="Z156" s="112">
        <v>0.33288976753892652</v>
      </c>
    </row>
    <row r="157" spans="1:26" ht="16.5" customHeight="1">
      <c r="A157" s="1">
        <f t="shared" si="33"/>
        <v>-18</v>
      </c>
      <c r="B157" s="1">
        <f>B156+$B$152</f>
        <v>241</v>
      </c>
      <c r="C157" s="20">
        <f t="shared" ref="C157:C167" si="36">B157/256</f>
        <v>0.94140625</v>
      </c>
      <c r="D157" s="135">
        <f t="shared" si="34"/>
        <v>4.5602482950367662</v>
      </c>
      <c r="E157" s="1">
        <f>E156+$F$152</f>
        <v>232</v>
      </c>
      <c r="F157" s="20">
        <f t="shared" ref="F157:F167" si="37">E157/256</f>
        <v>0.90625</v>
      </c>
      <c r="G157" s="131">
        <f t="shared" si="35"/>
        <v>0.33336571507352925</v>
      </c>
      <c r="Y157" s="112">
        <v>0.31202359082342496</v>
      </c>
      <c r="Z157" s="112">
        <v>0.33281316867664801</v>
      </c>
    </row>
    <row r="158" spans="1:26" ht="16.5" customHeight="1">
      <c r="A158" s="1">
        <f t="shared" si="33"/>
        <v>-3</v>
      </c>
      <c r="B158" s="1">
        <f t="shared" ref="B158:B167" si="38">B157+$B$152</f>
        <v>246</v>
      </c>
      <c r="C158" s="20">
        <f t="shared" si="36"/>
        <v>0.9609375</v>
      </c>
      <c r="D158" s="135">
        <f t="shared" si="34"/>
        <v>4.5981780744485308</v>
      </c>
      <c r="E158" s="1">
        <f t="shared" ref="E158:E167" si="39">E157+$F$152</f>
        <v>240</v>
      </c>
      <c r="F158" s="20">
        <f t="shared" si="37"/>
        <v>0.9375</v>
      </c>
      <c r="G158" s="131">
        <f t="shared" si="35"/>
        <v>0.34857854779411757</v>
      </c>
      <c r="Y158" s="112">
        <v>0.31195092781399486</v>
      </c>
      <c r="Z158" s="112">
        <v>0.33273540828625159</v>
      </c>
    </row>
    <row r="159" spans="1:26" ht="16.5" customHeight="1">
      <c r="A159" s="1">
        <f t="shared" si="33"/>
        <v>12</v>
      </c>
      <c r="B159" s="1">
        <f t="shared" si="38"/>
        <v>251</v>
      </c>
      <c r="C159" s="20">
        <f t="shared" si="36"/>
        <v>0.98046875</v>
      </c>
      <c r="D159" s="135">
        <f t="shared" si="34"/>
        <v>4.6338037408088244</v>
      </c>
      <c r="E159" s="1">
        <f t="shared" si="39"/>
        <v>248</v>
      </c>
      <c r="F159" s="20">
        <f t="shared" si="37"/>
        <v>0.96875</v>
      </c>
      <c r="G159" s="131">
        <f t="shared" si="35"/>
        <v>0.3640392113970588</v>
      </c>
      <c r="Y159" s="112">
        <v>0.31187849297920905</v>
      </c>
      <c r="Z159" s="112">
        <v>0.33265651005430552</v>
      </c>
    </row>
    <row r="160" spans="1:26" ht="16.5" customHeight="1">
      <c r="A160" s="1">
        <f t="shared" si="33"/>
        <v>25</v>
      </c>
      <c r="B160" s="1">
        <f t="shared" si="38"/>
        <v>256</v>
      </c>
      <c r="C160" s="20">
        <f t="shared" si="36"/>
        <v>1</v>
      </c>
      <c r="D160" s="135">
        <f t="shared" si="34"/>
        <v>4.6749900000000002</v>
      </c>
      <c r="E160" s="1">
        <f t="shared" si="39"/>
        <v>256</v>
      </c>
      <c r="F160" s="20">
        <f t="shared" si="37"/>
        <v>1</v>
      </c>
      <c r="G160" s="131">
        <f t="shared" si="35"/>
        <v>0.37921899999999997</v>
      </c>
      <c r="Y160" s="112">
        <v>0.31180630838341988</v>
      </c>
      <c r="Z160" s="112">
        <v>0.33257649801397543</v>
      </c>
    </row>
    <row r="161" spans="1:26" ht="16.5" customHeight="1">
      <c r="A161" s="1">
        <f t="shared" si="33"/>
        <v>42</v>
      </c>
      <c r="B161" s="1">
        <f t="shared" si="38"/>
        <v>261</v>
      </c>
      <c r="C161" s="20">
        <f t="shared" si="36"/>
        <v>1.01953125</v>
      </c>
      <c r="D161" s="135">
        <f t="shared" si="34"/>
        <v>4.6981427343749997</v>
      </c>
      <c r="E161" s="1">
        <f t="shared" si="39"/>
        <v>264</v>
      </c>
      <c r="F161" s="20">
        <f t="shared" si="37"/>
        <v>1.03125</v>
      </c>
      <c r="G161" s="131">
        <f t="shared" si="35"/>
        <v>0.39570403125000003</v>
      </c>
      <c r="Y161" s="112">
        <v>0.3117343960147545</v>
      </c>
      <c r="Z161" s="112">
        <v>0.33249539653770405</v>
      </c>
    </row>
    <row r="162" spans="1:26" ht="16.5" customHeight="1">
      <c r="A162" s="1">
        <f t="shared" si="33"/>
        <v>57</v>
      </c>
      <c r="B162" s="1">
        <f t="shared" si="38"/>
        <v>266</v>
      </c>
      <c r="C162" s="20">
        <f t="shared" si="36"/>
        <v>1.0390625</v>
      </c>
      <c r="D162" s="135">
        <f t="shared" si="34"/>
        <v>4.7268560615808815</v>
      </c>
      <c r="E162" s="1">
        <f t="shared" si="39"/>
        <v>272</v>
      </c>
      <c r="F162" s="20">
        <f t="shared" si="37"/>
        <v>1.0625</v>
      </c>
      <c r="G162" s="131">
        <f t="shared" si="35"/>
        <v>0.41190818750000008</v>
      </c>
      <c r="Y162" s="112">
        <v>0.31166277777841705</v>
      </c>
      <c r="Z162" s="112">
        <v>0.33241323032978654</v>
      </c>
    </row>
    <row r="163" spans="1:26" ht="16.5" customHeight="1">
      <c r="A163" s="1">
        <f t="shared" si="33"/>
        <v>72</v>
      </c>
      <c r="B163" s="1">
        <f t="shared" si="38"/>
        <v>271</v>
      </c>
      <c r="C163" s="20">
        <f t="shared" si="36"/>
        <v>1.05859375</v>
      </c>
      <c r="D163" s="135">
        <f t="shared" si="34"/>
        <v>4.7532652757352931</v>
      </c>
      <c r="E163" s="1">
        <f t="shared" si="39"/>
        <v>280</v>
      </c>
      <c r="F163" s="20">
        <f t="shared" si="37"/>
        <v>1.09375</v>
      </c>
      <c r="G163" s="131">
        <f t="shared" si="35"/>
        <v>0.4283601746323531</v>
      </c>
      <c r="Y163" s="112">
        <v>0.31159147549001609</v>
      </c>
      <c r="Z163" s="112">
        <v>0.3323300244188459</v>
      </c>
    </row>
    <row r="164" spans="1:26" ht="16.5" customHeight="1">
      <c r="A164" s="1">
        <f t="shared" si="33"/>
        <v>85</v>
      </c>
      <c r="B164" s="1">
        <f t="shared" si="38"/>
        <v>276</v>
      </c>
      <c r="C164" s="20">
        <f t="shared" si="36"/>
        <v>1.078125</v>
      </c>
      <c r="D164" s="135">
        <f t="shared" si="34"/>
        <v>4.7858495128676459</v>
      </c>
      <c r="E164" s="1">
        <f t="shared" si="39"/>
        <v>288</v>
      </c>
      <c r="F164" s="20">
        <f t="shared" si="37"/>
        <v>1.125</v>
      </c>
      <c r="G164" s="131">
        <f t="shared" si="35"/>
        <v>0.44446519852941196</v>
      </c>
      <c r="Y164" s="112">
        <v>0.31152051086891941</v>
      </c>
      <c r="Z164" s="112">
        <v>0.33224580415020866</v>
      </c>
    </row>
    <row r="165" spans="1:26" ht="16.5" customHeight="1">
      <c r="A165" s="1">
        <f t="shared" si="33"/>
        <v>102</v>
      </c>
      <c r="B165" s="1">
        <f t="shared" si="38"/>
        <v>281</v>
      </c>
      <c r="C165" s="20">
        <f t="shared" si="36"/>
        <v>1.09765625</v>
      </c>
      <c r="D165" s="135">
        <f t="shared" si="34"/>
        <v>4.7991713648897036</v>
      </c>
      <c r="E165" s="1">
        <f t="shared" si="39"/>
        <v>296</v>
      </c>
      <c r="F165" s="20">
        <f t="shared" si="37"/>
        <v>1.15625</v>
      </c>
      <c r="G165" s="131">
        <f t="shared" si="35"/>
        <v>0.46200764154411789</v>
      </c>
      <c r="Y165" s="112">
        <v>0.31144990553163798</v>
      </c>
      <c r="Z165" s="112">
        <v>0.33216059517818441</v>
      </c>
    </row>
    <row r="166" spans="1:26" ht="16.5" customHeight="1">
      <c r="A166" s="1">
        <f t="shared" si="33"/>
        <v>117</v>
      </c>
      <c r="B166" s="1">
        <f t="shared" si="38"/>
        <v>286</v>
      </c>
      <c r="C166" s="20">
        <f t="shared" si="36"/>
        <v>1.1171875</v>
      </c>
      <c r="D166" s="135">
        <f t="shared" si="34"/>
        <v>4.8186682398897034</v>
      </c>
      <c r="E166" s="1">
        <f t="shared" si="39"/>
        <v>304</v>
      </c>
      <c r="F166" s="20">
        <f t="shared" si="37"/>
        <v>1.1875</v>
      </c>
      <c r="G166" s="131">
        <f t="shared" si="35"/>
        <v>0.47920312132352977</v>
      </c>
      <c r="Y166" s="112">
        <v>0.3113796809852416</v>
      </c>
      <c r="Z166" s="112">
        <v>0.3320744234582515</v>
      </c>
    </row>
    <row r="167" spans="1:26" ht="16.5" customHeight="1">
      <c r="A167" s="1">
        <f t="shared" si="33"/>
        <v>132</v>
      </c>
      <c r="B167" s="1">
        <f t="shared" si="38"/>
        <v>291</v>
      </c>
      <c r="C167" s="20">
        <f t="shared" si="36"/>
        <v>1.13671875</v>
      </c>
      <c r="D167" s="135">
        <f t="shared" si="34"/>
        <v>4.8358610018382322</v>
      </c>
      <c r="E167" s="1">
        <f t="shared" si="39"/>
        <v>312</v>
      </c>
      <c r="F167" s="20">
        <f t="shared" si="37"/>
        <v>1.21875</v>
      </c>
      <c r="G167" s="131">
        <f t="shared" si="35"/>
        <v>0.49664643198529457</v>
      </c>
      <c r="Y167" s="112">
        <v>0.31130985862080734</v>
      </c>
      <c r="Z167" s="112">
        <v>0.33198731523915059</v>
      </c>
    </row>
    <row r="168" spans="1:26" ht="16.5" customHeight="1">
      <c r="Y168" s="112">
        <v>0.31124045970690373</v>
      </c>
      <c r="Z168" s="112">
        <v>0.33189929705488913</v>
      </c>
    </row>
    <row r="169" spans="1:26" ht="16.5" customHeight="1">
      <c r="Y169" s="112">
        <v>0.31117150538311233</v>
      </c>
      <c r="Z169" s="112">
        <v>0.33181039571665855</v>
      </c>
    </row>
    <row r="170" spans="1:26" ht="16.5" customHeight="1">
      <c r="A170" s="5"/>
      <c r="B170" s="21" t="s">
        <v>79</v>
      </c>
      <c r="C170" s="21" t="s">
        <v>80</v>
      </c>
      <c r="D170" s="48" t="s">
        <v>81</v>
      </c>
      <c r="E170" s="49" t="s">
        <v>200</v>
      </c>
      <c r="F170" s="48" t="s">
        <v>83</v>
      </c>
      <c r="G170" s="21" t="s">
        <v>84</v>
      </c>
      <c r="H170" s="21" t="s">
        <v>85</v>
      </c>
      <c r="I170" s="21" t="s">
        <v>86</v>
      </c>
      <c r="Y170" s="112">
        <v>0.31110301665358808</v>
      </c>
      <c r="Z170" s="112">
        <v>0.3317206383046678</v>
      </c>
    </row>
    <row r="171" spans="1:26" ht="16.5" customHeight="1">
      <c r="A171" s="30" t="s">
        <v>3</v>
      </c>
      <c r="B171" s="46" t="s">
        <v>87</v>
      </c>
      <c r="C171" s="46" t="s">
        <v>88</v>
      </c>
      <c r="D171" s="46" t="s">
        <v>89</v>
      </c>
      <c r="E171" s="46" t="s">
        <v>90</v>
      </c>
      <c r="F171" s="46" t="s">
        <v>91</v>
      </c>
      <c r="G171" s="46" t="s">
        <v>92</v>
      </c>
      <c r="H171" s="46" t="s">
        <v>93</v>
      </c>
      <c r="I171" s="46" t="s">
        <v>94</v>
      </c>
      <c r="Y171" s="112">
        <v>0.31103501438066145</v>
      </c>
      <c r="Z171" s="112">
        <v>0.33163005215989405</v>
      </c>
    </row>
    <row r="172" spans="1:26" ht="16.5" customHeight="1">
      <c r="A172" s="5">
        <f t="shared" ref="A172:A183" si="40">A94</f>
        <v>-33</v>
      </c>
      <c r="B172" s="45">
        <f>D156*H124</f>
        <v>4.4176141105433473</v>
      </c>
      <c r="C172" s="45">
        <f>H124*G156</f>
        <v>0.31118738975576049</v>
      </c>
      <c r="D172" s="45">
        <f t="shared" ref="D172:D183" si="41">H124-I124</f>
        <v>-1.2208298361590675</v>
      </c>
      <c r="E172" s="45">
        <f t="shared" ref="E172:E183" si="42">-(B172+C172)</f>
        <v>-4.7288015002991077</v>
      </c>
      <c r="F172" s="45">
        <f>J124*D156</f>
        <v>0.70292387550332969</v>
      </c>
      <c r="G172" s="45">
        <f>K124*G156</f>
        <v>1.1863630290361489</v>
      </c>
      <c r="H172" s="45">
        <f t="shared" ref="H172:H183" si="43">E172+F172+G172</f>
        <v>-2.8395145957596295</v>
      </c>
      <c r="I172" s="23">
        <f t="shared" ref="I172:I183" si="44">H172/D172</f>
        <v>2.3258889254322388</v>
      </c>
      <c r="Y172" s="112">
        <v>0.31096751927848354</v>
      </c>
      <c r="Z172" s="112">
        <v>0.33153866487575445</v>
      </c>
    </row>
    <row r="173" spans="1:26" ht="16.5" customHeight="1">
      <c r="A173" s="5">
        <f t="shared" si="40"/>
        <v>-18</v>
      </c>
      <c r="B173" s="45">
        <f t="shared" ref="B173:B183" si="45">D157*H125</f>
        <v>4.4569365098185507</v>
      </c>
      <c r="C173" s="45">
        <f t="shared" ref="C173:C183" si="46">H125*G157</f>
        <v>0.32581336157727836</v>
      </c>
      <c r="D173" s="45">
        <f t="shared" si="41"/>
        <v>-1.2417250234876573</v>
      </c>
      <c r="E173" s="45">
        <f t="shared" si="42"/>
        <v>-4.7827498713958292</v>
      </c>
      <c r="F173" s="45">
        <f t="shared" ref="F173:F183" si="47">J125*D157</f>
        <v>0.74531376414116135</v>
      </c>
      <c r="G173" s="45">
        <f t="shared" ref="G173:G183" si="48">K125*G157</f>
        <v>1.1897407835796168</v>
      </c>
      <c r="H173" s="45">
        <f t="shared" si="43"/>
        <v>-2.8476953236750511</v>
      </c>
      <c r="I173" s="23">
        <f t="shared" si="44"/>
        <v>2.2933381141636926</v>
      </c>
      <c r="Y173" s="112">
        <v>0.31090055190671639</v>
      </c>
      <c r="Z173" s="112">
        <v>0.33144650428970118</v>
      </c>
    </row>
    <row r="174" spans="1:26" ht="16.5" customHeight="1">
      <c r="A174" s="5">
        <f t="shared" si="40"/>
        <v>-3</v>
      </c>
      <c r="B174" s="45">
        <f t="shared" si="45"/>
        <v>4.4940069954001469</v>
      </c>
      <c r="C174" s="45">
        <f t="shared" si="46"/>
        <v>0.34068154970728576</v>
      </c>
      <c r="D174" s="45">
        <f t="shared" si="41"/>
        <v>-1.2628950426739811</v>
      </c>
      <c r="E174" s="45">
        <f t="shared" si="42"/>
        <v>-4.8346885451074328</v>
      </c>
      <c r="F174" s="45">
        <f t="shared" si="47"/>
        <v>0.78816613193316754</v>
      </c>
      <c r="G174" s="45">
        <f t="shared" si="48"/>
        <v>1.1932688881445686</v>
      </c>
      <c r="H174" s="45">
        <f t="shared" si="43"/>
        <v>-2.8532535250296966</v>
      </c>
      <c r="I174" s="23">
        <f t="shared" si="44"/>
        <v>2.2592958469362445</v>
      </c>
      <c r="Y174" s="112">
        <v>0.31083413266427001</v>
      </c>
      <c r="Z174" s="112">
        <v>0.33135359847474138</v>
      </c>
    </row>
    <row r="175" spans="1:26" ht="16.5" customHeight="1">
      <c r="A175" s="5">
        <f t="shared" si="40"/>
        <v>12</v>
      </c>
      <c r="B175" s="45">
        <f t="shared" si="45"/>
        <v>4.5288255672881341</v>
      </c>
      <c r="C175" s="45">
        <f t="shared" si="46"/>
        <v>0.35579195414578274</v>
      </c>
      <c r="D175" s="45">
        <f t="shared" si="41"/>
        <v>-1.2843453518581667</v>
      </c>
      <c r="E175" s="45">
        <f t="shared" si="42"/>
        <v>-4.8846175214339169</v>
      </c>
      <c r="F175" s="45">
        <f t="shared" si="47"/>
        <v>0.83143332568201378</v>
      </c>
      <c r="G175" s="45">
        <f t="shared" si="48"/>
        <v>1.196920618233513</v>
      </c>
      <c r="H175" s="45">
        <f t="shared" si="43"/>
        <v>-2.8562635775183907</v>
      </c>
      <c r="I175" s="23">
        <f t="shared" si="44"/>
        <v>2.2239061895509664</v>
      </c>
      <c r="Y175" s="112">
        <v>0.31076828178308924</v>
      </c>
      <c r="Z175" s="112">
        <v>0.33125997573088639</v>
      </c>
    </row>
    <row r="176" spans="1:26" ht="16.5" customHeight="1">
      <c r="A176" s="5">
        <f t="shared" si="40"/>
        <v>25</v>
      </c>
      <c r="B176" s="45">
        <f t="shared" si="45"/>
        <v>4.5690787575566958</v>
      </c>
      <c r="C176" s="45">
        <f t="shared" si="46"/>
        <v>0.37062784676799149</v>
      </c>
      <c r="D176" s="45">
        <f t="shared" si="41"/>
        <v>-1.3031666707010343</v>
      </c>
      <c r="E176" s="45">
        <f t="shared" si="42"/>
        <v>-4.9397066043246873</v>
      </c>
      <c r="F176" s="45">
        <f t="shared" si="47"/>
        <v>0.87149937310970582</v>
      </c>
      <c r="G176" s="45">
        <f t="shared" si="48"/>
        <v>1.2051891506849313</v>
      </c>
      <c r="H176" s="45">
        <f t="shared" si="43"/>
        <v>-2.8630180805300505</v>
      </c>
      <c r="I176" s="23">
        <f t="shared" si="44"/>
        <v>2.1969699999999994</v>
      </c>
      <c r="Y176" s="112">
        <v>0.31070301932199024</v>
      </c>
      <c r="Z176" s="112">
        <v>0.33116566457653085</v>
      </c>
    </row>
    <row r="177" spans="1:26" ht="16.5" customHeight="1">
      <c r="A177" s="5">
        <f t="shared" si="40"/>
        <v>42</v>
      </c>
      <c r="B177" s="45">
        <f t="shared" si="45"/>
        <v>4.5917069699832815</v>
      </c>
      <c r="C177" s="45">
        <f t="shared" si="46"/>
        <v>0.38673941194824502</v>
      </c>
      <c r="D177" s="45">
        <f t="shared" si="41"/>
        <v>-1.3281094051319577</v>
      </c>
      <c r="E177" s="45">
        <f t="shared" si="42"/>
        <v>-4.9784463819315263</v>
      </c>
      <c r="F177" s="45">
        <f t="shared" si="47"/>
        <v>0.91901867807197546</v>
      </c>
      <c r="G177" s="45">
        <f t="shared" si="48"/>
        <v>1.2045056775412091</v>
      </c>
      <c r="H177" s="45">
        <f t="shared" si="43"/>
        <v>-2.8549220263183415</v>
      </c>
      <c r="I177" s="23">
        <f t="shared" si="44"/>
        <v>2.1496135900300195</v>
      </c>
      <c r="Y177" s="112">
        <v>0.31063836516055099</v>
      </c>
      <c r="Z177" s="112">
        <v>0.33107069373976611</v>
      </c>
    </row>
    <row r="178" spans="1:26" ht="16.5" customHeight="1">
      <c r="A178" s="5">
        <f t="shared" si="40"/>
        <v>57</v>
      </c>
      <c r="B178" s="45">
        <f t="shared" si="45"/>
        <v>4.6197698007904426</v>
      </c>
      <c r="C178" s="45">
        <f t="shared" si="46"/>
        <v>0.40257646531221047</v>
      </c>
      <c r="D178" s="45">
        <f t="shared" si="41"/>
        <v>-1.3504348126922907</v>
      </c>
      <c r="E178" s="45">
        <f t="shared" si="42"/>
        <v>-5.0223462661026534</v>
      </c>
      <c r="F178" s="45">
        <f t="shared" si="47"/>
        <v>0.96323860357273428</v>
      </c>
      <c r="G178" s="45">
        <f t="shared" si="48"/>
        <v>1.2084014912390493</v>
      </c>
      <c r="H178" s="45">
        <f t="shared" si="43"/>
        <v>-2.8507061712908697</v>
      </c>
      <c r="I178" s="23">
        <f t="shared" si="44"/>
        <v>2.1109542974588806</v>
      </c>
      <c r="Y178" s="112">
        <v>0.31057433899305537</v>
      </c>
      <c r="Z178" s="112">
        <v>0.33097509214962889</v>
      </c>
    </row>
    <row r="179" spans="1:26" ht="16.5" customHeight="1">
      <c r="A179" s="5">
        <f t="shared" si="40"/>
        <v>72</v>
      </c>
      <c r="B179" s="45">
        <f t="shared" si="45"/>
        <v>4.6455807179039947</v>
      </c>
      <c r="C179" s="45">
        <f t="shared" si="46"/>
        <v>0.41865573498466546</v>
      </c>
      <c r="D179" s="45">
        <f t="shared" si="41"/>
        <v>-1.3730638475556036</v>
      </c>
      <c r="E179" s="45">
        <f t="shared" si="42"/>
        <v>-5.0642364528886601</v>
      </c>
      <c r="F179" s="45">
        <f t="shared" si="47"/>
        <v>1.0076768706656651</v>
      </c>
      <c r="G179" s="45">
        <f t="shared" si="48"/>
        <v>1.2123450181984192</v>
      </c>
      <c r="H179" s="45">
        <f t="shared" si="43"/>
        <v>-2.844214564024576</v>
      </c>
      <c r="I179" s="23">
        <f t="shared" si="44"/>
        <v>2.071436495169535</v>
      </c>
      <c r="Y179" s="112">
        <v>0.31051096032249415</v>
      </c>
      <c r="Z179" s="112">
        <v>0.33087888892728978</v>
      </c>
    </row>
    <row r="180" spans="1:26" ht="16.5" customHeight="1">
      <c r="A180" s="5">
        <f t="shared" si="40"/>
        <v>85</v>
      </c>
      <c r="B180" s="45">
        <f t="shared" si="45"/>
        <v>4.6774267637164186</v>
      </c>
      <c r="C180" s="45">
        <f t="shared" si="46"/>
        <v>0.43439590182523508</v>
      </c>
      <c r="D180" s="45">
        <f t="shared" si="41"/>
        <v>-1.3929260945096753</v>
      </c>
      <c r="E180" s="45">
        <f t="shared" si="42"/>
        <v>-5.1118226655416539</v>
      </c>
      <c r="F180" s="45">
        <f t="shared" si="47"/>
        <v>1.048861009172487</v>
      </c>
      <c r="G180" s="45">
        <f t="shared" si="48"/>
        <v>1.2203105450765011</v>
      </c>
      <c r="H180" s="45">
        <f t="shared" si="43"/>
        <v>-2.8426511112926658</v>
      </c>
      <c r="I180" s="23">
        <f t="shared" si="44"/>
        <v>2.0407766948276671</v>
      </c>
      <c r="Y180" s="112">
        <v>0.31044824845462443</v>
      </c>
      <c r="Z180" s="112">
        <v>0.33078211337718227</v>
      </c>
    </row>
    <row r="181" spans="1:26" ht="16.5" customHeight="1">
      <c r="A181" s="5">
        <f t="shared" si="40"/>
        <v>102</v>
      </c>
      <c r="B181" s="45">
        <f t="shared" si="45"/>
        <v>4.6904468110502737</v>
      </c>
      <c r="C181" s="45">
        <f t="shared" si="46"/>
        <v>0.45154092325504386</v>
      </c>
      <c r="D181" s="45">
        <f t="shared" si="41"/>
        <v>-1.419257916925889</v>
      </c>
      <c r="E181" s="45">
        <f t="shared" si="42"/>
        <v>-5.1419877343053173</v>
      </c>
      <c r="F181" s="45">
        <f t="shared" si="47"/>
        <v>1.097005268903428</v>
      </c>
      <c r="G181" s="45">
        <f t="shared" si="48"/>
        <v>1.2203228681562233</v>
      </c>
      <c r="H181" s="45">
        <f t="shared" si="43"/>
        <v>-2.8246595972456663</v>
      </c>
      <c r="I181" s="23">
        <f t="shared" si="44"/>
        <v>1.9902369848067332</v>
      </c>
      <c r="Y181" s="112">
        <v>0.31038622249208864</v>
      </c>
      <c r="Z181" s="112">
        <v>0.33068479497807629</v>
      </c>
    </row>
    <row r="182" spans="1:26" ht="16.5" customHeight="1">
      <c r="A182" s="5">
        <f t="shared" si="40"/>
        <v>117</v>
      </c>
      <c r="B182" s="45">
        <f t="shared" si="45"/>
        <v>4.7095019870830006</v>
      </c>
      <c r="C182" s="45">
        <f t="shared" si="46"/>
        <v>0.46834684185296738</v>
      </c>
      <c r="D182" s="45">
        <f t="shared" si="41"/>
        <v>-1.4428359461965274</v>
      </c>
      <c r="E182" s="45">
        <f t="shared" si="42"/>
        <v>-5.1778488289359679</v>
      </c>
      <c r="F182" s="45">
        <f t="shared" si="47"/>
        <v>1.1417922502535345</v>
      </c>
      <c r="G182" s="45">
        <f t="shared" si="48"/>
        <v>1.2243347228487975</v>
      </c>
      <c r="H182" s="45">
        <f t="shared" si="43"/>
        <v>-2.8117218558336363</v>
      </c>
      <c r="I182" s="23">
        <f t="shared" si="44"/>
        <v>1.9487467464652797</v>
      </c>
      <c r="Y182" s="112">
        <v>0.3103249013285958</v>
      </c>
      <c r="Z182" s="112">
        <v>0.33058696337409899</v>
      </c>
    </row>
    <row r="183" spans="1:26" ht="16.5" customHeight="1">
      <c r="A183" s="5">
        <f t="shared" si="40"/>
        <v>132</v>
      </c>
      <c r="B183" s="45">
        <f t="shared" si="45"/>
        <v>4.7263052494221185</v>
      </c>
      <c r="C183" s="45">
        <f t="shared" si="46"/>
        <v>0.48539497675938037</v>
      </c>
      <c r="D183" s="45">
        <f t="shared" si="41"/>
        <v>-1.4667436044854361</v>
      </c>
      <c r="E183" s="45">
        <f t="shared" si="42"/>
        <v>-5.2117002261814989</v>
      </c>
      <c r="F183" s="45">
        <f t="shared" si="47"/>
        <v>1.1865912541478547</v>
      </c>
      <c r="G183" s="45">
        <f t="shared" si="48"/>
        <v>1.2283489464590436</v>
      </c>
      <c r="H183" s="45">
        <f t="shared" si="43"/>
        <v>-2.7967600255746006</v>
      </c>
      <c r="I183" s="23">
        <f t="shared" si="44"/>
        <v>1.9067818104144805</v>
      </c>
      <c r="Y183" s="112">
        <v>0.31026430364316637</v>
      </c>
      <c r="Z183" s="112">
        <v>0.33048864836570474</v>
      </c>
    </row>
    <row r="184" spans="1:26" ht="16.5" customHeight="1">
      <c r="Y184" s="112">
        <v>0.3102044478944424</v>
      </c>
      <c r="Z184" s="112">
        <v>0.33038987990059743</v>
      </c>
    </row>
    <row r="185" spans="1:26" ht="16.5" customHeight="1">
      <c r="A185" s="139"/>
      <c r="B185" s="266" t="s">
        <v>0</v>
      </c>
      <c r="C185" s="266"/>
      <c r="D185" s="266"/>
      <c r="E185" s="266"/>
      <c r="Y185" s="112">
        <v>0.31014535231506468</v>
      </c>
      <c r="Z185" s="112">
        <v>0.33029068806460826</v>
      </c>
    </row>
    <row r="186" spans="1:26" ht="16.5" customHeight="1">
      <c r="A186" s="30" t="str">
        <f t="shared" ref="A186:A198" si="49">A171</f>
        <v>Temp</v>
      </c>
      <c r="B186" s="50" t="s">
        <v>4</v>
      </c>
      <c r="C186" s="50" t="s">
        <v>5</v>
      </c>
      <c r="D186" s="50" t="s">
        <v>6</v>
      </c>
      <c r="E186" s="50" t="s">
        <v>195</v>
      </c>
      <c r="Y186" s="112">
        <v>0.31008703490611927</v>
      </c>
      <c r="Z186" s="112">
        <v>0.33019110307253152</v>
      </c>
    </row>
    <row r="187" spans="1:26" ht="16.5" customHeight="1">
      <c r="A187" s="5">
        <f t="shared" si="49"/>
        <v>-33</v>
      </c>
      <c r="B187" s="1">
        <f t="shared" ref="B187:D198" si="50">B94</f>
        <v>0.68725294117647073</v>
      </c>
      <c r="C187" s="1">
        <f t="shared" si="50"/>
        <v>0.3126470588235295</v>
      </c>
      <c r="D187" s="1">
        <f t="shared" si="50"/>
        <v>3.1726323529411755</v>
      </c>
      <c r="E187" s="131">
        <f t="shared" ref="E187:E198" si="51">I172</f>
        <v>2.3258889254322388</v>
      </c>
      <c r="Y187" s="112">
        <v>0.3100295134316538</v>
      </c>
      <c r="Z187" s="112">
        <v>0.33009115525892035</v>
      </c>
    </row>
    <row r="188" spans="1:26" ht="16.5" customHeight="1">
      <c r="A188" s="5">
        <f t="shared" si="49"/>
        <v>-18</v>
      </c>
      <c r="B188" s="1">
        <f t="shared" si="50"/>
        <v>0.68928235294117668</v>
      </c>
      <c r="C188" s="1">
        <f t="shared" si="50"/>
        <v>0.31061764705882361</v>
      </c>
      <c r="D188" s="1">
        <f t="shared" si="50"/>
        <v>2.9203058823529404</v>
      </c>
      <c r="E188" s="131">
        <f t="shared" si="51"/>
        <v>2.2933381141636926</v>
      </c>
      <c r="Y188" s="112">
        <v>0.30997280541326661</v>
      </c>
      <c r="Z188" s="112">
        <v>0.32999087506884711</v>
      </c>
    </row>
    <row r="189" spans="1:26" ht="16.5" customHeight="1">
      <c r="A189" s="5">
        <f t="shared" si="49"/>
        <v>-3</v>
      </c>
      <c r="B189" s="1">
        <f t="shared" si="50"/>
        <v>0.69131176470588251</v>
      </c>
      <c r="C189" s="1">
        <f t="shared" si="50"/>
        <v>0.30858823529411772</v>
      </c>
      <c r="D189" s="1">
        <f t="shared" si="50"/>
        <v>2.6679794117647053</v>
      </c>
      <c r="E189" s="131">
        <f t="shared" si="51"/>
        <v>2.2592958469362445</v>
      </c>
      <c r="Y189" s="112">
        <v>0.30991692812476945</v>
      </c>
      <c r="Z189" s="112">
        <v>0.32989029304862905</v>
      </c>
    </row>
    <row r="190" spans="1:26" ht="16.5" customHeight="1">
      <c r="A190" s="5">
        <f t="shared" si="49"/>
        <v>12</v>
      </c>
      <c r="B190" s="1">
        <f t="shared" si="50"/>
        <v>0.69334117647058835</v>
      </c>
      <c r="C190" s="1">
        <f t="shared" si="50"/>
        <v>0.30655882352941177</v>
      </c>
      <c r="D190" s="1">
        <f t="shared" si="50"/>
        <v>2.4156529411764702</v>
      </c>
      <c r="E190" s="131">
        <f t="shared" si="51"/>
        <v>2.2239061895509664</v>
      </c>
      <c r="Y190" s="112">
        <v>0.30986189858692575</v>
      </c>
      <c r="Z190" s="112">
        <v>0.32978943983652387</v>
      </c>
    </row>
    <row r="191" spans="1:26" ht="16.5" customHeight="1">
      <c r="A191" s="5">
        <f t="shared" si="49"/>
        <v>25</v>
      </c>
      <c r="B191" s="1">
        <f t="shared" si="50"/>
        <v>0.69510000000000005</v>
      </c>
      <c r="C191" s="1">
        <f t="shared" si="50"/>
        <v>0.30480000000000002</v>
      </c>
      <c r="D191" s="1">
        <f t="shared" si="50"/>
        <v>2.1969699999999994</v>
      </c>
      <c r="E191" s="131">
        <f t="shared" si="51"/>
        <v>2.1969699999999994</v>
      </c>
      <c r="Y191" s="112">
        <v>0.30980773356226576</v>
      </c>
      <c r="Z191" s="112">
        <v>0.32968834615339709</v>
      </c>
    </row>
    <row r="192" spans="1:26" ht="16.5" customHeight="1">
      <c r="A192" s="5">
        <f t="shared" si="49"/>
        <v>42</v>
      </c>
      <c r="B192" s="1">
        <f t="shared" si="50"/>
        <v>0.69740000000000002</v>
      </c>
      <c r="C192" s="1">
        <f t="shared" si="50"/>
        <v>0.30249999999999999</v>
      </c>
      <c r="D192" s="1">
        <f t="shared" si="50"/>
        <v>1.9109999999999998</v>
      </c>
      <c r="E192" s="131">
        <f t="shared" si="51"/>
        <v>2.1496135900300195</v>
      </c>
      <c r="Y192" s="112">
        <v>0.30975444954998071</v>
      </c>
      <c r="Z192" s="112">
        <v>0.32958704279336376</v>
      </c>
    </row>
    <row r="193" spans="1:26" ht="16.5" customHeight="1">
      <c r="A193" s="5">
        <f t="shared" si="49"/>
        <v>57</v>
      </c>
      <c r="B193" s="1">
        <f t="shared" si="50"/>
        <v>0.69942941176470586</v>
      </c>
      <c r="C193" s="1">
        <f t="shared" si="50"/>
        <v>0.3004705882352941</v>
      </c>
      <c r="D193" s="1">
        <f t="shared" si="50"/>
        <v>1.6586735294117647</v>
      </c>
      <c r="E193" s="131">
        <f t="shared" si="51"/>
        <v>2.1109542974588806</v>
      </c>
      <c r="Y193" s="112">
        <v>0.30970206278089696</v>
      </c>
      <c r="Z193" s="112">
        <v>0.32948556061440881</v>
      </c>
    </row>
    <row r="194" spans="1:26" ht="16.5" customHeight="1">
      <c r="A194" s="5">
        <f t="shared" si="49"/>
        <v>72</v>
      </c>
      <c r="B194" s="1">
        <f t="shared" si="50"/>
        <v>0.7014588235294118</v>
      </c>
      <c r="C194" s="1">
        <f t="shared" si="50"/>
        <v>0.29844117647058815</v>
      </c>
      <c r="D194" s="1">
        <f t="shared" si="50"/>
        <v>1.4063470588235296</v>
      </c>
      <c r="E194" s="131">
        <f t="shared" si="51"/>
        <v>2.071436495169535</v>
      </c>
      <c r="Y194" s="112">
        <v>0.3096505892125318</v>
      </c>
      <c r="Z194" s="112">
        <v>0.32938393052898696</v>
      </c>
    </row>
    <row r="195" spans="1:26" ht="16.5" customHeight="1">
      <c r="A195" s="5">
        <f t="shared" si="49"/>
        <v>85</v>
      </c>
      <c r="B195" s="1">
        <f t="shared" si="50"/>
        <v>0.7032176470588235</v>
      </c>
      <c r="C195" s="1">
        <f t="shared" si="50"/>
        <v>0.2966823529411764</v>
      </c>
      <c r="D195" s="1">
        <f t="shared" si="50"/>
        <v>1.1876641176470593</v>
      </c>
      <c r="E195" s="131">
        <f t="shared" si="51"/>
        <v>2.0407766948276671</v>
      </c>
      <c r="Y195" s="112">
        <v>0.30960004452423279</v>
      </c>
      <c r="Z195" s="112">
        <v>0.32928218349460675</v>
      </c>
    </row>
    <row r="196" spans="1:26" ht="16.5" customHeight="1">
      <c r="A196" s="5">
        <f t="shared" si="49"/>
        <v>102</v>
      </c>
      <c r="B196" s="1">
        <f t="shared" si="50"/>
        <v>0.70551764705882347</v>
      </c>
      <c r="C196" s="1">
        <f t="shared" si="50"/>
        <v>0.29438235294117637</v>
      </c>
      <c r="D196" s="1">
        <f t="shared" si="50"/>
        <v>0.90169411764705942</v>
      </c>
      <c r="E196" s="131">
        <f t="shared" si="51"/>
        <v>1.9902369848067332</v>
      </c>
      <c r="Y196" s="112">
        <v>0.30955044411240168</v>
      </c>
      <c r="Z196" s="112">
        <v>0.32918035050440053</v>
      </c>
    </row>
    <row r="197" spans="1:26" ht="16.5" customHeight="1">
      <c r="A197" s="5">
        <f t="shared" si="49"/>
        <v>117</v>
      </c>
      <c r="B197" s="1">
        <f t="shared" si="50"/>
        <v>0.70754705882352931</v>
      </c>
      <c r="C197" s="1">
        <f t="shared" si="50"/>
        <v>0.29235294117647048</v>
      </c>
      <c r="D197" s="1">
        <f t="shared" si="50"/>
        <v>0.64936764705882433</v>
      </c>
      <c r="E197" s="131">
        <f t="shared" si="51"/>
        <v>1.9487467464652797</v>
      </c>
      <c r="Y197" s="112">
        <v>0.30950180308580433</v>
      </c>
      <c r="Z197" s="112">
        <v>0.32907846257768353</v>
      </c>
    </row>
    <row r="198" spans="1:26" ht="16.5" customHeight="1">
      <c r="A198" s="5">
        <f t="shared" si="49"/>
        <v>132</v>
      </c>
      <c r="B198" s="1">
        <f t="shared" si="50"/>
        <v>0.70957647058823514</v>
      </c>
      <c r="C198" s="1">
        <f t="shared" si="50"/>
        <v>0.29032352941176459</v>
      </c>
      <c r="D198" s="1">
        <f t="shared" si="50"/>
        <v>0.39704117647058901</v>
      </c>
      <c r="E198" s="131">
        <f t="shared" si="51"/>
        <v>1.9067818104144805</v>
      </c>
      <c r="Y198" s="112">
        <v>0.30945413626096868</v>
      </c>
      <c r="Z198" s="112">
        <v>0.3289765507505053</v>
      </c>
    </row>
    <row r="199" spans="1:26" ht="16.5" customHeight="1">
      <c r="A199" s="133"/>
      <c r="B199" s="371" t="s">
        <v>100</v>
      </c>
      <c r="C199" s="371"/>
      <c r="D199" s="371" t="s">
        <v>101</v>
      </c>
      <c r="E199" s="371"/>
      <c r="Y199" s="112">
        <v>0.30940745815767134</v>
      </c>
      <c r="Z199" s="112">
        <v>0.32887464606619565</v>
      </c>
    </row>
    <row r="200" spans="1:26" ht="16.5" customHeight="1">
      <c r="A200" s="133"/>
      <c r="B200" s="1" t="s">
        <v>67</v>
      </c>
      <c r="C200" s="1" t="s">
        <v>68</v>
      </c>
      <c r="D200" s="1" t="s">
        <v>67</v>
      </c>
      <c r="E200" s="1" t="s">
        <v>68</v>
      </c>
      <c r="Y200" s="112">
        <v>0.30936178299451472</v>
      </c>
      <c r="Z200" s="112">
        <v>0.32877277956590856</v>
      </c>
    </row>
    <row r="201" spans="1:26" ht="16.5" customHeight="1">
      <c r="A201" s="133"/>
      <c r="B201" s="1">
        <f>ROUND((E192-D192)/E192*256,0)</f>
        <v>28</v>
      </c>
      <c r="C201" s="23" t="str">
        <f>DEC2HEX(B201)</f>
        <v>1C</v>
      </c>
      <c r="D201" s="1">
        <f>256-B201*4</f>
        <v>144</v>
      </c>
      <c r="E201" s="23" t="str">
        <f>DEC2HEX(D201)</f>
        <v>90</v>
      </c>
      <c r="Y201" s="112">
        <v>0.30931712468459605</v>
      </c>
      <c r="Z201" s="112">
        <v>0.32867098227916686</v>
      </c>
    </row>
    <row r="202" spans="1:26" ht="16.5" customHeight="1">
      <c r="Y202" s="112">
        <v>0.30927349683126909</v>
      </c>
      <c r="Z202" s="112">
        <v>0.32856928521441015</v>
      </c>
    </row>
    <row r="203" spans="1:26" ht="16.5" customHeight="1">
      <c r="A203" s="327" t="s">
        <v>96</v>
      </c>
      <c r="B203" s="329"/>
      <c r="C203" s="329"/>
      <c r="D203" s="329"/>
      <c r="Y203" s="112">
        <v>0.30923091272400055</v>
      </c>
      <c r="Z203" s="112">
        <v>0.32846771934954955</v>
      </c>
    </row>
    <row r="204" spans="1:26" ht="16.5" customHeight="1">
      <c r="A204" s="30" t="s">
        <v>3</v>
      </c>
      <c r="B204" s="1" t="s">
        <v>97</v>
      </c>
      <c r="C204" s="1" t="s">
        <v>9</v>
      </c>
      <c r="D204" s="45" t="s">
        <v>98</v>
      </c>
      <c r="Y204" s="112">
        <v>0.30918938533432211</v>
      </c>
      <c r="Z204" s="112">
        <v>0.32836631562253144</v>
      </c>
    </row>
    <row r="205" spans="1:26" ht="16.5" customHeight="1">
      <c r="A205" s="5">
        <f t="shared" ref="A205:A216" si="52">A94</f>
        <v>-33</v>
      </c>
      <c r="B205" s="1">
        <f>D201</f>
        <v>144</v>
      </c>
      <c r="C205" s="20">
        <f t="shared" ref="C205:C216" si="53">B205/256</f>
        <v>0.5625</v>
      </c>
      <c r="D205" s="45">
        <f t="shared" ref="D205:D216" si="54">D187*C205</f>
        <v>1.7846056985294112</v>
      </c>
      <c r="Y205" s="112">
        <v>0.30914892731187893</v>
      </c>
      <c r="Z205" s="112">
        <v>0.3282651049219133</v>
      </c>
    </row>
    <row r="206" spans="1:26" ht="16.5" customHeight="1">
      <c r="A206" s="5">
        <f t="shared" si="52"/>
        <v>-18</v>
      </c>
      <c r="B206" s="1">
        <f t="shared" ref="B206:B216" si="55">B205+$B$201</f>
        <v>172</v>
      </c>
      <c r="C206" s="20">
        <f t="shared" si="53"/>
        <v>0.671875</v>
      </c>
      <c r="D206" s="45">
        <f t="shared" si="54"/>
        <v>1.9620805147058817</v>
      </c>
      <c r="Y206" s="112">
        <v>0.30910955098057658</v>
      </c>
      <c r="Z206" s="112">
        <v>0.32816411807745505</v>
      </c>
    </row>
    <row r="207" spans="1:26" ht="16.5" customHeight="1">
      <c r="A207" s="5">
        <f t="shared" si="52"/>
        <v>-3</v>
      </c>
      <c r="B207" s="1">
        <f t="shared" si="55"/>
        <v>200</v>
      </c>
      <c r="C207" s="20">
        <f t="shared" si="53"/>
        <v>0.78125</v>
      </c>
      <c r="D207" s="45">
        <f t="shared" si="54"/>
        <v>2.0843589154411761</v>
      </c>
      <c r="Y207" s="112">
        <v>0.30907126833482701</v>
      </c>
      <c r="Z207" s="112">
        <v>0.32806338585072781</v>
      </c>
    </row>
    <row r="208" spans="1:26" ht="16.5" customHeight="1">
      <c r="A208" s="5">
        <f t="shared" si="52"/>
        <v>12</v>
      </c>
      <c r="B208" s="1">
        <f t="shared" si="55"/>
        <v>228</v>
      </c>
      <c r="C208" s="20">
        <f t="shared" si="53"/>
        <v>0.890625</v>
      </c>
      <c r="D208" s="45">
        <f t="shared" si="54"/>
        <v>2.1514409007352939</v>
      </c>
      <c r="Y208" s="112">
        <v>0.30903409103589496</v>
      </c>
      <c r="Z208" s="112">
        <v>0.32796293892574357</v>
      </c>
    </row>
    <row r="209" spans="1:26" ht="16.5" customHeight="1">
      <c r="A209" s="5">
        <f t="shared" si="52"/>
        <v>25</v>
      </c>
      <c r="B209" s="1">
        <f t="shared" si="55"/>
        <v>256</v>
      </c>
      <c r="C209" s="20">
        <f t="shared" si="53"/>
        <v>1</v>
      </c>
      <c r="D209" s="45">
        <f t="shared" si="54"/>
        <v>2.1969699999999994</v>
      </c>
      <c r="Y209" s="112">
        <v>0.30899803040834584</v>
      </c>
      <c r="Z209" s="112">
        <v>0.32786280789960881</v>
      </c>
    </row>
    <row r="210" spans="1:26" ht="16.5" customHeight="1">
      <c r="A210" s="5">
        <f t="shared" si="52"/>
        <v>42</v>
      </c>
      <c r="B210" s="1">
        <f t="shared" si="55"/>
        <v>284</v>
      </c>
      <c r="C210" s="20">
        <f t="shared" si="53"/>
        <v>1.109375</v>
      </c>
      <c r="D210" s="45">
        <f t="shared" si="54"/>
        <v>2.1200156249999997</v>
      </c>
      <c r="Y210" s="112">
        <v>0.30896309743659611</v>
      </c>
      <c r="Z210" s="112">
        <v>0.32776302327320406</v>
      </c>
    </row>
    <row r="211" spans="1:26" ht="16.5" customHeight="1">
      <c r="A211" s="5">
        <f t="shared" si="52"/>
        <v>57</v>
      </c>
      <c r="B211" s="1">
        <f t="shared" si="55"/>
        <v>312</v>
      </c>
      <c r="C211" s="20">
        <f t="shared" si="53"/>
        <v>1.21875</v>
      </c>
      <c r="D211" s="45">
        <f t="shared" si="54"/>
        <v>2.0215083639705882</v>
      </c>
      <c r="Y211" s="112">
        <v>0.30892930276156733</v>
      </c>
      <c r="Z211" s="112">
        <v>0.32766361544189315</v>
      </c>
    </row>
    <row r="212" spans="1:26" ht="16.5" customHeight="1">
      <c r="A212" s="5">
        <f t="shared" si="52"/>
        <v>72</v>
      </c>
      <c r="B212" s="1">
        <f t="shared" si="55"/>
        <v>340</v>
      </c>
      <c r="C212" s="20">
        <f t="shared" si="53"/>
        <v>1.328125</v>
      </c>
      <c r="D212" s="45">
        <f t="shared" si="54"/>
        <v>1.8678046875000003</v>
      </c>
      <c r="Y212" s="112">
        <v>0.30889665667744504</v>
      </c>
      <c r="Z212" s="112">
        <v>0.32756461468626447</v>
      </c>
    </row>
    <row r="213" spans="1:26" ht="16.5" customHeight="1">
      <c r="A213" s="5">
        <f t="shared" si="52"/>
        <v>85</v>
      </c>
      <c r="B213" s="1">
        <f t="shared" si="55"/>
        <v>368</v>
      </c>
      <c r="C213" s="20">
        <f t="shared" si="53"/>
        <v>1.4375</v>
      </c>
      <c r="D213" s="45">
        <f t="shared" si="54"/>
        <v>1.7072671691176478</v>
      </c>
      <c r="Y213" s="112">
        <v>0.30886516912854256</v>
      </c>
      <c r="Z213" s="112">
        <v>0.32746605116290728</v>
      </c>
    </row>
    <row r="214" spans="1:26" ht="16.5" customHeight="1">
      <c r="A214" s="5">
        <f t="shared" si="52"/>
        <v>102</v>
      </c>
      <c r="B214" s="1">
        <f t="shared" si="55"/>
        <v>396</v>
      </c>
      <c r="C214" s="20">
        <f t="shared" si="53"/>
        <v>1.546875</v>
      </c>
      <c r="D214" s="45">
        <f t="shared" si="54"/>
        <v>1.3948080882352951</v>
      </c>
      <c r="Y214" s="112">
        <v>0.30883484970627234</v>
      </c>
      <c r="Z214" s="112">
        <v>0.32736795489522552</v>
      </c>
    </row>
    <row r="215" spans="1:26" ht="16.5" customHeight="1">
      <c r="A215" s="5">
        <f t="shared" si="52"/>
        <v>117</v>
      </c>
      <c r="B215" s="1">
        <f t="shared" si="55"/>
        <v>424</v>
      </c>
      <c r="C215" s="20">
        <f t="shared" si="53"/>
        <v>1.65625</v>
      </c>
      <c r="D215" s="45">
        <f t="shared" si="54"/>
        <v>1.0755151654411779</v>
      </c>
      <c r="Y215" s="112">
        <v>0.30880570764622417</v>
      </c>
      <c r="Z215" s="112">
        <v>0.3272703557642927</v>
      </c>
    </row>
    <row r="216" spans="1:26" ht="16.5" customHeight="1">
      <c r="A216" s="5">
        <f t="shared" si="52"/>
        <v>132</v>
      </c>
      <c r="B216" s="1">
        <f t="shared" si="55"/>
        <v>452</v>
      </c>
      <c r="C216" s="20">
        <f t="shared" si="53"/>
        <v>1.765625</v>
      </c>
      <c r="D216" s="45">
        <f t="shared" si="54"/>
        <v>0.70102582720588369</v>
      </c>
      <c r="Y216" s="112">
        <v>0.30877775182535183</v>
      </c>
      <c r="Z216" s="112">
        <v>0.3271732834997495</v>
      </c>
    </row>
    <row r="217" spans="1:26">
      <c r="A217" s="329" t="s">
        <v>105</v>
      </c>
      <c r="B217" s="329"/>
      <c r="C217" s="329"/>
      <c r="D217" s="329"/>
      <c r="E217" s="329"/>
      <c r="F217" s="329"/>
      <c r="G217" s="329"/>
      <c r="H217" s="329"/>
      <c r="I217" s="329"/>
      <c r="J217" s="329"/>
      <c r="K217" s="329"/>
      <c r="L217" s="329"/>
      <c r="M217" s="329"/>
      <c r="N217" s="329"/>
      <c r="O217" s="329"/>
      <c r="Y217" s="112">
        <v>0.30875099075926915</v>
      </c>
      <c r="Z217" s="112">
        <v>0.32707676767074806</v>
      </c>
    </row>
    <row r="218" spans="1:26">
      <c r="A218" s="65" t="s">
        <v>132</v>
      </c>
      <c r="B218" s="65" t="s">
        <v>3</v>
      </c>
      <c r="C218" s="66" t="s">
        <v>194</v>
      </c>
      <c r="D218" s="66" t="s">
        <v>263</v>
      </c>
      <c r="E218" s="66" t="s">
        <v>265</v>
      </c>
      <c r="F218" s="66" t="s">
        <v>264</v>
      </c>
      <c r="G218" s="66" t="s">
        <v>259</v>
      </c>
      <c r="H218" s="66" t="s">
        <v>260</v>
      </c>
      <c r="I218" s="189" t="s">
        <v>272</v>
      </c>
      <c r="J218" s="66" t="s">
        <v>261</v>
      </c>
      <c r="K218" s="66" t="s">
        <v>262</v>
      </c>
      <c r="L218" s="66" t="s">
        <v>129</v>
      </c>
      <c r="M218" s="66" t="s">
        <v>103</v>
      </c>
      <c r="N218" s="66" t="s">
        <v>266</v>
      </c>
      <c r="O218" s="66" t="s">
        <v>98</v>
      </c>
      <c r="Y218" s="112">
        <v>0.30872543259965612</v>
      </c>
      <c r="Z218" s="112">
        <v>0.32698083767694486</v>
      </c>
    </row>
    <row r="219" spans="1:26">
      <c r="A219" s="5">
        <v>0</v>
      </c>
      <c r="B219" s="5">
        <f t="shared" ref="B219:B230" si="56">A94</f>
        <v>-33</v>
      </c>
      <c r="C219" s="1">
        <f>ROUNDUP((E187*256/D187),0)</f>
        <v>188</v>
      </c>
      <c r="D219" s="64">
        <f t="shared" ref="D219:D230" si="57">ROUNDUP((E187*256/D187)-B205,0)</f>
        <v>44</v>
      </c>
      <c r="E219" s="20">
        <f>(C219/256)</f>
        <v>0.734375</v>
      </c>
      <c r="F219" s="1">
        <f>IF(E219&gt;300,(768-B205),D219)</f>
        <v>44</v>
      </c>
      <c r="G219" s="1">
        <f t="shared" ref="G219:G230" si="58">IF(E219&gt;300%,1,0)</f>
        <v>0</v>
      </c>
      <c r="H219" s="1">
        <f t="shared" ref="H219:H230" si="59">IF((IF(E219&lt;300%,1,0)+IF(D219&gt;255,1,0))&gt;1,1,0)</f>
        <v>0</v>
      </c>
      <c r="I219" s="23">
        <f>G219+H219</f>
        <v>0</v>
      </c>
      <c r="J219" s="64">
        <f t="shared" ref="J219:J230" si="60">IF(I219=1,ROUNDUP(D219/2,0),D219)</f>
        <v>44</v>
      </c>
      <c r="K219" s="23">
        <f>IF(G219&gt;300%,(F219/2),J219)</f>
        <v>44</v>
      </c>
      <c r="L219" s="23" t="str">
        <f>DEC2HEX(K219)</f>
        <v>2C</v>
      </c>
      <c r="M219" s="1">
        <f>B205+F219</f>
        <v>188</v>
      </c>
      <c r="N219" s="20">
        <f>M219/256</f>
        <v>0.734375</v>
      </c>
      <c r="O219" s="1">
        <f>D187*N219</f>
        <v>2.3299018841911758</v>
      </c>
      <c r="Y219" s="112">
        <v>0.30870108513177569</v>
      </c>
      <c r="Z219" s="112">
        <v>0.32688552273954535</v>
      </c>
    </row>
    <row r="220" spans="1:26">
      <c r="A220" s="5">
        <v>1</v>
      </c>
      <c r="B220" s="5">
        <f t="shared" si="56"/>
        <v>-18</v>
      </c>
      <c r="C220" s="1">
        <f t="shared" ref="C220:C230" si="61">ROUNDUP((E188*256/D188),0)</f>
        <v>202</v>
      </c>
      <c r="D220" s="64">
        <f t="shared" si="57"/>
        <v>30</v>
      </c>
      <c r="E220" s="20">
        <f t="shared" ref="E220:E230" si="62">(C220/256)</f>
        <v>0.7890625</v>
      </c>
      <c r="F220" s="1">
        <f t="shared" ref="F220:F229" si="63">IF(E220&gt;300,(768-B206),D220)</f>
        <v>30</v>
      </c>
      <c r="G220" s="1">
        <f t="shared" si="58"/>
        <v>0</v>
      </c>
      <c r="H220" s="1">
        <f t="shared" si="59"/>
        <v>0</v>
      </c>
      <c r="I220" s="23">
        <f t="shared" ref="I220:I230" si="64">G220+H220</f>
        <v>0</v>
      </c>
      <c r="J220" s="64">
        <f t="shared" si="60"/>
        <v>30</v>
      </c>
      <c r="K220" s="23">
        <f t="shared" ref="K220:K229" si="65">IF(G220&gt;300%,(F220/2),J220)</f>
        <v>30</v>
      </c>
      <c r="L220" s="23" t="str">
        <f t="shared" ref="L220:L230" si="66">DEC2HEX(K220)</f>
        <v>1E</v>
      </c>
      <c r="M220" s="1">
        <f t="shared" ref="M220:M230" si="67">B206+F220</f>
        <v>202</v>
      </c>
      <c r="N220" s="20">
        <f t="shared" ref="N220:N230" si="68">M220/256</f>
        <v>0.7890625</v>
      </c>
      <c r="O220" s="1">
        <f t="shared" ref="O220:O230" si="69">D188*N220</f>
        <v>2.3043038602941173</v>
      </c>
      <c r="Y220" s="112">
        <v>0.3086779557721025</v>
      </c>
      <c r="Z220" s="112">
        <v>0.32679085189240281</v>
      </c>
    </row>
    <row r="221" spans="1:26">
      <c r="A221" s="5">
        <v>2</v>
      </c>
      <c r="B221" s="5">
        <f t="shared" si="56"/>
        <v>-3</v>
      </c>
      <c r="C221" s="1">
        <f t="shared" si="61"/>
        <v>217</v>
      </c>
      <c r="D221" s="64">
        <f t="shared" si="57"/>
        <v>17</v>
      </c>
      <c r="E221" s="20">
        <f t="shared" si="62"/>
        <v>0.84765625</v>
      </c>
      <c r="F221" s="1">
        <f t="shared" si="63"/>
        <v>17</v>
      </c>
      <c r="G221" s="1">
        <f t="shared" si="58"/>
        <v>0</v>
      </c>
      <c r="H221" s="1">
        <f t="shared" si="59"/>
        <v>0</v>
      </c>
      <c r="I221" s="23">
        <f t="shared" si="64"/>
        <v>0</v>
      </c>
      <c r="J221" s="64">
        <f t="shared" si="60"/>
        <v>17</v>
      </c>
      <c r="K221" s="23">
        <f t="shared" si="65"/>
        <v>17</v>
      </c>
      <c r="L221" s="23" t="str">
        <f t="shared" si="66"/>
        <v>11</v>
      </c>
      <c r="M221" s="1">
        <f t="shared" si="67"/>
        <v>217</v>
      </c>
      <c r="N221" s="20">
        <f t="shared" si="68"/>
        <v>0.84765625</v>
      </c>
      <c r="O221" s="1">
        <f t="shared" si="69"/>
        <v>2.261529423253676</v>
      </c>
      <c r="Y221" s="112">
        <v>0.30865605156606357</v>
      </c>
      <c r="Z221" s="112">
        <v>0.32669685397317433</v>
      </c>
    </row>
    <row r="222" spans="1:26">
      <c r="A222" s="5">
        <v>3</v>
      </c>
      <c r="B222" s="5">
        <f t="shared" si="56"/>
        <v>12</v>
      </c>
      <c r="C222" s="1">
        <f t="shared" si="61"/>
        <v>236</v>
      </c>
      <c r="D222" s="64">
        <f t="shared" si="57"/>
        <v>8</v>
      </c>
      <c r="E222" s="20">
        <f t="shared" si="62"/>
        <v>0.921875</v>
      </c>
      <c r="F222" s="1">
        <f t="shared" si="63"/>
        <v>8</v>
      </c>
      <c r="G222" s="1">
        <f t="shared" si="58"/>
        <v>0</v>
      </c>
      <c r="H222" s="1">
        <f t="shared" si="59"/>
        <v>0</v>
      </c>
      <c r="I222" s="23">
        <f t="shared" si="64"/>
        <v>0</v>
      </c>
      <c r="J222" s="64">
        <f t="shared" si="60"/>
        <v>8</v>
      </c>
      <c r="K222" s="23">
        <f t="shared" si="65"/>
        <v>8</v>
      </c>
      <c r="L222" s="23" t="str">
        <f t="shared" si="66"/>
        <v>8</v>
      </c>
      <c r="M222" s="1">
        <f t="shared" si="67"/>
        <v>236</v>
      </c>
      <c r="N222" s="20">
        <f t="shared" si="68"/>
        <v>0.921875</v>
      </c>
      <c r="O222" s="1">
        <f t="shared" si="69"/>
        <v>2.2269300551470583</v>
      </c>
      <c r="Y222" s="112">
        <v>0.30863537918589223</v>
      </c>
      <c r="Z222" s="112">
        <v>0.32660355761453663</v>
      </c>
    </row>
    <row r="223" spans="1:26">
      <c r="A223" s="5">
        <v>4</v>
      </c>
      <c r="B223" s="5">
        <f t="shared" si="56"/>
        <v>25</v>
      </c>
      <c r="C223" s="1">
        <f>ROUNDUP((E191*256/D191),0)</f>
        <v>256</v>
      </c>
      <c r="D223" s="64">
        <f t="shared" si="57"/>
        <v>0</v>
      </c>
      <c r="E223" s="20">
        <f t="shared" si="62"/>
        <v>1</v>
      </c>
      <c r="F223" s="1">
        <f t="shared" si="63"/>
        <v>0</v>
      </c>
      <c r="G223" s="1">
        <f t="shared" si="58"/>
        <v>0</v>
      </c>
      <c r="H223" s="1">
        <f t="shared" si="59"/>
        <v>0</v>
      </c>
      <c r="I223" s="23">
        <f t="shared" si="64"/>
        <v>0</v>
      </c>
      <c r="J223" s="64">
        <f t="shared" si="60"/>
        <v>0</v>
      </c>
      <c r="K223" s="23">
        <f t="shared" si="65"/>
        <v>0</v>
      </c>
      <c r="L223" s="23" t="str">
        <f t="shared" si="66"/>
        <v>0</v>
      </c>
      <c r="M223" s="1">
        <f t="shared" si="67"/>
        <v>256</v>
      </c>
      <c r="N223" s="20">
        <f t="shared" si="68"/>
        <v>1</v>
      </c>
      <c r="O223" s="1">
        <f t="shared" si="69"/>
        <v>2.1969699999999994</v>
      </c>
      <c r="Y223" s="112">
        <v>0.30861594492859568</v>
      </c>
      <c r="Z223" s="112">
        <v>0.32651099123546445</v>
      </c>
    </row>
    <row r="224" spans="1:26">
      <c r="A224" s="5">
        <v>5</v>
      </c>
      <c r="B224" s="5">
        <f t="shared" si="56"/>
        <v>42</v>
      </c>
      <c r="C224" s="1">
        <f t="shared" si="61"/>
        <v>288</v>
      </c>
      <c r="D224" s="64">
        <f t="shared" si="57"/>
        <v>4</v>
      </c>
      <c r="E224" s="20">
        <f t="shared" si="62"/>
        <v>1.125</v>
      </c>
      <c r="F224" s="1">
        <f t="shared" si="63"/>
        <v>4</v>
      </c>
      <c r="G224" s="1">
        <f t="shared" si="58"/>
        <v>0</v>
      </c>
      <c r="H224" s="1">
        <f t="shared" si="59"/>
        <v>0</v>
      </c>
      <c r="I224" s="23">
        <f t="shared" si="64"/>
        <v>0</v>
      </c>
      <c r="J224" s="64">
        <f t="shared" si="60"/>
        <v>4</v>
      </c>
      <c r="K224" s="23">
        <f t="shared" si="65"/>
        <v>4</v>
      </c>
      <c r="L224" s="23" t="str">
        <f t="shared" si="66"/>
        <v>4</v>
      </c>
      <c r="M224" s="1">
        <f t="shared" si="67"/>
        <v>288</v>
      </c>
      <c r="N224" s="20">
        <f t="shared" si="68"/>
        <v>1.125</v>
      </c>
      <c r="O224" s="1">
        <f t="shared" si="69"/>
        <v>2.1498749999999998</v>
      </c>
      <c r="Y224" s="112">
        <v>0.30859775471403705</v>
      </c>
      <c r="Z224" s="112">
        <v>0.32641918303257356</v>
      </c>
    </row>
    <row r="225" spans="1:26">
      <c r="A225" s="5">
        <v>6</v>
      </c>
      <c r="B225" s="5">
        <f t="shared" si="56"/>
        <v>57</v>
      </c>
      <c r="C225" s="1">
        <f t="shared" si="61"/>
        <v>326</v>
      </c>
      <c r="D225" s="64">
        <f t="shared" si="57"/>
        <v>14</v>
      </c>
      <c r="E225" s="20">
        <f t="shared" si="62"/>
        <v>1.2734375</v>
      </c>
      <c r="F225" s="1">
        <f t="shared" si="63"/>
        <v>14</v>
      </c>
      <c r="G225" s="1">
        <f t="shared" si="58"/>
        <v>0</v>
      </c>
      <c r="H225" s="1">
        <f t="shared" si="59"/>
        <v>0</v>
      </c>
      <c r="I225" s="23">
        <f t="shared" si="64"/>
        <v>0</v>
      </c>
      <c r="J225" s="64">
        <f t="shared" si="60"/>
        <v>14</v>
      </c>
      <c r="K225" s="23">
        <f t="shared" si="65"/>
        <v>14</v>
      </c>
      <c r="L225" s="23" t="str">
        <f t="shared" si="66"/>
        <v>E</v>
      </c>
      <c r="M225" s="1">
        <f t="shared" si="67"/>
        <v>326</v>
      </c>
      <c r="N225" s="20">
        <f t="shared" si="68"/>
        <v>1.2734375</v>
      </c>
      <c r="O225" s="1">
        <f t="shared" si="69"/>
        <v>2.112217072610294</v>
      </c>
      <c r="Y225" s="112">
        <v>0.30858081408313187</v>
      </c>
      <c r="Z225" s="112">
        <v>0.32632816097153183</v>
      </c>
    </row>
    <row r="226" spans="1:26">
      <c r="A226" s="5">
        <v>7</v>
      </c>
      <c r="B226" s="5">
        <f t="shared" si="56"/>
        <v>72</v>
      </c>
      <c r="C226" s="1">
        <f t="shared" si="61"/>
        <v>378</v>
      </c>
      <c r="D226" s="64">
        <f t="shared" si="57"/>
        <v>38</v>
      </c>
      <c r="E226" s="20">
        <f t="shared" si="62"/>
        <v>1.4765625</v>
      </c>
      <c r="F226" s="1">
        <f t="shared" si="63"/>
        <v>38</v>
      </c>
      <c r="G226" s="1">
        <f t="shared" si="58"/>
        <v>0</v>
      </c>
      <c r="H226" s="1">
        <f t="shared" si="59"/>
        <v>0</v>
      </c>
      <c r="I226" s="23">
        <f t="shared" si="64"/>
        <v>0</v>
      </c>
      <c r="J226" s="64">
        <f t="shared" si="60"/>
        <v>38</v>
      </c>
      <c r="K226" s="23">
        <f t="shared" si="65"/>
        <v>38</v>
      </c>
      <c r="L226" s="23" t="str">
        <f t="shared" si="66"/>
        <v>26</v>
      </c>
      <c r="M226" s="1">
        <f t="shared" si="67"/>
        <v>378</v>
      </c>
      <c r="N226" s="20">
        <f t="shared" si="68"/>
        <v>1.4765625</v>
      </c>
      <c r="O226" s="1">
        <f t="shared" si="69"/>
        <v>2.0765593290441178</v>
      </c>
      <c r="Y226" s="112">
        <v>0.30856512819616039</v>
      </c>
      <c r="Z226" s="112">
        <v>0.32623795277854084</v>
      </c>
    </row>
    <row r="227" spans="1:26">
      <c r="A227" s="5">
        <v>8</v>
      </c>
      <c r="B227" s="5">
        <f t="shared" si="56"/>
        <v>85</v>
      </c>
      <c r="C227" s="1">
        <f t="shared" si="61"/>
        <v>440</v>
      </c>
      <c r="D227" s="64">
        <f t="shared" si="57"/>
        <v>72</v>
      </c>
      <c r="E227" s="20">
        <f t="shared" si="62"/>
        <v>1.71875</v>
      </c>
      <c r="F227" s="1">
        <f t="shared" si="63"/>
        <v>72</v>
      </c>
      <c r="G227" s="1">
        <f t="shared" si="58"/>
        <v>0</v>
      </c>
      <c r="H227" s="1">
        <f t="shared" si="59"/>
        <v>0</v>
      </c>
      <c r="I227" s="23">
        <f t="shared" si="64"/>
        <v>0</v>
      </c>
      <c r="J227" s="64">
        <f t="shared" si="60"/>
        <v>72</v>
      </c>
      <c r="K227" s="23">
        <f t="shared" si="65"/>
        <v>72</v>
      </c>
      <c r="L227" s="23" t="str">
        <f t="shared" si="66"/>
        <v>48</v>
      </c>
      <c r="M227" s="1">
        <f t="shared" si="67"/>
        <v>440</v>
      </c>
      <c r="N227" s="20">
        <f t="shared" si="68"/>
        <v>1.71875</v>
      </c>
      <c r="O227" s="1">
        <f t="shared" si="69"/>
        <v>2.0412977022058829</v>
      </c>
      <c r="Y227" s="112">
        <v>0.30855070183119576</v>
      </c>
      <c r="Z227" s="112">
        <v>0.32614858593189011</v>
      </c>
    </row>
    <row r="228" spans="1:26">
      <c r="A228" s="5">
        <v>9</v>
      </c>
      <c r="B228" s="5">
        <f t="shared" si="56"/>
        <v>102</v>
      </c>
      <c r="C228" s="1">
        <f t="shared" si="61"/>
        <v>566</v>
      </c>
      <c r="D228" s="64">
        <f t="shared" si="57"/>
        <v>170</v>
      </c>
      <c r="E228" s="20">
        <f t="shared" si="62"/>
        <v>2.2109375</v>
      </c>
      <c r="F228" s="1">
        <f t="shared" si="63"/>
        <v>170</v>
      </c>
      <c r="G228" s="1">
        <f t="shared" si="58"/>
        <v>0</v>
      </c>
      <c r="H228" s="1">
        <f t="shared" si="59"/>
        <v>0</v>
      </c>
      <c r="I228" s="23">
        <f t="shared" si="64"/>
        <v>0</v>
      </c>
      <c r="J228" s="64">
        <f t="shared" si="60"/>
        <v>170</v>
      </c>
      <c r="K228" s="23">
        <f t="shared" si="65"/>
        <v>170</v>
      </c>
      <c r="L228" s="23" t="str">
        <f t="shared" si="66"/>
        <v>AA</v>
      </c>
      <c r="M228" s="1">
        <f t="shared" si="67"/>
        <v>566</v>
      </c>
      <c r="N228" s="20">
        <f t="shared" si="68"/>
        <v>2.2109375</v>
      </c>
      <c r="O228" s="1">
        <f t="shared" si="69"/>
        <v>1.9935893382352954</v>
      </c>
      <c r="Y228" s="112">
        <v>0.30853753938264855</v>
      </c>
      <c r="Z228" s="112">
        <v>0.32606008765358679</v>
      </c>
    </row>
    <row r="229" spans="1:26">
      <c r="A229" s="5">
        <v>10</v>
      </c>
      <c r="B229" s="5">
        <f t="shared" si="56"/>
        <v>117</v>
      </c>
      <c r="C229" s="1">
        <f t="shared" si="61"/>
        <v>769</v>
      </c>
      <c r="D229" s="64">
        <f t="shared" si="57"/>
        <v>345</v>
      </c>
      <c r="E229" s="20">
        <f t="shared" si="62"/>
        <v>3.00390625</v>
      </c>
      <c r="F229" s="1">
        <f t="shared" si="63"/>
        <v>345</v>
      </c>
      <c r="G229" s="1">
        <f t="shared" si="58"/>
        <v>1</v>
      </c>
      <c r="H229" s="1">
        <f t="shared" si="59"/>
        <v>0</v>
      </c>
      <c r="I229" s="23">
        <f t="shared" si="64"/>
        <v>1</v>
      </c>
      <c r="J229" s="64">
        <f t="shared" si="60"/>
        <v>173</v>
      </c>
      <c r="K229" s="23">
        <f t="shared" si="65"/>
        <v>173</v>
      </c>
      <c r="L229" s="23" t="str">
        <f t="shared" si="66"/>
        <v>AD</v>
      </c>
      <c r="M229" s="1">
        <f t="shared" si="67"/>
        <v>769</v>
      </c>
      <c r="N229" s="20">
        <f t="shared" si="68"/>
        <v>3.00390625</v>
      </c>
      <c r="O229" s="1">
        <f t="shared" si="69"/>
        <v>1.9506395335477966</v>
      </c>
      <c r="Y229" s="112">
        <v>0.30852564485992801</v>
      </c>
      <c r="Z229" s="112">
        <v>0.32597248490106373</v>
      </c>
    </row>
    <row r="230" spans="1:26">
      <c r="A230" s="5">
        <v>11</v>
      </c>
      <c r="B230" s="5">
        <f t="shared" si="56"/>
        <v>132</v>
      </c>
      <c r="C230" s="1">
        <f t="shared" si="61"/>
        <v>1230</v>
      </c>
      <c r="D230" s="64">
        <f t="shared" si="57"/>
        <v>778</v>
      </c>
      <c r="E230" s="20">
        <f t="shared" si="62"/>
        <v>4.8046875</v>
      </c>
      <c r="F230" s="1">
        <f>IF(E230&gt;300%,(768-B216),D230)</f>
        <v>316</v>
      </c>
      <c r="G230" s="1">
        <f t="shared" si="58"/>
        <v>1</v>
      </c>
      <c r="H230" s="1">
        <f t="shared" si="59"/>
        <v>0</v>
      </c>
      <c r="I230" s="23">
        <f t="shared" si="64"/>
        <v>1</v>
      </c>
      <c r="J230" s="64">
        <f t="shared" si="60"/>
        <v>389</v>
      </c>
      <c r="K230" s="23">
        <f>IF(G230&gt;0,(F230/2),J230)</f>
        <v>158</v>
      </c>
      <c r="L230" s="23" t="str">
        <f t="shared" si="66"/>
        <v>9E</v>
      </c>
      <c r="M230" s="1">
        <f t="shared" si="67"/>
        <v>768</v>
      </c>
      <c r="N230" s="20">
        <f t="shared" si="68"/>
        <v>3</v>
      </c>
      <c r="O230" s="1">
        <f t="shared" si="69"/>
        <v>1.191123529411767</v>
      </c>
      <c r="Y230" s="112">
        <v>0.30851502188622104</v>
      </c>
      <c r="Z230" s="112">
        <v>0.32588580435896802</v>
      </c>
    </row>
    <row r="231" spans="1:26">
      <c r="Y231" s="112">
        <v>0.30850567369738829</v>
      </c>
      <c r="Z231" s="112">
        <v>0.32580007243103243</v>
      </c>
    </row>
    <row r="232" spans="1:26">
      <c r="Y232" s="112">
        <v>0.30849760314097868</v>
      </c>
      <c r="Z232" s="112">
        <v>0.32571531523203279</v>
      </c>
    </row>
    <row r="233" spans="1:26">
      <c r="Y233" s="112">
        <v>0.30849081267536188</v>
      </c>
      <c r="Z233" s="112">
        <v>0.32563155857983289</v>
      </c>
    </row>
    <row r="234" spans="1:26">
      <c r="A234" s="5" t="s">
        <v>132</v>
      </c>
      <c r="B234" s="5" t="s">
        <v>3</v>
      </c>
      <c r="C234" s="1" t="s">
        <v>163</v>
      </c>
      <c r="D234" s="1" t="s">
        <v>201</v>
      </c>
      <c r="Y234" s="112">
        <v>0.30848530436897947</v>
      </c>
      <c r="Z234" s="112">
        <v>0.32554882798752038</v>
      </c>
    </row>
    <row r="235" spans="1:26" ht="16.5" customHeight="1">
      <c r="A235" s="5">
        <v>0</v>
      </c>
      <c r="B235" s="5">
        <f>B219</f>
        <v>-33</v>
      </c>
      <c r="C235" s="126">
        <f>D156+G156+O219-$D$61</f>
        <v>7.1683170000000009</v>
      </c>
      <c r="D235" s="20">
        <f t="shared" ref="D235:D246" si="70">C235/$C$243</f>
        <v>0.98579470305517025</v>
      </c>
      <c r="Y235" s="112">
        <v>0.30848107989971496</v>
      </c>
      <c r="Z235" s="112">
        <v>0.3254671486556352</v>
      </c>
    </row>
    <row r="236" spans="1:26" ht="16.5" customHeight="1">
      <c r="A236" s="5">
        <v>1</v>
      </c>
      <c r="B236" s="5">
        <f t="shared" ref="B236:B246" si="71">B220</f>
        <v>-18</v>
      </c>
      <c r="C236" s="126">
        <f t="shared" ref="C236:C246" si="72">D157+G157+O220-$D$61</f>
        <v>7.197917870404412</v>
      </c>
      <c r="D236" s="20">
        <f t="shared" si="70"/>
        <v>0.98986544675281807</v>
      </c>
      <c r="Y236" s="112">
        <v>0.30847814055438255</v>
      </c>
      <c r="Z236" s="112">
        <v>0.32538654546449292</v>
      </c>
    </row>
    <row r="237" spans="1:26" ht="16.5" customHeight="1">
      <c r="A237" s="5">
        <v>2</v>
      </c>
      <c r="B237" s="5">
        <f t="shared" si="71"/>
        <v>-3</v>
      </c>
      <c r="C237" s="126">
        <f t="shared" si="72"/>
        <v>7.2082860454963242</v>
      </c>
      <c r="D237" s="20">
        <f t="shared" si="70"/>
        <v>0.99129128939983757</v>
      </c>
      <c r="Y237" s="112">
        <v>0.30847648722833537</v>
      </c>
      <c r="Z237" s="112">
        <v>0.32530704296660656</v>
      </c>
    </row>
    <row r="238" spans="1:26">
      <c r="A238" s="5">
        <v>3</v>
      </c>
      <c r="B238" s="5">
        <f t="shared" si="71"/>
        <v>12</v>
      </c>
      <c r="C238" s="126">
        <f t="shared" si="72"/>
        <v>7.2247730073529421</v>
      </c>
      <c r="D238" s="20">
        <f t="shared" si="70"/>
        <v>0.9935585942173738</v>
      </c>
      <c r="Y238" s="112">
        <v>0.30847612042519251</v>
      </c>
      <c r="Z238" s="112">
        <v>0.32522866537920703</v>
      </c>
    </row>
    <row r="239" spans="1:26">
      <c r="A239" s="5">
        <v>4</v>
      </c>
      <c r="B239" s="5">
        <f t="shared" si="71"/>
        <v>25</v>
      </c>
      <c r="C239" s="126">
        <f t="shared" si="72"/>
        <v>7.2511789999999996</v>
      </c>
      <c r="D239" s="20">
        <f t="shared" si="70"/>
        <v>0.99718997487204952</v>
      </c>
      <c r="Y239" s="112">
        <v>0.30847704025668576</v>
      </c>
      <c r="Z239" s="112">
        <v>0.32515143657686668</v>
      </c>
    </row>
    <row r="240" spans="1:26">
      <c r="A240" s="5">
        <v>5</v>
      </c>
      <c r="B240" s="5">
        <f t="shared" si="71"/>
        <v>42</v>
      </c>
      <c r="C240" s="126">
        <f t="shared" si="72"/>
        <v>7.2437217656249997</v>
      </c>
      <c r="D240" s="20">
        <f t="shared" si="70"/>
        <v>0.99616444793925407</v>
      </c>
      <c r="Y240" s="112">
        <v>0.30847924644262559</v>
      </c>
      <c r="Z240" s="112">
        <v>0.32507538008422693</v>
      </c>
    </row>
    <row r="241" spans="1:26">
      <c r="A241" s="5">
        <v>6</v>
      </c>
      <c r="B241" s="5">
        <f t="shared" si="71"/>
        <v>57</v>
      </c>
      <c r="C241" s="126">
        <f t="shared" si="72"/>
        <v>7.2509813216911754</v>
      </c>
      <c r="D241" s="20">
        <f t="shared" si="70"/>
        <v>0.99716278993732244</v>
      </c>
      <c r="Y241" s="112">
        <v>0.30848273831098638</v>
      </c>
      <c r="Z241" s="112">
        <v>0.32500051906883215</v>
      </c>
    </row>
    <row r="242" spans="1:26">
      <c r="A242" s="5">
        <v>7</v>
      </c>
      <c r="B242" s="5">
        <f t="shared" si="71"/>
        <v>72</v>
      </c>
      <c r="C242" s="126">
        <f t="shared" si="72"/>
        <v>7.2581847794117635</v>
      </c>
      <c r="D242" s="20">
        <f t="shared" si="70"/>
        <v>0.9981534172302613</v>
      </c>
      <c r="Y242" s="112">
        <v>0.30848751479811115</v>
      </c>
      <c r="Z242" s="112">
        <v>0.32492687633407286</v>
      </c>
    </row>
    <row r="243" spans="1:26">
      <c r="A243" s="5">
        <v>8</v>
      </c>
      <c r="B243" s="5">
        <f t="shared" si="71"/>
        <v>85</v>
      </c>
      <c r="C243" s="126">
        <f t="shared" si="72"/>
        <v>7.2716124136029405</v>
      </c>
      <c r="D243" s="20">
        <f t="shared" si="70"/>
        <v>1</v>
      </c>
      <c r="Y243" s="112">
        <v>0.30849357444903563</v>
      </c>
      <c r="Z243" s="112">
        <v>0.32485447431223946</v>
      </c>
    </row>
    <row r="244" spans="1:26">
      <c r="A244" s="5">
        <v>9</v>
      </c>
      <c r="B244" s="5">
        <f t="shared" si="71"/>
        <v>102</v>
      </c>
      <c r="C244" s="126">
        <f t="shared" si="72"/>
        <v>7.2547683446691167</v>
      </c>
      <c r="D244" s="20">
        <f t="shared" si="70"/>
        <v>0.99768358543116054</v>
      </c>
      <c r="Y244" s="112">
        <v>0.30850091541793156</v>
      </c>
      <c r="Z244" s="112">
        <v>0.32478333505768914</v>
      </c>
    </row>
    <row r="245" spans="1:26">
      <c r="A245" s="5">
        <v>10</v>
      </c>
      <c r="B245" s="5">
        <f t="shared" si="71"/>
        <v>117</v>
      </c>
      <c r="C245" s="126">
        <f t="shared" si="72"/>
        <v>7.2485108947610302</v>
      </c>
      <c r="D245" s="20">
        <f t="shared" si="70"/>
        <v>0.99682305415526617</v>
      </c>
      <c r="Y245" s="112">
        <v>0.30850953546866861</v>
      </c>
      <c r="Z245" s="112">
        <v>0.32471348024012803</v>
      </c>
    </row>
    <row r="246" spans="1:26">
      <c r="A246" s="5">
        <v>11</v>
      </c>
      <c r="B246" s="5">
        <f t="shared" si="71"/>
        <v>132</v>
      </c>
      <c r="C246" s="126">
        <f t="shared" si="72"/>
        <v>6.523630963235294</v>
      </c>
      <c r="D246" s="20">
        <f t="shared" si="70"/>
        <v>0.89713678234989469</v>
      </c>
      <c r="Y246" s="112">
        <v>0.30851943197549581</v>
      </c>
      <c r="Z246" s="112">
        <v>0.32464493113801018</v>
      </c>
    </row>
    <row r="247" spans="1:26">
      <c r="Y247" s="112">
        <v>0.30853060192384141</v>
      </c>
      <c r="Z247" s="112">
        <v>0.32457770863205621</v>
      </c>
    </row>
    <row r="248" spans="1:26">
      <c r="Y248" s="112">
        <v>0.30854304191123083</v>
      </c>
      <c r="Z248" s="112">
        <v>0.32451183319889265</v>
      </c>
    </row>
    <row r="249" spans="1:26">
      <c r="Y249" s="112">
        <v>0.30855674814832346</v>
      </c>
      <c r="Z249" s="112">
        <v>0.32444732490481448</v>
      </c>
    </row>
    <row r="250" spans="1:26">
      <c r="Y250" s="112">
        <v>0.30857171646006665</v>
      </c>
      <c r="Z250" s="112">
        <v>0.32438420339967311</v>
      </c>
    </row>
    <row r="251" spans="1:26">
      <c r="Y251" s="112">
        <v>0.30858794228696773</v>
      </c>
      <c r="Z251" s="112">
        <v>0.32432248791089041</v>
      </c>
    </row>
    <row r="252" spans="1:26">
      <c r="Y252" s="112">
        <v>0.30860542068648261</v>
      </c>
      <c r="Z252" s="112">
        <v>0.32426219723760213</v>
      </c>
    </row>
    <row r="253" spans="1:26">
      <c r="Y253" s="112">
        <v>0.3086241463345214</v>
      </c>
      <c r="Z253" s="112">
        <v>0.32420334974493142</v>
      </c>
    </row>
    <row r="254" spans="1:26">
      <c r="Y254" s="112">
        <v>0.30864411352707044</v>
      </c>
      <c r="Z254" s="112">
        <v>0.32414596335839463</v>
      </c>
    </row>
    <row r="255" spans="1:26">
      <c r="Y255" s="112">
        <v>0.30866531618192938</v>
      </c>
      <c r="Z255" s="112">
        <v>0.32409005555844089</v>
      </c>
    </row>
    <row r="256" spans="1:26">
      <c r="Y256" s="112">
        <v>0.30868774784056413</v>
      </c>
      <c r="Z256" s="112">
        <v>0.3240356433751278</v>
      </c>
    </row>
    <row r="257" spans="25:26">
      <c r="Y257" s="112">
        <v>0.30871140167007427</v>
      </c>
      <c r="Z257" s="112">
        <v>0.32398274338293348</v>
      </c>
    </row>
    <row r="258" spans="25:26">
      <c r="Y258" s="112">
        <v>0.30873627046527408</v>
      </c>
      <c r="Z258" s="112">
        <v>0.3239313716957079</v>
      </c>
    </row>
    <row r="259" spans="25:26">
      <c r="Y259" s="112">
        <v>0.30876234665088764</v>
      </c>
      <c r="Z259" s="112">
        <v>0.32388154396176477</v>
      </c>
    </row>
    <row r="260" spans="25:26">
      <c r="Y260" s="112">
        <v>0.30878962228385631</v>
      </c>
      <c r="Z260" s="112">
        <v>0.32383327535911449</v>
      </c>
    </row>
    <row r="261" spans="25:26">
      <c r="Y261" s="112">
        <v>0.30881808905575797</v>
      </c>
      <c r="Z261" s="112">
        <v>0.32378658059084098</v>
      </c>
    </row>
    <row r="262" spans="25:26">
      <c r="Y262" s="112">
        <v>0.30884773829533818</v>
      </c>
      <c r="Z262" s="112">
        <v>0.32374147388062302</v>
      </c>
    </row>
    <row r="263" spans="25:26">
      <c r="Y263" s="112">
        <v>0.30887856097115129</v>
      </c>
      <c r="Z263" s="112">
        <v>0.32369796896840153</v>
      </c>
    </row>
    <row r="264" spans="25:26">
      <c r="Y264" s="112">
        <v>0.30891054769431175</v>
      </c>
      <c r="Z264" s="112">
        <v>0.32365607910619415</v>
      </c>
    </row>
    <row r="265" spans="25:26">
      <c r="Y265" s="112">
        <v>0.30894368872135369</v>
      </c>
      <c r="Z265" s="112">
        <v>0.32361581705405879</v>
      </c>
    </row>
    <row r="266" spans="25:26">
      <c r="Y266" s="112">
        <v>0.30897797395719939</v>
      </c>
      <c r="Z266" s="112">
        <v>0.32357719507620653</v>
      </c>
    </row>
    <row r="267" spans="25:26">
      <c r="Y267" s="112">
        <v>0.30901339295823377</v>
      </c>
      <c r="Z267" s="112">
        <v>0.32354022493726592</v>
      </c>
    </row>
    <row r="268" spans="25:26">
      <c r="Y268" s="112">
        <v>0.30904993493548605</v>
      </c>
      <c r="Z268" s="112">
        <v>0.32350491789869945</v>
      </c>
    </row>
    <row r="269" spans="25:26">
      <c r="Y269" s="112">
        <v>0.30908758875791592</v>
      </c>
      <c r="Z269" s="112">
        <v>0.32347128471537312</v>
      </c>
    </row>
    <row r="270" spans="25:26">
      <c r="Y270" s="112">
        <v>0.30912634295580438</v>
      </c>
      <c r="Z270" s="112">
        <v>0.32343933563228033</v>
      </c>
    </row>
    <row r="271" spans="25:26">
      <c r="Y271" s="112">
        <v>0.30916618572424731</v>
      </c>
      <c r="Z271" s="112">
        <v>0.3234090803814213</v>
      </c>
    </row>
    <row r="272" spans="25:26">
      <c r="Y272" s="112">
        <v>0.30920710492675141</v>
      </c>
      <c r="Z272" s="112">
        <v>0.32338052817883856</v>
      </c>
    </row>
    <row r="273" spans="25:26">
      <c r="Y273" s="112">
        <v>0.30924908809893131</v>
      </c>
      <c r="Z273" s="112">
        <v>0.32335368772180956</v>
      </c>
    </row>
    <row r="274" spans="25:26">
      <c r="Y274" s="112">
        <v>0.30929212245230597</v>
      </c>
      <c r="Z274" s="112">
        <v>0.32332856718619757</v>
      </c>
    </row>
    <row r="275" spans="25:26">
      <c r="Y275" s="112">
        <v>0.30933619487819453</v>
      </c>
      <c r="Z275" s="112">
        <v>0.3233051742239611</v>
      </c>
    </row>
    <row r="276" spans="25:26">
      <c r="Y276" s="112">
        <v>0.30938129195170905</v>
      </c>
      <c r="Z276" s="112">
        <v>0.323283515960823</v>
      </c>
    </row>
    <row r="277" spans="25:26">
      <c r="Y277" s="112">
        <v>0.30942739993584417</v>
      </c>
      <c r="Z277" s="112">
        <v>0.32326359899410007</v>
      </c>
    </row>
    <row r="278" spans="25:26">
      <c r="Y278" s="112">
        <v>0.30947450478566124</v>
      </c>
      <c r="Z278" s="112">
        <v>0.32324542939069328</v>
      </c>
    </row>
    <row r="279" spans="25:26">
      <c r="Y279" s="112">
        <v>0.30952259215256667</v>
      </c>
      <c r="Z279" s="112">
        <v>0.3232290126852399</v>
      </c>
    </row>
    <row r="280" spans="25:26">
      <c r="Y280" s="112">
        <v>0.30957164738868265</v>
      </c>
      <c r="Z280" s="112">
        <v>0.32321435387842734</v>
      </c>
    </row>
    <row r="281" spans="25:26">
      <c r="Y281" s="112">
        <v>0.30962165555130905</v>
      </c>
      <c r="Z281" s="112">
        <v>0.3232014574354703</v>
      </c>
    </row>
    <row r="282" spans="25:26">
      <c r="Y282" s="112">
        <v>0.30967260140747516</v>
      </c>
      <c r="Z282" s="112">
        <v>0.32319032728475011</v>
      </c>
    </row>
    <row r="283" spans="25:26">
      <c r="Y283" s="112">
        <v>0.30972446943857956</v>
      </c>
      <c r="Z283" s="112">
        <v>0.32318096681661856</v>
      </c>
    </row>
    <row r="284" spans="25:26">
      <c r="Y284" s="112">
        <v>0.30977724384511762</v>
      </c>
      <c r="Z284" s="112">
        <v>0.32317337888236491</v>
      </c>
    </row>
    <row r="285" spans="25:26">
      <c r="Y285" s="112">
        <v>0.30983090855149381</v>
      </c>
      <c r="Z285" s="112">
        <v>0.32316756579334743</v>
      </c>
    </row>
    <row r="286" spans="25:26">
      <c r="Y286" s="112">
        <v>0.30988544721091876</v>
      </c>
      <c r="Z286" s="112">
        <v>0.32316352932028936</v>
      </c>
    </row>
    <row r="287" spans="25:26">
      <c r="Y287" s="112">
        <v>0.30994084321038845</v>
      </c>
      <c r="Z287" s="112">
        <v>0.32316127069273953</v>
      </c>
    </row>
    <row r="288" spans="25:26">
      <c r="Y288" s="112">
        <v>0.3099970796757448</v>
      </c>
      <c r="Z288" s="112">
        <v>0.32316079059869768</v>
      </c>
    </row>
    <row r="289" spans="25:26">
      <c r="Y289" s="112">
        <v>0.31005413947681565</v>
      </c>
      <c r="Z289" s="112">
        <v>0.32316208918440514</v>
      </c>
    </row>
    <row r="290" spans="25:26">
      <c r="Y290" s="112">
        <v>0.31011200523263294</v>
      </c>
      <c r="Z290" s="112">
        <v>0.32316516605430023</v>
      </c>
    </row>
    <row r="291" spans="25:26">
      <c r="Y291" s="112">
        <v>0.31017065931672683</v>
      </c>
      <c r="Z291" s="112">
        <v>0.32317002027113839</v>
      </c>
    </row>
    <row r="292" spans="25:26">
      <c r="Y292" s="112">
        <v>0.31023008386249512</v>
      </c>
      <c r="Z292" s="112">
        <v>0.32317665035627829</v>
      </c>
    </row>
    <row r="293" spans="25:26">
      <c r="Y293" s="112">
        <v>0.31029026076864547</v>
      </c>
      <c r="Z293" s="112">
        <v>0.32318505429013172</v>
      </c>
    </row>
    <row r="294" spans="25:26">
      <c r="Y294" s="112">
        <v>0.31035117170470938</v>
      </c>
      <c r="Z294" s="112">
        <v>0.32319522951277901</v>
      </c>
    </row>
    <row r="295" spans="25:26">
      <c r="Y295" s="112">
        <v>0.3104127981166257</v>
      </c>
      <c r="Z295" s="112">
        <v>0.32320717292474882</v>
      </c>
    </row>
    <row r="296" spans="25:26">
      <c r="Y296" s="112">
        <v>0.31047512123239224</v>
      </c>
      <c r="Z296" s="112">
        <v>0.32322088088796208</v>
      </c>
    </row>
    <row r="297" spans="25:26">
      <c r="Y297" s="112">
        <v>0.31053812206778436</v>
      </c>
      <c r="Z297" s="112">
        <v>0.32323634922684047</v>
      </c>
    </row>
    <row r="298" spans="25:26">
      <c r="Y298" s="112">
        <v>0.31060178143213713</v>
      </c>
      <c r="Z298" s="112">
        <v>0.3232535732295781</v>
      </c>
    </row>
    <row r="299" spans="25:26">
      <c r="Y299" s="112">
        <v>0.3106660799341916</v>
      </c>
      <c r="Z299" s="112">
        <v>0.32327254764957691</v>
      </c>
    </row>
    <row r="300" spans="25:26">
      <c r="Y300" s="112">
        <v>0.31073099798800119</v>
      </c>
      <c r="Z300" s="112">
        <v>0.32329326670704472</v>
      </c>
    </row>
    <row r="301" spans="25:26">
      <c r="Y301" s="112">
        <v>0.31079651581889772</v>
      </c>
      <c r="Z301" s="112">
        <v>0.32331572409075587</v>
      </c>
    </row>
    <row r="302" spans="25:26">
      <c r="Y302" s="112">
        <v>0.31086261346951533</v>
      </c>
      <c r="Z302" s="112">
        <v>0.32333991295997389</v>
      </c>
    </row>
    <row r="303" spans="25:26">
      <c r="Y303" s="112">
        <v>0.31092927080586924</v>
      </c>
      <c r="Z303" s="112">
        <v>0.32336582594653474</v>
      </c>
    </row>
    <row r="304" spans="25:26">
      <c r="Y304" s="112">
        <v>0.31099646752348914</v>
      </c>
      <c r="Z304" s="112">
        <v>0.32339345515709178</v>
      </c>
    </row>
    <row r="305" spans="25:26">
      <c r="Y305" s="112">
        <v>0.31106418315360385</v>
      </c>
      <c r="Z305" s="112">
        <v>0.32342279217551972</v>
      </c>
    </row>
    <row r="306" spans="25:26">
      <c r="Y306" s="112">
        <v>0.31113239706937651</v>
      </c>
      <c r="Z306" s="112">
        <v>0.32345382806547868</v>
      </c>
    </row>
    <row r="307" spans="25:26">
      <c r="Y307" s="112">
        <v>0.31120108849218758</v>
      </c>
      <c r="Z307" s="112">
        <v>0.32348655337313587</v>
      </c>
    </row>
    <row r="308" spans="25:26">
      <c r="Y308" s="112">
        <v>0.3112702364979642</v>
      </c>
      <c r="Z308" s="112">
        <v>0.32352095813004556</v>
      </c>
    </row>
    <row r="309" spans="25:26">
      <c r="Y309" s="112">
        <v>0.31133982002355393</v>
      </c>
      <c r="Z309" s="112">
        <v>0.32355703185618551</v>
      </c>
    </row>
    <row r="310" spans="25:26">
      <c r="Y310" s="112">
        <v>0.31140981787314087</v>
      </c>
      <c r="Z310" s="112">
        <v>0.32359476356314926</v>
      </c>
    </row>
    <row r="311" spans="25:26">
      <c r="Y311" s="112">
        <v>0.31148020872470195</v>
      </c>
      <c r="Z311" s="112">
        <v>0.32363414175749339</v>
      </c>
    </row>
    <row r="312" spans="25:26">
      <c r="Y312" s="112">
        <v>0.31155097113650182</v>
      </c>
      <c r="Z312" s="112">
        <v>0.32367515444423839</v>
      </c>
    </row>
    <row r="313" spans="25:26">
      <c r="Y313" s="112">
        <v>0.31162208355362442</v>
      </c>
      <c r="Z313" s="112">
        <v>0.32371778913052268</v>
      </c>
    </row>
    <row r="314" spans="25:26">
      <c r="Y314" s="112">
        <v>0.31169352431453862</v>
      </c>
      <c r="Z314" s="112">
        <v>0.32376203282940769</v>
      </c>
    </row>
    <row r="315" spans="25:26">
      <c r="Y315" s="112">
        <v>0.31176527165769652</v>
      </c>
      <c r="Z315" s="112">
        <v>0.32380787206383421</v>
      </c>
    </row>
    <row r="316" spans="25:26">
      <c r="Y316" s="112">
        <v>0.31183730372816243</v>
      </c>
      <c r="Z316" s="112">
        <v>0.32385529287072734</v>
      </c>
    </row>
    <row r="317" spans="25:26">
      <c r="Y317" s="112">
        <v>0.31190959858426986</v>
      </c>
      <c r="Z317" s="112">
        <v>0.32390428080524991</v>
      </c>
    </row>
    <row r="318" spans="25:26">
      <c r="Y318" s="112">
        <v>0.31198213420430537</v>
      </c>
      <c r="Z318" s="112">
        <v>0.32395482094520262</v>
      </c>
    </row>
    <row r="319" spans="25:26">
      <c r="Y319" s="112">
        <v>0.31205488849321628</v>
      </c>
      <c r="Z319" s="112">
        <v>0.32400689789556913</v>
      </c>
    </row>
    <row r="320" spans="25:26">
      <c r="Y320" s="112">
        <v>0.31212783928934157</v>
      </c>
      <c r="Z320" s="112">
        <v>0.32406049579320589</v>
      </c>
    </row>
    <row r="321" spans="25:26">
      <c r="Y321" s="112">
        <v>0.3122009643711619</v>
      </c>
      <c r="Z321" s="112">
        <v>0.32411559831167414</v>
      </c>
    </row>
    <row r="322" spans="25:26">
      <c r="Y322" s="112">
        <v>0.31227424146406907</v>
      </c>
      <c r="Z322" s="112">
        <v>0.32417218866621289</v>
      </c>
    </row>
    <row r="323" spans="25:26">
      <c r="Y323" s="112">
        <v>0.31234764824715072</v>
      </c>
      <c r="Z323" s="112">
        <v>0.324230249618852</v>
      </c>
    </row>
    <row r="324" spans="25:26">
      <c r="Y324" s="112">
        <v>0.31242116235998957</v>
      </c>
      <c r="Z324" s="112">
        <v>0.32428976348366279</v>
      </c>
    </row>
    <row r="325" spans="25:26">
      <c r="Y325" s="112">
        <v>0.31249476140947474</v>
      </c>
      <c r="Z325" s="112">
        <v>0.3243507121321455</v>
      </c>
    </row>
    <row r="326" spans="25:26">
      <c r="Y326" s="112">
        <v>0.3125684229766228</v>
      </c>
      <c r="Z326" s="112">
        <v>0.32441307699875149</v>
      </c>
    </row>
    <row r="327" spans="25:26">
      <c r="Y327" s="112">
        <v>0.31264212462340674</v>
      </c>
      <c r="Z327" s="112">
        <v>0.32447683908653813</v>
      </c>
    </row>
    <row r="328" spans="25:26">
      <c r="Y328" s="112">
        <v>0.31271584389959106</v>
      </c>
      <c r="Z328" s="112">
        <v>0.32454197897295589</v>
      </c>
    </row>
    <row r="329" spans="25:26">
      <c r="Y329" s="112">
        <v>0.31278955834957012</v>
      </c>
      <c r="Z329" s="112">
        <v>0.32460847681576432</v>
      </c>
    </row>
    <row r="330" spans="25:26">
      <c r="Y330" s="112">
        <v>0.3128632455192083</v>
      </c>
      <c r="Z330" s="112">
        <v>0.32467631235907629</v>
      </c>
    </row>
    <row r="331" spans="25:26">
      <c r="Y331" s="112">
        <v>0.31293688296267991</v>
      </c>
      <c r="Z331" s="112">
        <v>0.32474546493952816</v>
      </c>
    </row>
    <row r="332" spans="25:26">
      <c r="Y332" s="112">
        <v>0.31301044824930641</v>
      </c>
      <c r="Z332" s="112">
        <v>0.3248159134925741</v>
      </c>
    </row>
    <row r="333" spans="25:26">
      <c r="Y333" s="112">
        <v>0.31308391897038873</v>
      </c>
      <c r="Z333" s="112">
        <v>0.32488763655890229</v>
      </c>
    </row>
    <row r="334" spans="25:26">
      <c r="Y334" s="112">
        <v>0.31315727274603361</v>
      </c>
      <c r="Z334" s="112">
        <v>0.32496061229097206</v>
      </c>
    </row>
    <row r="335" spans="25:26">
      <c r="Y335" s="112">
        <v>0.31323048723197033</v>
      </c>
      <c r="Z335" s="112">
        <v>0.32503481845966842</v>
      </c>
    </row>
    <row r="336" spans="25:26">
      <c r="Y336" s="112">
        <v>0.31330354012635719</v>
      </c>
      <c r="Z336" s="112">
        <v>0.32511023246107351</v>
      </c>
    </row>
    <row r="337" spans="25:26">
      <c r="Y337" s="112">
        <v>0.313376409176575</v>
      </c>
      <c r="Z337" s="112">
        <v>0.32518683132335202</v>
      </c>
    </row>
    <row r="338" spans="25:26">
      <c r="Y338" s="112">
        <v>0.3134490721860051</v>
      </c>
      <c r="Z338" s="112">
        <v>0.32526459171374844</v>
      </c>
    </row>
    <row r="339" spans="25:26">
      <c r="Y339" s="112">
        <v>0.31352150702079096</v>
      </c>
      <c r="Z339" s="112">
        <v>0.32534348994569451</v>
      </c>
    </row>
    <row r="340" spans="25:26">
      <c r="Y340" s="112">
        <v>0.31359369161658007</v>
      </c>
      <c r="Z340" s="112">
        <v>0.3254235019860246</v>
      </c>
    </row>
    <row r="341" spans="25:26">
      <c r="Y341" s="112">
        <v>0.31366560398524546</v>
      </c>
      <c r="Z341" s="112">
        <v>0.32550460346229598</v>
      </c>
    </row>
    <row r="342" spans="25:26">
      <c r="Y342" s="112">
        <v>0.3137372222215829</v>
      </c>
      <c r="Z342" s="112">
        <v>0.32558676967021349</v>
      </c>
    </row>
    <row r="343" spans="25:26">
      <c r="Y343" s="112">
        <v>0.31380852450998387</v>
      </c>
      <c r="Z343" s="112">
        <v>0.32566997558115413</v>
      </c>
    </row>
    <row r="344" spans="25:26">
      <c r="Y344" s="112">
        <v>0.31387948913108055</v>
      </c>
      <c r="Z344" s="112">
        <v>0.32575419584979137</v>
      </c>
    </row>
    <row r="345" spans="25:26">
      <c r="Y345" s="112">
        <v>0.31395009446836197</v>
      </c>
      <c r="Z345" s="112">
        <v>0.32583940482181561</v>
      </c>
    </row>
    <row r="346" spans="25:26">
      <c r="Y346" s="112">
        <v>0.31402031901475835</v>
      </c>
      <c r="Z346" s="112">
        <v>0.32592557654174853</v>
      </c>
    </row>
    <row r="347" spans="25:26">
      <c r="Y347" s="112">
        <v>0.31409014137919261</v>
      </c>
      <c r="Z347" s="112">
        <v>0.32601268476084944</v>
      </c>
    </row>
    <row r="348" spans="25:26">
      <c r="Y348" s="112">
        <v>0.31415954029309623</v>
      </c>
      <c r="Z348" s="112">
        <v>0.3261007029451109</v>
      </c>
    </row>
    <row r="349" spans="25:26">
      <c r="Y349" s="112">
        <v>0.31422849461688762</v>
      </c>
      <c r="Z349" s="112">
        <v>0.32618960428334148</v>
      </c>
    </row>
    <row r="350" spans="25:26">
      <c r="Y350" s="112">
        <v>0.31429698334641187</v>
      </c>
      <c r="Z350" s="112">
        <v>0.32627936169533223</v>
      </c>
    </row>
    <row r="351" spans="25:26">
      <c r="Y351" s="112">
        <v>0.31436498561933851</v>
      </c>
      <c r="Z351" s="112">
        <v>0.32636994784010598</v>
      </c>
    </row>
    <row r="352" spans="25:26">
      <c r="Y352" s="112">
        <v>0.31443248072151642</v>
      </c>
      <c r="Z352" s="112">
        <v>0.32646133512424558</v>
      </c>
    </row>
    <row r="353" spans="25:26">
      <c r="Y353" s="112">
        <v>0.31449944809328356</v>
      </c>
      <c r="Z353" s="112">
        <v>0.32655349571029885</v>
      </c>
    </row>
    <row r="354" spans="25:26">
      <c r="Y354" s="112">
        <v>0.31456586733572994</v>
      </c>
      <c r="Z354" s="112">
        <v>0.32664640152525865</v>
      </c>
    </row>
    <row r="355" spans="25:26">
      <c r="Y355" s="112">
        <v>0.31463171821691072</v>
      </c>
      <c r="Z355" s="112">
        <v>0.32674002426911364</v>
      </c>
    </row>
    <row r="356" spans="25:26">
      <c r="Y356" s="112">
        <v>0.31469698067800972</v>
      </c>
      <c r="Z356" s="112">
        <v>0.32683433542346918</v>
      </c>
    </row>
    <row r="357" spans="25:26">
      <c r="Y357" s="112">
        <v>0.31476163483944897</v>
      </c>
      <c r="Z357" s="112">
        <v>0.32692930626023392</v>
      </c>
    </row>
    <row r="358" spans="25:26">
      <c r="Y358" s="112">
        <v>0.31482566100694459</v>
      </c>
      <c r="Z358" s="112">
        <v>0.32702490785037114</v>
      </c>
    </row>
    <row r="359" spans="25:26">
      <c r="Y359" s="112">
        <v>0.31488903967750581</v>
      </c>
      <c r="Z359" s="112">
        <v>0.32712111107271025</v>
      </c>
    </row>
    <row r="360" spans="25:26">
      <c r="Y360" s="112">
        <v>0.31495175154537552</v>
      </c>
      <c r="Z360" s="112">
        <v>0.32721788662281776</v>
      </c>
    </row>
    <row r="361" spans="25:26">
      <c r="Y361" s="112">
        <v>0.31501377750791132</v>
      </c>
      <c r="Z361" s="112">
        <v>0.32731520502192374</v>
      </c>
    </row>
    <row r="362" spans="25:26">
      <c r="Y362" s="112">
        <v>0.31507509867140415</v>
      </c>
      <c r="Z362" s="112">
        <v>0.32741303662590099</v>
      </c>
    </row>
    <row r="363" spans="25:26">
      <c r="Y363" s="112">
        <v>0.31513569635683358</v>
      </c>
      <c r="Z363" s="112">
        <v>0.32751135163429529</v>
      </c>
    </row>
  </sheetData>
  <sheetProtection algorithmName="SHA-512" hashValue="Gk3wCMg/9bNlx3HWt4JexO8MfMJb2pm9Mrrj3XYV91Wb78bR63Zpuhn6vudYedSOpm4UssXbpaUCPDP0TnlqkA==" saltValue="8eWjCISpACSOmgv7Vzq4Vg==" spinCount="100000" sheet="1" objects="1" scenarios="1"/>
  <mergeCells count="60">
    <mergeCell ref="H56:J56"/>
    <mergeCell ref="A77:J77"/>
    <mergeCell ref="A69:A70"/>
    <mergeCell ref="B199:C199"/>
    <mergeCell ref="D199:E199"/>
    <mergeCell ref="A136:A137"/>
    <mergeCell ref="A121:J121"/>
    <mergeCell ref="A122:A123"/>
    <mergeCell ref="A84:I84"/>
    <mergeCell ref="A85:C85"/>
    <mergeCell ref="D85:F85"/>
    <mergeCell ref="G85:I85"/>
    <mergeCell ref="A91:J91"/>
    <mergeCell ref="A78:A79"/>
    <mergeCell ref="B78:D78"/>
    <mergeCell ref="B56:D56"/>
    <mergeCell ref="A203:D203"/>
    <mergeCell ref="A217:O217"/>
    <mergeCell ref="B185:E185"/>
    <mergeCell ref="A92:A93"/>
    <mergeCell ref="B92:D92"/>
    <mergeCell ref="E92:G92"/>
    <mergeCell ref="H92:J92"/>
    <mergeCell ref="A154:A155"/>
    <mergeCell ref="B154:D154"/>
    <mergeCell ref="E154:G154"/>
    <mergeCell ref="B136:E136"/>
    <mergeCell ref="F136:I136"/>
    <mergeCell ref="B150:C150"/>
    <mergeCell ref="D150:E150"/>
    <mergeCell ref="F150:G150"/>
    <mergeCell ref="H150:I150"/>
    <mergeCell ref="E78:G78"/>
    <mergeCell ref="H78:J78"/>
    <mergeCell ref="A1:J1"/>
    <mergeCell ref="A9:J9"/>
    <mergeCell ref="A10:B10"/>
    <mergeCell ref="B16:J16"/>
    <mergeCell ref="A17:A18"/>
    <mergeCell ref="B17:D17"/>
    <mergeCell ref="E17:G17"/>
    <mergeCell ref="H17:J17"/>
    <mergeCell ref="A15:J15"/>
    <mergeCell ref="B20:J20"/>
    <mergeCell ref="B26:J26"/>
    <mergeCell ref="B37:G37"/>
    <mergeCell ref="B38:C38"/>
    <mergeCell ref="F38:G38"/>
    <mergeCell ref="A56:A57"/>
    <mergeCell ref="A61:A66"/>
    <mergeCell ref="B39:C39"/>
    <mergeCell ref="D39:E39"/>
    <mergeCell ref="F39:G39"/>
    <mergeCell ref="A19:A39"/>
    <mergeCell ref="D38:E38"/>
    <mergeCell ref="E56:G56"/>
    <mergeCell ref="B43:D43"/>
    <mergeCell ref="B44:D44"/>
    <mergeCell ref="B48:D48"/>
    <mergeCell ref="B51:D5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W105"/>
  <sheetViews>
    <sheetView tabSelected="1" topLeftCell="A57" zoomScale="85" zoomScaleNormal="85" workbookViewId="0">
      <selection activeCell="F91" sqref="F91"/>
    </sheetView>
  </sheetViews>
  <sheetFormatPr defaultRowHeight="16.5"/>
  <cols>
    <col min="1" max="1" width="13.625" customWidth="1"/>
    <col min="2" max="2" width="16.25" customWidth="1"/>
    <col min="3" max="3" width="14.875" customWidth="1"/>
    <col min="4" max="4" width="13.625" customWidth="1"/>
    <col min="5" max="5" width="16.5" customWidth="1"/>
    <col min="6" max="6" width="15" customWidth="1"/>
    <col min="7" max="11" width="13.625" customWidth="1"/>
    <col min="12" max="15" width="10.625" customWidth="1"/>
    <col min="19" max="21" width="10.625" customWidth="1"/>
  </cols>
  <sheetData>
    <row r="2" spans="1:16" ht="17.25">
      <c r="A2" s="332" t="s">
        <v>229</v>
      </c>
      <c r="B2" s="378" t="s">
        <v>296</v>
      </c>
      <c r="C2" s="378"/>
      <c r="D2" s="378"/>
      <c r="E2" s="378"/>
      <c r="F2" s="378"/>
      <c r="G2" s="378"/>
      <c r="H2" s="378"/>
      <c r="I2" s="378"/>
      <c r="J2" s="378"/>
      <c r="K2" s="378"/>
      <c r="L2" s="378"/>
      <c r="M2" s="378"/>
      <c r="N2" s="378"/>
      <c r="O2" s="378"/>
      <c r="P2" s="378"/>
    </row>
    <row r="3" spans="1:16">
      <c r="A3" s="333"/>
      <c r="B3" s="187" t="s">
        <v>231</v>
      </c>
      <c r="C3" s="162"/>
      <c r="D3" s="160"/>
      <c r="E3" s="160"/>
      <c r="F3" s="160"/>
      <c r="G3" s="160"/>
      <c r="H3" s="160"/>
      <c r="I3" s="160"/>
      <c r="J3" s="160"/>
      <c r="K3" s="160"/>
    </row>
    <row r="4" spans="1:16">
      <c r="A4" s="333"/>
      <c r="B4" s="165"/>
      <c r="C4" s="162"/>
      <c r="D4" s="160"/>
      <c r="E4" s="160"/>
      <c r="F4" s="160"/>
      <c r="G4" s="160"/>
      <c r="H4" s="160"/>
      <c r="I4" s="160"/>
      <c r="J4" s="160"/>
      <c r="K4" s="160"/>
    </row>
    <row r="5" spans="1:16">
      <c r="A5" s="333"/>
      <c r="B5" s="336" t="s">
        <v>232</v>
      </c>
      <c r="C5" s="336"/>
      <c r="D5" s="160"/>
      <c r="E5" s="160"/>
      <c r="F5" s="160"/>
      <c r="G5" s="160"/>
      <c r="H5" s="160"/>
      <c r="I5" s="160"/>
      <c r="J5" s="160"/>
      <c r="K5" s="160"/>
    </row>
    <row r="6" spans="1:16">
      <c r="A6" s="333"/>
      <c r="B6" s="163" t="s">
        <v>144</v>
      </c>
      <c r="C6" s="164" t="s">
        <v>302</v>
      </c>
      <c r="D6" s="160"/>
      <c r="E6" s="160"/>
      <c r="F6" s="160"/>
      <c r="G6" s="160"/>
      <c r="H6" s="160"/>
      <c r="I6" s="160"/>
      <c r="J6" s="160"/>
      <c r="K6" s="160"/>
    </row>
    <row r="7" spans="1:16">
      <c r="A7" s="160"/>
      <c r="B7" s="160"/>
      <c r="C7" s="160"/>
      <c r="D7" s="160"/>
      <c r="E7" s="160"/>
      <c r="F7" s="160"/>
      <c r="G7" s="160"/>
      <c r="H7" s="160"/>
      <c r="I7" s="160"/>
      <c r="J7" s="160"/>
      <c r="K7" s="160"/>
    </row>
    <row r="8" spans="1:16">
      <c r="A8" s="160"/>
      <c r="B8" s="160"/>
      <c r="C8" s="160"/>
      <c r="D8" s="160"/>
      <c r="E8" s="160"/>
      <c r="F8" s="160"/>
      <c r="G8" s="160"/>
      <c r="H8" s="160"/>
      <c r="I8" s="160"/>
      <c r="J8" s="160"/>
      <c r="K8" s="160"/>
    </row>
    <row r="9" spans="1:16" ht="17.25">
      <c r="A9" s="333" t="s">
        <v>267</v>
      </c>
      <c r="B9" s="379" t="s">
        <v>295</v>
      </c>
      <c r="C9" s="379"/>
      <c r="D9" s="379"/>
      <c r="E9" s="379"/>
      <c r="F9" s="379"/>
      <c r="G9" s="379"/>
      <c r="H9" s="379"/>
      <c r="I9" s="379"/>
      <c r="J9" s="379"/>
      <c r="K9" s="379"/>
      <c r="L9" s="379"/>
      <c r="M9" s="379"/>
      <c r="N9" s="379"/>
      <c r="O9" s="379"/>
      <c r="P9" s="379"/>
    </row>
    <row r="10" spans="1:16" ht="34.5" customHeight="1">
      <c r="A10" s="333"/>
      <c r="B10" s="187" t="s">
        <v>207</v>
      </c>
      <c r="C10" s="187" t="s">
        <v>208</v>
      </c>
      <c r="D10" s="194" t="s">
        <v>206</v>
      </c>
      <c r="E10" s="194" t="s">
        <v>210</v>
      </c>
      <c r="F10" s="160"/>
      <c r="G10" s="160"/>
      <c r="H10" s="160"/>
      <c r="I10" s="160"/>
      <c r="J10" s="160"/>
      <c r="K10" s="160"/>
    </row>
    <row r="11" spans="1:16">
      <c r="A11" s="333"/>
      <c r="B11" s="163">
        <v>0.31269999999999998</v>
      </c>
      <c r="C11" s="167">
        <v>0.32900000000000001</v>
      </c>
      <c r="D11" s="167">
        <v>9.3000000000000007</v>
      </c>
      <c r="E11" s="163">
        <v>8</v>
      </c>
      <c r="F11" s="160"/>
      <c r="G11" s="160"/>
      <c r="H11" s="160"/>
      <c r="I11" s="160"/>
      <c r="J11" s="160"/>
      <c r="K11" s="160"/>
    </row>
    <row r="12" spans="1:16">
      <c r="A12" s="333"/>
      <c r="B12" s="336" t="s">
        <v>233</v>
      </c>
      <c r="C12" s="336"/>
      <c r="D12" s="336"/>
      <c r="E12" s="336"/>
      <c r="F12" s="160"/>
      <c r="G12" s="160"/>
      <c r="H12" s="160"/>
      <c r="I12" s="160"/>
      <c r="J12" s="160"/>
      <c r="K12" s="160"/>
    </row>
    <row r="13" spans="1:16">
      <c r="A13" s="333"/>
      <c r="B13" s="342" t="s">
        <v>216</v>
      </c>
      <c r="C13" s="342"/>
      <c r="D13" s="342" t="s">
        <v>211</v>
      </c>
      <c r="E13" s="342"/>
      <c r="F13" s="160"/>
      <c r="I13" s="160"/>
      <c r="J13" s="160"/>
      <c r="K13" s="160"/>
    </row>
    <row r="14" spans="1:16">
      <c r="A14" s="333"/>
      <c r="B14" s="381">
        <f>RBTC!E22</f>
        <v>0</v>
      </c>
      <c r="C14" s="381"/>
      <c r="D14" s="376" t="str">
        <f>RBTC!H22</f>
        <v>2FD</v>
      </c>
      <c r="E14" s="376"/>
      <c r="F14" s="160"/>
      <c r="G14" s="160"/>
      <c r="H14" s="160"/>
      <c r="I14" s="160"/>
      <c r="J14" s="160"/>
      <c r="K14" s="160"/>
    </row>
    <row r="15" spans="1:16">
      <c r="A15" s="160"/>
      <c r="B15" s="160"/>
      <c r="C15" s="160"/>
      <c r="D15" s="160"/>
      <c r="E15" s="160"/>
      <c r="F15" s="160"/>
      <c r="G15" s="160"/>
      <c r="H15" s="160"/>
      <c r="I15" s="160"/>
      <c r="J15" s="160"/>
      <c r="K15" s="160"/>
    </row>
    <row r="16" spans="1:16">
      <c r="A16" s="160"/>
      <c r="B16" s="160"/>
      <c r="C16" s="160"/>
      <c r="D16" s="160"/>
      <c r="E16" s="160"/>
      <c r="F16" s="160"/>
      <c r="G16" s="160"/>
      <c r="H16" s="160"/>
      <c r="I16" s="160"/>
      <c r="J16" s="160"/>
      <c r="K16" s="160"/>
    </row>
    <row r="17" spans="1:23" ht="17.25" customHeight="1">
      <c r="A17" s="356" t="s">
        <v>268</v>
      </c>
      <c r="B17" s="377" t="s">
        <v>303</v>
      </c>
      <c r="C17" s="377"/>
      <c r="D17" s="377"/>
      <c r="E17" s="377"/>
      <c r="F17" s="377"/>
      <c r="G17" s="377"/>
      <c r="H17" s="377"/>
      <c r="I17" s="377"/>
      <c r="J17" s="377"/>
      <c r="K17" s="377"/>
      <c r="L17" s="377"/>
      <c r="M17" s="377"/>
      <c r="N17" s="377"/>
      <c r="O17" s="377"/>
      <c r="P17" s="377"/>
    </row>
    <row r="18" spans="1:23">
      <c r="A18" s="356"/>
      <c r="B18" s="377"/>
      <c r="C18" s="377"/>
      <c r="D18" s="377"/>
      <c r="E18" s="377"/>
      <c r="F18" s="377"/>
      <c r="G18" s="377"/>
      <c r="H18" s="377"/>
      <c r="I18" s="377"/>
      <c r="J18" s="377"/>
      <c r="K18" s="377"/>
      <c r="L18" s="377"/>
      <c r="M18" s="377"/>
      <c r="N18" s="377"/>
      <c r="O18" s="377"/>
      <c r="P18" s="377"/>
    </row>
    <row r="19" spans="1:23" ht="16.5" customHeight="1">
      <c r="A19" s="242"/>
      <c r="B19" s="186" t="s">
        <v>176</v>
      </c>
      <c r="C19" s="193" t="s">
        <v>234</v>
      </c>
      <c r="D19" s="160"/>
      <c r="E19" s="160"/>
      <c r="F19" s="160"/>
      <c r="G19" s="160"/>
      <c r="H19" s="160"/>
      <c r="I19" s="160"/>
      <c r="J19" s="160"/>
      <c r="K19" s="160"/>
    </row>
    <row r="20" spans="1:23">
      <c r="A20" s="242"/>
      <c r="B20" s="155" t="s">
        <v>205</v>
      </c>
      <c r="C20" s="165">
        <f>RBTC!E11</f>
        <v>32.079359999999994</v>
      </c>
      <c r="D20" s="160"/>
      <c r="E20" s="160"/>
      <c r="F20" s="160"/>
      <c r="G20" s="160"/>
      <c r="H20" s="160"/>
      <c r="I20" s="160"/>
      <c r="J20" s="160"/>
      <c r="K20" s="160"/>
      <c r="W20" s="181"/>
    </row>
    <row r="21" spans="1:23">
      <c r="A21" s="242"/>
      <c r="B21" s="357" t="s">
        <v>3</v>
      </c>
      <c r="C21" s="358" t="s">
        <v>0</v>
      </c>
      <c r="D21" s="358"/>
      <c r="E21" s="358"/>
      <c r="F21" s="358" t="s">
        <v>1</v>
      </c>
      <c r="G21" s="358"/>
      <c r="H21" s="358"/>
      <c r="I21" s="358" t="s">
        <v>2</v>
      </c>
      <c r="J21" s="358"/>
      <c r="K21" s="358"/>
      <c r="W21" s="181"/>
    </row>
    <row r="22" spans="1:23" ht="31.5">
      <c r="A22" s="242"/>
      <c r="B22" s="357"/>
      <c r="C22" s="168" t="s">
        <v>4</v>
      </c>
      <c r="D22" s="168" t="s">
        <v>5</v>
      </c>
      <c r="E22" s="168" t="s">
        <v>166</v>
      </c>
      <c r="F22" s="168" t="s">
        <v>4</v>
      </c>
      <c r="G22" s="168" t="s">
        <v>5</v>
      </c>
      <c r="H22" s="168" t="s">
        <v>166</v>
      </c>
      <c r="I22" s="168" t="s">
        <v>4</v>
      </c>
      <c r="J22" s="168" t="s">
        <v>5</v>
      </c>
      <c r="K22" s="168" t="s">
        <v>167</v>
      </c>
      <c r="N22">
        <v>0.69299999999999995</v>
      </c>
      <c r="O22">
        <v>0.30680000000000002</v>
      </c>
      <c r="P22">
        <v>1.52851</v>
      </c>
      <c r="Q22">
        <v>25</v>
      </c>
      <c r="R22">
        <v>620.76199999999994</v>
      </c>
      <c r="W22" s="181"/>
    </row>
    <row r="23" spans="1:23">
      <c r="A23" s="242"/>
      <c r="B23" s="152">
        <v>25</v>
      </c>
      <c r="C23">
        <v>0.69299999999999995</v>
      </c>
      <c r="D23">
        <v>0.30680000000000002</v>
      </c>
      <c r="E23">
        <v>1.52851</v>
      </c>
      <c r="F23">
        <v>0.14829999999999999</v>
      </c>
      <c r="G23">
        <v>0.73729999999999996</v>
      </c>
      <c r="H23">
        <v>2.13673</v>
      </c>
      <c r="I23">
        <v>0.1512</v>
      </c>
      <c r="J23">
        <v>2.7900000000000001E-2</v>
      </c>
      <c r="K23">
        <v>0.30921599999999999</v>
      </c>
      <c r="N23">
        <v>0.14829999999999999</v>
      </c>
      <c r="O23">
        <v>0.73729999999999996</v>
      </c>
      <c r="P23">
        <v>2.13673</v>
      </c>
      <c r="Q23">
        <v>25</v>
      </c>
      <c r="R23">
        <v>524.02</v>
      </c>
      <c r="W23" s="181"/>
    </row>
    <row r="24" spans="1:23">
      <c r="A24" s="242"/>
      <c r="B24" s="353" t="s">
        <v>235</v>
      </c>
      <c r="C24" s="336"/>
      <c r="D24" s="336"/>
      <c r="E24" s="160"/>
      <c r="F24" s="160"/>
      <c r="G24" s="160"/>
      <c r="H24" s="160"/>
      <c r="I24" s="160"/>
      <c r="J24" s="160"/>
      <c r="K24" s="160"/>
      <c r="N24">
        <v>0.1512</v>
      </c>
      <c r="O24">
        <v>2.7900000000000001E-2</v>
      </c>
      <c r="P24">
        <v>0.30921599999999999</v>
      </c>
      <c r="Q24">
        <v>25</v>
      </c>
      <c r="R24">
        <v>456.40199999999999</v>
      </c>
      <c r="W24" s="181"/>
    </row>
    <row r="25" spans="1:23">
      <c r="A25" s="242"/>
      <c r="B25" s="354" t="s">
        <v>62</v>
      </c>
      <c r="C25" s="355"/>
      <c r="D25" s="355"/>
      <c r="E25" s="160"/>
      <c r="F25" s="160"/>
      <c r="G25" s="160"/>
      <c r="H25" s="160"/>
      <c r="I25" s="160"/>
      <c r="J25" s="160"/>
      <c r="K25" s="160"/>
      <c r="W25" s="181"/>
    </row>
    <row r="26" spans="1:23">
      <c r="A26" s="242"/>
      <c r="B26" s="182" t="s">
        <v>50</v>
      </c>
      <c r="C26" s="157" t="s">
        <v>51</v>
      </c>
      <c r="D26" s="157" t="s">
        <v>52</v>
      </c>
      <c r="E26" s="160"/>
      <c r="F26" s="160"/>
      <c r="G26" s="160"/>
      <c r="H26" s="160"/>
      <c r="I26" s="160"/>
      <c r="J26" s="160"/>
      <c r="K26" s="160"/>
      <c r="W26" s="181"/>
    </row>
    <row r="27" spans="1:23">
      <c r="A27" s="242"/>
      <c r="B27" s="183" t="str">
        <f>RBTC!C50</f>
        <v>D3</v>
      </c>
      <c r="C27" s="164" t="str">
        <f>RBTC!D50</f>
        <v>FF</v>
      </c>
      <c r="D27" s="164" t="str">
        <f>RBTC!E50</f>
        <v>3A</v>
      </c>
      <c r="E27" s="160"/>
      <c r="I27" s="160"/>
      <c r="J27" s="160"/>
      <c r="K27" s="160"/>
      <c r="W27" s="181"/>
    </row>
    <row r="28" spans="1:23">
      <c r="A28" s="242"/>
      <c r="B28" s="354" t="s">
        <v>116</v>
      </c>
      <c r="C28" s="355"/>
      <c r="D28" s="355"/>
      <c r="E28" s="160"/>
      <c r="F28" s="160"/>
      <c r="G28" s="160"/>
      <c r="H28" s="160"/>
      <c r="I28" s="160"/>
      <c r="J28" s="160"/>
      <c r="K28" s="160"/>
      <c r="W28" s="181"/>
    </row>
    <row r="29" spans="1:23">
      <c r="A29" s="242"/>
      <c r="B29" s="182" t="s">
        <v>50</v>
      </c>
      <c r="C29" s="157" t="s">
        <v>51</v>
      </c>
      <c r="D29" s="157" t="s">
        <v>52</v>
      </c>
      <c r="E29" s="160"/>
      <c r="F29" s="160"/>
      <c r="G29" s="160"/>
      <c r="H29" s="160"/>
      <c r="I29" s="160"/>
      <c r="J29" s="160"/>
      <c r="K29" s="160"/>
      <c r="W29" s="181"/>
    </row>
    <row r="30" spans="1:23">
      <c r="A30" s="242"/>
      <c r="B30" s="159">
        <f>RBTC!C56</f>
        <v>54.510080000000002</v>
      </c>
      <c r="C30" s="159">
        <f>RBTC!D56</f>
        <v>64</v>
      </c>
      <c r="D30" s="159">
        <f>RBTC!E56</f>
        <v>21.511040000000001</v>
      </c>
      <c r="E30" s="160"/>
      <c r="F30" s="160"/>
      <c r="G30" s="160"/>
      <c r="H30" s="160"/>
      <c r="I30" s="160"/>
      <c r="J30" s="160"/>
      <c r="K30" s="160"/>
      <c r="W30" s="181"/>
    </row>
    <row r="31" spans="1:23"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W31" s="181"/>
    </row>
    <row r="32" spans="1:23">
      <c r="B32" s="160"/>
      <c r="C32" s="160"/>
      <c r="D32" s="160"/>
      <c r="E32" s="160"/>
      <c r="F32" s="160"/>
      <c r="G32" s="160"/>
      <c r="H32" s="160"/>
      <c r="I32" s="160"/>
      <c r="J32" s="160"/>
      <c r="K32" s="160"/>
      <c r="W32" s="181"/>
    </row>
    <row r="33" spans="1:23" ht="16.5" customHeight="1">
      <c r="A33" s="332" t="s">
        <v>248</v>
      </c>
      <c r="B33" s="362" t="s">
        <v>222</v>
      </c>
      <c r="C33" s="362"/>
      <c r="D33" s="362"/>
      <c r="E33" s="362"/>
      <c r="F33" s="362"/>
      <c r="G33" s="362"/>
      <c r="H33" s="362"/>
      <c r="I33" s="362"/>
      <c r="J33" s="362"/>
      <c r="K33" s="362"/>
      <c r="L33" s="362"/>
      <c r="M33" s="362"/>
      <c r="N33" s="362"/>
      <c r="O33" s="362"/>
      <c r="P33" s="362"/>
      <c r="W33" s="181"/>
    </row>
    <row r="34" spans="1:23">
      <c r="A34" s="332"/>
      <c r="B34" s="382" t="s">
        <v>236</v>
      </c>
      <c r="C34" s="374" t="s">
        <v>0</v>
      </c>
      <c r="D34" s="374"/>
      <c r="E34" s="374"/>
      <c r="F34" s="374" t="s">
        <v>1</v>
      </c>
      <c r="G34" s="374"/>
      <c r="H34" s="374"/>
      <c r="I34" s="374" t="s">
        <v>2</v>
      </c>
      <c r="J34" s="374"/>
      <c r="K34" s="374"/>
      <c r="W34" s="181"/>
    </row>
    <row r="35" spans="1:23" ht="31.5">
      <c r="A35" s="332"/>
      <c r="B35" s="383"/>
      <c r="C35" s="168" t="s">
        <v>4</v>
      </c>
      <c r="D35" s="168" t="s">
        <v>5</v>
      </c>
      <c r="E35" s="168" t="s">
        <v>166</v>
      </c>
      <c r="F35" s="168" t="s">
        <v>4</v>
      </c>
      <c r="G35" s="168" t="s">
        <v>5</v>
      </c>
      <c r="H35" s="168" t="s">
        <v>166</v>
      </c>
      <c r="I35" s="168" t="s">
        <v>4</v>
      </c>
      <c r="J35" s="168" t="s">
        <v>5</v>
      </c>
      <c r="K35" s="168" t="s">
        <v>167</v>
      </c>
      <c r="W35" s="181"/>
    </row>
    <row r="36" spans="1:23">
      <c r="A36" s="332"/>
      <c r="B36" s="155">
        <f>B23</f>
        <v>25</v>
      </c>
      <c r="C36" s="162">
        <v>0.68859999999999999</v>
      </c>
      <c r="D36" s="207">
        <v>0.30570000000000003</v>
      </c>
      <c r="E36" s="207">
        <v>2.5750299999999999</v>
      </c>
      <c r="F36" s="162">
        <v>0.1409</v>
      </c>
      <c r="G36" s="162">
        <v>0.70940000000000003</v>
      </c>
      <c r="H36" s="162">
        <v>3.45499</v>
      </c>
      <c r="I36" s="162">
        <v>0.15190000000000001</v>
      </c>
      <c r="J36" s="162">
        <v>3.1399999999999997E-2</v>
      </c>
      <c r="K36" s="162">
        <v>0.23741100000000001</v>
      </c>
      <c r="W36" s="181"/>
    </row>
    <row r="37" spans="1:23">
      <c r="A37" s="332"/>
      <c r="B37" s="156" t="s">
        <v>284</v>
      </c>
      <c r="C37" s="161" t="s">
        <v>285</v>
      </c>
      <c r="D37" s="161" t="s">
        <v>286</v>
      </c>
      <c r="E37" s="160"/>
      <c r="F37" s="160"/>
      <c r="G37" s="160"/>
      <c r="H37" s="160"/>
      <c r="I37" s="160"/>
      <c r="J37" s="160"/>
      <c r="K37" s="160"/>
      <c r="W37" s="181"/>
    </row>
    <row r="38" spans="1:23">
      <c r="A38" s="332"/>
      <c r="B38" s="162">
        <v>0.30909999999999999</v>
      </c>
      <c r="C38" s="162">
        <v>0.33350000000000002</v>
      </c>
      <c r="D38" s="162">
        <v>8.7966300000000004</v>
      </c>
      <c r="E38" s="160"/>
      <c r="F38" s="51" t="s">
        <v>297</v>
      </c>
      <c r="G38" s="162">
        <v>0.68859999999999999</v>
      </c>
      <c r="H38" s="207">
        <v>0.30570000000000003</v>
      </c>
      <c r="I38" s="207">
        <v>2.5750299999999999</v>
      </c>
      <c r="J38" s="162">
        <v>10</v>
      </c>
      <c r="K38" s="162">
        <v>621.59299999999996</v>
      </c>
      <c r="W38" s="181"/>
    </row>
    <row r="39" spans="1:23">
      <c r="A39" s="332"/>
      <c r="B39" s="352" t="s">
        <v>237</v>
      </c>
      <c r="C39" s="352"/>
      <c r="D39" s="353"/>
      <c r="E39" s="160"/>
      <c r="F39" s="51" t="s">
        <v>298</v>
      </c>
      <c r="G39" s="162">
        <v>0.1409</v>
      </c>
      <c r="H39" s="162">
        <v>0.70940000000000003</v>
      </c>
      <c r="I39" s="162">
        <v>3.45499</v>
      </c>
      <c r="J39" s="162">
        <v>10</v>
      </c>
      <c r="K39" s="162">
        <v>520.36800000000005</v>
      </c>
      <c r="W39" s="181"/>
    </row>
    <row r="40" spans="1:23">
      <c r="A40" s="332"/>
      <c r="B40" s="174" t="s">
        <v>73</v>
      </c>
      <c r="C40" s="169" t="s">
        <v>74</v>
      </c>
      <c r="D40" s="169" t="s">
        <v>75</v>
      </c>
      <c r="E40" s="160"/>
      <c r="F40" s="208" t="s">
        <v>299</v>
      </c>
      <c r="G40" s="162">
        <v>0.15190000000000001</v>
      </c>
      <c r="H40" s="162">
        <v>3.1399999999999997E-2</v>
      </c>
      <c r="I40" s="162">
        <v>0.23741100000000001</v>
      </c>
      <c r="J40" s="162">
        <v>10</v>
      </c>
      <c r="K40" s="162">
        <v>457.05900000000003</v>
      </c>
      <c r="W40" s="181"/>
    </row>
    <row r="41" spans="1:23">
      <c r="A41" s="332"/>
      <c r="B41" s="183" t="str">
        <f>RBTC!C76</f>
        <v>11F</v>
      </c>
      <c r="C41" s="164" t="str">
        <f>RBTC!D76</f>
        <v>1E6</v>
      </c>
      <c r="D41" s="164" t="str">
        <f>RBTC!E76</f>
        <v>186</v>
      </c>
      <c r="E41" s="160"/>
      <c r="F41" s="51"/>
      <c r="G41" s="162"/>
      <c r="H41" s="162"/>
      <c r="I41" s="162"/>
      <c r="J41" s="162"/>
      <c r="K41" s="162"/>
      <c r="W41" s="181"/>
    </row>
    <row r="42" spans="1:23">
      <c r="A42" s="332"/>
      <c r="B42" s="354" t="s">
        <v>118</v>
      </c>
      <c r="C42" s="355"/>
      <c r="D42" s="355"/>
      <c r="E42" s="160"/>
      <c r="F42" s="51"/>
      <c r="G42" s="162"/>
      <c r="H42" s="162"/>
      <c r="I42" s="162"/>
      <c r="J42" s="162"/>
      <c r="K42" s="162"/>
      <c r="W42" s="181"/>
    </row>
    <row r="43" spans="1:23">
      <c r="A43" s="332"/>
      <c r="B43" s="174" t="s">
        <v>50</v>
      </c>
      <c r="C43" s="169" t="s">
        <v>51</v>
      </c>
      <c r="D43" s="169" t="s">
        <v>52</v>
      </c>
      <c r="E43" s="160"/>
      <c r="F43" s="208" t="s">
        <v>300</v>
      </c>
      <c r="G43" s="162">
        <v>0.30909999999999999</v>
      </c>
      <c r="H43" s="162">
        <v>0.33350000000000002</v>
      </c>
      <c r="I43" s="162">
        <v>8.7966300000000004</v>
      </c>
      <c r="J43" s="162">
        <v>10</v>
      </c>
      <c r="K43" s="162">
        <v>491.80099999999999</v>
      </c>
      <c r="W43" s="181"/>
    </row>
    <row r="44" spans="1:23">
      <c r="A44" s="332"/>
      <c r="B44" s="184">
        <f>RBTC!C77</f>
        <v>0.37369791666666669</v>
      </c>
      <c r="C44" s="184">
        <f>RBTC!D77</f>
        <v>0.6328125</v>
      </c>
      <c r="D44" s="184">
        <f>RBTC!E77</f>
        <v>0.5078125</v>
      </c>
      <c r="E44" s="160"/>
      <c r="F44" s="51" t="s">
        <v>301</v>
      </c>
      <c r="G44" s="162">
        <v>0.31280000000000002</v>
      </c>
      <c r="H44" s="162">
        <v>0.32969999999999999</v>
      </c>
      <c r="I44" s="162">
        <v>9.2289700000000003</v>
      </c>
      <c r="J44" s="162">
        <v>10</v>
      </c>
      <c r="K44" s="162">
        <v>489.435</v>
      </c>
      <c r="W44" s="181"/>
    </row>
    <row r="45" spans="1:23">
      <c r="A45" s="160"/>
      <c r="B45" s="160"/>
      <c r="C45" s="160"/>
      <c r="D45" s="160"/>
      <c r="E45" s="160"/>
      <c r="F45" s="160"/>
      <c r="G45" s="160"/>
      <c r="H45" s="160"/>
      <c r="I45" s="160"/>
      <c r="J45" s="160"/>
      <c r="K45" s="160"/>
      <c r="W45" s="181"/>
    </row>
    <row r="46" spans="1:23">
      <c r="A46" s="160"/>
      <c r="B46" s="160"/>
      <c r="C46" s="160"/>
      <c r="D46" s="160"/>
      <c r="E46" s="160"/>
      <c r="F46" s="160"/>
      <c r="G46" s="160"/>
      <c r="H46" s="160"/>
      <c r="I46" s="160"/>
      <c r="J46" s="160"/>
      <c r="K46" s="160"/>
      <c r="W46" s="181"/>
    </row>
    <row r="47" spans="1:23">
      <c r="A47" s="160"/>
      <c r="B47" s="160"/>
      <c r="C47" s="160"/>
      <c r="D47" s="160"/>
      <c r="E47" s="160"/>
      <c r="F47" s="160"/>
      <c r="G47" s="160"/>
      <c r="H47" s="160"/>
      <c r="I47" s="160"/>
      <c r="J47" s="160"/>
      <c r="K47" s="160"/>
    </row>
    <row r="48" spans="1:23">
      <c r="A48" s="359" t="s">
        <v>250</v>
      </c>
      <c r="B48" s="380" t="s">
        <v>238</v>
      </c>
      <c r="C48" s="380"/>
      <c r="D48" s="380"/>
      <c r="E48" s="380"/>
      <c r="F48" s="380"/>
      <c r="G48" s="380"/>
      <c r="H48" s="380"/>
      <c r="I48" s="380"/>
      <c r="J48" s="380"/>
      <c r="K48" s="380"/>
      <c r="L48" s="380"/>
      <c r="M48" s="380"/>
      <c r="N48" s="380"/>
      <c r="O48" s="380"/>
      <c r="P48" s="380"/>
    </row>
    <row r="49" spans="1:17">
      <c r="A49" s="332"/>
      <c r="B49" s="375" t="s">
        <v>236</v>
      </c>
      <c r="C49" s="374" t="s">
        <v>252</v>
      </c>
      <c r="D49" s="374"/>
      <c r="E49" s="374"/>
      <c r="F49" s="374" t="s">
        <v>1</v>
      </c>
      <c r="G49" s="374"/>
      <c r="H49" s="374"/>
      <c r="I49" s="374" t="s">
        <v>2</v>
      </c>
      <c r="J49" s="374"/>
      <c r="K49" s="374"/>
      <c r="M49">
        <v>0.6895</v>
      </c>
      <c r="N49">
        <v>0.30630000000000002</v>
      </c>
      <c r="O49">
        <v>2.8675799999999998</v>
      </c>
      <c r="P49">
        <v>10</v>
      </c>
      <c r="Q49">
        <v>621.21400000000006</v>
      </c>
    </row>
    <row r="50" spans="1:17" ht="31.5">
      <c r="A50" s="332"/>
      <c r="B50" s="361"/>
      <c r="C50" s="168" t="s">
        <v>4</v>
      </c>
      <c r="D50" s="168" t="s">
        <v>5</v>
      </c>
      <c r="E50" s="168" t="s">
        <v>166</v>
      </c>
      <c r="F50" s="168" t="s">
        <v>4</v>
      </c>
      <c r="G50" s="168" t="s">
        <v>5</v>
      </c>
      <c r="H50" s="168" t="s">
        <v>166</v>
      </c>
      <c r="I50" s="168" t="s">
        <v>4</v>
      </c>
      <c r="J50" s="168" t="s">
        <v>5</v>
      </c>
      <c r="K50" s="168" t="s">
        <v>167</v>
      </c>
      <c r="M50">
        <v>0.14369999999999999</v>
      </c>
      <c r="N50">
        <v>0.7097</v>
      </c>
      <c r="O50">
        <v>6.4769500000000004</v>
      </c>
      <c r="P50">
        <v>10</v>
      </c>
      <c r="Q50">
        <v>520.87099999999998</v>
      </c>
    </row>
    <row r="51" spans="1:17">
      <c r="A51" s="332"/>
      <c r="B51" s="165">
        <v>25</v>
      </c>
      <c r="C51">
        <v>0.6895</v>
      </c>
      <c r="D51">
        <v>0.30630000000000002</v>
      </c>
      <c r="E51">
        <v>2.8675799999999998</v>
      </c>
      <c r="F51">
        <v>0.14369999999999999</v>
      </c>
      <c r="G51">
        <v>0.7097</v>
      </c>
      <c r="H51">
        <v>6.4769500000000004</v>
      </c>
      <c r="I51">
        <v>0.1515</v>
      </c>
      <c r="J51">
        <v>3.0599999999999999E-2</v>
      </c>
      <c r="K51">
        <v>0.35162100000000002</v>
      </c>
      <c r="M51">
        <v>0.1515</v>
      </c>
      <c r="N51">
        <v>3.0599999999999999E-2</v>
      </c>
      <c r="O51">
        <v>0.35162100000000002</v>
      </c>
      <c r="P51">
        <v>10</v>
      </c>
      <c r="Q51">
        <v>457.05399999999997</v>
      </c>
    </row>
    <row r="52" spans="1:17" ht="16.5" customHeight="1">
      <c r="A52" s="332"/>
      <c r="B52" s="377" t="s">
        <v>294</v>
      </c>
      <c r="C52" s="362"/>
      <c r="D52" s="362"/>
      <c r="E52" s="362"/>
      <c r="F52" s="362"/>
      <c r="G52" s="362"/>
      <c r="H52" s="362"/>
      <c r="I52" s="362"/>
      <c r="J52" s="362"/>
      <c r="K52" s="362"/>
      <c r="L52" s="362"/>
      <c r="M52" s="362"/>
      <c r="N52" s="362"/>
      <c r="O52" s="362"/>
      <c r="P52" s="362"/>
    </row>
    <row r="53" spans="1:17">
      <c r="A53" s="332"/>
      <c r="B53" s="375" t="s">
        <v>236</v>
      </c>
      <c r="C53" s="374" t="s">
        <v>0</v>
      </c>
      <c r="D53" s="374"/>
      <c r="E53" s="374"/>
      <c r="F53" s="374" t="s">
        <v>1</v>
      </c>
      <c r="G53" s="374"/>
      <c r="H53" s="374"/>
      <c r="I53" s="374" t="s">
        <v>2</v>
      </c>
      <c r="J53" s="374"/>
      <c r="K53" s="374"/>
    </row>
    <row r="54" spans="1:17" ht="31.5">
      <c r="A54" s="332"/>
      <c r="B54" s="361"/>
      <c r="C54" s="168" t="s">
        <v>4</v>
      </c>
      <c r="D54" s="168" t="s">
        <v>5</v>
      </c>
      <c r="E54" s="168" t="s">
        <v>254</v>
      </c>
      <c r="F54" s="168" t="s">
        <v>4</v>
      </c>
      <c r="G54" s="168" t="s">
        <v>5</v>
      </c>
      <c r="H54" s="168" t="s">
        <v>166</v>
      </c>
      <c r="I54" s="168" t="s">
        <v>4</v>
      </c>
      <c r="J54" s="168" t="s">
        <v>5</v>
      </c>
      <c r="K54" s="168" t="s">
        <v>167</v>
      </c>
      <c r="M54">
        <v>0.69210000000000005</v>
      </c>
      <c r="N54">
        <v>0.3044</v>
      </c>
      <c r="O54">
        <v>2.6266699999999998</v>
      </c>
      <c r="P54">
        <v>10</v>
      </c>
      <c r="Q54">
        <v>622.22199999999998</v>
      </c>
    </row>
    <row r="55" spans="1:17">
      <c r="A55" s="332"/>
      <c r="B55" s="171">
        <v>37</v>
      </c>
      <c r="C55">
        <v>0.69210000000000005</v>
      </c>
      <c r="D55">
        <v>0.3044</v>
      </c>
      <c r="E55">
        <v>2.6266699999999998</v>
      </c>
      <c r="F55">
        <v>0.14610000000000001</v>
      </c>
      <c r="G55">
        <v>0.71109999999999995</v>
      </c>
      <c r="H55">
        <v>6.3897399999999998</v>
      </c>
      <c r="I55">
        <v>0.1507</v>
      </c>
      <c r="J55">
        <v>3.1300000000000001E-2</v>
      </c>
      <c r="K55">
        <v>0.35351300000000002</v>
      </c>
      <c r="M55">
        <v>0.14610000000000001</v>
      </c>
      <c r="N55">
        <v>0.71109999999999995</v>
      </c>
      <c r="O55">
        <v>6.3897399999999998</v>
      </c>
      <c r="P55">
        <v>10</v>
      </c>
      <c r="Q55">
        <v>521.42200000000003</v>
      </c>
    </row>
    <row r="56" spans="1:17">
      <c r="A56" s="160"/>
      <c r="B56" s="160"/>
      <c r="C56" s="160"/>
      <c r="D56" s="160"/>
      <c r="E56" s="172">
        <f>1-E55/E51</f>
        <v>8.4011605604725981E-2</v>
      </c>
      <c r="F56" s="160"/>
      <c r="G56" s="160"/>
      <c r="H56" s="172">
        <f>1-H55/H51</f>
        <v>1.346467087132075E-2</v>
      </c>
      <c r="I56" s="160"/>
      <c r="J56" s="160"/>
      <c r="K56" s="172">
        <f>1-K55/K51</f>
        <v>-5.3807935248464389E-3</v>
      </c>
      <c r="M56">
        <v>0.1507</v>
      </c>
      <c r="N56">
        <v>3.1300000000000001E-2</v>
      </c>
      <c r="O56">
        <v>0.35351300000000002</v>
      </c>
      <c r="P56">
        <v>10</v>
      </c>
      <c r="Q56">
        <v>457.553</v>
      </c>
    </row>
    <row r="57" spans="1:17">
      <c r="A57" s="332" t="s">
        <v>239</v>
      </c>
      <c r="B57" s="353" t="s">
        <v>240</v>
      </c>
      <c r="C57" s="336"/>
      <c r="D57" s="336"/>
      <c r="E57" s="336"/>
      <c r="F57" s="336"/>
      <c r="G57" s="160"/>
      <c r="H57" s="160"/>
      <c r="I57" s="160"/>
      <c r="J57" s="160"/>
      <c r="K57" s="160"/>
    </row>
    <row r="58" spans="1:17">
      <c r="A58" s="333"/>
      <c r="B58" s="367" t="s">
        <v>50</v>
      </c>
      <c r="C58" s="333"/>
      <c r="D58" s="333" t="s">
        <v>52</v>
      </c>
      <c r="E58" s="333"/>
      <c r="F58" s="333"/>
      <c r="G58" s="160"/>
      <c r="H58" s="160"/>
      <c r="I58" s="160"/>
      <c r="J58" s="160"/>
      <c r="K58" s="160"/>
    </row>
    <row r="59" spans="1:17">
      <c r="A59" s="333"/>
      <c r="B59" s="159" t="s">
        <v>135</v>
      </c>
      <c r="C59" s="163" t="s">
        <v>134</v>
      </c>
      <c r="D59" s="162" t="s">
        <v>253</v>
      </c>
      <c r="E59" s="163" t="s">
        <v>135</v>
      </c>
      <c r="F59" s="163" t="s">
        <v>134</v>
      </c>
      <c r="G59" s="160"/>
      <c r="H59" s="160"/>
      <c r="I59" s="160"/>
      <c r="J59" s="173"/>
      <c r="K59" s="160"/>
    </row>
    <row r="60" spans="1:17">
      <c r="A60" s="333"/>
      <c r="B60" s="174" t="s">
        <v>68</v>
      </c>
      <c r="C60" s="169" t="s">
        <v>68</v>
      </c>
      <c r="D60" s="169" t="s">
        <v>251</v>
      </c>
      <c r="E60" s="169" t="s">
        <v>68</v>
      </c>
      <c r="F60" s="169" t="s">
        <v>68</v>
      </c>
      <c r="G60" s="160"/>
      <c r="H60" s="160"/>
      <c r="I60" s="160"/>
      <c r="J60" s="160"/>
      <c r="K60" s="160"/>
    </row>
    <row r="61" spans="1:17">
      <c r="A61" s="333"/>
      <c r="B61" s="177" t="str">
        <f>RBTC!D204</f>
        <v>CD</v>
      </c>
      <c r="C61" s="175" t="str">
        <f>RBTC!F204</f>
        <v>11</v>
      </c>
      <c r="D61" s="176">
        <v>1</v>
      </c>
      <c r="E61" s="175" t="str">
        <f>RBTC!F155</f>
        <v>FD</v>
      </c>
      <c r="F61" s="175" t="str">
        <f>RBTC!D155</f>
        <v>1</v>
      </c>
      <c r="G61" s="160"/>
      <c r="H61" s="160"/>
      <c r="I61" s="160"/>
      <c r="J61" s="160"/>
      <c r="K61" s="160"/>
    </row>
    <row r="62" spans="1:17" ht="16.5" customHeight="1">
      <c r="A62" s="333"/>
      <c r="B62" s="336" t="s">
        <v>241</v>
      </c>
      <c r="C62" s="336"/>
      <c r="D62" s="336"/>
      <c r="E62" s="336"/>
      <c r="F62" s="372" t="s">
        <v>290</v>
      </c>
      <c r="G62" s="373"/>
      <c r="H62" s="373"/>
      <c r="I62" s="373"/>
    </row>
    <row r="63" spans="1:17">
      <c r="A63" s="333"/>
      <c r="B63" s="163" t="s">
        <v>243</v>
      </c>
      <c r="C63" s="163" t="s">
        <v>244</v>
      </c>
      <c r="D63" s="1" t="str">
        <f>RBTC!J221</f>
        <v>tc_fine _shift</v>
      </c>
      <c r="E63" s="163" t="s">
        <v>245</v>
      </c>
      <c r="F63" s="162" t="s">
        <v>289</v>
      </c>
      <c r="G63" s="162" t="s">
        <v>288</v>
      </c>
      <c r="H63" s="209" t="s">
        <v>287</v>
      </c>
      <c r="I63" s="51" t="s">
        <v>304</v>
      </c>
      <c r="J63" s="51" t="s">
        <v>305</v>
      </c>
      <c r="K63" s="51" t="s">
        <v>306</v>
      </c>
      <c r="L63" s="51" t="s">
        <v>307</v>
      </c>
      <c r="M63" s="51"/>
    </row>
    <row r="64" spans="1:17">
      <c r="A64" s="333"/>
      <c r="B64" s="163">
        <v>0</v>
      </c>
      <c r="C64" s="163">
        <f>RBTC!B97</f>
        <v>-10</v>
      </c>
      <c r="D64" s="23">
        <f>RBTC!J222</f>
        <v>0</v>
      </c>
      <c r="E64" s="164" t="str">
        <f>RBTC!N222</f>
        <v>17</v>
      </c>
      <c r="F64" s="162"/>
      <c r="G64" s="162"/>
      <c r="H64" s="162"/>
      <c r="I64" s="51"/>
      <c r="J64" s="51"/>
      <c r="K64" s="51"/>
      <c r="L64" s="51"/>
      <c r="M64" s="51"/>
    </row>
    <row r="65" spans="1:13">
      <c r="A65" s="333"/>
      <c r="B65" s="163">
        <v>1</v>
      </c>
      <c r="C65" s="163">
        <f>RBTC!B98</f>
        <v>2</v>
      </c>
      <c r="D65" s="23">
        <f>RBTC!J223</f>
        <v>0</v>
      </c>
      <c r="E65" s="164" t="str">
        <f>RBTC!N223</f>
        <v>F</v>
      </c>
      <c r="F65" s="162"/>
      <c r="G65" s="162"/>
      <c r="H65" s="162"/>
      <c r="I65" s="51"/>
      <c r="J65" s="51"/>
      <c r="K65" s="51"/>
      <c r="L65" s="51"/>
      <c r="M65" s="51"/>
    </row>
    <row r="66" spans="1:13">
      <c r="A66" s="333"/>
      <c r="B66" s="163">
        <v>2</v>
      </c>
      <c r="C66" s="163">
        <f>RBTC!B99</f>
        <v>14</v>
      </c>
      <c r="D66" s="23">
        <f>RBTC!J224</f>
        <v>0</v>
      </c>
      <c r="E66" s="164" t="str">
        <f>RBTC!N224</f>
        <v>9</v>
      </c>
      <c r="F66" s="51"/>
      <c r="G66" s="51"/>
      <c r="H66" s="51"/>
      <c r="I66" s="51"/>
      <c r="J66" s="51"/>
      <c r="K66" s="51"/>
      <c r="L66" s="51"/>
      <c r="M66" s="51"/>
    </row>
    <row r="67" spans="1:13">
      <c r="A67" s="333"/>
      <c r="B67" s="163">
        <v>3</v>
      </c>
      <c r="C67" s="163">
        <f>RBTC!B100</f>
        <v>25</v>
      </c>
      <c r="D67" s="23">
        <f>RBTC!J225</f>
        <v>0</v>
      </c>
      <c r="E67" s="164" t="str">
        <f>RBTC!N225</f>
        <v>3</v>
      </c>
      <c r="F67" s="162">
        <v>0.31319999999999998</v>
      </c>
      <c r="G67" s="162">
        <v>0.32969999999999999</v>
      </c>
      <c r="H67" s="162">
        <v>9.2993199999999998</v>
      </c>
      <c r="I67" s="51">
        <v>10</v>
      </c>
      <c r="J67" s="51">
        <v>489.38799999999998</v>
      </c>
      <c r="K67" s="51">
        <v>3</v>
      </c>
      <c r="L67" s="51">
        <v>0</v>
      </c>
      <c r="M67" s="51"/>
    </row>
    <row r="68" spans="1:13">
      <c r="A68" s="333"/>
      <c r="B68" s="163">
        <v>4</v>
      </c>
      <c r="C68" s="163">
        <f>RBTC!B101</f>
        <v>37</v>
      </c>
      <c r="D68" s="23">
        <f>RBTC!J226</f>
        <v>0</v>
      </c>
      <c r="E68" s="164" t="str">
        <f>RBTC!N226</f>
        <v>0</v>
      </c>
      <c r="F68" s="162">
        <v>0.313</v>
      </c>
      <c r="G68" s="162">
        <v>0.3296</v>
      </c>
      <c r="H68" s="162">
        <v>9.1126900000000006</v>
      </c>
      <c r="I68" s="51">
        <v>10</v>
      </c>
      <c r="J68" s="51">
        <v>489.30799999999999</v>
      </c>
      <c r="K68" s="51">
        <v>4</v>
      </c>
      <c r="L68" s="51">
        <v>0</v>
      </c>
      <c r="M68" s="51"/>
    </row>
    <row r="69" spans="1:13">
      <c r="A69" s="333"/>
      <c r="B69" s="163">
        <v>5</v>
      </c>
      <c r="C69" s="163">
        <f>RBTC!B102</f>
        <v>48</v>
      </c>
      <c r="D69" s="23">
        <f>RBTC!J227</f>
        <v>0</v>
      </c>
      <c r="E69" s="164" t="str">
        <f>RBTC!N227</f>
        <v>0</v>
      </c>
      <c r="F69" s="162">
        <v>0.31309999999999999</v>
      </c>
      <c r="G69" s="162">
        <v>0.32900000000000001</v>
      </c>
      <c r="H69" s="162">
        <v>8.9716000000000005</v>
      </c>
      <c r="I69" s="51">
        <v>10</v>
      </c>
      <c r="J69" s="51">
        <v>488.92399999999998</v>
      </c>
      <c r="K69" s="51">
        <v>8</v>
      </c>
      <c r="L69" s="51">
        <v>0</v>
      </c>
      <c r="M69" s="51"/>
    </row>
    <row r="70" spans="1:13">
      <c r="A70" s="333"/>
      <c r="B70" s="163">
        <v>6</v>
      </c>
      <c r="C70" s="163">
        <f>RBTC!B103</f>
        <v>60</v>
      </c>
      <c r="D70" s="23">
        <f>RBTC!J228</f>
        <v>0</v>
      </c>
      <c r="E70" s="164" t="str">
        <f>RBTC!N228</f>
        <v>4</v>
      </c>
      <c r="F70" s="162">
        <v>0.3125</v>
      </c>
      <c r="G70" s="162">
        <v>0.32950000000000002</v>
      </c>
      <c r="H70" s="162">
        <v>8.7531599999999994</v>
      </c>
      <c r="I70" s="51">
        <v>10</v>
      </c>
      <c r="J70" s="51">
        <v>489.334</v>
      </c>
      <c r="K70" s="51">
        <v>13</v>
      </c>
      <c r="L70" s="51">
        <v>0</v>
      </c>
      <c r="M70" s="51"/>
    </row>
    <row r="71" spans="1:13">
      <c r="A71" s="333"/>
      <c r="B71" s="163">
        <v>7</v>
      </c>
      <c r="C71" s="163">
        <f>RBTC!B104</f>
        <v>71</v>
      </c>
      <c r="D71" s="23">
        <f>RBTC!J229</f>
        <v>0</v>
      </c>
      <c r="E71" s="164" t="str">
        <f>RBTC!N229</f>
        <v>B</v>
      </c>
      <c r="F71" s="162">
        <v>0.31180000000000002</v>
      </c>
      <c r="G71" s="162">
        <v>0.32890000000000003</v>
      </c>
      <c r="H71" s="162">
        <v>8.5089199999999998</v>
      </c>
      <c r="I71" s="51">
        <v>10</v>
      </c>
      <c r="J71" s="51">
        <v>489.07499999999999</v>
      </c>
      <c r="K71" s="51">
        <v>30</v>
      </c>
      <c r="L71" s="51">
        <v>0</v>
      </c>
      <c r="M71" s="51"/>
    </row>
    <row r="72" spans="1:13">
      <c r="A72" s="333"/>
      <c r="B72" s="163">
        <v>8</v>
      </c>
      <c r="C72" s="163">
        <f>RBTC!B105</f>
        <v>83</v>
      </c>
      <c r="D72" s="23">
        <f>RBTC!J230</f>
        <v>0</v>
      </c>
      <c r="E72" s="164" t="str">
        <f>RBTC!N230</f>
        <v>1C</v>
      </c>
      <c r="F72" s="162">
        <v>0.313</v>
      </c>
      <c r="G72" s="162">
        <v>0.32869999999999999</v>
      </c>
      <c r="H72" s="162">
        <v>8.2806700000000006</v>
      </c>
      <c r="I72" s="51">
        <v>10</v>
      </c>
      <c r="J72" s="51">
        <v>488.77100000000002</v>
      </c>
      <c r="K72" s="51">
        <v>68</v>
      </c>
      <c r="L72" s="51">
        <v>0</v>
      </c>
      <c r="M72" s="51"/>
    </row>
    <row r="73" spans="1:13">
      <c r="A73" s="333"/>
      <c r="B73" s="163">
        <v>9</v>
      </c>
      <c r="C73" s="163">
        <f>RBTC!B106</f>
        <v>94</v>
      </c>
      <c r="D73" s="23">
        <f>RBTC!J231</f>
        <v>0</v>
      </c>
      <c r="E73" s="164" t="str">
        <f>RBTC!N231</f>
        <v>35</v>
      </c>
      <c r="F73" s="162">
        <v>0.31359999999999999</v>
      </c>
      <c r="G73" s="162">
        <v>0.32969999999999999</v>
      </c>
      <c r="H73" s="162">
        <v>8.1100300000000001</v>
      </c>
      <c r="I73" s="51">
        <v>10</v>
      </c>
      <c r="J73" s="51">
        <v>489.32499999999999</v>
      </c>
      <c r="K73" s="51">
        <v>92</v>
      </c>
      <c r="L73" s="51">
        <v>0</v>
      </c>
      <c r="M73" s="51"/>
    </row>
    <row r="74" spans="1:13">
      <c r="A74" s="333"/>
      <c r="B74" s="163">
        <v>10</v>
      </c>
      <c r="C74" s="163">
        <f>RBTC!B107</f>
        <v>106</v>
      </c>
      <c r="D74" s="23">
        <f>RBTC!J232</f>
        <v>0</v>
      </c>
      <c r="E74" s="164" t="str">
        <f>RBTC!N232</f>
        <v>62</v>
      </c>
      <c r="F74" s="162"/>
      <c r="G74" s="162"/>
      <c r="H74" s="162"/>
      <c r="I74" s="51"/>
      <c r="J74" s="51"/>
      <c r="K74" s="51" t="s">
        <v>309</v>
      </c>
      <c r="L74" s="51"/>
      <c r="M74" s="51"/>
    </row>
    <row r="75" spans="1:13">
      <c r="A75" s="333"/>
      <c r="B75" s="160"/>
      <c r="C75" s="160"/>
      <c r="D75" s="160"/>
      <c r="E75" s="160"/>
      <c r="F75" s="162"/>
      <c r="G75" s="162"/>
      <c r="H75" s="162"/>
      <c r="I75" s="162"/>
      <c r="J75" s="162"/>
      <c r="K75" s="162"/>
      <c r="L75" s="51"/>
      <c r="M75" s="51"/>
    </row>
    <row r="76" spans="1:13">
      <c r="A76" s="333"/>
      <c r="B76" s="363" t="s">
        <v>246</v>
      </c>
      <c r="C76" s="364"/>
      <c r="D76" s="365"/>
      <c r="E76" s="160"/>
      <c r="F76" s="160"/>
      <c r="G76" s="160"/>
      <c r="H76" s="160"/>
      <c r="I76" s="160"/>
      <c r="J76" s="160"/>
      <c r="K76" s="160"/>
    </row>
    <row r="77" spans="1:13" ht="48.75" customHeight="1">
      <c r="A77" s="333"/>
      <c r="B77" s="169" t="str">
        <f t="shared" ref="B77:B88" si="0">B63</f>
        <v>溫度idx</v>
      </c>
      <c r="C77" s="169" t="s">
        <v>247</v>
      </c>
      <c r="D77" s="169" t="s">
        <v>308</v>
      </c>
      <c r="E77" s="178" t="s">
        <v>255</v>
      </c>
      <c r="F77" s="160"/>
      <c r="G77" s="160"/>
      <c r="H77" s="160"/>
      <c r="I77" s="160"/>
      <c r="J77" s="160"/>
      <c r="K77" s="160"/>
      <c r="L77" s="160"/>
    </row>
    <row r="78" spans="1:13">
      <c r="A78" s="333"/>
      <c r="B78" s="163">
        <f t="shared" si="0"/>
        <v>0</v>
      </c>
      <c r="C78" s="163">
        <f t="shared" ref="C78:C88" si="1">C64</f>
        <v>-10</v>
      </c>
      <c r="D78" s="396">
        <f>(HEX2DEC($B$61)+B78*HEX2DEC($C$61)+HEX2DEC(K64))/ (3*256)</f>
        <v>0.26692708333333331</v>
      </c>
      <c r="E78" s="179">
        <f>RBTC!D242</f>
        <v>9.7537849713541682</v>
      </c>
      <c r="F78" s="160"/>
      <c r="G78" s="160"/>
      <c r="H78" s="160"/>
      <c r="I78" s="160"/>
      <c r="J78" s="160"/>
      <c r="K78" s="160"/>
      <c r="L78" s="160"/>
    </row>
    <row r="79" spans="1:13">
      <c r="A79" s="333"/>
      <c r="B79" s="163">
        <f t="shared" si="0"/>
        <v>1</v>
      </c>
      <c r="C79" s="163">
        <f t="shared" si="1"/>
        <v>2</v>
      </c>
      <c r="D79" s="396">
        <f t="shared" ref="D79:D88" si="2">(HEX2DEC($B$61)+B79*HEX2DEC($C$61)+HEX2DEC(K65))/ (3*256)</f>
        <v>0.2890625</v>
      </c>
      <c r="E79" s="179">
        <f>RBTC!D243</f>
        <v>9.5682343470052107</v>
      </c>
      <c r="F79" s="160"/>
      <c r="G79" s="160"/>
      <c r="H79" s="160"/>
      <c r="I79" s="160"/>
      <c r="J79" s="160"/>
      <c r="K79" s="160"/>
      <c r="L79" s="160"/>
    </row>
    <row r="80" spans="1:13">
      <c r="A80" s="333"/>
      <c r="B80" s="163">
        <f t="shared" si="0"/>
        <v>2</v>
      </c>
      <c r="C80" s="163">
        <f t="shared" si="1"/>
        <v>14</v>
      </c>
      <c r="D80" s="396">
        <f t="shared" si="2"/>
        <v>0.31119791666666669</v>
      </c>
      <c r="E80" s="179">
        <f>RBTC!D244</f>
        <v>9.3939436458333336</v>
      </c>
      <c r="F80" s="160"/>
      <c r="G80" s="160"/>
      <c r="H80" s="160"/>
      <c r="I80" s="160"/>
      <c r="J80" s="160"/>
      <c r="K80" s="160"/>
      <c r="L80" s="160"/>
    </row>
    <row r="81" spans="1:12">
      <c r="A81" s="333"/>
      <c r="B81" s="163">
        <f t="shared" si="0"/>
        <v>3</v>
      </c>
      <c r="C81" s="163">
        <f t="shared" si="1"/>
        <v>25</v>
      </c>
      <c r="D81" s="396">
        <f t="shared" si="2"/>
        <v>0.33723958333333331</v>
      </c>
      <c r="E81" s="179">
        <f>RBTC!D245</f>
        <v>9.2263854531249994</v>
      </c>
      <c r="F81" s="160"/>
      <c r="G81" s="160"/>
      <c r="H81" s="160"/>
      <c r="I81" s="160"/>
      <c r="J81" s="160"/>
      <c r="K81" s="160"/>
      <c r="L81" s="160"/>
    </row>
    <row r="82" spans="1:12">
      <c r="A82" s="333"/>
      <c r="B82" s="163">
        <f t="shared" si="0"/>
        <v>4</v>
      </c>
      <c r="C82" s="163">
        <f t="shared" si="1"/>
        <v>37</v>
      </c>
      <c r="D82" s="396">
        <f t="shared" si="2"/>
        <v>0.36067708333333331</v>
      </c>
      <c r="E82" s="179">
        <f>RBTC!D246</f>
        <v>9.0321007851562491</v>
      </c>
      <c r="F82" s="160"/>
      <c r="G82" s="160"/>
      <c r="H82" s="160"/>
      <c r="I82" s="160"/>
      <c r="J82" s="160"/>
      <c r="K82" s="160"/>
      <c r="L82" s="160"/>
    </row>
    <row r="83" spans="1:12">
      <c r="A83" s="333"/>
      <c r="B83" s="163">
        <f t="shared" si="0"/>
        <v>5</v>
      </c>
      <c r="C83" s="163">
        <f t="shared" si="1"/>
        <v>48</v>
      </c>
      <c r="D83" s="396">
        <f t="shared" si="2"/>
        <v>0.38802083333333331</v>
      </c>
      <c r="E83" s="179">
        <f>RBTC!D247</f>
        <v>8.8710155156249986</v>
      </c>
      <c r="F83" s="160"/>
      <c r="G83" s="160"/>
      <c r="H83" s="160"/>
      <c r="I83" s="160"/>
      <c r="J83" s="160"/>
      <c r="K83" s="160"/>
      <c r="L83" s="160"/>
    </row>
    <row r="84" spans="1:12">
      <c r="A84" s="333"/>
      <c r="B84" s="163">
        <f t="shared" si="0"/>
        <v>6</v>
      </c>
      <c r="C84" s="163">
        <f t="shared" si="1"/>
        <v>60</v>
      </c>
      <c r="D84" s="396">
        <f t="shared" si="2"/>
        <v>0.42447916666666669</v>
      </c>
      <c r="E84" s="179">
        <f>RBTC!D248</f>
        <v>8.7105886777343731</v>
      </c>
      <c r="F84" s="160"/>
      <c r="G84" s="160"/>
      <c r="H84" s="160"/>
      <c r="I84" s="160"/>
      <c r="J84" s="160"/>
      <c r="K84" s="160"/>
      <c r="L84" s="160"/>
    </row>
    <row r="85" spans="1:12">
      <c r="A85" s="333"/>
      <c r="B85" s="163">
        <f t="shared" si="0"/>
        <v>7</v>
      </c>
      <c r="C85" s="163">
        <f t="shared" si="1"/>
        <v>71</v>
      </c>
      <c r="D85" s="396">
        <f t="shared" si="2"/>
        <v>0.484375</v>
      </c>
      <c r="E85" s="179">
        <f>RBTC!D249</f>
        <v>8.5477822721354144</v>
      </c>
      <c r="F85" s="160"/>
      <c r="G85" s="160"/>
      <c r="H85" s="160"/>
      <c r="I85" s="160"/>
      <c r="J85" s="160"/>
      <c r="K85" s="160"/>
      <c r="L85" s="160"/>
    </row>
    <row r="86" spans="1:12">
      <c r="A86" s="333"/>
      <c r="B86" s="163">
        <f t="shared" si="0"/>
        <v>8</v>
      </c>
      <c r="C86" s="163">
        <f t="shared" si="1"/>
        <v>83</v>
      </c>
      <c r="D86" s="396">
        <f t="shared" si="2"/>
        <v>0.57942708333333337</v>
      </c>
      <c r="E86" s="179">
        <f>RBTC!D250</f>
        <v>8.3748535703124958</v>
      </c>
      <c r="F86" s="160"/>
      <c r="G86" s="160"/>
      <c r="H86" s="160"/>
      <c r="I86" s="160"/>
      <c r="J86" s="160"/>
      <c r="K86" s="160"/>
      <c r="L86" s="160"/>
    </row>
    <row r="87" spans="1:12">
      <c r="A87" s="333"/>
      <c r="B87" s="163">
        <f t="shared" si="0"/>
        <v>9</v>
      </c>
      <c r="C87" s="163">
        <f t="shared" si="1"/>
        <v>94</v>
      </c>
      <c r="D87" s="396">
        <f t="shared" si="2"/>
        <v>0.65625</v>
      </c>
      <c r="E87" s="179">
        <f>RBTC!D251</f>
        <v>8.2229811816406215</v>
      </c>
      <c r="F87" s="160"/>
      <c r="G87" s="160"/>
      <c r="H87" s="160"/>
      <c r="I87" s="160"/>
      <c r="J87" s="160"/>
      <c r="K87" s="160"/>
      <c r="L87" s="160"/>
    </row>
    <row r="88" spans="1:12">
      <c r="A88" s="333"/>
      <c r="B88" s="163">
        <f t="shared" si="0"/>
        <v>10</v>
      </c>
      <c r="C88" s="163">
        <f t="shared" si="1"/>
        <v>106</v>
      </c>
      <c r="D88" s="396">
        <f t="shared" si="2"/>
        <v>0.8203125</v>
      </c>
      <c r="E88" s="179">
        <f>RBTC!D252</f>
        <v>8.0530180996093712</v>
      </c>
      <c r="F88" s="160"/>
      <c r="G88" s="160"/>
      <c r="H88" s="160"/>
      <c r="I88" s="160"/>
      <c r="J88" s="160"/>
      <c r="K88" s="160"/>
      <c r="L88" s="160"/>
    </row>
    <row r="89" spans="1:12">
      <c r="A89" s="160"/>
      <c r="B89" s="160"/>
      <c r="C89" s="160"/>
      <c r="D89" s="160"/>
      <c r="E89" s="160"/>
      <c r="F89" s="160"/>
      <c r="G89" s="160"/>
      <c r="H89" s="160"/>
      <c r="I89" s="160"/>
      <c r="J89" s="160"/>
      <c r="K89" s="160"/>
    </row>
    <row r="90" spans="1:12">
      <c r="A90" s="160"/>
      <c r="B90" s="160"/>
      <c r="C90" s="160"/>
      <c r="D90" s="160"/>
      <c r="E90" s="160"/>
      <c r="F90" s="160"/>
      <c r="G90" s="160"/>
      <c r="H90" s="160"/>
      <c r="I90" s="160"/>
      <c r="J90" s="160"/>
      <c r="K90" s="160"/>
    </row>
    <row r="91" spans="1:12">
      <c r="A91" s="160"/>
      <c r="B91" s="160"/>
      <c r="C91" s="160"/>
      <c r="D91" s="160"/>
      <c r="E91" s="160"/>
      <c r="F91" s="160"/>
      <c r="G91" s="160"/>
      <c r="H91" s="160"/>
      <c r="I91" s="160"/>
      <c r="J91" s="160"/>
      <c r="K91" s="160"/>
    </row>
    <row r="92" spans="1:12">
      <c r="A92" s="160"/>
      <c r="B92" s="160"/>
      <c r="C92" s="160"/>
      <c r="D92" s="160"/>
      <c r="E92" s="160"/>
      <c r="F92" s="160"/>
      <c r="G92" s="160"/>
      <c r="H92" s="160"/>
      <c r="I92" s="160"/>
      <c r="J92" s="160"/>
      <c r="K92" s="160"/>
    </row>
    <row r="93" spans="1:12">
      <c r="A93" s="160"/>
      <c r="B93" s="160"/>
      <c r="C93" s="160"/>
      <c r="D93" s="160"/>
      <c r="E93" s="160"/>
      <c r="F93" s="160"/>
      <c r="G93" s="160"/>
      <c r="H93" s="160"/>
      <c r="I93" s="160"/>
      <c r="J93" s="160"/>
      <c r="K93" s="160"/>
    </row>
    <row r="94" spans="1:12">
      <c r="A94" s="160"/>
      <c r="B94" s="160"/>
      <c r="C94" s="160"/>
      <c r="D94" s="160"/>
      <c r="E94" s="160"/>
      <c r="F94" s="160"/>
      <c r="G94" s="160"/>
      <c r="H94" s="160"/>
      <c r="I94" s="160"/>
      <c r="J94" s="160"/>
      <c r="K94" s="160"/>
    </row>
    <row r="95" spans="1:12">
      <c r="A95" s="160"/>
      <c r="B95" s="160"/>
      <c r="C95" s="160"/>
      <c r="D95" s="160"/>
      <c r="E95" s="160"/>
      <c r="F95" s="160"/>
      <c r="G95" s="160"/>
      <c r="H95" s="160"/>
      <c r="I95" s="160"/>
      <c r="J95" s="160"/>
      <c r="K95" s="160"/>
    </row>
    <row r="96" spans="1:12">
      <c r="A96" s="160"/>
      <c r="B96" s="160"/>
      <c r="C96" s="160"/>
      <c r="D96" s="160"/>
      <c r="E96" s="160"/>
      <c r="F96" s="160"/>
      <c r="G96" s="160"/>
      <c r="H96" s="160"/>
      <c r="I96" s="160"/>
      <c r="J96" s="160"/>
      <c r="K96" s="160"/>
    </row>
    <row r="97" spans="1:11">
      <c r="A97" s="160"/>
      <c r="B97" s="160"/>
      <c r="C97" s="160"/>
      <c r="D97" s="160"/>
      <c r="E97" s="160"/>
      <c r="F97" s="160"/>
      <c r="G97" s="160"/>
      <c r="H97" s="160"/>
      <c r="I97" s="160"/>
      <c r="J97" s="160"/>
      <c r="K97" s="160"/>
    </row>
    <row r="98" spans="1:11">
      <c r="A98" s="160"/>
      <c r="B98" s="160"/>
      <c r="C98" s="160"/>
      <c r="D98" s="160"/>
      <c r="E98" s="160"/>
      <c r="F98" s="160"/>
      <c r="G98" s="160"/>
      <c r="H98" s="160"/>
      <c r="I98" s="160"/>
      <c r="J98" s="160"/>
      <c r="K98" s="160"/>
    </row>
    <row r="99" spans="1:11">
      <c r="A99" s="160"/>
      <c r="B99" s="160"/>
      <c r="C99" s="160"/>
      <c r="D99" s="160"/>
      <c r="E99" s="160"/>
      <c r="F99" s="160"/>
      <c r="G99" s="160"/>
      <c r="H99" s="160"/>
      <c r="I99" s="160"/>
      <c r="J99" s="160"/>
      <c r="K99" s="160"/>
    </row>
    <row r="100" spans="1:11">
      <c r="A100" s="160"/>
      <c r="B100" s="160"/>
      <c r="C100" s="160"/>
      <c r="D100" s="160"/>
      <c r="E100" s="160"/>
      <c r="F100" s="160"/>
      <c r="G100" s="160"/>
      <c r="H100" s="160"/>
      <c r="I100" s="160"/>
      <c r="J100" s="160"/>
      <c r="K100" s="160"/>
    </row>
    <row r="101" spans="1:11">
      <c r="A101" s="160"/>
      <c r="B101" s="160"/>
      <c r="C101" s="160"/>
      <c r="D101" s="160"/>
      <c r="E101" s="160"/>
      <c r="F101" s="160"/>
      <c r="G101" s="160"/>
      <c r="H101" s="160"/>
      <c r="I101" s="160"/>
      <c r="J101" s="160"/>
      <c r="K101" s="160"/>
    </row>
    <row r="102" spans="1:11">
      <c r="A102" s="160"/>
      <c r="B102" s="160"/>
      <c r="C102" s="160"/>
      <c r="D102" s="160"/>
      <c r="E102" s="160"/>
      <c r="F102" s="160"/>
      <c r="G102" s="160"/>
      <c r="H102" s="160"/>
      <c r="I102" s="160"/>
      <c r="J102" s="160"/>
      <c r="K102" s="160"/>
    </row>
    <row r="103" spans="1:11">
      <c r="A103" s="160"/>
      <c r="B103" s="160"/>
      <c r="C103" s="160"/>
      <c r="D103" s="160"/>
      <c r="E103" s="160"/>
      <c r="F103" s="160"/>
      <c r="G103" s="160"/>
      <c r="H103" s="160"/>
      <c r="I103" s="160"/>
      <c r="J103" s="160"/>
      <c r="K103" s="160"/>
    </row>
    <row r="104" spans="1:11">
      <c r="A104" s="160"/>
      <c r="B104" s="160"/>
      <c r="C104" s="160"/>
      <c r="D104" s="160"/>
      <c r="E104" s="160"/>
      <c r="F104" s="160"/>
      <c r="G104" s="160"/>
      <c r="H104" s="160"/>
      <c r="I104" s="160"/>
      <c r="J104" s="160"/>
      <c r="K104" s="160"/>
    </row>
    <row r="105" spans="1:11">
      <c r="A105" s="160"/>
      <c r="B105" s="160"/>
      <c r="C105" s="160"/>
      <c r="D105" s="160"/>
      <c r="E105" s="160"/>
      <c r="F105" s="160"/>
      <c r="G105" s="160"/>
      <c r="H105" s="160"/>
      <c r="I105" s="160"/>
      <c r="J105" s="160"/>
      <c r="K105" s="160"/>
    </row>
  </sheetData>
  <mergeCells count="45">
    <mergeCell ref="B52:P52"/>
    <mergeCell ref="B2:P2"/>
    <mergeCell ref="B9:P9"/>
    <mergeCell ref="B17:P18"/>
    <mergeCell ref="B33:P33"/>
    <mergeCell ref="B48:P48"/>
    <mergeCell ref="B42:D42"/>
    <mergeCell ref="B12:E12"/>
    <mergeCell ref="B13:C13"/>
    <mergeCell ref="D13:E13"/>
    <mergeCell ref="B14:C14"/>
    <mergeCell ref="C34:E34"/>
    <mergeCell ref="B24:D24"/>
    <mergeCell ref="B25:D25"/>
    <mergeCell ref="B28:D28"/>
    <mergeCell ref="B34:B35"/>
    <mergeCell ref="A2:A6"/>
    <mergeCell ref="B5:C5"/>
    <mergeCell ref="B21:B22"/>
    <mergeCell ref="C21:E21"/>
    <mergeCell ref="F21:H21"/>
    <mergeCell ref="I21:K21"/>
    <mergeCell ref="D14:E14"/>
    <mergeCell ref="A9:A14"/>
    <mergeCell ref="A33:A44"/>
    <mergeCell ref="A17:A30"/>
    <mergeCell ref="B39:D39"/>
    <mergeCell ref="F34:H34"/>
    <mergeCell ref="I34:K34"/>
    <mergeCell ref="F62:I62"/>
    <mergeCell ref="I53:K53"/>
    <mergeCell ref="A57:A88"/>
    <mergeCell ref="B58:C58"/>
    <mergeCell ref="A48:A55"/>
    <mergeCell ref="B76:D76"/>
    <mergeCell ref="B57:F57"/>
    <mergeCell ref="D58:F58"/>
    <mergeCell ref="B53:B54"/>
    <mergeCell ref="C53:E53"/>
    <mergeCell ref="F53:H53"/>
    <mergeCell ref="B62:E62"/>
    <mergeCell ref="B49:B50"/>
    <mergeCell ref="C49:E49"/>
    <mergeCell ref="F49:H49"/>
    <mergeCell ref="I49:K49"/>
  </mergeCells>
  <phoneticPr fontId="2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5121" r:id="rId4">
          <objectPr defaultSize="0" autoPict="0" r:id="rId5">
            <anchor moveWithCells="1">
              <from>
                <xdr:col>11</xdr:col>
                <xdr:colOff>95250</xdr:colOff>
                <xdr:row>33</xdr:row>
                <xdr:rowOff>76200</xdr:rowOff>
              </from>
              <to>
                <xdr:col>15</xdr:col>
                <xdr:colOff>161925</xdr:colOff>
                <xdr:row>46</xdr:row>
                <xdr:rowOff>28575</xdr:rowOff>
              </to>
            </anchor>
          </objectPr>
        </oleObject>
      </mc:Choice>
      <mc:Fallback>
        <oleObject progId="Visio.Drawing.15" shapeId="512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E363"/>
  <sheetViews>
    <sheetView topLeftCell="A10" zoomScale="75" zoomScaleNormal="55" zoomScalePageLayoutView="130" workbookViewId="0">
      <selection activeCell="I32" sqref="I32"/>
    </sheetView>
  </sheetViews>
  <sheetFormatPr defaultRowHeight="16.5"/>
  <cols>
    <col min="1" max="1" width="9" style="51" customWidth="1"/>
    <col min="2" max="12" width="13.625" style="51" customWidth="1"/>
    <col min="13" max="13" width="15.625" style="51" customWidth="1"/>
    <col min="14" max="16" width="13.625" style="51" customWidth="1"/>
    <col min="17" max="31" width="9" style="51" customWidth="1"/>
    <col min="32" max="16384" width="9" style="51"/>
  </cols>
  <sheetData>
    <row r="1" spans="2:31">
      <c r="B1" s="389" t="s">
        <v>145</v>
      </c>
      <c r="C1" s="389"/>
      <c r="D1" s="389"/>
      <c r="E1" s="389"/>
      <c r="F1" s="389"/>
      <c r="G1" s="389"/>
      <c r="H1" s="389"/>
      <c r="I1" s="389"/>
      <c r="J1" s="389"/>
      <c r="K1" s="390"/>
      <c r="R1" s="394" t="s">
        <v>132</v>
      </c>
      <c r="S1" s="395" t="s">
        <v>291</v>
      </c>
      <c r="T1" s="395"/>
      <c r="Z1" s="111" t="s">
        <v>181</v>
      </c>
      <c r="AA1" s="111" t="s">
        <v>182</v>
      </c>
    </row>
    <row r="2" spans="2:31">
      <c r="B2" s="1" t="str">
        <f>客戶R_TC!C4</f>
        <v>溫度偵測值</v>
      </c>
      <c r="C2" s="1" t="s">
        <v>146</v>
      </c>
      <c r="E2" s="1" t="s">
        <v>159</v>
      </c>
      <c r="F2" s="1" t="s">
        <v>149</v>
      </c>
      <c r="G2" s="1" t="s">
        <v>150</v>
      </c>
      <c r="H2" s="1" t="s">
        <v>151</v>
      </c>
      <c r="I2" s="1" t="s">
        <v>160</v>
      </c>
      <c r="R2" s="394"/>
      <c r="S2" s="195" t="s">
        <v>292</v>
      </c>
      <c r="T2" s="195" t="s">
        <v>127</v>
      </c>
      <c r="U2" s="195" t="s">
        <v>293</v>
      </c>
      <c r="Z2" s="112">
        <f>AD2+RBTC!$K$120</f>
        <v>0.31956951629775415</v>
      </c>
      <c r="AA2" s="112">
        <f>AE2+RBTC!$L$120</f>
        <v>0.32194061443510574</v>
      </c>
      <c r="AD2" s="51">
        <v>0.31513569635683358</v>
      </c>
      <c r="AE2" s="51">
        <v>0.32751135163429529</v>
      </c>
    </row>
    <row r="3" spans="2:31">
      <c r="B3" s="1" t="s">
        <v>127</v>
      </c>
      <c r="C3" s="1" t="s">
        <v>127</v>
      </c>
      <c r="E3" s="1" t="s">
        <v>157</v>
      </c>
      <c r="F3" s="1">
        <f>ABS(D6)</f>
        <v>17</v>
      </c>
      <c r="G3" s="1" t="str">
        <f>DEC2BIN(F3)</f>
        <v>10001</v>
      </c>
      <c r="H3" s="1" t="str">
        <f>DEC2HEX(F3)</f>
        <v>11</v>
      </c>
      <c r="I3" s="23" t="str">
        <f>IF(D6&gt;=0,H3,H4)</f>
        <v>11</v>
      </c>
      <c r="R3" s="242">
        <v>0</v>
      </c>
      <c r="S3" s="53">
        <v>0</v>
      </c>
      <c r="T3" s="53" t="str">
        <f>DEC2HEX(S3)</f>
        <v>0</v>
      </c>
      <c r="U3" s="196">
        <v>-15.15625</v>
      </c>
      <c r="Z3" s="112">
        <f>AD3+RBTC!$K$120</f>
        <v>0.31962937204647812</v>
      </c>
      <c r="AA3" s="112">
        <f>AE3+RBTC!$L$120</f>
        <v>0.32203938290021306</v>
      </c>
      <c r="AD3" s="51">
        <v>0.31519555210555755</v>
      </c>
      <c r="AE3" s="51">
        <v>0.3276101200994026</v>
      </c>
    </row>
    <row r="4" spans="2:31">
      <c r="B4" s="1">
        <f>客戶RB_TC!B4</f>
        <v>0</v>
      </c>
      <c r="C4" s="1">
        <v>11</v>
      </c>
      <c r="E4" s="1" t="s">
        <v>158</v>
      </c>
      <c r="F4" s="1">
        <f>63-F3+1</f>
        <v>47</v>
      </c>
      <c r="G4" s="1" t="str">
        <f>DEC2BIN(F4)</f>
        <v>101111</v>
      </c>
      <c r="H4" s="1" t="str">
        <f>DEC2HEX(F4)</f>
        <v>2F</v>
      </c>
      <c r="R4" s="242"/>
      <c r="S4" s="53">
        <v>1</v>
      </c>
      <c r="T4" s="53" t="str">
        <f t="shared" ref="T4:T66" si="0">DEC2HEX(S4)</f>
        <v>1</v>
      </c>
      <c r="U4" s="196">
        <v>-12.8125</v>
      </c>
      <c r="Z4" s="112">
        <f>AD4+RBTC!$K$120</f>
        <v>0.31968846762585584</v>
      </c>
      <c r="AA4" s="112">
        <f>AE4+RBTC!$L$120</f>
        <v>0.32213857473620222</v>
      </c>
      <c r="AD4" s="51">
        <v>0.31525464768493527</v>
      </c>
      <c r="AE4" s="51">
        <v>0.32770931193539177</v>
      </c>
    </row>
    <row r="5" spans="2:31">
      <c r="B5" s="1" t="s">
        <v>126</v>
      </c>
      <c r="C5" s="1" t="s">
        <v>126</v>
      </c>
      <c r="D5" s="1" t="s">
        <v>156</v>
      </c>
      <c r="R5" s="242"/>
      <c r="S5" s="53">
        <v>2</v>
      </c>
      <c r="T5" s="53" t="str">
        <f t="shared" si="0"/>
        <v>2</v>
      </c>
      <c r="U5" s="196">
        <v>-10.46875</v>
      </c>
      <c r="Z5" s="112">
        <f>AD5+RBTC!$K$120</f>
        <v>0.31974678503480125</v>
      </c>
      <c r="AA5" s="112">
        <f>AE5+RBTC!$L$120</f>
        <v>0.32223815972827896</v>
      </c>
      <c r="AD5" s="51">
        <v>0.31531296509388068</v>
      </c>
      <c r="AE5" s="51">
        <v>0.32780889692746851</v>
      </c>
    </row>
    <row r="6" spans="2:31">
      <c r="B6" s="1">
        <f>HEX2DEC(B4)</f>
        <v>0</v>
      </c>
      <c r="C6" s="1">
        <f>HEX2DEC(C4)</f>
        <v>17</v>
      </c>
      <c r="D6" s="1">
        <f>C6-B6</f>
        <v>17</v>
      </c>
      <c r="R6" s="242"/>
      <c r="S6" s="53">
        <v>3</v>
      </c>
      <c r="T6" s="53" t="str">
        <f t="shared" si="0"/>
        <v>3</v>
      </c>
      <c r="U6" s="196">
        <v>-8.125</v>
      </c>
      <c r="Z6" s="112">
        <f>AD6+RBTC!$K$120</f>
        <v>0.31980430650926678</v>
      </c>
      <c r="AA6" s="112">
        <f>AE6+RBTC!$L$120</f>
        <v>0.32233810754189013</v>
      </c>
      <c r="AD6" s="51">
        <v>0.31537048656834621</v>
      </c>
      <c r="AE6" s="51">
        <v>0.32790884474107967</v>
      </c>
    </row>
    <row r="7" spans="2:31">
      <c r="R7" s="242"/>
      <c r="S7" s="53">
        <v>4</v>
      </c>
      <c r="T7" s="53" t="str">
        <f t="shared" si="0"/>
        <v>4</v>
      </c>
      <c r="U7" s="196">
        <v>-5.78125</v>
      </c>
      <c r="Z7" s="112">
        <f>AD7+RBTC!$K$120</f>
        <v>0.31986101452765392</v>
      </c>
      <c r="AA7" s="112">
        <f>AE7+RBTC!$L$120</f>
        <v>0.32243838773196337</v>
      </c>
      <c r="AD7" s="51">
        <v>0.31542719458673335</v>
      </c>
      <c r="AE7" s="51">
        <v>0.32800912493115292</v>
      </c>
    </row>
    <row r="8" spans="2:31">
      <c r="R8" s="242">
        <v>1</v>
      </c>
      <c r="S8" s="53">
        <v>5</v>
      </c>
      <c r="T8" s="53" t="str">
        <f t="shared" si="0"/>
        <v>5</v>
      </c>
      <c r="U8" s="196">
        <v>-3.4375</v>
      </c>
      <c r="Z8" s="112">
        <f>AD8+RBTC!$K$120</f>
        <v>0.31991689181615107</v>
      </c>
      <c r="AA8" s="112">
        <f>AE8+RBTC!$L$120</f>
        <v>0.32253896975218144</v>
      </c>
      <c r="AD8" s="51">
        <v>0.3154830718752305</v>
      </c>
      <c r="AE8" s="51">
        <v>0.32810970695137098</v>
      </c>
    </row>
    <row r="9" spans="2:31">
      <c r="B9" s="389" t="s">
        <v>154</v>
      </c>
      <c r="C9" s="389"/>
      <c r="D9" s="389"/>
      <c r="E9" s="389"/>
      <c r="F9" s="389"/>
      <c r="G9" s="389"/>
      <c r="H9" s="389"/>
      <c r="I9" s="389"/>
      <c r="J9" s="389"/>
      <c r="K9" s="390"/>
      <c r="R9" s="242"/>
      <c r="S9" s="53">
        <v>6</v>
      </c>
      <c r="T9" s="53" t="str">
        <f t="shared" si="0"/>
        <v>6</v>
      </c>
      <c r="U9" s="196">
        <v>-1.09375</v>
      </c>
      <c r="Z9" s="112">
        <f>AD9+RBTC!$K$120</f>
        <v>0.31997192135399477</v>
      </c>
      <c r="AA9" s="112">
        <f>AE9+RBTC!$L$120</f>
        <v>0.32263982296428662</v>
      </c>
      <c r="AD9" s="51">
        <v>0.3155381014130742</v>
      </c>
      <c r="AE9" s="51">
        <v>0.32821056016347616</v>
      </c>
    </row>
    <row r="10" spans="2:31">
      <c r="B10" s="242" t="str">
        <f>客戶R_TC!C11</f>
        <v>F_CR</v>
      </c>
      <c r="C10" s="242"/>
      <c r="D10" s="1" t="s">
        <v>54</v>
      </c>
      <c r="E10" s="1" t="str">
        <f>客戶R_TC!D11</f>
        <v>輸出電流(mA)</v>
      </c>
      <c r="R10" s="242"/>
      <c r="S10" s="53">
        <v>7</v>
      </c>
      <c r="T10" s="53" t="str">
        <f t="shared" si="0"/>
        <v>7</v>
      </c>
      <c r="U10" s="196">
        <v>1.25</v>
      </c>
      <c r="Z10" s="112">
        <f>AD10+RBTC!$K$120</f>
        <v>0.32002608637865476</v>
      </c>
      <c r="AA10" s="112">
        <f>AE10+RBTC!$L$120</f>
        <v>0.32274091664741339</v>
      </c>
      <c r="AD10" s="51">
        <v>0.31559226643773419</v>
      </c>
      <c r="AE10" s="51">
        <v>0.32831165384660294</v>
      </c>
    </row>
    <row r="11" spans="2:31">
      <c r="B11" s="1" t="s">
        <v>127</v>
      </c>
      <c r="C11" s="1" t="s">
        <v>126</v>
      </c>
      <c r="D11" s="1">
        <f>1-(255-C12)*$C$45</f>
        <v>0.50123999999999991</v>
      </c>
      <c r="E11" s="1">
        <f>C16*D11</f>
        <v>32.079359999999994</v>
      </c>
      <c r="R11" s="242"/>
      <c r="S11" s="53">
        <v>8</v>
      </c>
      <c r="T11" s="53" t="str">
        <f t="shared" si="0"/>
        <v>8</v>
      </c>
      <c r="U11" s="196">
        <v>3.59375</v>
      </c>
      <c r="Z11" s="112">
        <f>AD11+RBTC!$K$120</f>
        <v>0.32007937039093981</v>
      </c>
      <c r="AA11" s="112">
        <f>AE11+RBTC!$L$120</f>
        <v>0.32284222000744672</v>
      </c>
      <c r="AD11" s="51">
        <v>0.31564555045001924</v>
      </c>
      <c r="AE11" s="51">
        <v>0.32841295720663627</v>
      </c>
    </row>
    <row r="12" spans="2:31">
      <c r="B12" s="1" t="str">
        <f>客戶RB_TC!B20</f>
        <v>6B</v>
      </c>
      <c r="C12" s="1">
        <f>HEX2DEC(B12)</f>
        <v>107</v>
      </c>
      <c r="R12" s="242"/>
      <c r="S12" s="53">
        <v>9</v>
      </c>
      <c r="T12" s="53" t="str">
        <f t="shared" si="0"/>
        <v>9</v>
      </c>
      <c r="U12" s="196">
        <v>5.9375</v>
      </c>
      <c r="Z12" s="112">
        <f>AD12+RBTC!$K$120</f>
        <v>0.32013175716002357</v>
      </c>
      <c r="AA12" s="112">
        <f>AE12+RBTC!$L$120</f>
        <v>0.32294370218640167</v>
      </c>
      <c r="AD12" s="51">
        <v>0.315697937219103</v>
      </c>
      <c r="AE12" s="51">
        <v>0.32851443938559122</v>
      </c>
    </row>
    <row r="13" spans="2:31">
      <c r="R13" s="242">
        <v>2</v>
      </c>
      <c r="S13" s="53">
        <v>10</v>
      </c>
      <c r="T13" s="53" t="str">
        <f t="shared" si="0"/>
        <v>A</v>
      </c>
      <c r="U13" s="196">
        <v>8.28125</v>
      </c>
      <c r="Z13" s="112">
        <f>AD13+RBTC!$K$120</f>
        <v>0.32018323072838872</v>
      </c>
      <c r="AA13" s="112">
        <f>AE13+RBTC!$L$120</f>
        <v>0.32304533227182353</v>
      </c>
      <c r="AD13" s="51">
        <v>0.31574941078746815</v>
      </c>
      <c r="AE13" s="51">
        <v>0.32861606947101307</v>
      </c>
    </row>
    <row r="14" spans="2:31">
      <c r="R14" s="242"/>
      <c r="S14" s="53">
        <v>11</v>
      </c>
      <c r="T14" s="53" t="str">
        <f t="shared" si="0"/>
        <v>B</v>
      </c>
      <c r="U14" s="196">
        <v>10.625</v>
      </c>
      <c r="Z14" s="112">
        <f>AD14+RBTC!$K$120</f>
        <v>0.32023377541668774</v>
      </c>
      <c r="AA14" s="112">
        <f>AE14+RBTC!$L$120</f>
        <v>0.32314707930620373</v>
      </c>
      <c r="AD14" s="51">
        <v>0.31579995547576717</v>
      </c>
      <c r="AE14" s="51">
        <v>0.32871781650539328</v>
      </c>
    </row>
    <row r="15" spans="2:31">
      <c r="B15" s="388" t="s">
        <v>269</v>
      </c>
      <c r="C15" s="389"/>
      <c r="D15" s="389"/>
      <c r="E15" s="389"/>
      <c r="F15" s="389"/>
      <c r="G15" s="389"/>
      <c r="H15" s="389"/>
      <c r="I15" s="389"/>
      <c r="J15" s="389"/>
      <c r="K15" s="390"/>
      <c r="R15" s="242"/>
      <c r="S15" s="53">
        <v>12</v>
      </c>
      <c r="T15" s="53" t="str">
        <f t="shared" si="0"/>
        <v>C</v>
      </c>
      <c r="U15" s="196">
        <v>12.96875</v>
      </c>
      <c r="Z15" s="112">
        <f>AD15+RBTC!$K$120</f>
        <v>0.32028337582851885</v>
      </c>
      <c r="AA15" s="112">
        <f>AE15+RBTC!$L$120</f>
        <v>0.32324891229640995</v>
      </c>
      <c r="AD15" s="51">
        <v>0.31584955588759828</v>
      </c>
      <c r="AE15" s="51">
        <v>0.3288196494955995</v>
      </c>
    </row>
    <row r="16" spans="2:31">
      <c r="B16" s="30" t="s">
        <v>8</v>
      </c>
      <c r="C16" s="242">
        <v>64</v>
      </c>
      <c r="D16" s="242"/>
      <c r="E16" s="242"/>
      <c r="F16" s="242"/>
      <c r="G16" s="242"/>
      <c r="H16" s="242"/>
      <c r="I16" s="242"/>
      <c r="J16" s="242"/>
      <c r="K16" s="242"/>
      <c r="R16" s="242"/>
      <c r="S16" s="53">
        <v>13</v>
      </c>
      <c r="T16" s="53" t="str">
        <f t="shared" si="0"/>
        <v>D</v>
      </c>
      <c r="U16" s="196">
        <v>15.3125</v>
      </c>
      <c r="Z16" s="112">
        <f>AD16+RBTC!$K$120</f>
        <v>0.3203320168551162</v>
      </c>
      <c r="AA16" s="112">
        <f>AE16+RBTC!$L$120</f>
        <v>0.32335080022312696</v>
      </c>
      <c r="AD16" s="51">
        <v>0.31589819691419563</v>
      </c>
      <c r="AE16" s="51">
        <v>0.3289215374223165</v>
      </c>
    </row>
    <row r="17" spans="2:31">
      <c r="B17" s="244" t="s">
        <v>48</v>
      </c>
      <c r="C17" s="266" t="s">
        <v>0</v>
      </c>
      <c r="D17" s="266"/>
      <c r="E17" s="266"/>
      <c r="F17" s="267" t="s">
        <v>1</v>
      </c>
      <c r="G17" s="267"/>
      <c r="H17" s="267"/>
      <c r="I17" s="254" t="s">
        <v>2</v>
      </c>
      <c r="J17" s="254"/>
      <c r="K17" s="254"/>
      <c r="R17" s="242"/>
      <c r="S17" s="53">
        <v>14</v>
      </c>
      <c r="T17" s="53" t="str">
        <f t="shared" si="0"/>
        <v>E</v>
      </c>
      <c r="U17" s="196">
        <v>17.65625</v>
      </c>
      <c r="Z17" s="112">
        <f>AD17+RBTC!$K$120</f>
        <v>0.32037968367995184</v>
      </c>
      <c r="AA17" s="112">
        <f>AE17+RBTC!$L$120</f>
        <v>0.32345271205030518</v>
      </c>
      <c r="AD17" s="51">
        <v>0.31594586373903127</v>
      </c>
      <c r="AE17" s="51">
        <v>0.32902344924949473</v>
      </c>
    </row>
    <row r="18" spans="2:31" ht="33">
      <c r="B18" s="244"/>
      <c r="C18" s="3" t="s">
        <v>4</v>
      </c>
      <c r="D18" s="3" t="s">
        <v>5</v>
      </c>
      <c r="E18" s="3" t="s">
        <v>6</v>
      </c>
      <c r="F18" s="4" t="s">
        <v>4</v>
      </c>
      <c r="G18" s="4" t="s">
        <v>5</v>
      </c>
      <c r="H18" s="4" t="s">
        <v>6</v>
      </c>
      <c r="I18" s="2" t="s">
        <v>4</v>
      </c>
      <c r="J18" s="2" t="s">
        <v>5</v>
      </c>
      <c r="K18" s="2" t="s">
        <v>6</v>
      </c>
      <c r="R18" s="242">
        <v>3</v>
      </c>
      <c r="S18" s="53">
        <v>15</v>
      </c>
      <c r="T18" s="53" t="str">
        <f t="shared" si="0"/>
        <v>F</v>
      </c>
      <c r="U18" s="197">
        <v>20</v>
      </c>
      <c r="Z18" s="112">
        <f>AD18+RBTC!$K$120</f>
        <v>0.32042636178324918</v>
      </c>
      <c r="AA18" s="112">
        <f>AE18+RBTC!$L$120</f>
        <v>0.32355461673461483</v>
      </c>
      <c r="AD18" s="51">
        <v>0.31599254184232861</v>
      </c>
      <c r="AE18" s="51">
        <v>0.32912535393380438</v>
      </c>
    </row>
    <row r="19" spans="2:31">
      <c r="B19" s="242">
        <f>客戶R_TC!C17</f>
        <v>25</v>
      </c>
      <c r="C19" s="5">
        <f>客戶RB_TC!C23</f>
        <v>0.69299999999999995</v>
      </c>
      <c r="D19" s="5">
        <f>客戶RB_TC!D23</f>
        <v>0.30680000000000002</v>
      </c>
      <c r="E19" s="5">
        <f>客戶RB_TC!E23/RBTC!E11*RBTC!C16*3</f>
        <v>9.1483720373473805</v>
      </c>
      <c r="F19" s="5">
        <f>客戶RB_TC!F23</f>
        <v>0.14829999999999999</v>
      </c>
      <c r="G19" s="5">
        <f>客戶RB_TC!G23</f>
        <v>0.73729999999999996</v>
      </c>
      <c r="H19" s="5">
        <f>客戶RB_TC!H23/RBTC!E11*RBTC!C16*3</f>
        <v>12.788664112999761</v>
      </c>
      <c r="I19" s="5">
        <f>客戶RB_TC!I23</f>
        <v>0.1512</v>
      </c>
      <c r="J19" s="5">
        <f>客戶RB_TC!J23</f>
        <v>2.7900000000000001E-2</v>
      </c>
      <c r="K19" s="5">
        <f>客戶RB_TC!K23/RBTC!E11*RBTC!C16*3</f>
        <v>1.8507062485037111</v>
      </c>
      <c r="R19" s="242"/>
      <c r="S19" s="53">
        <v>16</v>
      </c>
      <c r="T19" s="53" t="str">
        <f t="shared" si="0"/>
        <v>10</v>
      </c>
      <c r="U19" s="196">
        <v>22.34375</v>
      </c>
      <c r="Z19" s="112">
        <f>AD19+RBTC!$K$120</f>
        <v>0.3204720369464058</v>
      </c>
      <c r="AA19" s="112">
        <f>AE19+RBTC!$L$120</f>
        <v>0.32365648323490193</v>
      </c>
      <c r="AD19" s="51">
        <v>0.31603821700548523</v>
      </c>
      <c r="AE19" s="51">
        <v>0.32922722043409147</v>
      </c>
    </row>
    <row r="20" spans="2:31">
      <c r="B20" s="242"/>
      <c r="C20" s="390" t="s">
        <v>211</v>
      </c>
      <c r="D20" s="387"/>
      <c r="E20" s="387"/>
      <c r="F20" s="387"/>
      <c r="G20" s="387"/>
      <c r="H20" s="387"/>
      <c r="I20" s="387"/>
      <c r="J20" s="387"/>
      <c r="K20" s="387"/>
      <c r="L20" s="198"/>
      <c r="M20" s="198"/>
      <c r="R20" s="242"/>
      <c r="S20" s="53">
        <v>17</v>
      </c>
      <c r="T20" s="53" t="str">
        <f t="shared" si="0"/>
        <v>11</v>
      </c>
      <c r="U20" s="196">
        <v>24.6875</v>
      </c>
      <c r="Z20" s="112">
        <f>AD20+RBTC!$K$120</f>
        <v>0.32051669525632448</v>
      </c>
      <c r="AA20" s="112">
        <f>AE20+RBTC!$L$120</f>
        <v>0.32375828052164363</v>
      </c>
      <c r="AD20" s="51">
        <v>0.31608287531540391</v>
      </c>
      <c r="AE20" s="51">
        <v>0.32932901772083317</v>
      </c>
    </row>
    <row r="21" spans="2:31">
      <c r="B21" s="242"/>
      <c r="C21" s="124" t="s">
        <v>209</v>
      </c>
      <c r="D21" s="142" t="s">
        <v>212</v>
      </c>
      <c r="E21" s="142" t="s">
        <v>216</v>
      </c>
      <c r="F21" s="148" t="s">
        <v>215</v>
      </c>
      <c r="H21" s="142" t="s">
        <v>213</v>
      </c>
      <c r="R21" s="242"/>
      <c r="S21" s="53">
        <v>18</v>
      </c>
      <c r="T21" s="53" t="str">
        <f t="shared" si="0"/>
        <v>12</v>
      </c>
      <c r="U21" s="196">
        <v>27.03125</v>
      </c>
      <c r="Z21" s="112">
        <f>AD21+RBTC!$K$120</f>
        <v>0.32056032310965143</v>
      </c>
      <c r="AA21" s="112">
        <f>AE21+RBTC!$L$120</f>
        <v>0.32385997758640034</v>
      </c>
      <c r="AD21" s="51">
        <v>0.31612650316873087</v>
      </c>
      <c r="AE21" s="51">
        <v>0.32943071478558988</v>
      </c>
    </row>
    <row r="22" spans="2:31">
      <c r="B22" s="242"/>
      <c r="C22" s="5">
        <f>客戶RB_TC!E11</f>
        <v>8</v>
      </c>
      <c r="D22" s="1">
        <f>(2^C22)-1</f>
        <v>255</v>
      </c>
      <c r="E22" s="147">
        <f>IF(C22&gt;14,1,0)</f>
        <v>0</v>
      </c>
      <c r="F22" s="1" t="str">
        <f>DEC2HEX(ROUNDUP((G24/4),0))</f>
        <v>C0</v>
      </c>
      <c r="G22" s="1">
        <f>HEX2DEC(F22)</f>
        <v>192</v>
      </c>
      <c r="H22" s="1" t="str">
        <f>IF(E22=1,K223,F24)</f>
        <v>2FD</v>
      </c>
      <c r="R22" s="242"/>
      <c r="S22" s="53">
        <v>19</v>
      </c>
      <c r="T22" s="53" t="str">
        <f t="shared" si="0"/>
        <v>13</v>
      </c>
      <c r="U22" s="196">
        <v>29.375</v>
      </c>
      <c r="Z22" s="112">
        <f>AD22+RBTC!$K$120</f>
        <v>0.32060290721691997</v>
      </c>
      <c r="AA22" s="112">
        <f>AE22+RBTC!$L$120</f>
        <v>0.32396154345126094</v>
      </c>
      <c r="AD22" s="51">
        <v>0.31616908727599941</v>
      </c>
      <c r="AE22" s="51">
        <v>0.32953228065045048</v>
      </c>
    </row>
    <row r="23" spans="2:31">
      <c r="B23" s="242"/>
      <c r="F23" s="148" t="s">
        <v>214</v>
      </c>
      <c r="H23" s="35"/>
      <c r="R23" s="242">
        <v>4</v>
      </c>
      <c r="S23" s="53">
        <v>20</v>
      </c>
      <c r="T23" s="53" t="str">
        <f t="shared" si="0"/>
        <v>14</v>
      </c>
      <c r="U23" s="196">
        <v>31.71875</v>
      </c>
      <c r="Z23" s="112">
        <f>AD23+RBTC!$K$120</f>
        <v>0.32064443460659842</v>
      </c>
      <c r="AA23" s="112">
        <f>AE23+RBTC!$L$120</f>
        <v>0.32406294717827905</v>
      </c>
      <c r="AD23" s="51">
        <v>0.31621061466567785</v>
      </c>
      <c r="AE23" s="51">
        <v>0.32963368437746859</v>
      </c>
    </row>
    <row r="24" spans="2:31">
      <c r="B24" s="242"/>
      <c r="F24" s="1" t="str">
        <f>DEC2HEX(ROUNDDOWN(((D22)*3),0))</f>
        <v>2FD</v>
      </c>
      <c r="G24" s="1">
        <f>HEX2DEC(F24)</f>
        <v>765</v>
      </c>
      <c r="H24" s="35"/>
      <c r="R24" s="242"/>
      <c r="S24" s="53">
        <v>21</v>
      </c>
      <c r="T24" s="53" t="str">
        <f t="shared" si="0"/>
        <v>15</v>
      </c>
      <c r="U24" s="196">
        <v>34.0625</v>
      </c>
      <c r="Z24" s="112">
        <f>AD24+RBTC!$K$120</f>
        <v>0.3206848926290416</v>
      </c>
      <c r="AA24" s="112">
        <f>AE24+RBTC!$L$120</f>
        <v>0.32416415787889719</v>
      </c>
      <c r="AD24" s="51">
        <v>0.31625107268812103</v>
      </c>
      <c r="AE24" s="51">
        <v>0.32973489507808673</v>
      </c>
    </row>
    <row r="25" spans="2:31">
      <c r="B25" s="242"/>
      <c r="R25" s="242"/>
      <c r="S25" s="53">
        <v>22</v>
      </c>
      <c r="T25" s="53" t="str">
        <f t="shared" si="0"/>
        <v>16</v>
      </c>
      <c r="U25" s="196">
        <v>36.40625</v>
      </c>
      <c r="Z25" s="112">
        <f>AD25+RBTC!$K$120</f>
        <v>0.32072426896034395</v>
      </c>
      <c r="AA25" s="112">
        <f>AE25+RBTC!$L$120</f>
        <v>0.32426514472335544</v>
      </c>
      <c r="AD25" s="51">
        <v>0.31629044901942338</v>
      </c>
      <c r="AE25" s="51">
        <v>0.32983588192254498</v>
      </c>
    </row>
    <row r="26" spans="2:31">
      <c r="B26" s="242"/>
      <c r="C26" s="392" t="s">
        <v>218</v>
      </c>
      <c r="D26" s="393"/>
      <c r="E26" s="393"/>
      <c r="F26" s="393"/>
      <c r="G26" s="393"/>
      <c r="H26" s="393"/>
      <c r="I26" s="393"/>
      <c r="J26" s="393"/>
      <c r="K26" s="393"/>
      <c r="R26" s="242"/>
      <c r="S26" s="53">
        <v>23</v>
      </c>
      <c r="T26" s="53" t="str">
        <f t="shared" si="0"/>
        <v>17</v>
      </c>
      <c r="U26" s="196">
        <v>38.75</v>
      </c>
      <c r="Z26" s="112">
        <f>AD26+RBTC!$K$120</f>
        <v>0.32076255160609352</v>
      </c>
      <c r="AA26" s="112">
        <f>AE26+RBTC!$L$120</f>
        <v>0.32436587695008268</v>
      </c>
      <c r="AD26" s="51">
        <v>0.31632873166517295</v>
      </c>
      <c r="AE26" s="51">
        <v>0.32993661414927222</v>
      </c>
    </row>
    <row r="27" spans="2:31">
      <c r="B27" s="242"/>
      <c r="C27" s="153" t="s">
        <v>10</v>
      </c>
      <c r="D27" s="150" t="s">
        <v>11</v>
      </c>
      <c r="E27" s="149" t="s">
        <v>12</v>
      </c>
      <c r="F27" s="141" t="s">
        <v>13</v>
      </c>
      <c r="G27" s="141" t="s">
        <v>14</v>
      </c>
      <c r="H27" s="141" t="s">
        <v>15</v>
      </c>
      <c r="R27" s="242"/>
      <c r="S27" s="53">
        <v>24</v>
      </c>
      <c r="T27" s="53" t="str">
        <f t="shared" si="0"/>
        <v>18</v>
      </c>
      <c r="U27" s="196">
        <v>41.09375</v>
      </c>
      <c r="Z27" s="112">
        <f>AD27+RBTC!$K$120</f>
        <v>0.32079972890502556</v>
      </c>
      <c r="AA27" s="112">
        <f>AE27+RBTC!$L$120</f>
        <v>0.32446632387506691</v>
      </c>
      <c r="AD27" s="51">
        <v>0.31636590896410499</v>
      </c>
      <c r="AE27" s="51">
        <v>0.33003706107425645</v>
      </c>
    </row>
    <row r="28" spans="2:31">
      <c r="B28" s="242"/>
      <c r="C28" s="5">
        <f>客戶RB_TC!B11</f>
        <v>0.31269999999999998</v>
      </c>
      <c r="D28" s="5">
        <f>客戶RB_TC!C11</f>
        <v>0.32900000000000001</v>
      </c>
      <c r="E28" s="5">
        <f>客戶RB_TC!D11</f>
        <v>9.3000000000000007</v>
      </c>
      <c r="F28" s="1">
        <f>E28*C28/D28</f>
        <v>8.8392401215805467</v>
      </c>
      <c r="G28" s="1">
        <f>E28</f>
        <v>9.3000000000000007</v>
      </c>
      <c r="H28" s="1">
        <f>E28*(1-C28-D28)/D28</f>
        <v>10.128237082066869</v>
      </c>
      <c r="R28" s="242">
        <v>5</v>
      </c>
      <c r="S28" s="53">
        <v>25</v>
      </c>
      <c r="T28" s="53" t="str">
        <f t="shared" si="0"/>
        <v>19</v>
      </c>
      <c r="U28" s="196">
        <v>43.4375</v>
      </c>
      <c r="Z28" s="112">
        <f>AD28+RBTC!$K$120</f>
        <v>0.32083578953257469</v>
      </c>
      <c r="AA28" s="112">
        <f>AE28+RBTC!$L$120</f>
        <v>0.32456645490120167</v>
      </c>
      <c r="AD28" s="51">
        <v>0.31640196959165412</v>
      </c>
      <c r="AE28" s="51">
        <v>0.33013719210039122</v>
      </c>
    </row>
    <row r="29" spans="2:31">
      <c r="B29" s="242"/>
      <c r="C29" s="40" t="s">
        <v>17</v>
      </c>
      <c r="D29" s="38" t="s">
        <v>18</v>
      </c>
      <c r="E29" s="38" t="s">
        <v>19</v>
      </c>
      <c r="F29" s="38" t="s">
        <v>20</v>
      </c>
      <c r="G29" s="38" t="s">
        <v>21</v>
      </c>
      <c r="H29" s="38" t="s">
        <v>22</v>
      </c>
      <c r="I29" s="38" t="s">
        <v>23</v>
      </c>
      <c r="J29" s="38" t="s">
        <v>24</v>
      </c>
      <c r="K29" s="38" t="s">
        <v>25</v>
      </c>
      <c r="L29" s="39" t="s">
        <v>26</v>
      </c>
      <c r="M29" s="39" t="s">
        <v>27</v>
      </c>
      <c r="N29" s="39" t="s">
        <v>28</v>
      </c>
      <c r="O29" s="39" t="s">
        <v>29</v>
      </c>
      <c r="R29" s="242"/>
      <c r="S29" s="53">
        <v>26</v>
      </c>
      <c r="T29" s="53" t="str">
        <f t="shared" si="0"/>
        <v>1A</v>
      </c>
      <c r="U29" s="196">
        <v>45.78125</v>
      </c>
      <c r="Z29" s="112">
        <f>AD29+RBTC!$K$120</f>
        <v>0.32087072250432441</v>
      </c>
      <c r="AA29" s="112">
        <f>AE29+RBTC!$L$120</f>
        <v>0.32466623952760643</v>
      </c>
      <c r="AD29" s="51">
        <v>0.31643690256340384</v>
      </c>
      <c r="AE29" s="51">
        <v>0.33023697672679597</v>
      </c>
    </row>
    <row r="30" spans="2:31">
      <c r="B30" s="242"/>
      <c r="C30" s="30" t="s">
        <v>30</v>
      </c>
      <c r="D30" s="21" t="s">
        <v>31</v>
      </c>
      <c r="E30" s="21" t="s">
        <v>32</v>
      </c>
      <c r="F30" s="21" t="s">
        <v>33</v>
      </c>
      <c r="G30" s="21" t="s">
        <v>34</v>
      </c>
      <c r="H30" s="21" t="s">
        <v>35</v>
      </c>
      <c r="I30" s="21"/>
      <c r="J30" s="21"/>
      <c r="K30" s="21"/>
      <c r="L30" s="22"/>
      <c r="M30" s="22"/>
      <c r="N30" s="22"/>
      <c r="O30" s="22"/>
      <c r="R30" s="242"/>
      <c r="S30" s="53">
        <v>27</v>
      </c>
      <c r="T30" s="53" t="str">
        <f t="shared" si="0"/>
        <v>1B</v>
      </c>
      <c r="U30" s="196">
        <v>48.125</v>
      </c>
      <c r="Z30" s="112">
        <f>AD30+RBTC!$K$120</f>
        <v>0.3209045171793532</v>
      </c>
      <c r="AA30" s="112">
        <f>AE30+RBTC!$L$120</f>
        <v>0.32476564735891733</v>
      </c>
      <c r="AD30" s="51">
        <v>0.31647069723843263</v>
      </c>
      <c r="AE30" s="51">
        <v>0.33033638455810688</v>
      </c>
    </row>
    <row r="31" spans="2:31">
      <c r="B31" s="242"/>
      <c r="C31" s="32">
        <f>C19/D19</f>
        <v>2.2588005215123856</v>
      </c>
      <c r="D31" s="6">
        <f>F19/G19</f>
        <v>0.20113929201139291</v>
      </c>
      <c r="E31" s="6">
        <f>I19/J19</f>
        <v>5.419354838709677</v>
      </c>
      <c r="F31" s="6">
        <f>(1-C19-D19)/D19</f>
        <v>6.5189048239906603E-4</v>
      </c>
      <c r="G31" s="6">
        <f>(1-F19-G19)/G19</f>
        <v>0.15516072155160729</v>
      </c>
      <c r="H31" s="6">
        <f>(1-I19-J19)/J19</f>
        <v>29.422939068100355</v>
      </c>
      <c r="I31" s="6">
        <f>C31*H31+E31*G31+D31*F31-E31*F31-D31*H31-C31*G31</f>
        <v>61.029433161709555</v>
      </c>
      <c r="J31" s="6">
        <f>H31*F28+E31*G31*G28+H28*D31-E31*H28-D31*H31*G28-G31*F28</f>
        <v>158.63528185686951</v>
      </c>
      <c r="K31" s="6">
        <f>C31*H31*G28+F31*F28+E31*H28-E31*F31*G28-F28*H31-C31*H28</f>
        <v>389.99044290245138</v>
      </c>
      <c r="L31" s="7">
        <f>C31*H28+G31*F28+D31*F31*G28-F31*F28-D31*H28-C31*G31*G28</f>
        <v>18.948003644577856</v>
      </c>
      <c r="M31" s="7">
        <f>J31/I31</f>
        <v>2.5993241889783567</v>
      </c>
      <c r="N31" s="7">
        <f>K31/I31</f>
        <v>6.390202607143582</v>
      </c>
      <c r="O31" s="7">
        <f>L31/I31</f>
        <v>0.31047320387805949</v>
      </c>
      <c r="R31" s="242"/>
      <c r="S31" s="53">
        <v>28</v>
      </c>
      <c r="T31" s="53" t="str">
        <f t="shared" si="0"/>
        <v>1C</v>
      </c>
      <c r="U31" s="196">
        <v>50.46875</v>
      </c>
      <c r="Z31" s="112">
        <f>AD31+RBTC!$K$120</f>
        <v>0.32093716326347549</v>
      </c>
      <c r="AA31" s="112">
        <f>AE31+RBTC!$L$120</f>
        <v>0.32486464811454602</v>
      </c>
      <c r="AD31" s="51">
        <v>0.31650334332255492</v>
      </c>
      <c r="AE31" s="51">
        <v>0.33043538531373556</v>
      </c>
    </row>
    <row r="32" spans="2:31">
      <c r="B32" s="242"/>
      <c r="C32" s="30" t="s">
        <v>50</v>
      </c>
      <c r="D32" s="21" t="s">
        <v>51</v>
      </c>
      <c r="E32" s="21" t="s">
        <v>52</v>
      </c>
      <c r="F32" s="21" t="s">
        <v>53</v>
      </c>
      <c r="G32" s="21" t="s">
        <v>56</v>
      </c>
      <c r="H32" s="21" t="s">
        <v>217</v>
      </c>
      <c r="I32" s="21" t="s">
        <v>57</v>
      </c>
      <c r="R32" s="242"/>
      <c r="S32" s="53">
        <v>29</v>
      </c>
      <c r="T32" s="53" t="str">
        <f t="shared" si="0"/>
        <v>1D</v>
      </c>
      <c r="U32" s="196">
        <v>52.8125</v>
      </c>
      <c r="Z32" s="112">
        <f>AD32+RBTC!$K$120</f>
        <v>0.32096865081237796</v>
      </c>
      <c r="AA32" s="112">
        <f>AE32+RBTC!$L$120</f>
        <v>0.3249632116379032</v>
      </c>
      <c r="AD32" s="51">
        <v>0.3165348308714574</v>
      </c>
      <c r="AE32" s="51">
        <v>0.33053394883709275</v>
      </c>
    </row>
    <row r="33" spans="2:31">
      <c r="B33" s="242"/>
      <c r="C33" s="5">
        <v>256</v>
      </c>
      <c r="D33" s="1">
        <v>384</v>
      </c>
      <c r="E33" s="1">
        <v>384</v>
      </c>
      <c r="F33" s="1">
        <v>256</v>
      </c>
      <c r="G33" s="1">
        <v>255</v>
      </c>
      <c r="H33" s="1">
        <f>G33*3</f>
        <v>765</v>
      </c>
      <c r="I33" s="1">
        <f>G33/H33</f>
        <v>0.33333333333333331</v>
      </c>
      <c r="R33" s="242">
        <v>6</v>
      </c>
      <c r="S33" s="53">
        <v>30</v>
      </c>
      <c r="T33" s="53" t="str">
        <f t="shared" si="0"/>
        <v>1E</v>
      </c>
      <c r="U33" s="196">
        <v>55.15625</v>
      </c>
      <c r="Z33" s="112">
        <f>AD33+RBTC!$K$120</f>
        <v>0.32099897023464818</v>
      </c>
      <c r="AA33" s="112">
        <f>AE33+RBTC!$L$120</f>
        <v>0.32506130790558496</v>
      </c>
      <c r="AD33" s="51">
        <v>0.31656515029372762</v>
      </c>
      <c r="AE33" s="51">
        <v>0.33063204510477451</v>
      </c>
    </row>
    <row r="34" spans="2:31">
      <c r="B34" s="242"/>
      <c r="C34" s="191" t="str">
        <f>DEC2HEX(C33)</f>
        <v>100</v>
      </c>
      <c r="D34" s="191" t="str">
        <f t="shared" ref="D34:E34" si="1">DEC2HEX(D33)</f>
        <v>180</v>
      </c>
      <c r="E34" s="191" t="str">
        <f t="shared" si="1"/>
        <v>180</v>
      </c>
      <c r="R34" s="242"/>
      <c r="S34" s="53">
        <v>31</v>
      </c>
      <c r="T34" s="53" t="str">
        <f t="shared" si="0"/>
        <v>1F</v>
      </c>
      <c r="U34" s="196">
        <v>57.5</v>
      </c>
      <c r="Z34" s="112">
        <f>AD34+RBTC!$K$120</f>
        <v>0.32102811229469636</v>
      </c>
      <c r="AA34" s="112">
        <f>AE34+RBTC!$L$120</f>
        <v>0.32515890703651779</v>
      </c>
      <c r="AD34" s="51">
        <v>0.31659429235377579</v>
      </c>
      <c r="AE34" s="51">
        <v>0.33072964423570733</v>
      </c>
    </row>
    <row r="35" spans="2:31">
      <c r="B35" s="242"/>
      <c r="C35" s="384" t="s">
        <v>54</v>
      </c>
      <c r="D35" s="385"/>
      <c r="E35" s="386"/>
      <c r="R35" s="242"/>
      <c r="S35" s="53">
        <v>32</v>
      </c>
      <c r="T35" s="53" t="str">
        <f t="shared" si="0"/>
        <v>20</v>
      </c>
      <c r="U35" s="196">
        <v>59.84375</v>
      </c>
      <c r="Z35" s="112">
        <f>AD35+RBTC!$K$120</f>
        <v>0.32105606811556869</v>
      </c>
      <c r="AA35" s="112">
        <f>AE35+RBTC!$L$120</f>
        <v>0.32525597930106098</v>
      </c>
      <c r="AD35" s="51">
        <v>0.31662224817464812</v>
      </c>
      <c r="AE35" s="51">
        <v>0.33082671650025053</v>
      </c>
    </row>
    <row r="36" spans="2:31">
      <c r="B36" s="242"/>
      <c r="C36" s="1">
        <f>C33/$F$33*$I$33</f>
        <v>0.33333333333333331</v>
      </c>
      <c r="D36" s="1">
        <f t="shared" ref="D36:E36" si="2">D33/$F$33*$I$33</f>
        <v>0.5</v>
      </c>
      <c r="E36" s="1">
        <f t="shared" si="2"/>
        <v>0.5</v>
      </c>
      <c r="R36" s="242"/>
      <c r="S36" s="53">
        <v>33</v>
      </c>
      <c r="T36" s="53" t="str">
        <f t="shared" si="0"/>
        <v>21</v>
      </c>
      <c r="U36" s="196">
        <v>62.1875</v>
      </c>
      <c r="Z36" s="112">
        <f>AD36+RBTC!$K$120</f>
        <v>0.32108282918165137</v>
      </c>
      <c r="AA36" s="112">
        <f>AE36+RBTC!$L$120</f>
        <v>0.32535249513006242</v>
      </c>
      <c r="AD36" s="51">
        <v>0.31664900924073081</v>
      </c>
      <c r="AE36" s="51">
        <v>0.33092323232925197</v>
      </c>
    </row>
    <row r="37" spans="2:31" ht="33">
      <c r="B37" s="242"/>
      <c r="C37" s="33" t="s">
        <v>36</v>
      </c>
      <c r="D37" s="199" t="s">
        <v>37</v>
      </c>
      <c r="E37" s="10" t="s">
        <v>38</v>
      </c>
      <c r="F37" s="11" t="s">
        <v>39</v>
      </c>
      <c r="G37" s="8" t="s">
        <v>40</v>
      </c>
      <c r="H37" s="12" t="s">
        <v>41</v>
      </c>
      <c r="R37" s="242"/>
      <c r="S37" s="53">
        <v>34</v>
      </c>
      <c r="T37" s="53" t="str">
        <f t="shared" si="0"/>
        <v>22</v>
      </c>
      <c r="U37" s="196">
        <v>64.53125</v>
      </c>
      <c r="Z37" s="112">
        <f>AD37+RBTC!$K$120</f>
        <v>0.3211083873412644</v>
      </c>
      <c r="AA37" s="112">
        <f>AE37+RBTC!$L$120</f>
        <v>0.32544842512386563</v>
      </c>
      <c r="AD37" s="51">
        <v>0.31667456740034383</v>
      </c>
      <c r="AE37" s="51">
        <v>0.33101916232305517</v>
      </c>
    </row>
    <row r="38" spans="2:31">
      <c r="B38" s="242"/>
      <c r="C38" s="34" t="s">
        <v>42</v>
      </c>
      <c r="D38" s="9" t="s">
        <v>43</v>
      </c>
      <c r="E38" s="10" t="s">
        <v>44</v>
      </c>
      <c r="F38" s="11" t="s">
        <v>45</v>
      </c>
      <c r="G38" s="8" t="s">
        <v>46</v>
      </c>
      <c r="H38" s="12" t="s">
        <v>47</v>
      </c>
      <c r="R38" s="242">
        <v>7</v>
      </c>
      <c r="S38" s="53">
        <v>35</v>
      </c>
      <c r="T38" s="53" t="str">
        <f t="shared" si="0"/>
        <v>23</v>
      </c>
      <c r="U38" s="196">
        <v>66.875</v>
      </c>
      <c r="Z38" s="112">
        <f>AD38+RBTC!$K$120</f>
        <v>0.32113273480914484</v>
      </c>
      <c r="AA38" s="112">
        <f>AE38+RBTC!$L$120</f>
        <v>0.32554374006126513</v>
      </c>
      <c r="AD38" s="51">
        <v>0.31669891486822427</v>
      </c>
      <c r="AE38" s="51">
        <v>0.33111447726045468</v>
      </c>
    </row>
    <row r="39" spans="2:31">
      <c r="B39" s="242"/>
      <c r="C39" s="5">
        <f>E19*C36</f>
        <v>3.0494573457824599</v>
      </c>
      <c r="D39" s="6">
        <f>M31</f>
        <v>2.5993241889783567</v>
      </c>
      <c r="E39" s="1">
        <f>H19*D36</f>
        <v>6.3943320564998807</v>
      </c>
      <c r="F39" s="6">
        <f>N31</f>
        <v>6.390202607143582</v>
      </c>
      <c r="G39" s="1">
        <f>K19*E36</f>
        <v>0.92535312425185556</v>
      </c>
      <c r="H39" s="6">
        <f>O31</f>
        <v>0.31047320387805949</v>
      </c>
      <c r="R39" s="242"/>
      <c r="S39" s="53">
        <v>36</v>
      </c>
      <c r="T39" s="53" t="str">
        <f t="shared" si="0"/>
        <v>24</v>
      </c>
      <c r="U39" s="196">
        <v>69.21875</v>
      </c>
      <c r="Z39" s="112">
        <f>AD39+RBTC!$K$120</f>
        <v>0.32115586416881803</v>
      </c>
      <c r="AA39" s="112">
        <f>AE39+RBTC!$L$120</f>
        <v>0.32563841090840767</v>
      </c>
      <c r="AD39" s="51">
        <v>0.31672204422789746</v>
      </c>
      <c r="AE39" s="51">
        <v>0.33120914810759722</v>
      </c>
    </row>
    <row r="40" spans="2:31">
      <c r="B40" s="242"/>
      <c r="C40" s="317" t="s">
        <v>58</v>
      </c>
      <c r="D40" s="318"/>
      <c r="E40" s="318"/>
      <c r="F40" s="318"/>
      <c r="G40" s="318"/>
      <c r="H40" s="318"/>
      <c r="R40" s="242"/>
      <c r="S40" s="53">
        <v>37</v>
      </c>
      <c r="T40" s="53" t="str">
        <f t="shared" si="0"/>
        <v>25</v>
      </c>
      <c r="U40" s="196">
        <v>71.5625</v>
      </c>
      <c r="Z40" s="112">
        <f>AD40+RBTC!$K$120</f>
        <v>0.32117776837485695</v>
      </c>
      <c r="AA40" s="112">
        <f>AE40+RBTC!$L$120</f>
        <v>0.32573240882763621</v>
      </c>
      <c r="AD40" s="51">
        <v>0.31674394843393638</v>
      </c>
      <c r="AE40" s="51">
        <v>0.33130314602682576</v>
      </c>
    </row>
    <row r="41" spans="2:31">
      <c r="B41" s="242"/>
      <c r="C41" s="325" t="s">
        <v>59</v>
      </c>
      <c r="D41" s="324"/>
      <c r="E41" s="324" t="s">
        <v>60</v>
      </c>
      <c r="F41" s="324"/>
      <c r="G41" s="324" t="s">
        <v>61</v>
      </c>
      <c r="H41" s="324"/>
      <c r="R41" s="242"/>
      <c r="S41" s="53">
        <v>38</v>
      </c>
      <c r="T41" s="53" t="str">
        <f t="shared" si="0"/>
        <v>26</v>
      </c>
      <c r="U41" s="196">
        <v>73.90625</v>
      </c>
      <c r="Z41" s="112">
        <f>AD41+RBTC!$K$120</f>
        <v>0.32119844075502829</v>
      </c>
      <c r="AA41" s="112">
        <f>AE41+RBTC!$L$120</f>
        <v>0.32582570518627385</v>
      </c>
      <c r="AD41" s="51">
        <v>0.31676462081410772</v>
      </c>
      <c r="AE41" s="51">
        <v>0.3313964423854634</v>
      </c>
    </row>
    <row r="42" spans="2:31">
      <c r="B42" s="242"/>
      <c r="C42" s="319">
        <f>D39/C39</f>
        <v>0.85238909557903542</v>
      </c>
      <c r="D42" s="242"/>
      <c r="E42" s="242">
        <f>F39/E39</f>
        <v>0.99935420160857913</v>
      </c>
      <c r="F42" s="242"/>
      <c r="G42" s="242">
        <f>H39/G39</f>
        <v>0.33551862066611154</v>
      </c>
      <c r="H42" s="242"/>
      <c r="R42" s="242"/>
      <c r="S42" s="53">
        <v>39</v>
      </c>
      <c r="T42" s="53" t="str">
        <f t="shared" si="0"/>
        <v>27</v>
      </c>
      <c r="U42" s="196">
        <v>76.25</v>
      </c>
      <c r="Z42" s="112">
        <f>AD42+RBTC!$K$120</f>
        <v>0.32121787501232485</v>
      </c>
      <c r="AA42" s="112">
        <f>AE42+RBTC!$L$120</f>
        <v>0.32591827156534603</v>
      </c>
      <c r="AD42" s="51">
        <v>0.31678405507140428</v>
      </c>
      <c r="AE42" s="51">
        <v>0.33148900876453558</v>
      </c>
    </row>
    <row r="43" spans="2:31">
      <c r="C43" s="200" t="s">
        <v>69</v>
      </c>
      <c r="D43" s="201" t="s">
        <v>70</v>
      </c>
      <c r="E43" s="60" t="s">
        <v>115</v>
      </c>
      <c r="R43" s="242">
        <v>8</v>
      </c>
      <c r="S43" s="53">
        <v>40</v>
      </c>
      <c r="T43" s="53" t="str">
        <f t="shared" si="0"/>
        <v>28</v>
      </c>
      <c r="U43" s="196">
        <v>78.59375</v>
      </c>
      <c r="Z43" s="112">
        <f>AD43+RBTC!$K$120</f>
        <v>0.32123606522688347</v>
      </c>
      <c r="AA43" s="112">
        <f>AE43+RBTC!$L$120</f>
        <v>0.32601007976823693</v>
      </c>
      <c r="AD43" s="51">
        <v>0.3168022452859629</v>
      </c>
      <c r="AE43" s="51">
        <v>0.33158081696742647</v>
      </c>
    </row>
    <row r="44" spans="2:31">
      <c r="C44" s="202" t="s">
        <v>71</v>
      </c>
      <c r="D44" s="203" t="s">
        <v>72</v>
      </c>
      <c r="E44" s="1"/>
      <c r="R44" s="242"/>
      <c r="S44" s="53">
        <v>41</v>
      </c>
      <c r="T44" s="53" t="str">
        <f t="shared" si="0"/>
        <v>29</v>
      </c>
      <c r="U44" s="196">
        <v>80.9375</v>
      </c>
      <c r="Z44" s="112">
        <f>AD44+RBTC!$K$120</f>
        <v>0.32125300585778865</v>
      </c>
      <c r="AA44" s="112">
        <f>AE44+RBTC!$L$120</f>
        <v>0.32610110182927865</v>
      </c>
      <c r="AD44" s="51">
        <v>0.31681918591686808</v>
      </c>
      <c r="AE44" s="51">
        <v>0.3316718390284682</v>
      </c>
    </row>
    <row r="45" spans="2:31" ht="17.25" thickBot="1">
      <c r="C45" s="16">
        <v>3.3700000000000002E-3</v>
      </c>
      <c r="D45" s="29">
        <v>255</v>
      </c>
      <c r="E45" s="1">
        <f>C16</f>
        <v>64</v>
      </c>
      <c r="R45" s="242"/>
      <c r="S45" s="53">
        <v>42</v>
      </c>
      <c r="T45" s="53" t="str">
        <f t="shared" si="0"/>
        <v>2A</v>
      </c>
      <c r="U45" s="196">
        <v>83.28125</v>
      </c>
      <c r="Z45" s="112">
        <f>AD45+RBTC!$K$120</f>
        <v>0.32126869174476014</v>
      </c>
      <c r="AA45" s="112">
        <f>AE45+RBTC!$L$120</f>
        <v>0.32619131002226964</v>
      </c>
      <c r="AD45" s="51">
        <v>0.31683487180383957</v>
      </c>
      <c r="AE45" s="51">
        <v>0.33176204722145919</v>
      </c>
    </row>
    <row r="46" spans="2:31">
      <c r="C46" s="307" t="s">
        <v>62</v>
      </c>
      <c r="D46" s="308"/>
      <c r="E46" s="309"/>
      <c r="R46" s="242"/>
      <c r="S46" s="53">
        <v>43</v>
      </c>
      <c r="T46" s="53" t="str">
        <f t="shared" si="0"/>
        <v>2B</v>
      </c>
      <c r="U46" s="196">
        <v>85.625</v>
      </c>
      <c r="Z46" s="112">
        <f>AD46+RBTC!$K$120</f>
        <v>4.4338199409205692E-3</v>
      </c>
      <c r="AA46" s="112">
        <f>AE46+RBTC!$L$120</f>
        <v>-5.570737199189546E-3</v>
      </c>
    </row>
    <row r="47" spans="2:31">
      <c r="C47" s="311" t="s">
        <v>63</v>
      </c>
      <c r="D47" s="311"/>
      <c r="E47" s="312"/>
      <c r="R47" s="242"/>
      <c r="S47" s="53">
        <v>44</v>
      </c>
      <c r="T47" s="53" t="str">
        <f t="shared" si="0"/>
        <v>2C</v>
      </c>
      <c r="U47" s="196">
        <v>87.96875</v>
      </c>
      <c r="Z47" s="112">
        <f>AD47+RBTC!$K$120</f>
        <v>0.32128311810972476</v>
      </c>
      <c r="AA47" s="112">
        <f>AE47+RBTC!$L$120</f>
        <v>0.32628067686892037</v>
      </c>
      <c r="AD47" s="51">
        <v>0.31684929816880419</v>
      </c>
      <c r="AE47" s="51">
        <v>0.33185141406810992</v>
      </c>
    </row>
    <row r="48" spans="2:31">
      <c r="C48" s="19" t="s">
        <v>64</v>
      </c>
      <c r="D48" s="17" t="s">
        <v>65</v>
      </c>
      <c r="E48" s="18" t="s">
        <v>66</v>
      </c>
      <c r="R48" s="242">
        <v>9</v>
      </c>
      <c r="S48" s="53">
        <v>45</v>
      </c>
      <c r="T48" s="53" t="str">
        <f t="shared" si="0"/>
        <v>2D</v>
      </c>
      <c r="U48" s="196">
        <v>90.3125</v>
      </c>
      <c r="Z48" s="112">
        <f>AD48+RBTC!$K$120</f>
        <v>0.32129628055827197</v>
      </c>
      <c r="AA48" s="112">
        <f>AE48+RBTC!$L$120</f>
        <v>0.32636917514722369</v>
      </c>
      <c r="AD48" s="51">
        <v>0.3168624606173514</v>
      </c>
      <c r="AE48" s="51">
        <v>0.33193991234641324</v>
      </c>
    </row>
    <row r="49" spans="2:31">
      <c r="B49" s="21" t="s">
        <v>67</v>
      </c>
      <c r="C49" s="1">
        <f>ROUND(((D45*C45)+C42-1)/C45,0)</f>
        <v>211</v>
      </c>
      <c r="D49" s="1">
        <f>ROUND(((D45*C45)+E42-1)/C45,0)</f>
        <v>255</v>
      </c>
      <c r="E49" s="1">
        <f>ROUND(((D45*C45)+G42-1)/C45,0)</f>
        <v>58</v>
      </c>
      <c r="R49" s="242"/>
      <c r="S49" s="53">
        <v>46</v>
      </c>
      <c r="T49" s="53" t="str">
        <f t="shared" si="0"/>
        <v>2E</v>
      </c>
      <c r="U49" s="196">
        <v>92.65625</v>
      </c>
      <c r="Z49" s="112">
        <f>AD49+RBTC!$K$120</f>
        <v>0.32130817508099252</v>
      </c>
      <c r="AA49" s="112">
        <f>AE49+RBTC!$L$120</f>
        <v>0.32645677789974675</v>
      </c>
      <c r="AD49" s="51">
        <v>0.31687435514007195</v>
      </c>
      <c r="AE49" s="51">
        <v>0.3320275150989363</v>
      </c>
    </row>
    <row r="50" spans="2:31" ht="16.5" customHeight="1">
      <c r="B50" s="21" t="s">
        <v>68</v>
      </c>
      <c r="C50" s="23" t="str">
        <f>DEC2HEX(C49)</f>
        <v>D3</v>
      </c>
      <c r="D50" s="23" t="str">
        <f>DEC2HEX(D49)</f>
        <v>FF</v>
      </c>
      <c r="E50" s="23" t="str">
        <f>DEC2HEX(E49)</f>
        <v>3A</v>
      </c>
      <c r="R50" s="242"/>
      <c r="S50" s="53">
        <v>47</v>
      </c>
      <c r="T50" s="53" t="str">
        <f t="shared" si="0"/>
        <v>2F</v>
      </c>
      <c r="U50" s="196">
        <v>95</v>
      </c>
      <c r="Z50" s="112">
        <f>AD50+RBTC!$K$120</f>
        <v>0.32131879805469948</v>
      </c>
      <c r="AA50" s="112">
        <f>AE50+RBTC!$L$120</f>
        <v>0.32654345844184246</v>
      </c>
      <c r="AD50" s="51">
        <v>0.31688497811377891</v>
      </c>
      <c r="AE50" s="51">
        <v>0.33211419564103201</v>
      </c>
    </row>
    <row r="51" spans="2:31" ht="16.5" customHeight="1">
      <c r="C51" s="247" t="s">
        <v>125</v>
      </c>
      <c r="D51" s="247"/>
      <c r="E51" s="247"/>
      <c r="R51" s="242"/>
      <c r="S51" s="53">
        <v>48</v>
      </c>
      <c r="T51" s="53" t="str">
        <f t="shared" si="0"/>
        <v>30</v>
      </c>
      <c r="U51" s="196">
        <v>97.34375</v>
      </c>
      <c r="Z51" s="112">
        <f>AD51+RBTC!$K$120</f>
        <v>0.32132814624353223</v>
      </c>
      <c r="AA51" s="112">
        <f>AE51+RBTC!$L$120</f>
        <v>0.32662919036977806</v>
      </c>
      <c r="AD51" s="51">
        <v>0.31689432630261166</v>
      </c>
      <c r="AE51" s="51">
        <v>0.3321999275689676</v>
      </c>
    </row>
    <row r="52" spans="2:31" ht="16.5" customHeight="1">
      <c r="C52" s="63" t="s">
        <v>50</v>
      </c>
      <c r="D52" s="63" t="s">
        <v>51</v>
      </c>
      <c r="E52" s="63" t="s">
        <v>52</v>
      </c>
      <c r="R52" s="242"/>
      <c r="S52" s="53">
        <v>49</v>
      </c>
      <c r="T52" s="53" t="str">
        <f t="shared" si="0"/>
        <v>31</v>
      </c>
      <c r="U52" s="196">
        <v>99.6875</v>
      </c>
      <c r="Z52" s="112">
        <f>AD52+RBTC!$K$120</f>
        <v>0.32133621679994184</v>
      </c>
      <c r="AA52" s="112">
        <f>AE52+RBTC!$L$120</f>
        <v>0.3267139475687777</v>
      </c>
      <c r="AD52" s="51">
        <v>0.31690239685902127</v>
      </c>
      <c r="AE52" s="51">
        <v>0.33228468476796724</v>
      </c>
    </row>
    <row r="53" spans="2:31" ht="16.5" customHeight="1">
      <c r="C53" s="1">
        <f>1-(255-C49)*$C$45</f>
        <v>0.85172000000000003</v>
      </c>
      <c r="D53" s="1">
        <f>1-(255-D49)*$C$45</f>
        <v>1</v>
      </c>
      <c r="E53" s="1">
        <f>1-(255-E49)*$C$45</f>
        <v>0.33611000000000002</v>
      </c>
      <c r="R53" s="242">
        <v>10</v>
      </c>
      <c r="S53" s="53">
        <v>50</v>
      </c>
      <c r="T53" s="53" t="str">
        <f t="shared" si="0"/>
        <v>32</v>
      </c>
      <c r="U53" s="196">
        <v>102.03125</v>
      </c>
      <c r="Z53" s="112">
        <f>AD53+RBTC!$K$120</f>
        <v>0.32134300726555864</v>
      </c>
      <c r="AA53" s="112">
        <f>AE53+RBTC!$L$120</f>
        <v>0.32679770422097759</v>
      </c>
      <c r="AD53" s="51">
        <v>0.31690918732463808</v>
      </c>
      <c r="AE53" s="51">
        <v>0.33236844142016714</v>
      </c>
    </row>
    <row r="54" spans="2:31" ht="16.5" customHeight="1">
      <c r="C54" s="242" t="s">
        <v>117</v>
      </c>
      <c r="D54" s="242"/>
      <c r="E54" s="242"/>
      <c r="R54" s="242"/>
      <c r="S54" s="53">
        <v>51</v>
      </c>
      <c r="T54" s="53" t="str">
        <f t="shared" si="0"/>
        <v>33</v>
      </c>
      <c r="U54" s="196">
        <v>104.375</v>
      </c>
      <c r="Z54" s="112">
        <f>AD54+RBTC!$K$120</f>
        <v>0.32134851557194105</v>
      </c>
      <c r="AA54" s="112">
        <f>AE54+RBTC!$L$120</f>
        <v>0.3268804348132901</v>
      </c>
      <c r="AD54" s="51">
        <v>0.31691469563102048</v>
      </c>
      <c r="AE54" s="51">
        <v>0.33245117201247965</v>
      </c>
    </row>
    <row r="55" spans="2:31" ht="16.5" customHeight="1">
      <c r="C55" s="63" t="s">
        <v>50</v>
      </c>
      <c r="D55" s="63" t="s">
        <v>51</v>
      </c>
      <c r="E55" s="63" t="s">
        <v>52</v>
      </c>
      <c r="K55" s="35"/>
      <c r="L55" s="35"/>
      <c r="M55" s="35"/>
      <c r="R55" s="242"/>
      <c r="S55" s="53">
        <v>52</v>
      </c>
      <c r="T55" s="53" t="str">
        <f t="shared" si="0"/>
        <v>34</v>
      </c>
      <c r="U55" s="196">
        <v>106.71875</v>
      </c>
      <c r="Z55" s="112">
        <f>AD55+RBTC!$K$120</f>
        <v>0.32135274004120556</v>
      </c>
      <c r="AA55" s="112">
        <f>AE55+RBTC!$L$120</f>
        <v>0.32696211414517529</v>
      </c>
      <c r="AD55" s="51">
        <v>0.316918920100285</v>
      </c>
      <c r="AE55" s="51">
        <v>0.33253285134436483</v>
      </c>
    </row>
    <row r="56" spans="2:31" ht="16.5" customHeight="1">
      <c r="C56" s="1">
        <f>$E$45*C53</f>
        <v>54.510080000000002</v>
      </c>
      <c r="D56" s="1">
        <f>$E$45*D53</f>
        <v>64</v>
      </c>
      <c r="E56" s="1">
        <f>$E$45*E53</f>
        <v>21.511040000000001</v>
      </c>
      <c r="J56" s="35"/>
      <c r="K56" s="35"/>
      <c r="L56" s="35"/>
      <c r="R56" s="242"/>
      <c r="S56" s="53">
        <v>53</v>
      </c>
      <c r="T56" s="53" t="str">
        <f t="shared" si="0"/>
        <v>35</v>
      </c>
      <c r="U56" s="196">
        <v>109.0625</v>
      </c>
      <c r="Z56" s="112">
        <f>AD56+RBTC!$K$120</f>
        <v>0.32135567938653797</v>
      </c>
      <c r="AA56" s="112">
        <f>AE56+RBTC!$L$120</f>
        <v>0.32704271733631751</v>
      </c>
      <c r="AD56" s="51">
        <v>0.3169218594456174</v>
      </c>
      <c r="AE56" s="51">
        <v>0.33261345453550706</v>
      </c>
    </row>
    <row r="57" spans="2:31" ht="16.5" customHeight="1">
      <c r="J57" s="35"/>
      <c r="K57" s="35"/>
      <c r="L57" s="35"/>
      <c r="R57" s="242"/>
      <c r="S57" s="53">
        <v>54</v>
      </c>
      <c r="T57" s="53" t="str">
        <f t="shared" si="0"/>
        <v>36</v>
      </c>
      <c r="U57" s="196">
        <v>111.40625</v>
      </c>
      <c r="Z57" s="112">
        <f>AD57+RBTC!$K$120</f>
        <v>0.32135733271258515</v>
      </c>
      <c r="AA57" s="112">
        <f>AE57+RBTC!$L$120</f>
        <v>0.32712221983420392</v>
      </c>
      <c r="AD57" s="51">
        <v>0.31692351277166458</v>
      </c>
      <c r="AE57" s="51">
        <v>0.33269295703339347</v>
      </c>
    </row>
    <row r="58" spans="2:31" ht="16.5" customHeight="1">
      <c r="H58" s="35"/>
      <c r="I58" s="35"/>
      <c r="J58" s="35"/>
      <c r="K58" s="35"/>
      <c r="R58" s="242">
        <v>11</v>
      </c>
      <c r="S58" s="53">
        <v>55</v>
      </c>
      <c r="T58" s="53" t="str">
        <f t="shared" si="0"/>
        <v>37</v>
      </c>
      <c r="U58" s="196">
        <v>113.75</v>
      </c>
      <c r="Z58" s="112">
        <f>AD58+RBTC!$K$120</f>
        <v>0.32135769951572801</v>
      </c>
      <c r="AA58" s="112">
        <f>AE58+RBTC!$L$120</f>
        <v>0.32720059742160346</v>
      </c>
      <c r="AD58" s="51">
        <v>0.31692387957480744</v>
      </c>
      <c r="AE58" s="51">
        <v>0.332771334620793</v>
      </c>
    </row>
    <row r="59" spans="2:31" ht="16.5" customHeight="1">
      <c r="B59" s="244" t="s">
        <v>48</v>
      </c>
      <c r="C59" s="266" t="s">
        <v>0</v>
      </c>
      <c r="D59" s="266"/>
      <c r="E59" s="266"/>
      <c r="F59" s="267" t="s">
        <v>1</v>
      </c>
      <c r="G59" s="267"/>
      <c r="H59" s="267"/>
      <c r="I59" s="254" t="s">
        <v>2</v>
      </c>
      <c r="J59" s="254"/>
      <c r="K59" s="254"/>
      <c r="R59" s="242"/>
      <c r="S59" s="53">
        <v>56</v>
      </c>
      <c r="T59" s="53" t="str">
        <f t="shared" si="0"/>
        <v>38</v>
      </c>
      <c r="U59" s="196">
        <v>116.09375</v>
      </c>
      <c r="Z59" s="112">
        <f>AD59+RBTC!$K$120</f>
        <v>0.32135677968423476</v>
      </c>
      <c r="AA59" s="112">
        <f>AE59+RBTC!$L$120</f>
        <v>0.3272778262239438</v>
      </c>
      <c r="AD59" s="51">
        <v>0.31692295974331419</v>
      </c>
      <c r="AE59" s="51">
        <v>0.33284856342313335</v>
      </c>
    </row>
    <row r="60" spans="2:31" ht="16.5" customHeight="1">
      <c r="B60" s="244"/>
      <c r="C60" s="3" t="s">
        <v>4</v>
      </c>
      <c r="D60" s="3" t="s">
        <v>5</v>
      </c>
      <c r="E60" s="3" t="s">
        <v>6</v>
      </c>
      <c r="F60" s="4" t="s">
        <v>4</v>
      </c>
      <c r="G60" s="4" t="s">
        <v>5</v>
      </c>
      <c r="H60" s="4" t="s">
        <v>6</v>
      </c>
      <c r="I60" s="2" t="s">
        <v>4</v>
      </c>
      <c r="J60" s="2" t="s">
        <v>5</v>
      </c>
      <c r="K60" s="2" t="s">
        <v>6</v>
      </c>
      <c r="R60" s="242"/>
      <c r="S60" s="53">
        <v>57</v>
      </c>
      <c r="T60" s="53" t="str">
        <f t="shared" si="0"/>
        <v>39</v>
      </c>
      <c r="U60" s="196">
        <v>118.4375</v>
      </c>
      <c r="Z60" s="112">
        <f>AD60+RBTC!$K$120</f>
        <v>0.32135457349829494</v>
      </c>
      <c r="AA60" s="112">
        <f>AE60+RBTC!$L$120</f>
        <v>0.32735388271658356</v>
      </c>
      <c r="AD60" s="51">
        <v>0.31692075355737437</v>
      </c>
      <c r="AE60" s="51">
        <v>0.3329246199157731</v>
      </c>
    </row>
    <row r="61" spans="2:31" ht="16.5" customHeight="1">
      <c r="B61" s="5">
        <v>25</v>
      </c>
      <c r="C61" s="1">
        <f>客戶RB_TC!C36</f>
        <v>0.68859999999999999</v>
      </c>
      <c r="D61" s="1">
        <f>客戶RB_TC!D36</f>
        <v>0.30570000000000003</v>
      </c>
      <c r="E61" s="1">
        <f>客戶RB_TC!E36</f>
        <v>2.5750299999999999</v>
      </c>
      <c r="F61" s="1">
        <f>客戶RB_TC!F36</f>
        <v>0.1409</v>
      </c>
      <c r="G61" s="1">
        <f>客戶RB_TC!G36</f>
        <v>0.70940000000000003</v>
      </c>
      <c r="H61" s="1">
        <f>客戶RB_TC!H36</f>
        <v>3.45499</v>
      </c>
      <c r="I61" s="1">
        <f>客戶RB_TC!I36</f>
        <v>0.15190000000000001</v>
      </c>
      <c r="J61" s="1">
        <f>客戶RB_TC!J36</f>
        <v>3.1399999999999997E-2</v>
      </c>
      <c r="K61" s="1">
        <f>客戶RB_TC!K36</f>
        <v>0.23741100000000001</v>
      </c>
      <c r="R61" s="242"/>
      <c r="S61" s="53">
        <v>58</v>
      </c>
      <c r="T61" s="53" t="str">
        <f t="shared" si="0"/>
        <v>3A</v>
      </c>
      <c r="U61" s="196">
        <v>120.78125</v>
      </c>
      <c r="Z61" s="112">
        <f>AD61+RBTC!$K$120</f>
        <v>0.32135108162993414</v>
      </c>
      <c r="AA61" s="112">
        <f>AE61+RBTC!$L$120</f>
        <v>0.32742874373197833</v>
      </c>
      <c r="AD61" s="51">
        <v>0.31691726168901357</v>
      </c>
      <c r="AE61" s="51">
        <v>0.33299948093116788</v>
      </c>
    </row>
    <row r="62" spans="2:31" ht="16.5" customHeight="1">
      <c r="R62" s="242"/>
      <c r="S62" s="53">
        <v>59</v>
      </c>
      <c r="T62" s="53" t="str">
        <f t="shared" si="0"/>
        <v>3B</v>
      </c>
      <c r="U62" s="196">
        <v>123.125</v>
      </c>
      <c r="Z62" s="112">
        <f>AD62+RBTC!$K$120</f>
        <v>0.32134630514280937</v>
      </c>
      <c r="AA62" s="112">
        <f>AE62+RBTC!$L$120</f>
        <v>0.32750238646673763</v>
      </c>
      <c r="AD62" s="51">
        <v>0.3169124852018888</v>
      </c>
      <c r="AE62" s="51">
        <v>0.33307312366592717</v>
      </c>
    </row>
    <row r="63" spans="2:31" ht="16.5" customHeight="1">
      <c r="B63" s="30" t="s">
        <v>16</v>
      </c>
      <c r="C63" s="21" t="s">
        <v>226</v>
      </c>
      <c r="D63" s="21" t="s">
        <v>227</v>
      </c>
      <c r="E63" s="21" t="s">
        <v>228</v>
      </c>
      <c r="R63" s="242"/>
      <c r="S63" s="53">
        <v>60</v>
      </c>
      <c r="T63" s="53" t="str">
        <f t="shared" si="0"/>
        <v>3C</v>
      </c>
      <c r="U63" s="196">
        <v>125.46875</v>
      </c>
      <c r="Z63" s="112">
        <f>AD63+RBTC!$K$120</f>
        <v>0.32134024549188489</v>
      </c>
      <c r="AA63" s="112">
        <f>AE63+RBTC!$L$120</f>
        <v>0.32757478848857102</v>
      </c>
      <c r="AD63" s="51">
        <v>0.31690642555096432</v>
      </c>
      <c r="AE63" s="51">
        <v>0.33314552568776057</v>
      </c>
    </row>
    <row r="64" spans="2:31" ht="16.5" customHeight="1">
      <c r="B64" s="301">
        <v>25</v>
      </c>
      <c r="C64" s="1">
        <f>C28-客戶RB_TC!B38</f>
        <v>3.5999999999999921E-3</v>
      </c>
      <c r="D64" s="1">
        <f>D28-客戶RB_TC!C38</f>
        <v>-4.500000000000004E-3</v>
      </c>
      <c r="E64" s="1">
        <f>E28-客戶RB_TC!D38</f>
        <v>0.50337000000000032</v>
      </c>
      <c r="R64" s="242"/>
      <c r="S64" s="53">
        <v>61</v>
      </c>
      <c r="T64" s="53" t="str">
        <f t="shared" si="0"/>
        <v>3D</v>
      </c>
      <c r="U64" s="196">
        <v>127.8125</v>
      </c>
      <c r="Z64" s="112">
        <f>AD64+RBTC!$K$120</f>
        <v>0.32133290452298896</v>
      </c>
      <c r="AA64" s="112">
        <f>AE64+RBTC!$L$120</f>
        <v>0.32764592774312135</v>
      </c>
      <c r="AD64" s="51">
        <v>0.31689908458206839</v>
      </c>
      <c r="AE64" s="51">
        <v>0.33321666494231089</v>
      </c>
    </row>
    <row r="65" spans="2:31" ht="16.5" customHeight="1">
      <c r="B65" s="302"/>
      <c r="C65" s="36" t="s">
        <v>10</v>
      </c>
      <c r="D65" s="36" t="s">
        <v>11</v>
      </c>
      <c r="E65" s="37" t="s">
        <v>12</v>
      </c>
      <c r="F65" s="38" t="s">
        <v>13</v>
      </c>
      <c r="G65" s="38" t="s">
        <v>14</v>
      </c>
      <c r="H65" s="38" t="s">
        <v>15</v>
      </c>
      <c r="R65" s="242"/>
      <c r="S65" s="53">
        <v>62</v>
      </c>
      <c r="T65" s="53" t="str">
        <f t="shared" si="0"/>
        <v>3E</v>
      </c>
      <c r="U65" s="196">
        <v>130.15625</v>
      </c>
      <c r="Z65" s="112">
        <f>AD65+RBTC!$K$120</f>
        <v>0.32132428447225192</v>
      </c>
      <c r="AA65" s="112">
        <f>AE65+RBTC!$L$120</f>
        <v>0.32771578256068246</v>
      </c>
      <c r="AD65" s="51">
        <v>0.31689046453133135</v>
      </c>
      <c r="AE65" s="51">
        <v>0.333286519759872</v>
      </c>
    </row>
    <row r="66" spans="2:31" ht="16.5" customHeight="1">
      <c r="B66" s="302"/>
      <c r="C66" s="5">
        <f>C28+C64</f>
        <v>0.31629999999999997</v>
      </c>
      <c r="D66" s="1">
        <f>D28+D64</f>
        <v>0.32450000000000001</v>
      </c>
      <c r="E66" s="1">
        <f>E28+E64</f>
        <v>9.803370000000001</v>
      </c>
      <c r="F66" s="1">
        <f>E66*C66/D66</f>
        <v>9.555642314329738</v>
      </c>
      <c r="G66" s="1">
        <f>E66</f>
        <v>9.803370000000001</v>
      </c>
      <c r="H66" s="1">
        <f>E66*(1-C66-D66)/D66</f>
        <v>10.851681060092449</v>
      </c>
      <c r="R66" s="242"/>
      <c r="S66" s="53">
        <v>63</v>
      </c>
      <c r="T66" s="53" t="str">
        <f t="shared" si="0"/>
        <v>3F</v>
      </c>
      <c r="Z66" s="112">
        <f>AD66+RBTC!$K$120</f>
        <v>0.32131438796542472</v>
      </c>
      <c r="AA66" s="112">
        <f>AE66+RBTC!$L$120</f>
        <v>0.3277843316628003</v>
      </c>
      <c r="AD66" s="51">
        <v>0.31688056802450415</v>
      </c>
      <c r="AE66" s="51">
        <v>0.33335506886198984</v>
      </c>
    </row>
    <row r="67" spans="2:31" ht="16.5" customHeight="1">
      <c r="B67" s="302"/>
      <c r="C67" s="38" t="s">
        <v>17</v>
      </c>
      <c r="D67" s="38" t="s">
        <v>18</v>
      </c>
      <c r="E67" s="38" t="s">
        <v>19</v>
      </c>
      <c r="F67" s="38" t="s">
        <v>20</v>
      </c>
      <c r="G67" s="38" t="s">
        <v>21</v>
      </c>
      <c r="H67" s="38" t="s">
        <v>22</v>
      </c>
      <c r="I67" s="38" t="s">
        <v>23</v>
      </c>
      <c r="J67" s="38" t="s">
        <v>24</v>
      </c>
      <c r="K67" s="38" t="s">
        <v>25</v>
      </c>
      <c r="L67" s="39" t="s">
        <v>26</v>
      </c>
      <c r="M67" s="39" t="s">
        <v>27</v>
      </c>
      <c r="N67" s="39" t="s">
        <v>28</v>
      </c>
      <c r="O67" s="39" t="s">
        <v>29</v>
      </c>
      <c r="Z67" s="112">
        <f>AD67+RBTC!$K$120</f>
        <v>0.32130321801707917</v>
      </c>
      <c r="AA67" s="112">
        <f>AE67+RBTC!$L$120</f>
        <v>0.32785155416875428</v>
      </c>
      <c r="AD67" s="51">
        <v>0.3168693980761586</v>
      </c>
      <c r="AE67" s="51">
        <v>0.33342229136794382</v>
      </c>
    </row>
    <row r="68" spans="2:31" ht="16.5" customHeight="1">
      <c r="B68" s="302"/>
      <c r="C68" s="21" t="s">
        <v>30</v>
      </c>
      <c r="D68" s="21" t="s">
        <v>31</v>
      </c>
      <c r="E68" s="21" t="s">
        <v>32</v>
      </c>
      <c r="F68" s="21" t="s">
        <v>33</v>
      </c>
      <c r="G68" s="21" t="s">
        <v>34</v>
      </c>
      <c r="H68" s="21" t="s">
        <v>35</v>
      </c>
      <c r="I68" s="21"/>
      <c r="J68" s="21"/>
      <c r="K68" s="21"/>
      <c r="L68" s="22"/>
      <c r="M68" s="22"/>
      <c r="N68" s="22"/>
      <c r="O68" s="22"/>
      <c r="Z68" s="112">
        <f>AD68+RBTC!$K$120</f>
        <v>0.32129077802968969</v>
      </c>
      <c r="AA68" s="112">
        <f>AE68+RBTC!$L$120</f>
        <v>0.32791742960191783</v>
      </c>
      <c r="AD68" s="51">
        <v>0.31685695808876913</v>
      </c>
      <c r="AE68" s="51">
        <v>0.33348816680110738</v>
      </c>
    </row>
    <row r="69" spans="2:31" ht="16.5" customHeight="1">
      <c r="B69" s="303"/>
      <c r="C69" s="6">
        <f>C61/D61</f>
        <v>2.2525351651946348</v>
      </c>
      <c r="D69" s="6">
        <f>F61/G61</f>
        <v>0.19861855088807442</v>
      </c>
      <c r="E69" s="6">
        <f>I61/J61</f>
        <v>4.8375796178343959</v>
      </c>
      <c r="F69" s="6">
        <f>(1-C61-D61)/D61</f>
        <v>1.8645731108930266E-2</v>
      </c>
      <c r="G69" s="6">
        <f>(1-F61-G61)/G61</f>
        <v>0.21102340005638559</v>
      </c>
      <c r="H69" s="6">
        <f>(1-I61-J61)/J61</f>
        <v>26.009554140127388</v>
      </c>
      <c r="I69" s="6">
        <f>C69*H69+E69*G69+D69*F69-E69*F69-D69*H69-C69*G69</f>
        <v>53.880463428127491</v>
      </c>
      <c r="J69" s="6">
        <f>H69*F66+E69*G69*G66+H66*D69-E69*H66-D69*H69*G66-G69*F66</f>
        <v>155.54468988058306</v>
      </c>
      <c r="K69" s="6">
        <f>C69*H69*G66+F69*F66+E69*H66-E69*F69*G66-F66*H69-C69*H66</f>
        <v>353.16229363189171</v>
      </c>
      <c r="L69" s="7">
        <f>C69*H66+G69*F66+D69*F69*G66-F69*F66-D69*H66-C69*G69*G66</f>
        <v>19.503135244927414</v>
      </c>
      <c r="M69" s="7">
        <f>J69/I69</f>
        <v>2.8868476621042438</v>
      </c>
      <c r="N69" s="7">
        <f>K69/I69</f>
        <v>6.5545518943611869</v>
      </c>
      <c r="O69" s="7">
        <f>L69/I69</f>
        <v>0.36197044353456864</v>
      </c>
      <c r="Z69" s="112">
        <f>AD69+RBTC!$K$120</f>
        <v>0.32127707179259707</v>
      </c>
      <c r="AA69" s="112">
        <f>AE69+RBTC!$L$120</f>
        <v>0.327981937895996</v>
      </c>
      <c r="AD69" s="51">
        <v>0.3168432518516765</v>
      </c>
      <c r="AE69" s="51">
        <v>0.33355267509518555</v>
      </c>
    </row>
    <row r="70" spans="2:31" ht="16.5" customHeight="1">
      <c r="Z70" s="112">
        <f>AD70+RBTC!$K$120</f>
        <v>0.32126210348085388</v>
      </c>
      <c r="AA70" s="112">
        <f>AE70+RBTC!$L$120</f>
        <v>0.32804505940113737</v>
      </c>
      <c r="AD70" s="51">
        <v>0.31682828353993331</v>
      </c>
      <c r="AE70" s="51">
        <v>0.33361579660032692</v>
      </c>
    </row>
    <row r="71" spans="2:31" ht="16.5" customHeight="1">
      <c r="Z71" s="112">
        <f>AD71+RBTC!$K$120</f>
        <v>0.32124587765395279</v>
      </c>
      <c r="AA71" s="112">
        <f>AE71+RBTC!$L$120</f>
        <v>0.32810677488992007</v>
      </c>
      <c r="AD71" s="51">
        <v>0.31681205771303222</v>
      </c>
      <c r="AE71" s="51">
        <v>0.33367751208910962</v>
      </c>
    </row>
    <row r="72" spans="2:31" ht="16.5" customHeight="1">
      <c r="B72" s="254" t="s">
        <v>283</v>
      </c>
      <c r="C72" s="30" t="s">
        <v>50</v>
      </c>
      <c r="D72" s="21" t="s">
        <v>51</v>
      </c>
      <c r="E72" s="21" t="s">
        <v>52</v>
      </c>
      <c r="N72" s="329" t="s">
        <v>180</v>
      </c>
      <c r="O72" s="329"/>
      <c r="Z72" s="112">
        <f>AD72+RBTC!$K$120</f>
        <v>0.32122839925443791</v>
      </c>
      <c r="AA72" s="112">
        <f>AE72+RBTC!$L$120</f>
        <v>0.32816706556320835</v>
      </c>
      <c r="AD72" s="51">
        <v>0.31679457931351734</v>
      </c>
      <c r="AE72" s="51">
        <v>0.33373780276239789</v>
      </c>
    </row>
    <row r="73" spans="2:31" ht="16.5" customHeight="1">
      <c r="B73" s="254"/>
      <c r="C73" s="5">
        <v>256</v>
      </c>
      <c r="D73" s="1">
        <v>256</v>
      </c>
      <c r="E73" s="1">
        <v>256</v>
      </c>
      <c r="N73" s="107" t="s">
        <v>4</v>
      </c>
      <c r="O73" s="107" t="s">
        <v>5</v>
      </c>
      <c r="Z73" s="112">
        <f>AD73+RBTC!$K$120</f>
        <v>0.32120967360639913</v>
      </c>
      <c r="AA73" s="112">
        <f>AE73+RBTC!$L$120</f>
        <v>0.32822591305587906</v>
      </c>
      <c r="AD73" s="51">
        <v>0.31677585366547856</v>
      </c>
      <c r="AE73" s="51">
        <v>0.33379665025506861</v>
      </c>
    </row>
    <row r="74" spans="2:31" ht="16.5" customHeight="1">
      <c r="B74" s="5"/>
      <c r="C74" s="50" t="s">
        <v>73</v>
      </c>
      <c r="D74" s="61" t="s">
        <v>74</v>
      </c>
      <c r="E74" s="21" t="s">
        <v>75</v>
      </c>
      <c r="N74" s="1">
        <v>0.3145</v>
      </c>
      <c r="O74" s="1">
        <v>0.3352</v>
      </c>
      <c r="Z74" s="112">
        <f>AD74+RBTC!$K$120</f>
        <v>0.32118970641385008</v>
      </c>
      <c r="AA74" s="112">
        <f>AE74+RBTC!$L$120</f>
        <v>0.32828329944241585</v>
      </c>
      <c r="AD74" s="51">
        <v>0.31675588647292952</v>
      </c>
      <c r="AE74" s="51">
        <v>0.3338540366416054</v>
      </c>
    </row>
    <row r="75" spans="2:31" ht="16.5" customHeight="1">
      <c r="B75" s="5" t="s">
        <v>126</v>
      </c>
      <c r="C75" s="53">
        <f>ROUND(M69/E61*C73,0)</f>
        <v>287</v>
      </c>
      <c r="D75" s="53">
        <f>ROUND(N69/H61*D73,0)</f>
        <v>486</v>
      </c>
      <c r="E75" s="53">
        <f>ROUND(O69/K61*E73,0)</f>
        <v>390</v>
      </c>
      <c r="Z75" s="112">
        <f>AD75+RBTC!$K$120</f>
        <v>0.32116850375899114</v>
      </c>
      <c r="AA75" s="112">
        <f>AE75+RBTC!$L$120</f>
        <v>0.32833920724236959</v>
      </c>
      <c r="AD75" s="51">
        <v>0.31673468381807057</v>
      </c>
      <c r="AE75" s="51">
        <v>0.33390994444155914</v>
      </c>
    </row>
    <row r="76" spans="2:31" ht="16.5" customHeight="1">
      <c r="B76" s="5" t="s">
        <v>127</v>
      </c>
      <c r="C76" s="23" t="str">
        <f>DEC2HEX(C75)</f>
        <v>11F</v>
      </c>
      <c r="D76" s="23" t="str">
        <f>DEC2HEX(D75)</f>
        <v>1E6</v>
      </c>
      <c r="E76" s="23" t="str">
        <f>DEC2HEX(E75)</f>
        <v>186</v>
      </c>
      <c r="Z76" s="112">
        <f>AD76+RBTC!$K$120</f>
        <v>0.32114607210035639</v>
      </c>
      <c r="AA76" s="112">
        <f>AE76+RBTC!$L$120</f>
        <v>0.32839361942568268</v>
      </c>
      <c r="AD76" s="51">
        <v>0.31671225215943583</v>
      </c>
      <c r="AE76" s="51">
        <v>0.33396435662487223</v>
      </c>
    </row>
    <row r="77" spans="2:31" ht="16.5" customHeight="1">
      <c r="B77" s="5" t="s">
        <v>118</v>
      </c>
      <c r="C77" s="55">
        <f>C75/256/3</f>
        <v>0.37369791666666669</v>
      </c>
      <c r="D77" s="55">
        <f>D75/256/3</f>
        <v>0.6328125</v>
      </c>
      <c r="E77" s="55">
        <f>E75/256/3</f>
        <v>0.5078125</v>
      </c>
      <c r="Z77" s="112">
        <f>AD77+RBTC!$K$120</f>
        <v>0.32112241827084625</v>
      </c>
      <c r="AA77" s="112">
        <f>AE77+RBTC!$L$120</f>
        <v>0.328446519417877</v>
      </c>
      <c r="AD77" s="51">
        <v>0.31668859832992569</v>
      </c>
      <c r="AE77" s="51">
        <v>0.33401725661706655</v>
      </c>
    </row>
    <row r="78" spans="2:31" ht="16.5" customHeight="1">
      <c r="Z78" s="112">
        <f>AD78+RBTC!$K$120</f>
        <v>0.32109754947564645</v>
      </c>
      <c r="AA78" s="112">
        <f>AE78+RBTC!$L$120</f>
        <v>0.32849789110510258</v>
      </c>
      <c r="AD78" s="51">
        <v>0.31666372953472588</v>
      </c>
      <c r="AE78" s="51">
        <v>0.33406862830429213</v>
      </c>
    </row>
    <row r="79" spans="2:31" ht="16.5" customHeight="1">
      <c r="Z79" s="112">
        <f>AD79+RBTC!$K$120</f>
        <v>0.32107147329003288</v>
      </c>
      <c r="AA79" s="112">
        <f>AE79+RBTC!$L$120</f>
        <v>0.32854771883904571</v>
      </c>
      <c r="AD79" s="51">
        <v>0.31663765334911231</v>
      </c>
      <c r="AE79" s="51">
        <v>0.33411845603823526</v>
      </c>
    </row>
    <row r="80" spans="2:31" ht="16.5" customHeight="1">
      <c r="B80" s="388" t="s">
        <v>220</v>
      </c>
      <c r="C80" s="389"/>
      <c r="D80" s="389"/>
      <c r="E80" s="389"/>
      <c r="F80" s="389"/>
      <c r="G80" s="389"/>
      <c r="H80" s="389"/>
      <c r="I80" s="389"/>
      <c r="J80" s="389"/>
      <c r="K80" s="390"/>
      <c r="Z80" s="112">
        <f>AD80+RBTC!$K$120</f>
        <v>0.32104419765706421</v>
      </c>
      <c r="AA80" s="112">
        <f>AE80+RBTC!$L$120</f>
        <v>0.32859598744169599</v>
      </c>
      <c r="AD80" s="51">
        <v>0.31661037771614364</v>
      </c>
      <c r="AE80" s="51">
        <v>0.33416672464088554</v>
      </c>
    </row>
    <row r="81" spans="2:31" ht="16.5" customHeight="1">
      <c r="B81" s="244" t="s">
        <v>219</v>
      </c>
      <c r="C81" s="266" t="s">
        <v>0</v>
      </c>
      <c r="D81" s="266"/>
      <c r="E81" s="266"/>
      <c r="F81" s="267" t="s">
        <v>1</v>
      </c>
      <c r="G81" s="267"/>
      <c r="H81" s="267"/>
      <c r="I81" s="254" t="s">
        <v>2</v>
      </c>
      <c r="J81" s="254"/>
      <c r="K81" s="254"/>
      <c r="Z81" s="112">
        <f>AD81+RBTC!$K$120</f>
        <v>0.32101573088516255</v>
      </c>
      <c r="AA81" s="112">
        <f>AE81+RBTC!$L$120</f>
        <v>0.32864268220996951</v>
      </c>
      <c r="AD81" s="51">
        <v>0.31658191094424198</v>
      </c>
      <c r="AE81" s="51">
        <v>0.33421341940915905</v>
      </c>
    </row>
    <row r="82" spans="2:31" ht="16.5" customHeight="1">
      <c r="B82" s="244"/>
      <c r="C82" s="3" t="s">
        <v>4</v>
      </c>
      <c r="D82" s="3" t="s">
        <v>5</v>
      </c>
      <c r="E82" s="3" t="s">
        <v>6</v>
      </c>
      <c r="F82" s="4" t="s">
        <v>4</v>
      </c>
      <c r="G82" s="4" t="s">
        <v>5</v>
      </c>
      <c r="H82" s="4" t="s">
        <v>6</v>
      </c>
      <c r="I82" s="2" t="s">
        <v>4</v>
      </c>
      <c r="J82" s="2" t="s">
        <v>5</v>
      </c>
      <c r="K82" s="2" t="s">
        <v>6</v>
      </c>
      <c r="Z82" s="112">
        <f>AD82+RBTC!$K$120</f>
        <v>0.32098608164558234</v>
      </c>
      <c r="AA82" s="112">
        <f>AE82+RBTC!$L$120</f>
        <v>0.32868778892018746</v>
      </c>
      <c r="AD82" s="51">
        <v>0.31655226170466177</v>
      </c>
      <c r="AE82" s="51">
        <v>0.33425852611937701</v>
      </c>
    </row>
    <row r="83" spans="2:31" ht="16.5" customHeight="1">
      <c r="B83" s="5">
        <f>客戶RB_TC!B51</f>
        <v>25</v>
      </c>
      <c r="C83" s="5">
        <f>客戶RB_TC!C51</f>
        <v>0.6895</v>
      </c>
      <c r="D83" s="5">
        <f>客戶RB_TC!D51</f>
        <v>0.30630000000000002</v>
      </c>
      <c r="E83" s="5">
        <f>客戶RB_TC!E51</f>
        <v>2.8675799999999998</v>
      </c>
      <c r="F83" s="5">
        <f>客戶RB_TC!F51</f>
        <v>0.14369999999999999</v>
      </c>
      <c r="G83" s="5">
        <f>客戶RB_TC!G51</f>
        <v>0.7097</v>
      </c>
      <c r="H83" s="5">
        <f>客戶RB_TC!H51</f>
        <v>6.4769500000000004</v>
      </c>
      <c r="I83" s="5">
        <f>客戶RB_TC!I51</f>
        <v>0.1515</v>
      </c>
      <c r="J83" s="5">
        <f>客戶RB_TC!J51</f>
        <v>3.0599999999999999E-2</v>
      </c>
      <c r="K83" s="5">
        <f>客戶RB_TC!K51</f>
        <v>0.35162100000000002</v>
      </c>
      <c r="Z83" s="112">
        <f>AD83+RBTC!$K$120</f>
        <v>0.32095525896976923</v>
      </c>
      <c r="AA83" s="112">
        <f>AE83+RBTC!$L$120</f>
        <v>0.32873129383240896</v>
      </c>
      <c r="AD83" s="51">
        <v>0.31652143902884866</v>
      </c>
      <c r="AE83" s="51">
        <v>0.3343020310315985</v>
      </c>
    </row>
    <row r="84" spans="2:31" ht="16.5" customHeight="1">
      <c r="B84" s="5">
        <f>客戶RB_TC!B55</f>
        <v>37</v>
      </c>
      <c r="C84" s="5">
        <f>客戶RB_TC!C55</f>
        <v>0.69210000000000005</v>
      </c>
      <c r="D84" s="5">
        <f>客戶RB_TC!D55</f>
        <v>0.3044</v>
      </c>
      <c r="E84" s="5">
        <f>客戶RB_TC!E55</f>
        <v>2.6266699999999998</v>
      </c>
      <c r="F84" s="5">
        <f>客戶RB_TC!F55</f>
        <v>0.14610000000000001</v>
      </c>
      <c r="G84" s="5">
        <f>客戶RB_TC!G55</f>
        <v>0.71109999999999995</v>
      </c>
      <c r="H84" s="5">
        <f>客戶RB_TC!H55</f>
        <v>6.3897399999999998</v>
      </c>
      <c r="I84" s="5">
        <f>客戶RB_TC!I55</f>
        <v>0.1507</v>
      </c>
      <c r="J84" s="5">
        <f>客戶RB_TC!J55</f>
        <v>3.1300000000000001E-2</v>
      </c>
      <c r="K84" s="5">
        <f>客戶RB_TC!K55</f>
        <v>0.35351300000000002</v>
      </c>
      <c r="Z84" s="112">
        <f>AD84+RBTC!$K$120</f>
        <v>0.32092327224660877</v>
      </c>
      <c r="AA84" s="112">
        <f>AE84+RBTC!$L$120</f>
        <v>0.32877318369461633</v>
      </c>
      <c r="AD84" s="51">
        <v>0.3164894523056882</v>
      </c>
      <c r="AE84" s="51">
        <v>0.33434392089380588</v>
      </c>
    </row>
    <row r="85" spans="2:31" ht="16.5" customHeight="1">
      <c r="E85" s="204">
        <f>1-E84/E83</f>
        <v>8.4011605604725981E-2</v>
      </c>
      <c r="H85" s="204">
        <f>1-H84/H83</f>
        <v>1.346467087132075E-2</v>
      </c>
      <c r="K85" s="204">
        <f>1-K84/K83</f>
        <v>-5.3807935248464389E-3</v>
      </c>
      <c r="Z85" s="112">
        <f>AD85+RBTC!$K$120</f>
        <v>0.32089013121956683</v>
      </c>
      <c r="AA85" s="112">
        <f>AE85+RBTC!$L$120</f>
        <v>0.3288134457467517</v>
      </c>
      <c r="AD85" s="51">
        <v>0.31645631127864626</v>
      </c>
      <c r="AE85" s="51">
        <v>0.33438418294594124</v>
      </c>
    </row>
    <row r="86" spans="2:31" ht="16.5" customHeight="1">
      <c r="Z86" s="112">
        <f>AD86+RBTC!$K$120</f>
        <v>0.32085584598372113</v>
      </c>
      <c r="AA86" s="112">
        <f>AE86+RBTC!$L$120</f>
        <v>0.32885206772460396</v>
      </c>
      <c r="AD86" s="51">
        <v>0.31642202604280056</v>
      </c>
      <c r="AE86" s="51">
        <v>0.3344228049237935</v>
      </c>
    </row>
    <row r="87" spans="2:31" ht="17.25" customHeight="1">
      <c r="C87" s="387" t="s">
        <v>104</v>
      </c>
      <c r="D87" s="387"/>
      <c r="E87" s="387"/>
      <c r="F87" s="387"/>
      <c r="G87" s="387"/>
      <c r="H87" s="387"/>
      <c r="I87" s="387"/>
      <c r="J87" s="387"/>
      <c r="K87" s="387"/>
      <c r="Z87" s="112">
        <f>AD87+RBTC!$K$120</f>
        <v>0.32082042698268676</v>
      </c>
      <c r="AA87" s="112">
        <f>AE87+RBTC!$L$120</f>
        <v>0.32888903786354456</v>
      </c>
      <c r="AD87" s="51">
        <v>0.31638660704176619</v>
      </c>
      <c r="AE87" s="51">
        <v>0.33445977506273411</v>
      </c>
    </row>
    <row r="88" spans="2:31" ht="16.5" customHeight="1">
      <c r="C88" s="266" t="s">
        <v>50</v>
      </c>
      <c r="D88" s="266"/>
      <c r="E88" s="266"/>
      <c r="F88" s="267" t="s">
        <v>51</v>
      </c>
      <c r="G88" s="267"/>
      <c r="H88" s="267"/>
      <c r="I88" s="254" t="s">
        <v>52</v>
      </c>
      <c r="J88" s="254"/>
      <c r="K88" s="254"/>
      <c r="Z88" s="112">
        <f>AD88+RBTC!$K$120</f>
        <v>0.32078388500543448</v>
      </c>
      <c r="AA88" s="112">
        <f>AE88+RBTC!$L$120</f>
        <v>0.32892434490211103</v>
      </c>
      <c r="AD88" s="51">
        <v>0.31635006506451391</v>
      </c>
      <c r="AE88" s="51">
        <v>0.33449508210130058</v>
      </c>
    </row>
    <row r="89" spans="2:31" ht="33" customHeight="1">
      <c r="C89" s="3" t="s">
        <v>76</v>
      </c>
      <c r="D89" s="3" t="s">
        <v>77</v>
      </c>
      <c r="E89" s="3" t="s">
        <v>78</v>
      </c>
      <c r="F89" s="4" t="s">
        <v>76</v>
      </c>
      <c r="G89" s="4" t="s">
        <v>77</v>
      </c>
      <c r="H89" s="4" t="s">
        <v>78</v>
      </c>
      <c r="I89" s="2" t="s">
        <v>76</v>
      </c>
      <c r="J89" s="2" t="s">
        <v>77</v>
      </c>
      <c r="K89" s="2" t="s">
        <v>78</v>
      </c>
      <c r="Z89" s="112">
        <f>AD89+RBTC!$K$120</f>
        <v>0.3207462311830046</v>
      </c>
      <c r="AA89" s="112">
        <f>AE89+RBTC!$L$120</f>
        <v>0.32895797808543736</v>
      </c>
      <c r="AD89" s="51">
        <v>0.31631241124208404</v>
      </c>
      <c r="AE89" s="51">
        <v>0.33452871528462691</v>
      </c>
    </row>
    <row r="90" spans="2:31" ht="16.5" customHeight="1">
      <c r="B90" s="51" t="s">
        <v>281</v>
      </c>
      <c r="C90" s="1">
        <f t="shared" ref="C90:K90" si="3">(C84-C83)/($B$84-$B$83)</f>
        <v>2.1666666666667056E-4</v>
      </c>
      <c r="D90" s="1">
        <f t="shared" si="3"/>
        <v>-1.5833333333333441E-4</v>
      </c>
      <c r="E90" s="1">
        <f t="shared" si="3"/>
        <v>-2.0075833333333331E-2</v>
      </c>
      <c r="F90" s="1">
        <f t="shared" si="3"/>
        <v>2.0000000000000109E-4</v>
      </c>
      <c r="G90" s="1">
        <f t="shared" si="3"/>
        <v>1.1666666666666307E-4</v>
      </c>
      <c r="H90" s="1">
        <f t="shared" si="3"/>
        <v>-7.267500000000056E-3</v>
      </c>
      <c r="I90" s="1">
        <f t="shared" si="3"/>
        <v>-6.6666666666666263E-5</v>
      </c>
      <c r="J90" s="1">
        <f t="shared" si="3"/>
        <v>5.8333333333333556E-5</v>
      </c>
      <c r="K90" s="1">
        <f t="shared" si="3"/>
        <v>1.5766666666666707E-4</v>
      </c>
      <c r="Z90" s="112">
        <f>AD90+RBTC!$K$120</f>
        <v>0.32070747698511615</v>
      </c>
      <c r="AA90" s="112">
        <f>AE90+RBTC!$L$120</f>
        <v>0.32898992716853015</v>
      </c>
      <c r="AD90" s="51">
        <v>0.31627365704419558</v>
      </c>
      <c r="AE90" s="51">
        <v>0.3345606643677197</v>
      </c>
    </row>
    <row r="91" spans="2:31" ht="16.5" customHeight="1">
      <c r="B91" s="51" t="s">
        <v>282</v>
      </c>
      <c r="C91" s="1">
        <f t="shared" ref="C91:K91" si="4">C84-$B$84*C90</f>
        <v>0.68408333333333327</v>
      </c>
      <c r="D91" s="1">
        <f t="shared" si="4"/>
        <v>0.31025833333333336</v>
      </c>
      <c r="E91" s="1">
        <f t="shared" si="4"/>
        <v>3.369475833333333</v>
      </c>
      <c r="F91" s="1">
        <f t="shared" si="4"/>
        <v>0.13869999999999996</v>
      </c>
      <c r="G91" s="1">
        <f t="shared" si="4"/>
        <v>0.70678333333333343</v>
      </c>
      <c r="H91" s="1">
        <f t="shared" si="4"/>
        <v>6.658637500000002</v>
      </c>
      <c r="I91" s="1">
        <f t="shared" si="4"/>
        <v>0.15316666666666665</v>
      </c>
      <c r="J91" s="1">
        <f t="shared" si="4"/>
        <v>2.9141666666666659E-2</v>
      </c>
      <c r="K91" s="1">
        <f t="shared" si="4"/>
        <v>0.34767933333333334</v>
      </c>
      <c r="Z91" s="112">
        <f>AD91+RBTC!$K$120</f>
        <v>0.32066763421667321</v>
      </c>
      <c r="AA91" s="112">
        <f>AE91+RBTC!$L$120</f>
        <v>0.32902018241938918</v>
      </c>
      <c r="AD91" s="51">
        <v>0.31623381427575264</v>
      </c>
      <c r="AE91" s="51">
        <v>0.33459091961857873</v>
      </c>
    </row>
    <row r="92" spans="2:31" ht="16.5" customHeight="1">
      <c r="Z92" s="112">
        <f>AD92+RBTC!$K$120</f>
        <v>0.32062671501416912</v>
      </c>
      <c r="AA92" s="112">
        <f>AE92+RBTC!$L$120</f>
        <v>0.32904873462197193</v>
      </c>
      <c r="AD92" s="51">
        <v>0.31619289507324855</v>
      </c>
      <c r="AE92" s="51">
        <v>0.33461947182116147</v>
      </c>
    </row>
    <row r="93" spans="2:31" ht="16.5" customHeight="1">
      <c r="Z93" s="112">
        <f>AD93+RBTC!$K$120</f>
        <v>0.32058473184198921</v>
      </c>
      <c r="AA93" s="112">
        <f>AE93+RBTC!$L$120</f>
        <v>0.32907557507900093</v>
      </c>
      <c r="AD93" s="51">
        <v>0.31615091190106864</v>
      </c>
      <c r="AE93" s="51">
        <v>0.33464631227819047</v>
      </c>
    </row>
    <row r="94" spans="2:31" ht="16.5" customHeight="1">
      <c r="B94" s="387" t="s">
        <v>114</v>
      </c>
      <c r="C94" s="387"/>
      <c r="D94" s="387"/>
      <c r="E94" s="387"/>
      <c r="F94" s="387"/>
      <c r="G94" s="387"/>
      <c r="H94" s="387"/>
      <c r="I94" s="387"/>
      <c r="J94" s="387"/>
      <c r="K94" s="387"/>
      <c r="Z94" s="112">
        <f>AD94+RBTC!$K$120</f>
        <v>0.32054169748861455</v>
      </c>
      <c r="AA94" s="112">
        <f>AE94+RBTC!$L$120</f>
        <v>0.32910069561461291</v>
      </c>
      <c r="AD94" s="51">
        <v>0.31610787754769398</v>
      </c>
      <c r="AE94" s="51">
        <v>0.33467143281380246</v>
      </c>
    </row>
    <row r="95" spans="2:31" ht="16.5" customHeight="1">
      <c r="B95" s="339" t="s">
        <v>48</v>
      </c>
      <c r="C95" s="266" t="s">
        <v>0</v>
      </c>
      <c r="D95" s="266"/>
      <c r="E95" s="266"/>
      <c r="F95" s="267" t="s">
        <v>1</v>
      </c>
      <c r="G95" s="267"/>
      <c r="H95" s="267"/>
      <c r="I95" s="254" t="s">
        <v>2</v>
      </c>
      <c r="J95" s="254"/>
      <c r="K95" s="254"/>
      <c r="Z95" s="112">
        <f>AD95+RBTC!$K$120</f>
        <v>0.320497625062726</v>
      </c>
      <c r="AA95" s="112">
        <f>AE95+RBTC!$L$120</f>
        <v>0.32912408857684938</v>
      </c>
      <c r="AD95" s="51">
        <v>0.31606380512180543</v>
      </c>
      <c r="AE95" s="51">
        <v>0.33469482577603893</v>
      </c>
    </row>
    <row r="96" spans="2:31" ht="16.5" customHeight="1">
      <c r="B96" s="339"/>
      <c r="C96" s="3" t="s">
        <v>4</v>
      </c>
      <c r="D96" s="3" t="s">
        <v>5</v>
      </c>
      <c r="E96" s="3" t="s">
        <v>6</v>
      </c>
      <c r="F96" s="4" t="s">
        <v>4</v>
      </c>
      <c r="G96" s="4" t="s">
        <v>5</v>
      </c>
      <c r="H96" s="4" t="s">
        <v>6</v>
      </c>
      <c r="I96" s="2" t="s">
        <v>4</v>
      </c>
      <c r="J96" s="2" t="s">
        <v>5</v>
      </c>
      <c r="K96" s="2" t="s">
        <v>6</v>
      </c>
      <c r="Z96" s="112">
        <f>AD96+RBTC!$K$120</f>
        <v>0.32045252798921148</v>
      </c>
      <c r="AA96" s="112">
        <f>AE96+RBTC!$L$120</f>
        <v>0.32914574683998749</v>
      </c>
      <c r="AD96" s="51">
        <v>0.31601870804829091</v>
      </c>
      <c r="AE96" s="51">
        <v>0.33471648403917703</v>
      </c>
    </row>
    <row r="97" spans="2:31" ht="16.5" customHeight="1">
      <c r="B97" s="1">
        <f>ROUNDUP(N97,0)</f>
        <v>-10</v>
      </c>
      <c r="C97" s="1">
        <f>RBTC!$C$90*B97+RBTC!$C$91</f>
        <v>0.6819166666666665</v>
      </c>
      <c r="D97" s="1">
        <f>RBTC!$D$90*B97+RBTC!$D$91</f>
        <v>0.31184166666666668</v>
      </c>
      <c r="E97" s="1">
        <f>RBTC!$E$90*B97+RBTC!$E$91</f>
        <v>3.5702341666666664</v>
      </c>
      <c r="F97" s="1">
        <f>RBTC!$F$90*B97+RBTC!$F$91</f>
        <v>0.13669999999999996</v>
      </c>
      <c r="G97" s="1">
        <f>RGBTC!$E$87*B97+RGBTC!$E$88</f>
        <v>0.73254705882352955</v>
      </c>
      <c r="H97" s="1">
        <f>RBTC!$H$90*B97+RBTC!$H$91</f>
        <v>6.7313125000000023</v>
      </c>
      <c r="I97" s="1">
        <f>RBTC!$I$90*B97+RBTC!$I$91</f>
        <v>0.15383333333333332</v>
      </c>
      <c r="J97" s="1">
        <f>RBTC!$J$90*B97+RBTC!$J$91</f>
        <v>2.8558333333333324E-2</v>
      </c>
      <c r="K97" s="1">
        <f>RBTC!$K$90*B97+RBTC!$K$91</f>
        <v>0.34610266666666667</v>
      </c>
      <c r="N97" s="1">
        <v>-9.5</v>
      </c>
      <c r="O97" s="51">
        <f>N97+3</f>
        <v>-6.5</v>
      </c>
      <c r="Z97" s="112">
        <f>AD97+RBTC!$K$120</f>
        <v>0.32040642000507635</v>
      </c>
      <c r="AA97" s="112">
        <f>AE97+RBTC!$L$120</f>
        <v>0.32916566380671042</v>
      </c>
      <c r="AD97" s="51">
        <v>0.31597260006415578</v>
      </c>
      <c r="AE97" s="51">
        <v>0.33473640100589996</v>
      </c>
    </row>
    <row r="98" spans="2:31" ht="16.5" customHeight="1">
      <c r="B98" s="1">
        <f t="shared" ref="B98:B108" si="5">ROUNDUP(N98,0)</f>
        <v>2</v>
      </c>
      <c r="C98" s="1">
        <f>RBTC!$C$90*B98+RBTC!$C$91</f>
        <v>0.68451666666666666</v>
      </c>
      <c r="D98" s="1">
        <f>RBTC!$D$90*B98+RBTC!$D$91</f>
        <v>0.30994166666666667</v>
      </c>
      <c r="E98" s="1">
        <f>RBTC!$E$90*B98+RBTC!$E$91</f>
        <v>3.3293241666666664</v>
      </c>
      <c r="F98" s="1">
        <f>RBTC!$F$90*B98+RBTC!$F$91</f>
        <v>0.13909999999999997</v>
      </c>
      <c r="G98" s="1">
        <f>RGBTC!$E$87*B98+RGBTC!$E$88</f>
        <v>0.73078235294117666</v>
      </c>
      <c r="H98" s="1">
        <f>RBTC!$H$90*B98+RBTC!$H$91</f>
        <v>6.6441025000000016</v>
      </c>
      <c r="I98" s="1">
        <f>RBTC!$I$90*B98+RBTC!$I$91</f>
        <v>0.1530333333333333</v>
      </c>
      <c r="J98" s="1">
        <f>RBTC!$J$90*B98+RBTC!$J$91</f>
        <v>2.9258333333333327E-2</v>
      </c>
      <c r="K98" s="1">
        <f>RBTC!$K$90*B98+RBTC!$K$91</f>
        <v>0.34799466666666667</v>
      </c>
      <c r="N98" s="1">
        <v>2</v>
      </c>
      <c r="Z98" s="112">
        <f>AD98+RBTC!$K$120</f>
        <v>0.32035931515525928</v>
      </c>
      <c r="AA98" s="112">
        <f>AE98+RBTC!$L$120</f>
        <v>0.3291838334101172</v>
      </c>
      <c r="AD98" s="51">
        <v>0.31592549521433871</v>
      </c>
      <c r="AE98" s="51">
        <v>0.33475457060930675</v>
      </c>
    </row>
    <row r="99" spans="2:31" ht="17.25" customHeight="1">
      <c r="B99" s="1">
        <f t="shared" si="5"/>
        <v>14</v>
      </c>
      <c r="C99" s="1">
        <f>RBTC!$C$90*B99+RBTC!$C$91</f>
        <v>0.6871166666666666</v>
      </c>
      <c r="D99" s="1">
        <f>RBTC!$D$90*B99+RBTC!$D$91</f>
        <v>0.30804166666666666</v>
      </c>
      <c r="E99" s="1">
        <f>RBTC!$E$90*B99+RBTC!$E$91</f>
        <v>3.0884141666666665</v>
      </c>
      <c r="F99" s="1">
        <f>RBTC!$F$90*B99+RBTC!$F$91</f>
        <v>0.14149999999999999</v>
      </c>
      <c r="G99" s="1">
        <f>RGBTC!$E$87*B99+RGBTC!$E$88</f>
        <v>0.72901764705882366</v>
      </c>
      <c r="H99" s="1">
        <f>RBTC!$H$90*B99+RBTC!$H$91</f>
        <v>6.5568925000000009</v>
      </c>
      <c r="I99" s="1">
        <f>RBTC!$I$90*B99+RBTC!$I$91</f>
        <v>0.15223333333333333</v>
      </c>
      <c r="J99" s="1">
        <f>RBTC!$J$90*B99+RBTC!$J$91</f>
        <v>2.995833333333333E-2</v>
      </c>
      <c r="K99" s="1">
        <f>RBTC!$K$90*B99+RBTC!$K$91</f>
        <v>0.34988666666666668</v>
      </c>
      <c r="N99" s="1">
        <v>13.5</v>
      </c>
      <c r="Z99" s="112">
        <f>AD99+RBTC!$K$120</f>
        <v>0.32031122778835386</v>
      </c>
      <c r="AA99" s="112">
        <f>AE99+RBTC!$L$120</f>
        <v>0.32920025011557058</v>
      </c>
      <c r="AD99" s="51">
        <v>0.31587740784743329</v>
      </c>
      <c r="AE99" s="51">
        <v>0.33477098731476013</v>
      </c>
    </row>
    <row r="100" spans="2:31" ht="16.5" customHeight="1">
      <c r="B100" s="1">
        <f t="shared" si="5"/>
        <v>25</v>
      </c>
      <c r="C100" s="1">
        <f>RBTC!$C$90*B100+RBTC!$C$91</f>
        <v>0.6895</v>
      </c>
      <c r="D100" s="1">
        <f>RBTC!$D$90*B100+RBTC!$D$91</f>
        <v>0.30630000000000002</v>
      </c>
      <c r="E100" s="1">
        <f>RBTC!$E$90*B100+RBTC!$E$91</f>
        <v>2.8675799999999998</v>
      </c>
      <c r="F100" s="1">
        <f>RBTC!$F$90*B100+RBTC!$F$91</f>
        <v>0.14369999999999999</v>
      </c>
      <c r="G100" s="1">
        <f>RGBTC!$E$87*B100+RGBTC!$E$88</f>
        <v>0.72740000000000005</v>
      </c>
      <c r="H100" s="1">
        <f>RBTC!$H$90*B100+RBTC!$H$91</f>
        <v>6.4769500000000004</v>
      </c>
      <c r="I100" s="1">
        <f>RBTC!$I$90*B100+RBTC!$I$91</f>
        <v>0.1515</v>
      </c>
      <c r="J100" s="1">
        <f>RBTC!$J$90*B100+RBTC!$J$91</f>
        <v>3.0599999999999999E-2</v>
      </c>
      <c r="K100" s="1">
        <f>RBTC!$K$90*B100+RBTC!$K$91</f>
        <v>0.35162100000000002</v>
      </c>
      <c r="N100" s="1">
        <v>25</v>
      </c>
      <c r="Z100" s="112">
        <f>AD100+RBTC!$K$120</f>
        <v>0.32026217255223788</v>
      </c>
      <c r="AA100" s="112">
        <f>AE100+RBTC!$L$120</f>
        <v>0.32921490892238314</v>
      </c>
      <c r="AD100" s="51">
        <v>0.31582835261131731</v>
      </c>
      <c r="AE100" s="51">
        <v>0.33478564612157269</v>
      </c>
    </row>
    <row r="101" spans="2:31" ht="17.25" customHeight="1">
      <c r="B101" s="1">
        <f t="shared" si="5"/>
        <v>37</v>
      </c>
      <c r="C101" s="1">
        <f>RBTC!$C$90*B101+RBTC!$C$91</f>
        <v>0.69210000000000005</v>
      </c>
      <c r="D101" s="1">
        <f>RBTC!$D$90*B101+RBTC!$D$91</f>
        <v>0.3044</v>
      </c>
      <c r="E101" s="1">
        <f>RBTC!$E$90*B101+RBTC!$E$91</f>
        <v>2.6266699999999998</v>
      </c>
      <c r="F101" s="1">
        <f>RBTC!$F$90*B101+RBTC!$F$91</f>
        <v>0.14610000000000001</v>
      </c>
      <c r="G101" s="1">
        <f>RGBTC!$E$87*B101+RGBTC!$E$88</f>
        <v>0.72563529411764705</v>
      </c>
      <c r="H101" s="1">
        <f>RBTC!$H$90*B101+RBTC!$H$91</f>
        <v>6.3897399999999998</v>
      </c>
      <c r="I101" s="1">
        <f>RBTC!$I$90*B101+RBTC!$I$91</f>
        <v>0.1507</v>
      </c>
      <c r="J101" s="1">
        <f>RBTC!$J$90*B101+RBTC!$J$91</f>
        <v>3.1300000000000001E-2</v>
      </c>
      <c r="K101" s="1">
        <f>RBTC!$K$90*B101+RBTC!$K$91</f>
        <v>0.35351300000000002</v>
      </c>
      <c r="N101" s="1">
        <v>36.5</v>
      </c>
      <c r="Z101" s="112">
        <f>AD101+RBTC!$K$120</f>
        <v>0.32021216438961148</v>
      </c>
      <c r="AA101" s="112">
        <f>AE101+RBTC!$L$120</f>
        <v>0.32922780536534019</v>
      </c>
      <c r="AD101" s="51">
        <v>0.31577834444869091</v>
      </c>
      <c r="AE101" s="51">
        <v>0.33479854256452973</v>
      </c>
    </row>
    <row r="102" spans="2:31">
      <c r="B102" s="1">
        <f t="shared" si="5"/>
        <v>48</v>
      </c>
      <c r="C102" s="1">
        <f>RBTC!$C$90*B102+RBTC!$C$91</f>
        <v>0.69448333333333345</v>
      </c>
      <c r="D102" s="1">
        <f>RBTC!$D$90*B102+RBTC!$D$91</f>
        <v>0.30265833333333331</v>
      </c>
      <c r="E102" s="1">
        <f>RBTC!$E$90*B102+RBTC!$E$91</f>
        <v>2.4058358333333332</v>
      </c>
      <c r="F102" s="1">
        <f>RBTC!$F$90*B102+RBTC!$F$91</f>
        <v>0.14830000000000002</v>
      </c>
      <c r="G102" s="1">
        <f>RGBTC!$E$87*B102+RGBTC!$E$88</f>
        <v>0.72401764705882354</v>
      </c>
      <c r="H102" s="1">
        <f>RBTC!$H$90*B102+RBTC!$H$91</f>
        <v>6.3097974999999993</v>
      </c>
      <c r="I102" s="1">
        <f>RBTC!$I$90*B102+RBTC!$I$91</f>
        <v>0.14996666666666666</v>
      </c>
      <c r="J102" s="1">
        <f>RBTC!$J$90*B102+RBTC!$J$91</f>
        <v>3.1941666666666674E-2</v>
      </c>
      <c r="K102" s="1">
        <f>RBTC!$K$90*B102+RBTC!$K$91</f>
        <v>0.35524733333333336</v>
      </c>
      <c r="N102" s="1">
        <v>48</v>
      </c>
      <c r="Z102" s="112">
        <f>AD102+RBTC!$K$120</f>
        <v>0.32016121853344537</v>
      </c>
      <c r="AA102" s="112">
        <f>AE102+RBTC!$L$120</f>
        <v>0.32923893551606037</v>
      </c>
      <c r="AD102" s="51">
        <v>0.3157273985925248</v>
      </c>
      <c r="AE102" s="51">
        <v>0.33480967271524992</v>
      </c>
    </row>
    <row r="103" spans="2:31">
      <c r="B103" s="1">
        <f t="shared" si="5"/>
        <v>60</v>
      </c>
      <c r="C103" s="1">
        <f>RBTC!$C$90*B103+RBTC!$C$91</f>
        <v>0.6970833333333335</v>
      </c>
      <c r="D103" s="1">
        <f>RBTC!$D$90*B103+RBTC!$D$91</f>
        <v>0.30075833333333329</v>
      </c>
      <c r="E103" s="1">
        <f>RBTC!$E$90*B103+RBTC!$E$91</f>
        <v>2.1649258333333332</v>
      </c>
      <c r="F103" s="1">
        <f>RBTC!$F$90*B103+RBTC!$F$91</f>
        <v>0.15070000000000003</v>
      </c>
      <c r="G103" s="1">
        <f>RGBTC!$E$87*B103+RGBTC!$E$88</f>
        <v>0.72225294117647054</v>
      </c>
      <c r="H103" s="1">
        <f>RBTC!$H$90*B103+RBTC!$H$91</f>
        <v>6.2225874999999986</v>
      </c>
      <c r="I103" s="1">
        <f>RBTC!$I$90*B103+RBTC!$I$91</f>
        <v>0.14916666666666667</v>
      </c>
      <c r="J103" s="1">
        <f>RBTC!$J$90*B103+RBTC!$J$91</f>
        <v>3.2641666666666673E-2</v>
      </c>
      <c r="K103" s="1">
        <f>RBTC!$K$90*B103+RBTC!$K$91</f>
        <v>0.35713933333333336</v>
      </c>
      <c r="N103" s="1">
        <v>59.5</v>
      </c>
      <c r="Z103" s="112">
        <f>AD103+RBTC!$K$120</f>
        <v>0.32010935050234096</v>
      </c>
      <c r="AA103" s="112">
        <f>AE103+RBTC!$L$120</f>
        <v>0.32924829598419192</v>
      </c>
      <c r="AD103" s="51">
        <v>0.31567553056142039</v>
      </c>
      <c r="AE103" s="51">
        <v>0.33481903318338146</v>
      </c>
    </row>
    <row r="104" spans="2:31">
      <c r="B104" s="1">
        <f t="shared" si="5"/>
        <v>71</v>
      </c>
      <c r="C104" s="1">
        <f>RBTC!$C$90*B104+RBTC!$C$91</f>
        <v>0.6994666666666669</v>
      </c>
      <c r="D104" s="1">
        <f>RBTC!$D$90*B104+RBTC!$D$91</f>
        <v>0.2990166666666666</v>
      </c>
      <c r="E104" s="1">
        <f>RBTC!$E$90*B104+RBTC!$E$91</f>
        <v>1.9440916666666666</v>
      </c>
      <c r="F104" s="1">
        <f>RBTC!$F$90*B104+RBTC!$F$91</f>
        <v>0.15290000000000004</v>
      </c>
      <c r="G104" s="1">
        <f>RGBTC!$E$87*B104+RGBTC!$E$88</f>
        <v>0.72063529411764693</v>
      </c>
      <c r="H104" s="1">
        <f>RBTC!$H$90*B104+RBTC!$H$91</f>
        <v>6.1426449999999981</v>
      </c>
      <c r="I104" s="1">
        <f>RBTC!$I$90*B104+RBTC!$I$91</f>
        <v>0.14843333333333333</v>
      </c>
      <c r="J104" s="1">
        <f>RBTC!$J$90*B104+RBTC!$J$91</f>
        <v>3.3283333333333345E-2</v>
      </c>
      <c r="K104" s="1">
        <f>RBTC!$K$90*B104+RBTC!$K$91</f>
        <v>0.3588736666666667</v>
      </c>
      <c r="N104" s="1">
        <v>71</v>
      </c>
      <c r="Z104" s="112">
        <f>AD104+RBTC!$K$120</f>
        <v>0.3200565760958029</v>
      </c>
      <c r="AA104" s="112">
        <f>AE104+RBTC!$L$120</f>
        <v>0.32925588391844557</v>
      </c>
      <c r="AD104" s="51">
        <v>0.31562275615488233</v>
      </c>
      <c r="AE104" s="51">
        <v>0.33482662111763511</v>
      </c>
    </row>
    <row r="105" spans="2:31" ht="17.25" customHeight="1">
      <c r="B105" s="1">
        <f t="shared" si="5"/>
        <v>83</v>
      </c>
      <c r="C105" s="1">
        <f>RBTC!$C$90*B105+RBTC!$C$91</f>
        <v>0.70206666666666695</v>
      </c>
      <c r="D105" s="1">
        <f>RBTC!$D$90*B105+RBTC!$D$91</f>
        <v>0.29711666666666658</v>
      </c>
      <c r="E105" s="1">
        <f>RBTC!$E$90*B105+RBTC!$E$91</f>
        <v>1.7031816666666666</v>
      </c>
      <c r="F105" s="1">
        <f>RBTC!$F$90*B105+RBTC!$F$91</f>
        <v>0.15530000000000005</v>
      </c>
      <c r="G105" s="1">
        <f>RGBTC!$E$87*B105+RGBTC!$E$88</f>
        <v>0.71887058823529393</v>
      </c>
      <c r="H105" s="1">
        <f>RBTC!$H$90*B105+RBTC!$H$91</f>
        <v>6.0554349999999975</v>
      </c>
      <c r="I105" s="1">
        <f>RBTC!$I$90*B105+RBTC!$I$91</f>
        <v>0.14763333333333334</v>
      </c>
      <c r="J105" s="1">
        <f>RBTC!$J$90*B105+RBTC!$J$91</f>
        <v>3.3983333333333345E-2</v>
      </c>
      <c r="K105" s="1">
        <f>RBTC!$K$90*B105+RBTC!$K$91</f>
        <v>0.36076566666666671</v>
      </c>
      <c r="N105" s="1">
        <v>82.5</v>
      </c>
      <c r="Z105" s="112">
        <f>AD105+RBTC!$K$120</f>
        <v>0.32000291138942671</v>
      </c>
      <c r="AA105" s="112">
        <f>AE105+RBTC!$L$120</f>
        <v>0.32926169700746305</v>
      </c>
      <c r="AD105" s="51">
        <v>0.31556909144850614</v>
      </c>
      <c r="AE105" s="51">
        <v>0.3348324342066526</v>
      </c>
    </row>
    <row r="106" spans="2:31" ht="33" customHeight="1">
      <c r="B106" s="1">
        <f t="shared" si="5"/>
        <v>94</v>
      </c>
      <c r="C106" s="1">
        <f>RBTC!$C$90*B106+RBTC!$C$91</f>
        <v>0.70445000000000024</v>
      </c>
      <c r="D106" s="1">
        <f>RBTC!$D$90*B106+RBTC!$D$91</f>
        <v>0.29537499999999994</v>
      </c>
      <c r="E106" s="1">
        <f>RBTC!$E$90*B106+RBTC!$E$91</f>
        <v>1.4823474999999999</v>
      </c>
      <c r="F106" s="1">
        <f>RBTC!$F$90*B106+RBTC!$F$91</f>
        <v>0.15750000000000006</v>
      </c>
      <c r="G106" s="1">
        <f>RGBTC!$E$87*B106+RGBTC!$E$88</f>
        <v>0.71725294117647043</v>
      </c>
      <c r="H106" s="1">
        <f>RBTC!$H$90*B106+RBTC!$H$91</f>
        <v>5.975492499999997</v>
      </c>
      <c r="I106" s="1">
        <f>RBTC!$I$90*B106+RBTC!$I$91</f>
        <v>0.14690000000000003</v>
      </c>
      <c r="J106" s="1">
        <f>RBTC!$J$90*B106+RBTC!$J$91</f>
        <v>3.4625000000000017E-2</v>
      </c>
      <c r="K106" s="1">
        <f>RBTC!$K$90*B106+RBTC!$K$91</f>
        <v>0.36250000000000004</v>
      </c>
      <c r="N106" s="53">
        <v>94</v>
      </c>
      <c r="Z106" s="112">
        <f>AD106+RBTC!$K$120</f>
        <v>0.31994837273000176</v>
      </c>
      <c r="AA106" s="112">
        <f>AE106+RBTC!$L$120</f>
        <v>0.32926573348052113</v>
      </c>
      <c r="AD106" s="51">
        <v>0.31551455278908119</v>
      </c>
      <c r="AE106" s="51">
        <v>0.33483647067971067</v>
      </c>
    </row>
    <row r="107" spans="2:31" ht="16.5" customHeight="1">
      <c r="B107" s="1">
        <f t="shared" si="5"/>
        <v>106</v>
      </c>
      <c r="C107" s="1">
        <f>RBTC!$C$90*B107+RBTC!$C$91</f>
        <v>0.7070500000000004</v>
      </c>
      <c r="D107" s="1">
        <f>RBTC!$D$90*B107+RBTC!$D$91</f>
        <v>0.29347499999999993</v>
      </c>
      <c r="E107" s="1">
        <f>RBTC!$E$90*B107+RBTC!$E$91</f>
        <v>1.2414375</v>
      </c>
      <c r="F107" s="1">
        <f>RBTC!$F$90*B107+RBTC!$F$91</f>
        <v>0.15990000000000007</v>
      </c>
      <c r="G107" s="1">
        <f>RGBTC!$E$87*B107+RGBTC!$E$88</f>
        <v>0.71548823529411743</v>
      </c>
      <c r="H107" s="1">
        <f>RBTC!$H$90*B107+RBTC!$H$91</f>
        <v>5.8882824999999963</v>
      </c>
      <c r="I107" s="1">
        <f>RBTC!$I$90*B107+RBTC!$I$91</f>
        <v>0.14610000000000001</v>
      </c>
      <c r="J107" s="1">
        <f>RBTC!$J$90*B107+RBTC!$J$91</f>
        <v>3.5325000000000016E-2</v>
      </c>
      <c r="K107" s="1">
        <f>RBTC!$K$90*B107+RBTC!$K$91</f>
        <v>0.36439200000000005</v>
      </c>
      <c r="N107" s="53">
        <v>105.5</v>
      </c>
      <c r="Z107" s="112">
        <f>AD107+RBTC!$K$120</f>
        <v>0.31989297673053207</v>
      </c>
      <c r="AA107" s="112">
        <f>AE107+RBTC!$L$120</f>
        <v>0.32926799210807095</v>
      </c>
      <c r="AD107" s="51">
        <v>0.31545915678961151</v>
      </c>
      <c r="AE107" s="51">
        <v>0.3348387293072605</v>
      </c>
    </row>
    <row r="108" spans="2:31" ht="16.5" customHeight="1">
      <c r="B108" s="1">
        <f t="shared" si="5"/>
        <v>117</v>
      </c>
      <c r="C108" s="1">
        <f>RBTC!$C$90*B108+RBTC!$C$91</f>
        <v>0.70943333333333369</v>
      </c>
      <c r="D108" s="1">
        <f>RBTC!$D$90*B108+RBTC!$D$91</f>
        <v>0.29173333333333323</v>
      </c>
      <c r="E108" s="1">
        <f>RBTC!$E$90*B108+RBTC!$E$91</f>
        <v>1.0206033333333333</v>
      </c>
      <c r="F108" s="1">
        <f>RBTC!$F$90*B108+RBTC!$F$91</f>
        <v>0.16210000000000008</v>
      </c>
      <c r="G108" s="1">
        <f>RGBTC!$E$87*B108+RGBTC!$E$88</f>
        <v>0.71387058823529381</v>
      </c>
      <c r="H108" s="1">
        <f>RBTC!$H$90*B108+RBTC!$H$91</f>
        <v>5.8083399999999958</v>
      </c>
      <c r="I108" s="1">
        <f>RBTC!$I$90*B108+RBTC!$I$91</f>
        <v>0.1453666666666667</v>
      </c>
      <c r="J108" s="1">
        <f>RBTC!$J$90*B108+RBTC!$J$91</f>
        <v>3.5966666666666688E-2</v>
      </c>
      <c r="K108" s="1">
        <f>RBTC!$K$90*B108+RBTC!$K$91</f>
        <v>0.36612633333333339</v>
      </c>
      <c r="N108" s="53">
        <v>117</v>
      </c>
      <c r="Z108" s="112">
        <f>AD108+RBTC!$K$120</f>
        <v>0.31983674026517572</v>
      </c>
      <c r="AA108" s="112">
        <f>AE108+RBTC!$L$120</f>
        <v>0.32926847220211281</v>
      </c>
      <c r="AD108" s="51">
        <v>0.31540292032425515</v>
      </c>
      <c r="AE108" s="51">
        <v>0.33483920940130235</v>
      </c>
    </row>
    <row r="109" spans="2:31" ht="16.5" customHeight="1">
      <c r="Z109" s="112">
        <f>AD109+RBTC!$K$120</f>
        <v>0.31977968046410488</v>
      </c>
      <c r="AA109" s="112">
        <f>AE109+RBTC!$L$120</f>
        <v>0.32926717361640534</v>
      </c>
      <c r="AD109" s="51">
        <v>0.31534586052318431</v>
      </c>
      <c r="AE109" s="51">
        <v>0.33483791081559489</v>
      </c>
    </row>
    <row r="110" spans="2:31" ht="16.5" customHeight="1">
      <c r="Z110" s="112">
        <f>AD110+RBTC!$K$120</f>
        <v>0.31972181470828759</v>
      </c>
      <c r="AA110" s="112">
        <f>AE110+RBTC!$L$120</f>
        <v>0.32926409674651025</v>
      </c>
      <c r="AD110" s="51">
        <v>0.31528799476736702</v>
      </c>
      <c r="AE110" s="51">
        <v>0.33483483394569979</v>
      </c>
    </row>
    <row r="111" spans="2:31" ht="16.5" customHeight="1">
      <c r="Z111" s="112">
        <f>AD111+RBTC!$K$120</f>
        <v>0.3196631606241937</v>
      </c>
      <c r="AA111" s="112">
        <f>AE111+RBTC!$L$120</f>
        <v>0.32925924252967209</v>
      </c>
      <c r="AD111" s="51">
        <v>0.31522934068327313</v>
      </c>
      <c r="AE111" s="51">
        <v>0.33482997972886164</v>
      </c>
    </row>
    <row r="112" spans="2:31" ht="16.5" customHeight="1">
      <c r="B112" s="21" t="s">
        <v>3</v>
      </c>
      <c r="C112" s="3" t="s">
        <v>4</v>
      </c>
      <c r="D112" s="3" t="s">
        <v>5</v>
      </c>
      <c r="E112" s="3" t="s">
        <v>6</v>
      </c>
      <c r="F112" s="4" t="s">
        <v>4</v>
      </c>
      <c r="G112" s="4" t="s">
        <v>5</v>
      </c>
      <c r="H112" s="4" t="s">
        <v>6</v>
      </c>
      <c r="I112" s="2" t="s">
        <v>4</v>
      </c>
      <c r="J112" s="2" t="s">
        <v>5</v>
      </c>
      <c r="K112" s="2" t="s">
        <v>6</v>
      </c>
      <c r="L112" s="2" t="s">
        <v>280</v>
      </c>
      <c r="Z112" s="112">
        <f>AD112+RBTC!$K$120</f>
        <v>0.3196037360784254</v>
      </c>
      <c r="AA112" s="112">
        <f>AE112+RBTC!$L$120</f>
        <v>0.32925261244453219</v>
      </c>
      <c r="AD112" s="51">
        <v>0.31516991613750484</v>
      </c>
      <c r="AE112" s="51">
        <v>0.33482334964372173</v>
      </c>
    </row>
    <row r="113" spans="2:31" ht="18" customHeight="1">
      <c r="B113" s="1">
        <f>B83</f>
        <v>25</v>
      </c>
      <c r="C113" s="1">
        <f>C83</f>
        <v>0.6895</v>
      </c>
      <c r="D113" s="1">
        <f t="shared" ref="D113:K113" si="6">D83</f>
        <v>0.30630000000000002</v>
      </c>
      <c r="E113" s="1">
        <f t="shared" si="6"/>
        <v>2.8675799999999998</v>
      </c>
      <c r="F113" s="1">
        <f t="shared" si="6"/>
        <v>0.14369999999999999</v>
      </c>
      <c r="G113" s="1">
        <f t="shared" si="6"/>
        <v>0.7097</v>
      </c>
      <c r="H113" s="1">
        <f t="shared" si="6"/>
        <v>6.4769500000000004</v>
      </c>
      <c r="I113" s="1">
        <f t="shared" si="6"/>
        <v>0.1515</v>
      </c>
      <c r="J113" s="1">
        <f t="shared" si="6"/>
        <v>3.0599999999999999E-2</v>
      </c>
      <c r="K113" s="1">
        <f t="shared" si="6"/>
        <v>0.35162100000000002</v>
      </c>
      <c r="L113" s="1">
        <f>E113+H113+K113</f>
        <v>9.6961510000000004</v>
      </c>
      <c r="Z113" s="112">
        <f>AD113+RBTC!$K$120</f>
        <v>0.31954355917227506</v>
      </c>
      <c r="AA113" s="112">
        <f>AE113+RBTC!$L$120</f>
        <v>0.32924420851067876</v>
      </c>
      <c r="AD113" s="51">
        <v>0.31510973923135449</v>
      </c>
      <c r="AE113" s="51">
        <v>0.33481494570986831</v>
      </c>
    </row>
    <row r="114" spans="2:31" ht="16.5" customHeight="1">
      <c r="Z114" s="112">
        <f>AD114+RBTC!$K$120</f>
        <v>0.31948264823621109</v>
      </c>
      <c r="AA114" s="112">
        <f>AE114+RBTC!$L$120</f>
        <v>0.32923403328803147</v>
      </c>
      <c r="AD114" s="51">
        <v>0.31504882829529052</v>
      </c>
      <c r="AE114" s="51">
        <v>0.33480477048722102</v>
      </c>
    </row>
    <row r="115" spans="2:31" ht="16.5" customHeight="1">
      <c r="Z115" s="112">
        <f>AD115+RBTC!$K$120</f>
        <v>0.31942102182429483</v>
      </c>
      <c r="AA115" s="112">
        <f>AE115+RBTC!$L$120</f>
        <v>0.32922208987606166</v>
      </c>
      <c r="AD115" s="51">
        <v>0.31498720188337426</v>
      </c>
      <c r="AE115" s="51">
        <v>0.33479282707525121</v>
      </c>
    </row>
    <row r="116" spans="2:31" ht="16.5" customHeight="1">
      <c r="Z116" s="112">
        <f>AD116+RBTC!$K$120</f>
        <v>0.31935869870852829</v>
      </c>
      <c r="AA116" s="112">
        <f>AE116+RBTC!$L$120</f>
        <v>0.3292083819128484</v>
      </c>
      <c r="AD116" s="51">
        <v>0.31492487876760772</v>
      </c>
      <c r="AE116" s="51">
        <v>0.33477911911203795</v>
      </c>
    </row>
    <row r="117" spans="2:31" ht="16.5" customHeight="1">
      <c r="B117" s="46" t="s">
        <v>17</v>
      </c>
      <c r="C117" s="46" t="s">
        <v>18</v>
      </c>
      <c r="D117" s="46" t="s">
        <v>19</v>
      </c>
      <c r="E117" s="46" t="s">
        <v>20</v>
      </c>
      <c r="F117" s="46" t="s">
        <v>21</v>
      </c>
      <c r="G117" s="46" t="s">
        <v>22</v>
      </c>
      <c r="H117" s="46" t="s">
        <v>13</v>
      </c>
      <c r="I117" s="46" t="s">
        <v>14</v>
      </c>
      <c r="J117" s="46" t="s">
        <v>15</v>
      </c>
      <c r="K117" s="46" t="s">
        <v>10</v>
      </c>
      <c r="L117" s="46" t="s">
        <v>11</v>
      </c>
      <c r="Z117" s="112">
        <f>AD117+RBTC!$K$120</f>
        <v>0.31929569787313622</v>
      </c>
      <c r="AA117" s="112">
        <f>AE117+RBTC!$L$120</f>
        <v>0.32919291357397001</v>
      </c>
      <c r="AD117" s="51">
        <v>0.31486187793221565</v>
      </c>
      <c r="AE117" s="51">
        <v>0.33476365077315956</v>
      </c>
    </row>
    <row r="118" spans="2:31" ht="16.5" customHeight="1">
      <c r="B118" s="21" t="s">
        <v>30</v>
      </c>
      <c r="C118" s="21" t="s">
        <v>31</v>
      </c>
      <c r="D118" s="21" t="s">
        <v>32</v>
      </c>
      <c r="E118" s="21" t="s">
        <v>33</v>
      </c>
      <c r="F118" s="21" t="s">
        <v>34</v>
      </c>
      <c r="G118" s="21" t="s">
        <v>35</v>
      </c>
      <c r="H118" s="21"/>
      <c r="I118" s="21"/>
      <c r="J118" s="21"/>
      <c r="K118" s="21"/>
      <c r="L118" s="21"/>
      <c r="Z118" s="112">
        <f>AD118+RBTC!$K$120</f>
        <v>0.3192320385087834</v>
      </c>
      <c r="AA118" s="112">
        <f>AE118+RBTC!$L$120</f>
        <v>0.32917568957123239</v>
      </c>
      <c r="AD118" s="51">
        <v>0.31479821856786283</v>
      </c>
      <c r="AE118" s="51">
        <v>0.33474642677042193</v>
      </c>
    </row>
    <row r="119" spans="2:31" ht="16.5" customHeight="1">
      <c r="B119" s="1">
        <f>C113/D113</f>
        <v>2.2510610512569373</v>
      </c>
      <c r="C119" s="1">
        <f>F113/G113</f>
        <v>0.20247992109341975</v>
      </c>
      <c r="D119" s="1">
        <f>I113/J113</f>
        <v>4.9509803921568629</v>
      </c>
      <c r="E119" s="1">
        <f>(1-C113-D113)/D113</f>
        <v>1.3712047012732554E-2</v>
      </c>
      <c r="F119" s="1">
        <f>(1-F113-G113)/G113</f>
        <v>0.2065661547132592</v>
      </c>
      <c r="G119" s="1">
        <f>(1-I113-J113)/J113</f>
        <v>26.728758169934643</v>
      </c>
      <c r="H119" s="1">
        <f>E113*B119+H113*C119+K113*D119</f>
        <v>9.5074186507599805</v>
      </c>
      <c r="I119" s="1">
        <f>E113+H113+K113</f>
        <v>9.6961510000000004</v>
      </c>
      <c r="J119" s="1">
        <f>E113*E119+H113*F119+K113*G119</f>
        <v>10.775631724013405</v>
      </c>
      <c r="K119" s="192">
        <f>(H119/(H119+I119+J119))-V283</f>
        <v>0.31713381994092055</v>
      </c>
      <c r="L119" s="192">
        <f>I119/(H119+I119+J119)</f>
        <v>0.32342926280081047</v>
      </c>
      <c r="Z119" s="112">
        <f>AD119+RBTC!$K$120</f>
        <v>0.31916774000672893</v>
      </c>
      <c r="AA119" s="112">
        <f>AE119+RBTC!$L$120</f>
        <v>0.32915671515123357</v>
      </c>
      <c r="AD119" s="51">
        <v>0.31473392006580836</v>
      </c>
      <c r="AE119" s="51">
        <v>0.33472745235042312</v>
      </c>
    </row>
    <row r="120" spans="2:31" ht="16.5" customHeight="1">
      <c r="K120" s="205">
        <f>K119-C28</f>
        <v>4.4338199409205692E-3</v>
      </c>
      <c r="L120" s="206">
        <f>L119-D28</f>
        <v>-5.570737199189546E-3</v>
      </c>
      <c r="Z120" s="112">
        <f>AD120+RBTC!$K$120</f>
        <v>0.31910282195291934</v>
      </c>
      <c r="AA120" s="112">
        <f>AE120+RBTC!$L$120</f>
        <v>0.32913599609376576</v>
      </c>
      <c r="AD120" s="51">
        <v>0.31466900201199877</v>
      </c>
      <c r="AE120" s="51">
        <v>0.33470673329295531</v>
      </c>
    </row>
    <row r="121" spans="2:31" ht="16.5" customHeight="1">
      <c r="Z121" s="112">
        <f>AD121+RBTC!$K$120</f>
        <v>0.3190373041220228</v>
      </c>
      <c r="AA121" s="112">
        <f>AE121+RBTC!$L$120</f>
        <v>0.32911353871005455</v>
      </c>
      <c r="AD121" s="51">
        <v>0.31460348418110223</v>
      </c>
      <c r="AE121" s="51">
        <v>0.3346842759092441</v>
      </c>
    </row>
    <row r="122" spans="2:31" ht="16.5" customHeight="1">
      <c r="Z122" s="112">
        <f>AD122+RBTC!$K$120</f>
        <v>0.3189712064714052</v>
      </c>
      <c r="AA122" s="112">
        <f>AE122+RBTC!$L$120</f>
        <v>0.3290893498408366</v>
      </c>
      <c r="AD122" s="51">
        <v>0.31453738653048463</v>
      </c>
      <c r="AE122" s="51">
        <v>0.33466008704002614</v>
      </c>
    </row>
    <row r="123" spans="2:31" ht="16.5" customHeight="1">
      <c r="Z123" s="112">
        <f>AD123+RBTC!$K$120</f>
        <v>0.31890454913505129</v>
      </c>
      <c r="AA123" s="112">
        <f>AE123+RBTC!$L$120</f>
        <v>0.32906343685427575</v>
      </c>
      <c r="AD123" s="51">
        <v>0.31447072919413072</v>
      </c>
      <c r="AE123" s="51">
        <v>0.33463417405346529</v>
      </c>
    </row>
    <row r="124" spans="2:31" ht="16.5" customHeight="1">
      <c r="B124" s="387" t="s">
        <v>221</v>
      </c>
      <c r="C124" s="387"/>
      <c r="D124" s="387"/>
      <c r="E124" s="387"/>
      <c r="F124" s="387"/>
      <c r="G124" s="387"/>
      <c r="H124" s="387"/>
      <c r="I124" s="387"/>
      <c r="J124" s="387"/>
      <c r="K124" s="387"/>
      <c r="Z124" s="112">
        <f>AD124+RBTC!$K$120</f>
        <v>0.31883735241743139</v>
      </c>
      <c r="AA124" s="112">
        <f>AE124+RBTC!$L$120</f>
        <v>0.3290358076437187</v>
      </c>
      <c r="AD124" s="51">
        <v>0.31440353247651082</v>
      </c>
      <c r="AE124" s="51">
        <v>0.33460654484290825</v>
      </c>
    </row>
    <row r="125" spans="2:31" ht="16.5" customHeight="1">
      <c r="B125" s="321" t="s">
        <v>16</v>
      </c>
      <c r="J125" s="46" t="s">
        <v>17</v>
      </c>
      <c r="K125" s="46" t="s">
        <v>18</v>
      </c>
      <c r="L125" s="46" t="s">
        <v>19</v>
      </c>
      <c r="M125" s="46" t="s">
        <v>20</v>
      </c>
      <c r="N125" s="46" t="s">
        <v>21</v>
      </c>
      <c r="O125" s="46" t="s">
        <v>22</v>
      </c>
      <c r="P125" s="46" t="s">
        <v>23</v>
      </c>
      <c r="Q125" s="46" t="s">
        <v>24</v>
      </c>
      <c r="R125" s="46" t="s">
        <v>25</v>
      </c>
      <c r="S125" s="47" t="s">
        <v>26</v>
      </c>
      <c r="T125" s="47" t="s">
        <v>27</v>
      </c>
      <c r="U125" s="47" t="s">
        <v>28</v>
      </c>
      <c r="V125" s="47" t="s">
        <v>29</v>
      </c>
      <c r="Z125" s="112">
        <f>AD125+RBTC!$K$120</f>
        <v>0.31876963678731668</v>
      </c>
      <c r="AA125" s="112">
        <f>AE125+RBTC!$L$120</f>
        <v>0.32900647062529076</v>
      </c>
      <c r="AD125" s="51">
        <v>0.31433581684639611</v>
      </c>
      <c r="AE125" s="51">
        <v>0.3345772078244803</v>
      </c>
    </row>
    <row r="126" spans="2:31" ht="16.5" customHeight="1">
      <c r="B126" s="322"/>
      <c r="C126" s="104" t="s">
        <v>10</v>
      </c>
      <c r="D126" s="104" t="s">
        <v>11</v>
      </c>
      <c r="E126" s="105" t="s">
        <v>12</v>
      </c>
      <c r="F126" s="46" t="s">
        <v>13</v>
      </c>
      <c r="G126" s="46" t="s">
        <v>14</v>
      </c>
      <c r="H126" s="46" t="s">
        <v>15</v>
      </c>
      <c r="I126" s="46" t="s">
        <v>107</v>
      </c>
      <c r="J126" s="21" t="s">
        <v>30</v>
      </c>
      <c r="K126" s="21" t="s">
        <v>31</v>
      </c>
      <c r="L126" s="21" t="s">
        <v>32</v>
      </c>
      <c r="M126" s="21" t="s">
        <v>33</v>
      </c>
      <c r="N126" s="21" t="s">
        <v>34</v>
      </c>
      <c r="O126" s="21" t="s">
        <v>35</v>
      </c>
      <c r="P126" s="21"/>
      <c r="Q126" s="21"/>
      <c r="R126" s="21"/>
      <c r="S126" s="22"/>
      <c r="T126" s="22"/>
      <c r="U126" s="22"/>
      <c r="V126" s="22"/>
      <c r="Z126" s="112">
        <f>AD126+RBTC!$K$120</f>
        <v>0.31870142287154396</v>
      </c>
      <c r="AA126" s="112">
        <f>AE126+RBTC!$L$120</f>
        <v>0.32897543473533181</v>
      </c>
      <c r="AD126" s="51">
        <v>0.31426760293062339</v>
      </c>
      <c r="AE126" s="51">
        <v>0.33454617193452135</v>
      </c>
    </row>
    <row r="127" spans="2:31" ht="16.5" customHeight="1">
      <c r="B127" s="5">
        <f>B97</f>
        <v>-10</v>
      </c>
      <c r="C127" s="144">
        <f t="shared" ref="C127:C138" si="7">$K$119</f>
        <v>0.31713381994092055</v>
      </c>
      <c r="D127" s="144">
        <f t="shared" ref="D127:D138" si="8">$L$119</f>
        <v>0.32342926280081047</v>
      </c>
      <c r="E127" s="1"/>
      <c r="F127" s="1"/>
      <c r="G127" s="1"/>
      <c r="H127" s="1"/>
      <c r="I127" s="1">
        <f>C127/D127</f>
        <v>0.98053533311929453</v>
      </c>
      <c r="J127" s="1">
        <f>C97/D97</f>
        <v>2.1867400657384883</v>
      </c>
      <c r="K127" s="1">
        <f t="shared" ref="K127:K138" si="9">F97/G97</f>
        <v>0.18660917186609163</v>
      </c>
      <c r="L127" s="1">
        <f t="shared" ref="L127:L138" si="10">I97/J97</f>
        <v>5.3866355412897589</v>
      </c>
      <c r="M127" s="1"/>
      <c r="N127" s="1"/>
      <c r="O127" s="1"/>
      <c r="P127" s="1"/>
      <c r="Q127" s="1"/>
      <c r="R127" s="1"/>
      <c r="S127" s="1"/>
      <c r="T127" s="130"/>
      <c r="U127" s="130"/>
      <c r="V127" s="130"/>
      <c r="Z127" s="112">
        <f>AD127+RBTC!$K$120</f>
        <v>0.31863273144873294</v>
      </c>
      <c r="AA127" s="112">
        <f>AE127+RBTC!$L$120</f>
        <v>0.32894270942767462</v>
      </c>
      <c r="AD127" s="51">
        <v>0.31419891150781237</v>
      </c>
      <c r="AE127" s="51">
        <v>0.33451344662686416</v>
      </c>
    </row>
    <row r="128" spans="2:31" ht="16.5" customHeight="1">
      <c r="B128" s="5">
        <f t="shared" ref="B128:B138" si="11">B98</f>
        <v>2</v>
      </c>
      <c r="C128" s="144">
        <f t="shared" si="7"/>
        <v>0.31713381994092055</v>
      </c>
      <c r="D128" s="144">
        <f t="shared" si="8"/>
        <v>0.32342926280081047</v>
      </c>
      <c r="E128" s="1"/>
      <c r="F128" s="1"/>
      <c r="G128" s="1"/>
      <c r="H128" s="1"/>
      <c r="I128" s="1">
        <f>C128/D128</f>
        <v>0.98053533311929453</v>
      </c>
      <c r="J128" s="1">
        <f t="shared" ref="J128:J138" si="12">C98/D98</f>
        <v>2.2085338638991208</v>
      </c>
      <c r="K128" s="1">
        <f t="shared" si="9"/>
        <v>0.1903439504801461</v>
      </c>
      <c r="L128" s="1">
        <f t="shared" si="10"/>
        <v>5.2304186841355742</v>
      </c>
      <c r="M128" s="1"/>
      <c r="N128" s="1"/>
      <c r="O128" s="1"/>
      <c r="P128" s="1"/>
      <c r="Q128" s="1"/>
      <c r="R128" s="1"/>
      <c r="S128" s="1"/>
      <c r="T128" s="130"/>
      <c r="U128" s="130"/>
      <c r="V128" s="130"/>
      <c r="Z128" s="112">
        <f>AD128+RBTC!$K$120</f>
        <v>0.31856358344295632</v>
      </c>
      <c r="AA128" s="112">
        <f>AE128+RBTC!$L$120</f>
        <v>0.32890830467076493</v>
      </c>
      <c r="AD128" s="51">
        <v>0.31412976350203575</v>
      </c>
      <c r="AE128" s="51">
        <v>0.33447904186995447</v>
      </c>
    </row>
    <row r="129" spans="2:31" ht="16.5" customHeight="1">
      <c r="B129" s="5">
        <f t="shared" si="11"/>
        <v>14</v>
      </c>
      <c r="C129" s="144">
        <f t="shared" si="7"/>
        <v>0.31713381994092055</v>
      </c>
      <c r="D129" s="144">
        <f t="shared" si="8"/>
        <v>0.32342926280081047</v>
      </c>
      <c r="E129" s="1"/>
      <c r="F129" s="1"/>
      <c r="G129" s="1"/>
      <c r="H129" s="1"/>
      <c r="I129" s="1">
        <f t="shared" ref="I129:I138" si="13">C129/D129</f>
        <v>0.98053533311929453</v>
      </c>
      <c r="J129" s="1">
        <f t="shared" si="12"/>
        <v>2.2305965102123628</v>
      </c>
      <c r="K129" s="1">
        <f t="shared" si="9"/>
        <v>0.19409681037334683</v>
      </c>
      <c r="L129" s="1">
        <f t="shared" si="10"/>
        <v>5.0815020862308771</v>
      </c>
      <c r="M129" s="1"/>
      <c r="N129" s="1"/>
      <c r="O129" s="1"/>
      <c r="P129" s="1"/>
      <c r="Q129" s="1"/>
      <c r="R129" s="1"/>
      <c r="S129" s="1"/>
      <c r="T129" s="130"/>
      <c r="U129" s="130"/>
      <c r="V129" s="130"/>
      <c r="Z129" s="112">
        <f>AD129+RBTC!$K$120</f>
        <v>0.3184939999173666</v>
      </c>
      <c r="AA129" s="112">
        <f>AE129+RBTC!$L$120</f>
        <v>0.32887223094462498</v>
      </c>
      <c r="AD129" s="51">
        <v>0.31406017997644603</v>
      </c>
      <c r="AE129" s="51">
        <v>0.33444296814381452</v>
      </c>
    </row>
    <row r="130" spans="2:31" ht="16.5" customHeight="1">
      <c r="B130" s="5">
        <f t="shared" si="11"/>
        <v>25</v>
      </c>
      <c r="C130" s="144">
        <f t="shared" si="7"/>
        <v>0.31713381994092055</v>
      </c>
      <c r="D130" s="144">
        <f t="shared" si="8"/>
        <v>0.32342926280081047</v>
      </c>
      <c r="E130" s="1"/>
      <c r="F130" s="1"/>
      <c r="G130" s="1"/>
      <c r="H130" s="1"/>
      <c r="I130" s="1">
        <f t="shared" si="13"/>
        <v>0.98053533311929453</v>
      </c>
      <c r="J130" s="1">
        <f t="shared" si="12"/>
        <v>2.2510610512569373</v>
      </c>
      <c r="K130" s="1">
        <f t="shared" si="9"/>
        <v>0.19755292823755841</v>
      </c>
      <c r="L130" s="1">
        <f t="shared" si="10"/>
        <v>4.9509803921568629</v>
      </c>
      <c r="M130" s="1"/>
      <c r="N130" s="1"/>
      <c r="O130" s="1"/>
      <c r="P130" s="1"/>
      <c r="Q130" s="1"/>
      <c r="R130" s="1"/>
      <c r="S130" s="1"/>
      <c r="T130" s="130"/>
      <c r="U130" s="130"/>
      <c r="V130" s="130"/>
      <c r="Z130" s="112">
        <f>AD130+RBTC!$K$120</f>
        <v>0.31842400206777965</v>
      </c>
      <c r="AA130" s="112">
        <f>AE130+RBTC!$L$120</f>
        <v>0.32883449923766123</v>
      </c>
      <c r="AD130" s="51">
        <v>0.31399018212685909</v>
      </c>
      <c r="AE130" s="51">
        <v>0.33440523643685077</v>
      </c>
    </row>
    <row r="131" spans="2:31" ht="16.5" customHeight="1">
      <c r="B131" s="5">
        <f t="shared" si="11"/>
        <v>37</v>
      </c>
      <c r="C131" s="144">
        <f t="shared" si="7"/>
        <v>0.31713381994092055</v>
      </c>
      <c r="D131" s="144">
        <f t="shared" si="8"/>
        <v>0.32342926280081047</v>
      </c>
      <c r="E131" s="1">
        <f>$L$113</f>
        <v>9.6961510000000004</v>
      </c>
      <c r="F131" s="1">
        <f>E131*C131/D131</f>
        <v>9.5074186507599805</v>
      </c>
      <c r="G131" s="1">
        <f>E131</f>
        <v>9.6961510000000004</v>
      </c>
      <c r="H131" s="1">
        <f>E131*(1-C131-D131)/D131</f>
        <v>10.775631724013403</v>
      </c>
      <c r="I131" s="1">
        <f t="shared" si="13"/>
        <v>0.98053533311929453</v>
      </c>
      <c r="J131" s="1">
        <f t="shared" si="12"/>
        <v>2.27365308804205</v>
      </c>
      <c r="K131" s="1">
        <f t="shared" si="9"/>
        <v>0.2013408129184974</v>
      </c>
      <c r="L131" s="1">
        <f t="shared" si="10"/>
        <v>4.8146964856230028</v>
      </c>
      <c r="M131" s="1">
        <f>(1-C101-D101)/D101</f>
        <v>1.1498028909329657E-2</v>
      </c>
      <c r="N131" s="1">
        <f>(1-F101-G101)/G101</f>
        <v>0.17676194490831565</v>
      </c>
      <c r="O131" s="1">
        <f>(1-I101-J101)/J101</f>
        <v>26.134185303514375</v>
      </c>
      <c r="P131" s="1">
        <f>J131*O131+L131*N131+K131*M131-L131*M131-K131*O131-J131*N131</f>
        <v>54.55430828098546</v>
      </c>
      <c r="Q131" s="1">
        <f>O131*F131+L131*N131*G131+H131*K131-L131*H131-K131*O131*G131-N131*F131</f>
        <v>154.30826339146174</v>
      </c>
      <c r="R131" s="1">
        <f>J131*O131*G131+M131*F131+L131*H131-L131*M131*G131-F131*O131-J131*H131</f>
        <v>354.63123138391933</v>
      </c>
      <c r="S131" s="1">
        <f>J131*H131+N131*F131+K131*M131*G131-M131*F131-K131*H131-J131*N131*G131</f>
        <v>20.02731601760452</v>
      </c>
      <c r="T131" s="130">
        <f>Q131/P131</f>
        <v>2.828525706836702</v>
      </c>
      <c r="U131" s="130">
        <f>R131/P131</f>
        <v>6.500517421234056</v>
      </c>
      <c r="V131" s="130">
        <f>S131/P131</f>
        <v>0.36710787192924427</v>
      </c>
      <c r="Z131" s="112">
        <f>AD131+RBTC!$K$120</f>
        <v>0.31835361121621858</v>
      </c>
      <c r="AA131" s="112">
        <f>AE131+RBTC!$L$120</f>
        <v>0.3287951210433171</v>
      </c>
      <c r="AD131" s="51">
        <v>0.31391979127529801</v>
      </c>
      <c r="AE131" s="51">
        <v>0.33436585824250664</v>
      </c>
    </row>
    <row r="132" spans="2:31" ht="16.5" customHeight="1">
      <c r="B132" s="5">
        <f t="shared" si="11"/>
        <v>48</v>
      </c>
      <c r="C132" s="144">
        <f t="shared" si="7"/>
        <v>0.31713381994092055</v>
      </c>
      <c r="D132" s="144">
        <f t="shared" si="8"/>
        <v>0.32342926280081047</v>
      </c>
      <c r="E132" s="1">
        <f>$L$113</f>
        <v>9.6961510000000004</v>
      </c>
      <c r="F132" s="1">
        <f>E132*C132/D132</f>
        <v>9.5074186507599805</v>
      </c>
      <c r="G132" s="1">
        <f>E132</f>
        <v>9.6961510000000004</v>
      </c>
      <c r="H132" s="1">
        <f>E132*(1-C132-D132)/D132</f>
        <v>10.775631724013403</v>
      </c>
      <c r="I132" s="1">
        <f t="shared" si="13"/>
        <v>0.98053533311929453</v>
      </c>
      <c r="J132" s="1">
        <f t="shared" si="12"/>
        <v>2.2946116357829243</v>
      </c>
      <c r="K132" s="1">
        <f t="shared" si="9"/>
        <v>0.20482926155521072</v>
      </c>
      <c r="L132" s="1">
        <f t="shared" si="10"/>
        <v>4.6950169579963461</v>
      </c>
      <c r="M132" s="1">
        <f>(1-C102-D102)/D102</f>
        <v>9.4440926236952806E-3</v>
      </c>
      <c r="N132" s="1">
        <f>(1-F102-G102)/G102</f>
        <v>0.17635254259320945</v>
      </c>
      <c r="O132" s="1">
        <f>(1-I102-J102)/J102</f>
        <v>25.612053222019298</v>
      </c>
      <c r="P132" s="1">
        <f>J132*O132+L132*N132+K132*M132-L132*M132-K132*O132-J132*N132</f>
        <v>53.904529224481685</v>
      </c>
      <c r="Q132" s="1">
        <f>O132*F132+L132*N132*G132+H132*K132-L132*H132-K132*O132*G132-N132*F132</f>
        <v>150.60448961708877</v>
      </c>
      <c r="R132" s="1">
        <f>J132*O132*G132+M132*F132+L132*H132-L132*M132*G132-F132*O132-J132*H132</f>
        <v>351.86126532239575</v>
      </c>
      <c r="S132" s="1">
        <f>J132*H132+N132*F132+K132*M132*G132-M132*F132-K132*H132-J132*N132*G132</f>
        <v>20.200700005002751</v>
      </c>
      <c r="T132" s="130">
        <f>Q132/P132</f>
        <v>2.7939116023053794</v>
      </c>
      <c r="U132" s="130">
        <f>R132/P132</f>
        <v>6.5274898117947355</v>
      </c>
      <c r="V132" s="130">
        <f>S132/P132</f>
        <v>0.37474958589988483</v>
      </c>
      <c r="Z132" s="112">
        <f>AD132+RBTC!$K$120</f>
        <v>0.31828284880441871</v>
      </c>
      <c r="AA132" s="112">
        <f>AE132+RBTC!$L$120</f>
        <v>0.32875410835657209</v>
      </c>
      <c r="AD132" s="51">
        <v>0.31384902886349814</v>
      </c>
      <c r="AE132" s="51">
        <v>0.33432484555576164</v>
      </c>
    </row>
    <row r="133" spans="2:31" ht="16.5" customHeight="1">
      <c r="B133" s="5">
        <f t="shared" si="11"/>
        <v>60</v>
      </c>
      <c r="C133" s="144">
        <f t="shared" si="7"/>
        <v>0.31713381994092055</v>
      </c>
      <c r="D133" s="144">
        <f t="shared" si="8"/>
        <v>0.32342926280081047</v>
      </c>
      <c r="E133" s="1"/>
      <c r="F133" s="1"/>
      <c r="G133" s="1"/>
      <c r="H133" s="1"/>
      <c r="I133" s="1">
        <f t="shared" si="13"/>
        <v>0.98053533311929453</v>
      </c>
      <c r="J133" s="1">
        <f t="shared" si="12"/>
        <v>2.3177523482308615</v>
      </c>
      <c r="K133" s="1">
        <f t="shared" si="9"/>
        <v>0.20865266364236096</v>
      </c>
      <c r="L133" s="1">
        <f t="shared" si="10"/>
        <v>4.569823844779167</v>
      </c>
      <c r="M133" s="1"/>
      <c r="N133" s="1"/>
      <c r="O133" s="1"/>
      <c r="P133" s="1"/>
      <c r="Q133" s="1"/>
      <c r="R133" s="1"/>
      <c r="S133" s="1"/>
      <c r="T133" s="130"/>
      <c r="U133" s="130"/>
      <c r="V133" s="130"/>
      <c r="Z133" s="112">
        <f>AD133+RBTC!$K$120</f>
        <v>0.31821173638729611</v>
      </c>
      <c r="AA133" s="112">
        <f>AE133+RBTC!$L$120</f>
        <v>0.3287114736702878</v>
      </c>
      <c r="AD133" s="51">
        <v>0.31377791644637554</v>
      </c>
      <c r="AE133" s="51">
        <v>0.33428221086947735</v>
      </c>
    </row>
    <row r="134" spans="2:31" ht="16.5" customHeight="1">
      <c r="B134" s="5">
        <f t="shared" si="11"/>
        <v>71</v>
      </c>
      <c r="C134" s="144">
        <f t="shared" si="7"/>
        <v>0.31713381994092055</v>
      </c>
      <c r="D134" s="144">
        <f t="shared" si="8"/>
        <v>0.32342926280081047</v>
      </c>
      <c r="E134" s="1"/>
      <c r="F134" s="1"/>
      <c r="G134" s="1"/>
      <c r="H134" s="1"/>
      <c r="I134" s="1">
        <f t="shared" si="13"/>
        <v>0.98053533311929453</v>
      </c>
      <c r="J134" s="1">
        <f t="shared" si="12"/>
        <v>2.3392230087509072</v>
      </c>
      <c r="K134" s="1">
        <f t="shared" si="9"/>
        <v>0.2121738988474223</v>
      </c>
      <c r="L134" s="1">
        <f t="shared" si="10"/>
        <v>4.4596895343014502</v>
      </c>
      <c r="M134" s="1"/>
      <c r="N134" s="1"/>
      <c r="O134" s="1"/>
      <c r="P134" s="1"/>
      <c r="Q134" s="1"/>
      <c r="R134" s="1"/>
      <c r="S134" s="1"/>
      <c r="T134" s="130"/>
      <c r="U134" s="130"/>
      <c r="V134" s="130"/>
      <c r="Z134" s="112">
        <f>AD134+RBTC!$K$120</f>
        <v>0.31814029562638191</v>
      </c>
      <c r="AA134" s="112">
        <f>AE134+RBTC!$L$120</f>
        <v>0.3286672299714028</v>
      </c>
      <c r="AD134" s="51">
        <v>0.31370647568546134</v>
      </c>
      <c r="AE134" s="51">
        <v>0.33423796717059234</v>
      </c>
    </row>
    <row r="135" spans="2:31" ht="16.5" customHeight="1">
      <c r="B135" s="5">
        <f t="shared" si="11"/>
        <v>83</v>
      </c>
      <c r="C135" s="144">
        <f t="shared" si="7"/>
        <v>0.31713381994092055</v>
      </c>
      <c r="D135" s="144">
        <f t="shared" si="8"/>
        <v>0.32342926280081047</v>
      </c>
      <c r="E135" s="1"/>
      <c r="F135" s="1"/>
      <c r="G135" s="1"/>
      <c r="H135" s="1"/>
      <c r="I135" s="1">
        <f t="shared" si="13"/>
        <v>0.98053533311929453</v>
      </c>
      <c r="J135" s="1">
        <f t="shared" si="12"/>
        <v>2.3629326302799143</v>
      </c>
      <c r="K135" s="1">
        <f t="shared" si="9"/>
        <v>0.21603332024090088</v>
      </c>
      <c r="L135" s="1">
        <f t="shared" si="10"/>
        <v>4.3442864149092681</v>
      </c>
      <c r="M135" s="1"/>
      <c r="N135" s="1"/>
      <c r="O135" s="1"/>
      <c r="P135" s="1"/>
      <c r="Q135" s="1"/>
      <c r="R135" s="1"/>
      <c r="S135" s="1"/>
      <c r="T135" s="130"/>
      <c r="U135" s="130"/>
      <c r="V135" s="130"/>
      <c r="Z135" s="112">
        <f>AD135+RBTC!$K$120</f>
        <v>0.31806854828322401</v>
      </c>
      <c r="AA135" s="112">
        <f>AE135+RBTC!$L$120</f>
        <v>0.32862139073697627</v>
      </c>
      <c r="AD135" s="51">
        <v>0.31363472834230344</v>
      </c>
      <c r="AE135" s="51">
        <v>0.33419212793616582</v>
      </c>
    </row>
    <row r="136" spans="2:31" ht="16.5" customHeight="1">
      <c r="B136" s="5">
        <f t="shared" si="11"/>
        <v>94</v>
      </c>
      <c r="C136" s="144">
        <f t="shared" si="7"/>
        <v>0.31713381994092055</v>
      </c>
      <c r="D136" s="144">
        <f t="shared" si="8"/>
        <v>0.32342926280081047</v>
      </c>
      <c r="E136" s="1"/>
      <c r="F136" s="1"/>
      <c r="G136" s="1"/>
      <c r="H136" s="1"/>
      <c r="I136" s="1">
        <f t="shared" si="13"/>
        <v>0.98053533311929453</v>
      </c>
      <c r="J136" s="1">
        <f t="shared" si="12"/>
        <v>2.3849344054168444</v>
      </c>
      <c r="K136" s="1">
        <f t="shared" si="9"/>
        <v>0.21958780641827902</v>
      </c>
      <c r="L136" s="1">
        <f t="shared" si="10"/>
        <v>4.2425992779783384</v>
      </c>
      <c r="M136" s="1"/>
      <c r="N136" s="1"/>
      <c r="O136" s="1"/>
      <c r="P136" s="1"/>
      <c r="Q136" s="1"/>
      <c r="R136" s="1"/>
      <c r="S136" s="1"/>
      <c r="T136" s="130"/>
      <c r="U136" s="130"/>
      <c r="V136" s="130"/>
      <c r="Z136" s="112">
        <f>AD136+RBTC!$K$120</f>
        <v>0.3179965162127581</v>
      </c>
      <c r="AA136" s="112">
        <f>AE136+RBTC!$L$120</f>
        <v>0.32857396993008314</v>
      </c>
      <c r="AD136" s="51">
        <v>0.31356269627183753</v>
      </c>
      <c r="AE136" s="51">
        <v>0.33414470712927269</v>
      </c>
    </row>
    <row r="137" spans="2:31" ht="16.5" customHeight="1">
      <c r="B137" s="5">
        <f t="shared" si="11"/>
        <v>106</v>
      </c>
      <c r="C137" s="144">
        <f t="shared" si="7"/>
        <v>0.31713381994092055</v>
      </c>
      <c r="D137" s="144">
        <f t="shared" si="8"/>
        <v>0.32342926280081047</v>
      </c>
      <c r="E137" s="1"/>
      <c r="F137" s="1"/>
      <c r="G137" s="1"/>
      <c r="H137" s="1"/>
      <c r="I137" s="1">
        <f t="shared" si="13"/>
        <v>0.98053533311929453</v>
      </c>
      <c r="J137" s="1">
        <f t="shared" si="12"/>
        <v>2.4092341766760392</v>
      </c>
      <c r="K137" s="1">
        <f t="shared" si="9"/>
        <v>0.22348375851948091</v>
      </c>
      <c r="L137" s="1">
        <f t="shared" si="10"/>
        <v>4.1358811040339685</v>
      </c>
      <c r="M137" s="1"/>
      <c r="N137" s="1"/>
      <c r="O137" s="1"/>
      <c r="P137" s="1"/>
      <c r="Q137" s="1"/>
      <c r="R137" s="1"/>
      <c r="S137" s="1"/>
      <c r="T137" s="130"/>
      <c r="U137" s="130"/>
      <c r="V137" s="130"/>
      <c r="Z137" s="112">
        <f>AD137+RBTC!$K$120</f>
        <v>0.31792422135665066</v>
      </c>
      <c r="AA137" s="112">
        <f>AE137+RBTC!$L$120</f>
        <v>0.32852498199556057</v>
      </c>
      <c r="AD137" s="51">
        <v>0.31349040141573009</v>
      </c>
      <c r="AE137" s="51">
        <v>0.33409571919475012</v>
      </c>
    </row>
    <row r="138" spans="2:31" ht="16.5" customHeight="1">
      <c r="B138" s="5">
        <f t="shared" si="11"/>
        <v>117</v>
      </c>
      <c r="C138" s="144">
        <f t="shared" si="7"/>
        <v>0.31713381994092055</v>
      </c>
      <c r="D138" s="144">
        <f t="shared" si="8"/>
        <v>0.32342926280081047</v>
      </c>
      <c r="E138" s="1"/>
      <c r="F138" s="1"/>
      <c r="G138" s="1"/>
      <c r="H138" s="1"/>
      <c r="I138" s="1">
        <f t="shared" si="13"/>
        <v>0.98053533311929453</v>
      </c>
      <c r="J138" s="1">
        <f t="shared" si="12"/>
        <v>2.4317870201096912</v>
      </c>
      <c r="K138" s="1">
        <f t="shared" si="9"/>
        <v>0.22707196888544656</v>
      </c>
      <c r="L138" s="1">
        <f t="shared" si="10"/>
        <v>4.0417052826691364</v>
      </c>
      <c r="M138" s="1"/>
      <c r="N138" s="1"/>
      <c r="O138" s="1"/>
      <c r="P138" s="1"/>
      <c r="Q138" s="1"/>
      <c r="R138" s="1"/>
      <c r="S138" s="1"/>
      <c r="T138" s="130"/>
      <c r="U138" s="130"/>
      <c r="V138" s="130"/>
      <c r="Z138" s="112">
        <f>AD138+RBTC!$K$120</f>
        <v>0.31785168573661515</v>
      </c>
      <c r="AA138" s="112">
        <f>AE138+RBTC!$L$120</f>
        <v>0.32847444185560787</v>
      </c>
      <c r="AD138" s="51">
        <v>0.31341786579569458</v>
      </c>
      <c r="AE138" s="51">
        <v>0.33404517905479741</v>
      </c>
    </row>
    <row r="139" spans="2:31" ht="16.5" customHeight="1">
      <c r="B139" s="321" t="s">
        <v>16</v>
      </c>
      <c r="C139" s="384" t="s">
        <v>52</v>
      </c>
      <c r="D139" s="385"/>
      <c r="E139" s="385"/>
      <c r="F139" s="386"/>
      <c r="Z139" s="112">
        <f>AD139+RBTC!$K$120</f>
        <v>0.31777893144770425</v>
      </c>
      <c r="AA139" s="112">
        <f>AE139+RBTC!$L$120</f>
        <v>0.32842236490524135</v>
      </c>
      <c r="AD139" s="51">
        <v>0.31334511150678368</v>
      </c>
      <c r="AE139" s="51">
        <v>0.33399310210443089</v>
      </c>
    </row>
    <row r="140" spans="2:31" ht="16.5" customHeight="1">
      <c r="B140" s="322"/>
      <c r="C140" s="21" t="s">
        <v>4</v>
      </c>
      <c r="D140" s="21" t="s">
        <v>5</v>
      </c>
      <c r="E140" s="21" t="s">
        <v>6</v>
      </c>
      <c r="F140" s="21" t="s">
        <v>195</v>
      </c>
      <c r="Z140" s="112">
        <f>AD140+RBTC!$K$120</f>
        <v>0.31770598065157896</v>
      </c>
      <c r="AA140" s="112">
        <f>AE140+RBTC!$L$120</f>
        <v>0.32836876700760459</v>
      </c>
      <c r="AD140" s="51">
        <v>0.31327216071065839</v>
      </c>
      <c r="AE140" s="51">
        <v>0.33393950420679414</v>
      </c>
    </row>
    <row r="141" spans="2:31" ht="16.5" customHeight="1">
      <c r="B141" s="5">
        <f>B127</f>
        <v>-10</v>
      </c>
      <c r="C141" s="1"/>
      <c r="D141" s="1"/>
      <c r="E141" s="1"/>
      <c r="F141" s="1"/>
      <c r="Z141" s="112">
        <f>AD141+RBTC!$K$120</f>
        <v>0.31763285556975862</v>
      </c>
      <c r="AA141" s="112">
        <f>AE141+RBTC!$L$120</f>
        <v>0.32831366448913635</v>
      </c>
      <c r="AD141" s="51">
        <v>0.31319903562883805</v>
      </c>
      <c r="AE141" s="51">
        <v>0.33388440168832589</v>
      </c>
    </row>
    <row r="142" spans="2:31" ht="16.5" customHeight="1">
      <c r="B142" s="5">
        <f t="shared" ref="B142:B152" si="14">B128</f>
        <v>2</v>
      </c>
      <c r="C142" s="1"/>
      <c r="D142" s="1"/>
      <c r="E142" s="1"/>
      <c r="F142" s="1"/>
      <c r="Z142" s="112">
        <f>AD142+RBTC!$K$120</f>
        <v>0.31755957847685146</v>
      </c>
      <c r="AA142" s="112">
        <f>AE142+RBTC!$L$120</f>
        <v>0.32825707413459759</v>
      </c>
      <c r="AD142" s="51">
        <v>0.31312575853593089</v>
      </c>
      <c r="AE142" s="51">
        <v>0.33382781133378714</v>
      </c>
    </row>
    <row r="143" spans="2:31" ht="16.5" customHeight="1">
      <c r="B143" s="5">
        <f t="shared" si="14"/>
        <v>14</v>
      </c>
      <c r="C143" s="1"/>
      <c r="D143" s="1"/>
      <c r="E143" s="1"/>
      <c r="F143" s="1"/>
      <c r="Z143" s="112">
        <f>AD143+RBTC!$K$120</f>
        <v>0.3174861716937698</v>
      </c>
      <c r="AA143" s="112">
        <f>AE143+RBTC!$L$120</f>
        <v>0.32819901318195849</v>
      </c>
      <c r="AD143" s="51">
        <v>0.31305235175284923</v>
      </c>
      <c r="AE143" s="51">
        <v>0.33376975038114803</v>
      </c>
    </row>
    <row r="144" spans="2:31" ht="16.5" customHeight="1">
      <c r="B144" s="5">
        <f t="shared" si="14"/>
        <v>25</v>
      </c>
      <c r="C144" s="1">
        <f t="shared" ref="C144:E146" si="15">I100</f>
        <v>0.1515</v>
      </c>
      <c r="D144" s="1">
        <f t="shared" si="15"/>
        <v>3.0599999999999999E-2</v>
      </c>
      <c r="E144" s="1"/>
      <c r="F144" s="1"/>
      <c r="Z144" s="112">
        <f>AD144+RBTC!$K$120</f>
        <v>0.31741265758093096</v>
      </c>
      <c r="AA144" s="112">
        <f>AE144+RBTC!$L$120</f>
        <v>0.3281394993171477</v>
      </c>
      <c r="AD144" s="51">
        <v>0.31297883764001039</v>
      </c>
      <c r="AE144" s="51">
        <v>0.33371023651633724</v>
      </c>
    </row>
    <row r="145" spans="2:31" ht="16.5" customHeight="1">
      <c r="B145" s="5">
        <f t="shared" si="14"/>
        <v>37</v>
      </c>
      <c r="C145" s="1">
        <f t="shared" si="15"/>
        <v>0.1507</v>
      </c>
      <c r="D145" s="1">
        <f t="shared" si="15"/>
        <v>3.1300000000000001E-2</v>
      </c>
      <c r="E145" s="1">
        <f t="shared" si="15"/>
        <v>0.35351300000000002</v>
      </c>
      <c r="F145" s="1">
        <f>V131</f>
        <v>0.36710787192924427</v>
      </c>
      <c r="Z145" s="112">
        <f>AD145+RBTC!$K$120</f>
        <v>0.31733905853144578</v>
      </c>
      <c r="AA145" s="112">
        <f>AE145+RBTC!$L$120</f>
        <v>0.32807855066866498</v>
      </c>
      <c r="AD145" s="51">
        <v>0.31290523859052521</v>
      </c>
      <c r="AE145" s="51">
        <v>0.33364928786785453</v>
      </c>
    </row>
    <row r="146" spans="2:31" ht="16.5" customHeight="1">
      <c r="B146" s="5">
        <f t="shared" si="14"/>
        <v>48</v>
      </c>
      <c r="C146" s="1">
        <f t="shared" si="15"/>
        <v>0.14996666666666666</v>
      </c>
      <c r="D146" s="1">
        <f t="shared" si="15"/>
        <v>3.1941666666666674E-2</v>
      </c>
      <c r="E146" s="1">
        <f t="shared" si="15"/>
        <v>0.35524733333333336</v>
      </c>
      <c r="F146" s="1">
        <f>V132</f>
        <v>0.37474958589988483</v>
      </c>
      <c r="Z146" s="112">
        <f>AD146+RBTC!$K$120</f>
        <v>0.31726539696429773</v>
      </c>
      <c r="AA146" s="112">
        <f>AE146+RBTC!$L$120</f>
        <v>0.32801618580205899</v>
      </c>
      <c r="AD146" s="51">
        <v>0.31283157702337716</v>
      </c>
      <c r="AE146" s="51">
        <v>0.33358692300124854</v>
      </c>
    </row>
    <row r="147" spans="2:31" ht="16.5" customHeight="1">
      <c r="B147" s="5">
        <f t="shared" si="14"/>
        <v>60</v>
      </c>
      <c r="C147" s="1"/>
      <c r="D147" s="1"/>
      <c r="E147" s="1"/>
      <c r="F147" s="1"/>
      <c r="Z147" s="112">
        <f>AD147+RBTC!$K$120</f>
        <v>0.31719169531751379</v>
      </c>
      <c r="AA147" s="112">
        <f>AE147+RBTC!$L$120</f>
        <v>0.32795242371427236</v>
      </c>
      <c r="AD147" s="51">
        <v>0.31275787537659322</v>
      </c>
      <c r="AE147" s="51">
        <v>0.3335231609134619</v>
      </c>
    </row>
    <row r="148" spans="2:31" ht="16.5" customHeight="1">
      <c r="B148" s="5">
        <f t="shared" si="14"/>
        <v>71</v>
      </c>
      <c r="C148" s="1"/>
      <c r="D148" s="1"/>
      <c r="E148" s="1"/>
      <c r="F148" s="1"/>
      <c r="Z148" s="112">
        <f>AD148+RBTC!$K$120</f>
        <v>0.31711797604132946</v>
      </c>
      <c r="AA148" s="112">
        <f>AE148+RBTC!$L$120</f>
        <v>0.32788728382785459</v>
      </c>
      <c r="AD148" s="51">
        <v>0.31268415610040889</v>
      </c>
      <c r="AE148" s="51">
        <v>0.33345802102704414</v>
      </c>
    </row>
    <row r="149" spans="2:31" ht="16.5" customHeight="1">
      <c r="B149" s="5">
        <f t="shared" si="14"/>
        <v>83</v>
      </c>
      <c r="C149" s="1"/>
      <c r="D149" s="1"/>
      <c r="E149" s="1"/>
      <c r="F149" s="1"/>
      <c r="Z149" s="112">
        <f>AD149+RBTC!$K$120</f>
        <v>0.31704426159135041</v>
      </c>
      <c r="AA149" s="112">
        <f>AE149+RBTC!$L$120</f>
        <v>0.32782078598504616</v>
      </c>
      <c r="AD149" s="51">
        <v>0.31261044165042984</v>
      </c>
      <c r="AE149" s="51">
        <v>0.33339152318423571</v>
      </c>
    </row>
    <row r="150" spans="2:31" ht="16.5" customHeight="1">
      <c r="B150" s="5">
        <f t="shared" si="14"/>
        <v>94</v>
      </c>
      <c r="C150" s="1"/>
      <c r="D150" s="1"/>
      <c r="E150" s="1"/>
      <c r="F150" s="1"/>
      <c r="Z150" s="112">
        <f>AD150+RBTC!$K$120</f>
        <v>0.31697057442171223</v>
      </c>
      <c r="AA150" s="112">
        <f>AE150+RBTC!$L$120</f>
        <v>0.32775295044173419</v>
      </c>
      <c r="AD150" s="51">
        <v>0.31253675448079166</v>
      </c>
      <c r="AE150" s="51">
        <v>0.33332368764092374</v>
      </c>
    </row>
    <row r="151" spans="2:31" ht="16.5" customHeight="1">
      <c r="B151" s="5">
        <f t="shared" si="14"/>
        <v>106</v>
      </c>
      <c r="C151" s="1"/>
      <c r="D151" s="1"/>
      <c r="E151" s="1"/>
      <c r="F151" s="1"/>
      <c r="Z151" s="112">
        <f>AD151+RBTC!$K$120</f>
        <v>0.31689693697824062</v>
      </c>
      <c r="AA151" s="112">
        <f>AE151+RBTC!$L$120</f>
        <v>0.32768379786128232</v>
      </c>
      <c r="AD151" s="51">
        <v>0.31246311703732005</v>
      </c>
      <c r="AE151" s="51">
        <v>0.33325453506047187</v>
      </c>
    </row>
    <row r="152" spans="2:31" ht="17.25" customHeight="1">
      <c r="B152" s="5">
        <f t="shared" si="14"/>
        <v>117</v>
      </c>
      <c r="C152" s="1"/>
      <c r="D152" s="1"/>
      <c r="E152" s="1"/>
      <c r="F152" s="1"/>
      <c r="Z152" s="112">
        <f>AD152+RBTC!$K$120</f>
        <v>0.31682337169161412</v>
      </c>
      <c r="AA152" s="112">
        <f>AE152+RBTC!$L$120</f>
        <v>0.32761334930823638</v>
      </c>
      <c r="AD152" s="51">
        <v>0.31238955175069355</v>
      </c>
      <c r="AE152" s="51">
        <v>0.33318408650742593</v>
      </c>
    </row>
    <row r="153" spans="2:31" ht="16.5" customHeight="1">
      <c r="C153" s="370" t="s">
        <v>100</v>
      </c>
      <c r="D153" s="370"/>
      <c r="E153" s="370" t="s">
        <v>101</v>
      </c>
      <c r="F153" s="370"/>
      <c r="Z153" s="112">
        <f>AD153+RBTC!$K$120</f>
        <v>0.31674990097053179</v>
      </c>
      <c r="AA153" s="112">
        <f>AE153+RBTC!$L$120</f>
        <v>0.32754162624190819</v>
      </c>
      <c r="AD153" s="51">
        <v>0.31231608102961123</v>
      </c>
      <c r="AE153" s="51">
        <v>0.33311236344109774</v>
      </c>
    </row>
    <row r="154" spans="2:31" ht="16.5" customHeight="1">
      <c r="C154" s="1" t="s">
        <v>67</v>
      </c>
      <c r="D154" s="1" t="s">
        <v>68</v>
      </c>
      <c r="E154" s="1" t="s">
        <v>67</v>
      </c>
      <c r="F154" s="1" t="s">
        <v>68</v>
      </c>
      <c r="Z154" s="112">
        <f>AD154+RBTC!$K$120</f>
        <v>0.31667654719488691</v>
      </c>
      <c r="AA154" s="112">
        <f>AE154+RBTC!$L$120</f>
        <v>0.32746865050983842</v>
      </c>
      <c r="AD154" s="51">
        <v>0.31224272725396635</v>
      </c>
      <c r="AE154" s="51">
        <v>0.33303938770902797</v>
      </c>
    </row>
    <row r="155" spans="2:31" ht="16.5" customHeight="1">
      <c r="C155" s="132">
        <v>1</v>
      </c>
      <c r="D155" s="134" t="str">
        <f>DEC2HEX(C155)</f>
        <v>1</v>
      </c>
      <c r="E155" s="132">
        <f>256-C155*3</f>
        <v>253</v>
      </c>
      <c r="F155" s="134" t="str">
        <f>DEC2HEX(E155)</f>
        <v>FD</v>
      </c>
      <c r="H155" s="51">
        <f>(K101-K100)/K101</f>
        <v>5.3519955418895619E-3</v>
      </c>
      <c r="I155" s="51">
        <f>256*H155</f>
        <v>1.3701108587237278</v>
      </c>
      <c r="Z155" s="112">
        <f>AD155+RBTC!$K$120</f>
        <v>0.31660333270895025</v>
      </c>
      <c r="AA155" s="112">
        <f>AE155+RBTC!$L$120</f>
        <v>0.32739444434114207</v>
      </c>
      <c r="AD155" s="51">
        <v>0.31216951276802968</v>
      </c>
      <c r="AE155" s="51">
        <v>0.33296518154033161</v>
      </c>
    </row>
    <row r="156" spans="2:31" ht="16.5" customHeight="1">
      <c r="C156" s="391" t="s">
        <v>196</v>
      </c>
      <c r="D156" s="389"/>
      <c r="E156" s="389"/>
      <c r="F156" s="390"/>
      <c r="G156" s="59"/>
      <c r="H156" s="59"/>
      <c r="Z156" s="112">
        <f>AD156+RBTC!$K$120</f>
        <v>0.31653027981456333</v>
      </c>
      <c r="AA156" s="112">
        <f>AE156+RBTC!$L$120</f>
        <v>0.32731903033973697</v>
      </c>
      <c r="AD156" s="51">
        <v>0.31209645987364276</v>
      </c>
      <c r="AE156" s="51">
        <v>0.33288976753892652</v>
      </c>
    </row>
    <row r="157" spans="2:31" ht="16.5" customHeight="1">
      <c r="C157" s="339" t="s">
        <v>16</v>
      </c>
      <c r="D157" s="254" t="s">
        <v>52</v>
      </c>
      <c r="E157" s="254"/>
      <c r="F157" s="254"/>
      <c r="Z157" s="112">
        <f>AD157+RBTC!$K$120</f>
        <v>0.31645741076434553</v>
      </c>
      <c r="AA157" s="112">
        <f>AE157+RBTC!$L$120</f>
        <v>0.32724243147745846</v>
      </c>
      <c r="AD157" s="51">
        <v>0.31202359082342496</v>
      </c>
      <c r="AE157" s="51">
        <v>0.33281316867664801</v>
      </c>
    </row>
    <row r="158" spans="2:31" ht="16.5" customHeight="1">
      <c r="C158" s="339"/>
      <c r="D158" s="21" t="s">
        <v>194</v>
      </c>
      <c r="E158" s="21" t="s">
        <v>54</v>
      </c>
      <c r="F158" s="21" t="s">
        <v>199</v>
      </c>
      <c r="Z158" s="112">
        <f>AD158+RBTC!$K$120</f>
        <v>0.31638474775491543</v>
      </c>
      <c r="AA158" s="112">
        <f>AE158+RBTC!$L$120</f>
        <v>0.32716467108706204</v>
      </c>
      <c r="AD158" s="51">
        <v>0.31195092781399486</v>
      </c>
      <c r="AE158" s="51">
        <v>0.33273540828625159</v>
      </c>
    </row>
    <row r="159" spans="2:31" ht="16.5" customHeight="1">
      <c r="C159" s="1">
        <f>B141</f>
        <v>-10</v>
      </c>
      <c r="D159" s="1">
        <f>E155</f>
        <v>253</v>
      </c>
      <c r="E159" s="20">
        <f>D159/256</f>
        <v>0.98828125</v>
      </c>
      <c r="F159" s="131">
        <f>K97</f>
        <v>0.34610266666666667</v>
      </c>
      <c r="Z159" s="112">
        <f>AD159+RBTC!$K$120</f>
        <v>0.31631231292012962</v>
      </c>
      <c r="AA159" s="112">
        <f>AE159+RBTC!$L$120</f>
        <v>0.32708577285511597</v>
      </c>
      <c r="AD159" s="51">
        <v>0.31187849297920905</v>
      </c>
      <c r="AE159" s="51">
        <v>0.33265651005430552</v>
      </c>
    </row>
    <row r="160" spans="2:31" ht="16.5" customHeight="1">
      <c r="C160" s="1">
        <f t="shared" ref="C160:C170" si="16">B142</f>
        <v>2</v>
      </c>
      <c r="D160" s="1">
        <f t="shared" ref="D160:D170" si="17">D159+$C$155</f>
        <v>254</v>
      </c>
      <c r="E160" s="20">
        <f t="shared" ref="E160:E170" si="18">D160/256</f>
        <v>0.9921875</v>
      </c>
      <c r="F160" s="131">
        <f t="shared" ref="F160:F170" si="19">K98*E160</f>
        <v>0.34527595833333335</v>
      </c>
      <c r="Z160" s="112">
        <f>AD160+RBTC!$K$120</f>
        <v>0.31624012832434045</v>
      </c>
      <c r="AA160" s="112">
        <f>AE160+RBTC!$L$120</f>
        <v>0.32700576081478588</v>
      </c>
      <c r="AD160" s="51">
        <v>0.31180630838341988</v>
      </c>
      <c r="AE160" s="51">
        <v>0.33257649801397543</v>
      </c>
    </row>
    <row r="161" spans="2:31" ht="16.5" customHeight="1">
      <c r="C161" s="1">
        <f t="shared" si="16"/>
        <v>14</v>
      </c>
      <c r="D161" s="1">
        <f t="shared" si="17"/>
        <v>255</v>
      </c>
      <c r="E161" s="20">
        <f t="shared" si="18"/>
        <v>0.99609375</v>
      </c>
      <c r="F161" s="131">
        <f t="shared" si="19"/>
        <v>0.34851992187500003</v>
      </c>
      <c r="Z161" s="112">
        <f>AD161+RBTC!$K$120</f>
        <v>0.31616821595567507</v>
      </c>
      <c r="AA161" s="112">
        <f>AE161+RBTC!$L$120</f>
        <v>0.3269246593385145</v>
      </c>
      <c r="AD161" s="51">
        <v>0.3117343960147545</v>
      </c>
      <c r="AE161" s="51">
        <v>0.33249539653770405</v>
      </c>
    </row>
    <row r="162" spans="2:31" ht="16.5" customHeight="1">
      <c r="C162" s="1">
        <f t="shared" si="16"/>
        <v>25</v>
      </c>
      <c r="D162" s="1">
        <f t="shared" si="17"/>
        <v>256</v>
      </c>
      <c r="E162" s="20">
        <f t="shared" si="18"/>
        <v>1</v>
      </c>
      <c r="F162" s="131">
        <f t="shared" si="19"/>
        <v>0.35162100000000002</v>
      </c>
      <c r="Z162" s="112">
        <f>AD162+RBTC!$K$120</f>
        <v>0.31609659771933762</v>
      </c>
      <c r="AA162" s="112">
        <f>AE162+RBTC!$L$120</f>
        <v>0.32684249313059699</v>
      </c>
      <c r="AD162" s="51">
        <v>0.31166277777841705</v>
      </c>
      <c r="AE162" s="51">
        <v>0.33241323032978654</v>
      </c>
    </row>
    <row r="163" spans="2:31" ht="16.5" customHeight="1">
      <c r="C163" s="1">
        <f t="shared" si="16"/>
        <v>37</v>
      </c>
      <c r="D163" s="1">
        <f t="shared" si="17"/>
        <v>257</v>
      </c>
      <c r="E163" s="20">
        <f t="shared" si="18"/>
        <v>1.00390625</v>
      </c>
      <c r="F163" s="131">
        <f t="shared" si="19"/>
        <v>0.35489391015625005</v>
      </c>
      <c r="Z163" s="112">
        <f>AD163+RBTC!$K$120</f>
        <v>0.31602529543093666</v>
      </c>
      <c r="AA163" s="112">
        <f>AE163+RBTC!$L$120</f>
        <v>0.32675928721965636</v>
      </c>
      <c r="AD163" s="51">
        <v>0.31159147549001609</v>
      </c>
      <c r="AE163" s="51">
        <v>0.3323300244188459</v>
      </c>
    </row>
    <row r="164" spans="2:31" ht="16.5" customHeight="1">
      <c r="C164" s="1">
        <f t="shared" si="16"/>
        <v>48</v>
      </c>
      <c r="D164" s="1">
        <f t="shared" si="17"/>
        <v>258</v>
      </c>
      <c r="E164" s="20">
        <f t="shared" si="18"/>
        <v>1.0078125</v>
      </c>
      <c r="F164" s="131">
        <f t="shared" si="19"/>
        <v>0.35802270312500001</v>
      </c>
      <c r="Z164" s="112">
        <f>AD164+RBTC!$K$120</f>
        <v>0.31595433080983998</v>
      </c>
      <c r="AA164" s="112">
        <f>AE164+RBTC!$L$120</f>
        <v>0.32667506695101911</v>
      </c>
      <c r="AD164" s="51">
        <v>0.31152051086891941</v>
      </c>
      <c r="AE164" s="51">
        <v>0.33224580415020866</v>
      </c>
    </row>
    <row r="165" spans="2:31" ht="16.5" customHeight="1">
      <c r="C165" s="1">
        <f t="shared" si="16"/>
        <v>60</v>
      </c>
      <c r="D165" s="1">
        <f t="shared" si="17"/>
        <v>259</v>
      </c>
      <c r="E165" s="20">
        <f t="shared" si="18"/>
        <v>1.01171875</v>
      </c>
      <c r="F165" s="131">
        <f t="shared" si="19"/>
        <v>0.36132455989583334</v>
      </c>
      <c r="Z165" s="112">
        <f>AD165+RBTC!$K$120</f>
        <v>0.31588372547255855</v>
      </c>
      <c r="AA165" s="112">
        <f>AE165+RBTC!$L$120</f>
        <v>0.32658985797899487</v>
      </c>
      <c r="AD165" s="51">
        <v>0.31144990553163798</v>
      </c>
      <c r="AE165" s="51">
        <v>0.33216059517818441</v>
      </c>
    </row>
    <row r="166" spans="2:31" ht="16.5" customHeight="1">
      <c r="C166" s="1">
        <f t="shared" si="16"/>
        <v>71</v>
      </c>
      <c r="D166" s="1">
        <f t="shared" si="17"/>
        <v>260</v>
      </c>
      <c r="E166" s="20">
        <f t="shared" si="18"/>
        <v>1.015625</v>
      </c>
      <c r="F166" s="131">
        <f t="shared" si="19"/>
        <v>0.36448106770833338</v>
      </c>
      <c r="Z166" s="112">
        <f>AD166+RBTC!$K$120</f>
        <v>0.31581350092616217</v>
      </c>
      <c r="AA166" s="112">
        <f>AE166+RBTC!$L$120</f>
        <v>0.32650368625906195</v>
      </c>
      <c r="AD166" s="51">
        <v>0.3113796809852416</v>
      </c>
      <c r="AE166" s="51">
        <v>0.3320744234582515</v>
      </c>
    </row>
    <row r="167" spans="2:31" ht="16.5" customHeight="1">
      <c r="C167" s="1">
        <f t="shared" si="16"/>
        <v>83</v>
      </c>
      <c r="D167" s="1">
        <f t="shared" si="17"/>
        <v>261</v>
      </c>
      <c r="E167" s="20">
        <f t="shared" si="18"/>
        <v>1.01953125</v>
      </c>
      <c r="F167" s="131">
        <f t="shared" si="19"/>
        <v>0.36781187109375002</v>
      </c>
      <c r="Z167" s="112">
        <f>AD167+RBTC!$K$120</f>
        <v>0.31574367856172791</v>
      </c>
      <c r="AA167" s="112">
        <f>AE167+RBTC!$L$120</f>
        <v>0.32641657803996105</v>
      </c>
      <c r="AD167" s="51">
        <v>0.31130985862080734</v>
      </c>
      <c r="AE167" s="51">
        <v>0.33198731523915059</v>
      </c>
    </row>
    <row r="168" spans="2:31" ht="16.5" customHeight="1">
      <c r="C168" s="1">
        <f t="shared" si="16"/>
        <v>94</v>
      </c>
      <c r="D168" s="1">
        <f t="shared" si="17"/>
        <v>262</v>
      </c>
      <c r="E168" s="20">
        <f t="shared" si="18"/>
        <v>1.0234375</v>
      </c>
      <c r="F168" s="131">
        <f t="shared" si="19"/>
        <v>0.37099609375000003</v>
      </c>
      <c r="Z168" s="112">
        <f>AD168+RBTC!$K$120</f>
        <v>0.3156742796478243</v>
      </c>
      <c r="AA168" s="112">
        <f>AE168+RBTC!$L$120</f>
        <v>0.32632855985569958</v>
      </c>
      <c r="AD168" s="51">
        <v>0.31124045970690373</v>
      </c>
      <c r="AE168" s="51">
        <v>0.33189929705488913</v>
      </c>
    </row>
    <row r="169" spans="2:31" ht="16.5" customHeight="1">
      <c r="C169" s="1">
        <f t="shared" si="16"/>
        <v>106</v>
      </c>
      <c r="D169" s="1">
        <f t="shared" si="17"/>
        <v>263</v>
      </c>
      <c r="E169" s="20">
        <f t="shared" si="18"/>
        <v>1.02734375</v>
      </c>
      <c r="F169" s="131">
        <f t="shared" si="19"/>
        <v>0.37435584375000003</v>
      </c>
      <c r="Z169" s="112">
        <f>AD169+RBTC!$K$120</f>
        <v>0.3156053253240329</v>
      </c>
      <c r="AA169" s="112">
        <f>AE169+RBTC!$L$120</f>
        <v>0.326239658517469</v>
      </c>
      <c r="AD169" s="51">
        <v>0.31117150538311233</v>
      </c>
      <c r="AE169" s="51">
        <v>0.33181039571665855</v>
      </c>
    </row>
    <row r="170" spans="2:31" ht="16.5" customHeight="1">
      <c r="C170" s="1">
        <f t="shared" si="16"/>
        <v>117</v>
      </c>
      <c r="D170" s="1">
        <f t="shared" si="17"/>
        <v>264</v>
      </c>
      <c r="E170" s="20">
        <f t="shared" si="18"/>
        <v>1.03125</v>
      </c>
      <c r="F170" s="131">
        <f t="shared" si="19"/>
        <v>0.37756778125000007</v>
      </c>
      <c r="Z170" s="112">
        <f>AD170+RBTC!$K$120</f>
        <v>0.31553683659450865</v>
      </c>
      <c r="AA170" s="112">
        <f>AE170+RBTC!$L$120</f>
        <v>0.32614990110547826</v>
      </c>
      <c r="AD170" s="51">
        <v>0.31110301665358808</v>
      </c>
      <c r="AE170" s="51">
        <v>0.3317206383046678</v>
      </c>
    </row>
    <row r="171" spans="2:31" ht="16.5" customHeight="1">
      <c r="Z171" s="112">
        <f>AD171+RBTC!$K$120</f>
        <v>0.31546883432158201</v>
      </c>
      <c r="AA171" s="112">
        <f>AE171+RBTC!$L$120</f>
        <v>0.3260593149607045</v>
      </c>
      <c r="AD171" s="51">
        <v>0.31103501438066145</v>
      </c>
      <c r="AE171" s="51">
        <v>0.33163005215989405</v>
      </c>
    </row>
    <row r="172" spans="2:31" ht="16.5" customHeight="1">
      <c r="Z172" s="112">
        <f>AD172+RBTC!$K$120</f>
        <v>0.31540133921940411</v>
      </c>
      <c r="AA172" s="112">
        <f>AE172+RBTC!$L$120</f>
        <v>0.32596792767656491</v>
      </c>
      <c r="AD172" s="51">
        <v>0.31096751927848354</v>
      </c>
      <c r="AE172" s="51">
        <v>0.33153866487575445</v>
      </c>
    </row>
    <row r="173" spans="2:31" ht="16.5" customHeight="1">
      <c r="B173" s="5"/>
      <c r="C173" s="21" t="s">
        <v>79</v>
      </c>
      <c r="D173" s="21" t="s">
        <v>80</v>
      </c>
      <c r="E173" s="48" t="s">
        <v>81</v>
      </c>
      <c r="F173" s="49" t="s">
        <v>200</v>
      </c>
      <c r="G173" s="48" t="s">
        <v>83</v>
      </c>
      <c r="H173" s="21" t="s">
        <v>84</v>
      </c>
      <c r="I173" s="21" t="s">
        <v>85</v>
      </c>
      <c r="J173" s="21" t="s">
        <v>86</v>
      </c>
      <c r="Z173" s="112">
        <f>AD173+RBTC!$K$120</f>
        <v>0.31533437184763696</v>
      </c>
      <c r="AA173" s="112">
        <f>AE173+RBTC!$L$120</f>
        <v>0.32587576709051164</v>
      </c>
      <c r="AD173" s="51">
        <v>0.31090055190671639</v>
      </c>
      <c r="AE173" s="51">
        <v>0.33144650428970118</v>
      </c>
    </row>
    <row r="174" spans="2:31" ht="16.5" customHeight="1">
      <c r="B174" s="30" t="s">
        <v>3</v>
      </c>
      <c r="C174" s="46" t="s">
        <v>87</v>
      </c>
      <c r="D174" s="46" t="s">
        <v>88</v>
      </c>
      <c r="E174" s="46" t="s">
        <v>89</v>
      </c>
      <c r="F174" s="46" t="s">
        <v>90</v>
      </c>
      <c r="G174" s="46" t="s">
        <v>91</v>
      </c>
      <c r="H174" s="46" t="s">
        <v>92</v>
      </c>
      <c r="I174" s="46" t="s">
        <v>93</v>
      </c>
      <c r="J174" s="46" t="s">
        <v>94</v>
      </c>
      <c r="Z174" s="112">
        <f>AD174+RBTC!$K$120</f>
        <v>0.31526795260519058</v>
      </c>
      <c r="AA174" s="112">
        <f>AE174+RBTC!$L$120</f>
        <v>0.32578286127555184</v>
      </c>
      <c r="AD174" s="51">
        <v>0.31083413266427001</v>
      </c>
      <c r="AE174" s="51">
        <v>0.33135359847474138</v>
      </c>
    </row>
    <row r="175" spans="2:31" ht="16.5" customHeight="1">
      <c r="B175" s="5">
        <f>C159</f>
        <v>-10</v>
      </c>
      <c r="C175" s="1">
        <f>H97*I127</f>
        <v>6.6002897445175739</v>
      </c>
      <c r="D175" s="1">
        <f>I127*F159</f>
        <v>0.33936589355347618</v>
      </c>
      <c r="E175" s="1">
        <f>I127-J127</f>
        <v>-1.2062047326191938</v>
      </c>
      <c r="F175" s="1">
        <f>-(C175+D175)</f>
        <v>-6.9396556380710503</v>
      </c>
      <c r="G175" s="1">
        <f t="shared" ref="G175:G186" si="20">K127*H97</f>
        <v>1.2561246511968713</v>
      </c>
      <c r="H175" s="1">
        <f t="shared" ref="H175:H186" si="21">L127*F159</f>
        <v>1.8643289252018289</v>
      </c>
      <c r="I175" s="1">
        <f t="shared" ref="I175:I186" si="22">F175+G175+H175</f>
        <v>-3.8192020616723501</v>
      </c>
      <c r="J175" s="23">
        <f>I175/E175</f>
        <v>3.1662966977249423</v>
      </c>
      <c r="Z175" s="112">
        <f>AD175+RBTC!$K$120</f>
        <v>0.31520210172400981</v>
      </c>
      <c r="AA175" s="112">
        <f>AE175+RBTC!$L$120</f>
        <v>0.32568923853169685</v>
      </c>
      <c r="AD175" s="51">
        <v>0.31076828178308924</v>
      </c>
      <c r="AE175" s="51">
        <v>0.33125997573088639</v>
      </c>
    </row>
    <row r="176" spans="2:31" ht="16.5" customHeight="1">
      <c r="B176" s="5">
        <f t="shared" ref="B176:B186" si="23">C160</f>
        <v>2</v>
      </c>
      <c r="C176" s="1">
        <f t="shared" ref="C176:C186" si="24">H98*I128</f>
        <v>6.5147772581162391</v>
      </c>
      <c r="D176" s="1">
        <f t="shared" ref="D176:D186" si="25">I128*F160</f>
        <v>0.33855527682245867</v>
      </c>
      <c r="E176" s="1">
        <f t="shared" ref="E176:E186" si="26">I128-J128</f>
        <v>-1.2279985307798262</v>
      </c>
      <c r="F176" s="1">
        <f t="shared" ref="F176:F186" si="27">-(C176+D176)</f>
        <v>-6.8533325349386978</v>
      </c>
      <c r="G176" s="1">
        <f t="shared" si="20"/>
        <v>1.2646647172450152</v>
      </c>
      <c r="H176" s="1">
        <f>L128*F160</f>
        <v>1.8059378236494827</v>
      </c>
      <c r="I176" s="1">
        <f>F176+G176+H176</f>
        <v>-3.7827299940441996</v>
      </c>
      <c r="J176" s="23">
        <f>I176/E176</f>
        <v>3.0804027034478785</v>
      </c>
      <c r="Z176" s="112">
        <f>AD176+RBTC!$K$120</f>
        <v>0.31513683926291081</v>
      </c>
      <c r="AA176" s="112">
        <f>AE176+RBTC!$L$120</f>
        <v>0.3255949273773413</v>
      </c>
      <c r="AD176" s="51">
        <v>0.31070301932199024</v>
      </c>
      <c r="AE176" s="51">
        <v>0.33116566457653085</v>
      </c>
    </row>
    <row r="177" spans="2:31" ht="16.5" customHeight="1">
      <c r="B177" s="5">
        <f t="shared" si="23"/>
        <v>14</v>
      </c>
      <c r="C177" s="1">
        <f t="shared" si="24"/>
        <v>6.4292647717149052</v>
      </c>
      <c r="D177" s="1">
        <f t="shared" si="25"/>
        <v>0.34173609769441365</v>
      </c>
      <c r="E177" s="1">
        <f t="shared" si="26"/>
        <v>-1.2500611770930683</v>
      </c>
      <c r="F177" s="1">
        <f t="shared" si="27"/>
        <v>-6.7710008694093187</v>
      </c>
      <c r="G177" s="1">
        <f t="shared" si="20"/>
        <v>1.2726719202109202</v>
      </c>
      <c r="H177" s="1">
        <f t="shared" si="21"/>
        <v>1.7710047101008348</v>
      </c>
      <c r="I177" s="1">
        <f t="shared" si="22"/>
        <v>-3.7273242390975643</v>
      </c>
      <c r="J177" s="23">
        <f t="shared" ref="J177:J186" si="28">I177/E177</f>
        <v>2.981713461228515</v>
      </c>
      <c r="Z177" s="112">
        <f>AD177+RBTC!$K$120</f>
        <v>0.31507218510147156</v>
      </c>
      <c r="AA177" s="112">
        <f>AE177+RBTC!$L$120</f>
        <v>0.32549995654057656</v>
      </c>
      <c r="AD177" s="51">
        <v>0.31063836516055099</v>
      </c>
      <c r="AE177" s="51">
        <v>0.33107069373976611</v>
      </c>
    </row>
    <row r="178" spans="2:31" ht="16.5" customHeight="1">
      <c r="B178" s="5">
        <f t="shared" si="23"/>
        <v>25</v>
      </c>
      <c r="C178" s="1">
        <f t="shared" si="24"/>
        <v>6.3508783258470149</v>
      </c>
      <c r="D178" s="1">
        <f t="shared" si="25"/>
        <v>0.34477681436673946</v>
      </c>
      <c r="E178" s="1">
        <f t="shared" si="26"/>
        <v>-1.2705257181376428</v>
      </c>
      <c r="F178" s="1">
        <f t="shared" si="27"/>
        <v>-6.6956551402137547</v>
      </c>
      <c r="G178" s="1">
        <f t="shared" si="20"/>
        <v>1.2795404385482541</v>
      </c>
      <c r="H178" s="1">
        <f t="shared" si="21"/>
        <v>1.7408686764705883</v>
      </c>
      <c r="I178" s="1">
        <f t="shared" si="22"/>
        <v>-3.6752460251949128</v>
      </c>
      <c r="J178" s="23">
        <f t="shared" si="28"/>
        <v>2.8926970723443111</v>
      </c>
      <c r="Z178" s="112">
        <f>AD178+RBTC!$K$120</f>
        <v>0.31500815893397593</v>
      </c>
      <c r="AA178" s="112">
        <f>AE178+RBTC!$L$120</f>
        <v>0.32540435495043935</v>
      </c>
      <c r="AD178" s="51">
        <v>0.31057433899305537</v>
      </c>
      <c r="AE178" s="51">
        <v>0.33097509214962889</v>
      </c>
    </row>
    <row r="179" spans="2:31" ht="16.5" customHeight="1">
      <c r="B179" s="5">
        <f t="shared" si="23"/>
        <v>37</v>
      </c>
      <c r="C179" s="1">
        <f t="shared" si="24"/>
        <v>6.265365839445681</v>
      </c>
      <c r="D179" s="1">
        <f t="shared" si="25"/>
        <v>0.34798601841706761</v>
      </c>
      <c r="E179" s="1">
        <f t="shared" si="26"/>
        <v>-1.2931177549227555</v>
      </c>
      <c r="F179" s="1">
        <f t="shared" si="27"/>
        <v>-6.6133518578627486</v>
      </c>
      <c r="G179" s="1">
        <f t="shared" si="20"/>
        <v>1.2865154459378396</v>
      </c>
      <c r="H179" s="1">
        <f t="shared" si="21"/>
        <v>1.7087064619983028</v>
      </c>
      <c r="I179" s="1">
        <f t="shared" si="22"/>
        <v>-3.6181299499266055</v>
      </c>
      <c r="J179" s="23">
        <f t="shared" si="28"/>
        <v>2.7979895381938631</v>
      </c>
      <c r="Z179" s="112">
        <f>AD179+RBTC!$K$120</f>
        <v>0.31494478026341471</v>
      </c>
      <c r="AA179" s="112">
        <f>AE179+RBTC!$L$120</f>
        <v>0.32530815172810024</v>
      </c>
      <c r="AD179" s="51">
        <v>0.31051096032249415</v>
      </c>
      <c r="AE179" s="51">
        <v>0.33087888892728978</v>
      </c>
    </row>
    <row r="180" spans="2:31" ht="16.5" customHeight="1">
      <c r="B180" s="5">
        <f t="shared" si="23"/>
        <v>48</v>
      </c>
      <c r="C180" s="1">
        <f t="shared" si="24"/>
        <v>6.1869793935777908</v>
      </c>
      <c r="D180" s="1">
        <f t="shared" si="25"/>
        <v>0.35105391047294215</v>
      </c>
      <c r="E180" s="1">
        <f t="shared" si="26"/>
        <v>-1.3140763026636297</v>
      </c>
      <c r="F180" s="1">
        <f t="shared" si="27"/>
        <v>-6.5380333040507326</v>
      </c>
      <c r="G180" s="1">
        <f t="shared" si="20"/>
        <v>1.2924311624879146</v>
      </c>
      <c r="H180" s="1">
        <f t="shared" si="21"/>
        <v>1.6809226625195663</v>
      </c>
      <c r="I180" s="1">
        <f t="shared" si="22"/>
        <v>-3.5646794790432521</v>
      </c>
      <c r="J180" s="23">
        <f t="shared" si="28"/>
        <v>2.712688351367158</v>
      </c>
      <c r="Z180" s="112">
        <f>AD180+RBTC!$K$120</f>
        <v>0.314882068395545</v>
      </c>
      <c r="AA180" s="112">
        <f>AE180+RBTC!$L$120</f>
        <v>0.32521137617799273</v>
      </c>
      <c r="AD180" s="51">
        <v>0.31044824845462443</v>
      </c>
      <c r="AE180" s="51">
        <v>0.33078211337718227</v>
      </c>
    </row>
    <row r="181" spans="2:31" ht="16.5" customHeight="1">
      <c r="B181" s="5">
        <f t="shared" si="23"/>
        <v>60</v>
      </c>
      <c r="C181" s="1">
        <f t="shared" si="24"/>
        <v>6.1014669071764569</v>
      </c>
      <c r="D181" s="1">
        <f t="shared" si="25"/>
        <v>0.35429149770164342</v>
      </c>
      <c r="E181" s="1">
        <f t="shared" si="26"/>
        <v>-1.337217015111567</v>
      </c>
      <c r="F181" s="1">
        <f t="shared" si="27"/>
        <v>-6.4557584048781003</v>
      </c>
      <c r="G181" s="1">
        <f t="shared" si="20"/>
        <v>1.2983594566226595</v>
      </c>
      <c r="H181" s="1">
        <f t="shared" si="21"/>
        <v>1.6511895895163176</v>
      </c>
      <c r="I181" s="1">
        <f t="shared" si="22"/>
        <v>-3.5062093587391234</v>
      </c>
      <c r="J181" s="23">
        <f t="shared" si="28"/>
        <v>2.6220197014518192</v>
      </c>
      <c r="Z181" s="112">
        <f>AD181+RBTC!$K$120</f>
        <v>0.31482004243300921</v>
      </c>
      <c r="AA181" s="112">
        <f>AE181+RBTC!$L$120</f>
        <v>0.32511405777888674</v>
      </c>
      <c r="AD181" s="51">
        <v>0.31038622249208864</v>
      </c>
      <c r="AE181" s="51">
        <v>0.33068479497807629</v>
      </c>
    </row>
    <row r="182" spans="2:31" ht="16.5" customHeight="1">
      <c r="B182" s="5">
        <f t="shared" si="23"/>
        <v>71</v>
      </c>
      <c r="C182" s="1">
        <f t="shared" si="24"/>
        <v>6.0230804613085667</v>
      </c>
      <c r="D182" s="1">
        <f t="shared" si="25"/>
        <v>0.35738656514106681</v>
      </c>
      <c r="E182" s="1">
        <f t="shared" si="26"/>
        <v>-1.3586876756316126</v>
      </c>
      <c r="F182" s="1">
        <f t="shared" si="27"/>
        <v>-6.380467026449633</v>
      </c>
      <c r="G182" s="1">
        <f t="shared" si="20"/>
        <v>1.303308938885624</v>
      </c>
      <c r="H182" s="1">
        <f t="shared" si="21"/>
        <v>1.6254724031098726</v>
      </c>
      <c r="I182" s="1">
        <f t="shared" si="22"/>
        <v>-3.4516856844541364</v>
      </c>
      <c r="J182" s="23">
        <f t="shared" si="28"/>
        <v>2.5404555781000608</v>
      </c>
      <c r="Z182" s="112">
        <f>AD182+RBTC!$K$120</f>
        <v>0.31475872126951637</v>
      </c>
      <c r="AA182" s="112">
        <f>AE182+RBTC!$L$120</f>
        <v>0.32501622617490944</v>
      </c>
      <c r="AD182" s="51">
        <v>0.3103249013285958</v>
      </c>
      <c r="AE182" s="51">
        <v>0.33058696337409899</v>
      </c>
    </row>
    <row r="183" spans="2:31" ht="16.5" customHeight="1">
      <c r="B183" s="5">
        <f t="shared" si="23"/>
        <v>83</v>
      </c>
      <c r="C183" s="1">
        <f t="shared" si="24"/>
        <v>5.9375679749072328</v>
      </c>
      <c r="D183" s="1">
        <f t="shared" si="25"/>
        <v>0.3606525355481412</v>
      </c>
      <c r="E183" s="1">
        <f t="shared" si="26"/>
        <v>-1.3823972971606198</v>
      </c>
      <c r="F183" s="1">
        <f t="shared" si="27"/>
        <v>-6.2982205104553737</v>
      </c>
      <c r="G183" s="1">
        <f t="shared" si="20"/>
        <v>1.3081757285529592</v>
      </c>
      <c r="H183" s="1">
        <f t="shared" si="21"/>
        <v>1.5978801148349371</v>
      </c>
      <c r="I183" s="1">
        <f t="shared" si="22"/>
        <v>-3.392164667067477</v>
      </c>
      <c r="J183" s="23">
        <f t="shared" si="28"/>
        <v>2.4538276181780931</v>
      </c>
      <c r="Z183" s="112">
        <f>AD183+RBTC!$K$120</f>
        <v>0.31469812358408694</v>
      </c>
      <c r="AA183" s="112">
        <f>AE183+RBTC!$L$120</f>
        <v>0.32491791116651519</v>
      </c>
      <c r="AD183" s="51">
        <v>0.31026430364316637</v>
      </c>
      <c r="AE183" s="51">
        <v>0.33048864836570474</v>
      </c>
    </row>
    <row r="184" spans="2:31" ht="16.5" customHeight="1">
      <c r="B184" s="5">
        <f t="shared" si="23"/>
        <v>94</v>
      </c>
      <c r="C184" s="1">
        <f t="shared" si="24"/>
        <v>5.8591815290393434</v>
      </c>
      <c r="D184" s="1">
        <f t="shared" si="25"/>
        <v>0.36377477837111333</v>
      </c>
      <c r="E184" s="1">
        <f t="shared" si="26"/>
        <v>-1.4043990722975499</v>
      </c>
      <c r="F184" s="1">
        <f t="shared" si="27"/>
        <v>-6.222956307410457</v>
      </c>
      <c r="G184" s="1">
        <f t="shared" si="20"/>
        <v>1.3121452903438775</v>
      </c>
      <c r="H184" s="1">
        <f t="shared" si="21"/>
        <v>1.5739877594765341</v>
      </c>
      <c r="I184" s="1">
        <f t="shared" si="22"/>
        <v>-3.3368232575900461</v>
      </c>
      <c r="J184" s="23">
        <f t="shared" si="28"/>
        <v>2.3759793946111878</v>
      </c>
      <c r="Z184" s="112">
        <f>AD184+RBTC!$K$120</f>
        <v>0.31463826783536297</v>
      </c>
      <c r="AA184" s="112">
        <f>AE184+RBTC!$L$120</f>
        <v>0.32481914270140788</v>
      </c>
      <c r="AD184" s="51">
        <v>0.3102044478944424</v>
      </c>
      <c r="AE184" s="51">
        <v>0.33038987990059743</v>
      </c>
    </row>
    <row r="185" spans="2:31" ht="16.5" customHeight="1">
      <c r="B185" s="5">
        <f t="shared" si="23"/>
        <v>106</v>
      </c>
      <c r="C185" s="1">
        <f t="shared" si="24"/>
        <v>5.7736690426380086</v>
      </c>
      <c r="D185" s="1">
        <f t="shared" si="25"/>
        <v>0.36706913195656082</v>
      </c>
      <c r="E185" s="1">
        <f t="shared" si="26"/>
        <v>-1.4286988435567447</v>
      </c>
      <c r="F185" s="1">
        <f t="shared" si="27"/>
        <v>-6.1407381745945697</v>
      </c>
      <c r="G185" s="1">
        <f t="shared" si="20"/>
        <v>1.3159355043244845</v>
      </c>
      <c r="H185" s="1">
        <f t="shared" si="21"/>
        <v>1.5482912603503178</v>
      </c>
      <c r="I185" s="1">
        <f t="shared" si="22"/>
        <v>-3.2765114099197667</v>
      </c>
      <c r="J185" s="23">
        <f t="shared" si="28"/>
        <v>2.2933534416272741</v>
      </c>
      <c r="Z185" s="112">
        <f>AD185+RBTC!$K$120</f>
        <v>0.31457917225598525</v>
      </c>
      <c r="AA185" s="112">
        <f>AE185+RBTC!$L$120</f>
        <v>0.32471995086541872</v>
      </c>
      <c r="AD185" s="51">
        <v>0.31014535231506468</v>
      </c>
      <c r="AE185" s="51">
        <v>0.33029068806460826</v>
      </c>
    </row>
    <row r="186" spans="2:31" ht="16.5" customHeight="1">
      <c r="B186" s="5">
        <f t="shared" si="23"/>
        <v>117</v>
      </c>
      <c r="C186" s="1">
        <f t="shared" si="24"/>
        <v>5.6952825967701193</v>
      </c>
      <c r="D186" s="1">
        <f t="shared" si="25"/>
        <v>0.37021855016308175</v>
      </c>
      <c r="E186" s="1">
        <f t="shared" si="26"/>
        <v>-1.4512516869903966</v>
      </c>
      <c r="F186" s="1">
        <f t="shared" si="27"/>
        <v>-6.065501146933201</v>
      </c>
      <c r="G186" s="1">
        <f t="shared" si="20"/>
        <v>1.3189111997560938</v>
      </c>
      <c r="H186" s="1">
        <f t="shared" si="21"/>
        <v>1.5260176960437901</v>
      </c>
      <c r="I186" s="1">
        <f t="shared" si="22"/>
        <v>-3.2205722511333166</v>
      </c>
      <c r="J186" s="23">
        <f t="shared" si="28"/>
        <v>2.2191686528283276</v>
      </c>
      <c r="Z186" s="112">
        <f>AD186+RBTC!$K$120</f>
        <v>0.31452085484703984</v>
      </c>
      <c r="AA186" s="112">
        <f>AE186+RBTC!$L$120</f>
        <v>0.32462036587334198</v>
      </c>
      <c r="AD186" s="51">
        <v>0.31008703490611927</v>
      </c>
      <c r="AE186" s="51">
        <v>0.33019110307253152</v>
      </c>
    </row>
    <row r="187" spans="2:31" ht="16.5" customHeight="1">
      <c r="Z187" s="112">
        <f>AD187+RBTC!$K$120</f>
        <v>0.31446333337257437</v>
      </c>
      <c r="AA187" s="112">
        <f>AE187+RBTC!$L$120</f>
        <v>0.32452041805973081</v>
      </c>
      <c r="AD187" s="51">
        <v>0.3100295134316538</v>
      </c>
      <c r="AE187" s="51">
        <v>0.33009115525892035</v>
      </c>
    </row>
    <row r="188" spans="2:31" ht="16.5" customHeight="1">
      <c r="B188" s="5"/>
      <c r="C188" s="266" t="s">
        <v>0</v>
      </c>
      <c r="D188" s="266"/>
      <c r="E188" s="266"/>
      <c r="F188" s="266"/>
      <c r="Z188" s="112">
        <f>AD188+RBTC!$K$120</f>
        <v>0.31440662535418717</v>
      </c>
      <c r="AA188" s="112">
        <f>AE188+RBTC!$L$120</f>
        <v>0.32442013786965757</v>
      </c>
      <c r="AD188" s="51">
        <v>0.30997280541326661</v>
      </c>
      <c r="AE188" s="51">
        <v>0.32999087506884711</v>
      </c>
    </row>
    <row r="189" spans="2:31" ht="16.5" customHeight="1">
      <c r="B189" s="30" t="str">
        <f t="shared" ref="B189:B201" si="29">B174</f>
        <v>Temp</v>
      </c>
      <c r="C189" s="50" t="s">
        <v>4</v>
      </c>
      <c r="D189" s="50" t="s">
        <v>5</v>
      </c>
      <c r="E189" s="50" t="s">
        <v>6</v>
      </c>
      <c r="F189" s="50" t="s">
        <v>195</v>
      </c>
      <c r="Z189" s="112">
        <f>AD189+RBTC!$K$120</f>
        <v>0.31435074806569002</v>
      </c>
      <c r="AA189" s="112">
        <f>AE189+RBTC!$L$120</f>
        <v>0.3243195558494395</v>
      </c>
      <c r="AD189" s="51">
        <v>0.30991692812476945</v>
      </c>
      <c r="AE189" s="51">
        <v>0.32989029304862905</v>
      </c>
    </row>
    <row r="190" spans="2:31" ht="16.5" customHeight="1">
      <c r="B190" s="5">
        <f t="shared" si="29"/>
        <v>-10</v>
      </c>
      <c r="C190" s="1">
        <f t="shared" ref="C190:E201" si="30">C97</f>
        <v>0.6819166666666665</v>
      </c>
      <c r="D190" s="1">
        <f t="shared" si="30"/>
        <v>0.31184166666666668</v>
      </c>
      <c r="E190" s="1">
        <f t="shared" si="30"/>
        <v>3.5702341666666664</v>
      </c>
      <c r="F190" s="131">
        <f>J175</f>
        <v>3.1662966977249423</v>
      </c>
      <c r="Z190" s="112">
        <f>AD190+RBTC!$K$120</f>
        <v>0.31429571852784632</v>
      </c>
      <c r="AA190" s="112">
        <f>AE190+RBTC!$L$120</f>
        <v>0.32421870263733432</v>
      </c>
      <c r="AD190" s="51">
        <v>0.30986189858692575</v>
      </c>
      <c r="AE190" s="51">
        <v>0.32978943983652387</v>
      </c>
    </row>
    <row r="191" spans="2:31" ht="16.5" customHeight="1">
      <c r="B191" s="5">
        <f t="shared" si="29"/>
        <v>2</v>
      </c>
      <c r="C191" s="1">
        <f t="shared" si="30"/>
        <v>0.68451666666666666</v>
      </c>
      <c r="D191" s="1">
        <f t="shared" si="30"/>
        <v>0.30994166666666667</v>
      </c>
      <c r="E191" s="1">
        <f t="shared" si="30"/>
        <v>3.3293241666666664</v>
      </c>
      <c r="F191" s="131">
        <f t="shared" ref="F191:F201" si="31">J176</f>
        <v>3.0804027034478785</v>
      </c>
      <c r="Z191" s="112">
        <f>AD191+RBTC!$K$120</f>
        <v>0.31424155350318633</v>
      </c>
      <c r="AA191" s="112">
        <f>AE191+RBTC!$L$120</f>
        <v>0.32411760895420755</v>
      </c>
      <c r="AD191" s="51">
        <v>0.30980773356226576</v>
      </c>
      <c r="AE191" s="51">
        <v>0.32968834615339709</v>
      </c>
    </row>
    <row r="192" spans="2:31" ht="16.5" customHeight="1">
      <c r="B192" s="5">
        <f t="shared" si="29"/>
        <v>14</v>
      </c>
      <c r="C192" s="1">
        <f t="shared" si="30"/>
        <v>0.6871166666666666</v>
      </c>
      <c r="D192" s="1">
        <f t="shared" si="30"/>
        <v>0.30804166666666666</v>
      </c>
      <c r="E192" s="1">
        <f t="shared" si="30"/>
        <v>3.0884141666666665</v>
      </c>
      <c r="F192" s="131">
        <f t="shared" si="31"/>
        <v>2.981713461228515</v>
      </c>
      <c r="Z192" s="112">
        <f>AD192+RBTC!$K$120</f>
        <v>0.31418826949090128</v>
      </c>
      <c r="AA192" s="112">
        <f>AE192+RBTC!$L$120</f>
        <v>0.32401630559417421</v>
      </c>
      <c r="AD192" s="51">
        <v>0.30975444954998071</v>
      </c>
      <c r="AE192" s="51">
        <v>0.32958704279336376</v>
      </c>
    </row>
    <row r="193" spans="2:31" ht="16.5" customHeight="1">
      <c r="B193" s="5">
        <f t="shared" si="29"/>
        <v>25</v>
      </c>
      <c r="C193" s="1">
        <f t="shared" si="30"/>
        <v>0.6895</v>
      </c>
      <c r="D193" s="1">
        <f t="shared" si="30"/>
        <v>0.30630000000000002</v>
      </c>
      <c r="E193" s="1">
        <f t="shared" si="30"/>
        <v>2.8675799999999998</v>
      </c>
      <c r="F193" s="131">
        <f t="shared" si="31"/>
        <v>2.8926970723443111</v>
      </c>
      <c r="Z193" s="112">
        <f>AD193+RBTC!$K$120</f>
        <v>0.31413588272181753</v>
      </c>
      <c r="AA193" s="112">
        <f>AE193+RBTC!$L$120</f>
        <v>0.32391482341521927</v>
      </c>
      <c r="AD193" s="51">
        <v>0.30970206278089696</v>
      </c>
      <c r="AE193" s="51">
        <v>0.32948556061440881</v>
      </c>
    </row>
    <row r="194" spans="2:31" ht="16.5" customHeight="1">
      <c r="B194" s="5">
        <f t="shared" si="29"/>
        <v>37</v>
      </c>
      <c r="C194" s="1">
        <f t="shared" si="30"/>
        <v>0.69210000000000005</v>
      </c>
      <c r="D194" s="1">
        <f t="shared" si="30"/>
        <v>0.3044</v>
      </c>
      <c r="E194" s="1">
        <f t="shared" si="30"/>
        <v>2.6266699999999998</v>
      </c>
      <c r="F194" s="131">
        <f>J179</f>
        <v>2.7979895381938631</v>
      </c>
      <c r="Z194" s="112">
        <f>AD194+RBTC!$K$120</f>
        <v>0.31408440915345237</v>
      </c>
      <c r="AA194" s="112">
        <f>AE194+RBTC!$L$120</f>
        <v>0.32381319332979741</v>
      </c>
      <c r="AD194" s="51">
        <v>0.3096505892125318</v>
      </c>
      <c r="AE194" s="51">
        <v>0.32938393052898696</v>
      </c>
    </row>
    <row r="195" spans="2:31" ht="16.5" customHeight="1">
      <c r="B195" s="5">
        <f t="shared" si="29"/>
        <v>48</v>
      </c>
      <c r="C195" s="1">
        <f t="shared" si="30"/>
        <v>0.69448333333333345</v>
      </c>
      <c r="D195" s="1">
        <f t="shared" si="30"/>
        <v>0.30265833333333331</v>
      </c>
      <c r="E195" s="1">
        <f t="shared" si="30"/>
        <v>2.4058358333333332</v>
      </c>
      <c r="F195" s="131">
        <f t="shared" si="31"/>
        <v>2.712688351367158</v>
      </c>
      <c r="Z195" s="112">
        <f>AD195+RBTC!$K$120</f>
        <v>0.31403386446515336</v>
      </c>
      <c r="AA195" s="112">
        <f>AE195+RBTC!$L$120</f>
        <v>0.3237114462954172</v>
      </c>
      <c r="AD195" s="51">
        <v>0.30960004452423279</v>
      </c>
      <c r="AE195" s="51">
        <v>0.32928218349460675</v>
      </c>
    </row>
    <row r="196" spans="2:31" ht="16.5" customHeight="1">
      <c r="B196" s="5">
        <f t="shared" si="29"/>
        <v>60</v>
      </c>
      <c r="C196" s="1">
        <f t="shared" si="30"/>
        <v>0.6970833333333335</v>
      </c>
      <c r="D196" s="1">
        <f t="shared" si="30"/>
        <v>0.30075833333333329</v>
      </c>
      <c r="E196" s="1">
        <f t="shared" si="30"/>
        <v>2.1649258333333332</v>
      </c>
      <c r="F196" s="131">
        <f t="shared" si="31"/>
        <v>2.6220197014518192</v>
      </c>
      <c r="Z196" s="112">
        <f>AD196+RBTC!$K$120</f>
        <v>0.31398426405332225</v>
      </c>
      <c r="AA196" s="112">
        <f>AE196+RBTC!$L$120</f>
        <v>0.32360961330521099</v>
      </c>
      <c r="AD196" s="51">
        <v>0.30955044411240168</v>
      </c>
      <c r="AE196" s="51">
        <v>0.32918035050440053</v>
      </c>
    </row>
    <row r="197" spans="2:31" ht="16.5" customHeight="1">
      <c r="B197" s="5">
        <f t="shared" si="29"/>
        <v>71</v>
      </c>
      <c r="C197" s="1">
        <f t="shared" si="30"/>
        <v>0.6994666666666669</v>
      </c>
      <c r="D197" s="1">
        <f t="shared" si="30"/>
        <v>0.2990166666666666</v>
      </c>
      <c r="E197" s="1">
        <f t="shared" si="30"/>
        <v>1.9440916666666666</v>
      </c>
      <c r="F197" s="131">
        <f t="shared" si="31"/>
        <v>2.5404555781000608</v>
      </c>
      <c r="Z197" s="112">
        <f>AD197+RBTC!$K$120</f>
        <v>0.3139356230267249</v>
      </c>
      <c r="AA197" s="112">
        <f>AE197+RBTC!$L$120</f>
        <v>0.32350772537849398</v>
      </c>
      <c r="AD197" s="51">
        <v>0.30950180308580433</v>
      </c>
      <c r="AE197" s="51">
        <v>0.32907846257768353</v>
      </c>
    </row>
    <row r="198" spans="2:31" ht="16.5" customHeight="1">
      <c r="B198" s="5">
        <f t="shared" si="29"/>
        <v>83</v>
      </c>
      <c r="C198" s="1">
        <f t="shared" si="30"/>
        <v>0.70206666666666695</v>
      </c>
      <c r="D198" s="1">
        <f t="shared" si="30"/>
        <v>0.29711666666666658</v>
      </c>
      <c r="E198" s="1">
        <f t="shared" si="30"/>
        <v>1.7031816666666666</v>
      </c>
      <c r="F198" s="131">
        <f t="shared" si="31"/>
        <v>2.4538276181780931</v>
      </c>
      <c r="Z198" s="112">
        <f>AD198+RBTC!$K$120</f>
        <v>0.31388795620188925</v>
      </c>
      <c r="AA198" s="112">
        <f>AE198+RBTC!$L$120</f>
        <v>0.32340581355131576</v>
      </c>
      <c r="AD198" s="51">
        <v>0.30945413626096868</v>
      </c>
      <c r="AE198" s="51">
        <v>0.3289765507505053</v>
      </c>
    </row>
    <row r="199" spans="2:31" ht="16.5" customHeight="1">
      <c r="B199" s="5">
        <f t="shared" si="29"/>
        <v>94</v>
      </c>
      <c r="C199" s="1">
        <f t="shared" si="30"/>
        <v>0.70445000000000024</v>
      </c>
      <c r="D199" s="1">
        <f t="shared" si="30"/>
        <v>0.29537499999999994</v>
      </c>
      <c r="E199" s="1">
        <f t="shared" si="30"/>
        <v>1.4823474999999999</v>
      </c>
      <c r="F199" s="131">
        <f t="shared" si="31"/>
        <v>2.3759793946111878</v>
      </c>
      <c r="Z199" s="112">
        <f>AD199+RBTC!$K$120</f>
        <v>0.31384127809859191</v>
      </c>
      <c r="AA199" s="112">
        <f>AE199+RBTC!$L$120</f>
        <v>0.32330390886700611</v>
      </c>
      <c r="AD199" s="51">
        <v>0.30940745815767134</v>
      </c>
      <c r="AE199" s="51">
        <v>0.32887464606619565</v>
      </c>
    </row>
    <row r="200" spans="2:31" ht="16.5" customHeight="1">
      <c r="B200" s="5">
        <f t="shared" si="29"/>
        <v>106</v>
      </c>
      <c r="C200" s="1">
        <f t="shared" si="30"/>
        <v>0.7070500000000004</v>
      </c>
      <c r="D200" s="1">
        <f t="shared" si="30"/>
        <v>0.29347499999999993</v>
      </c>
      <c r="E200" s="1">
        <f t="shared" si="30"/>
        <v>1.2414375</v>
      </c>
      <c r="F200" s="131">
        <f t="shared" si="31"/>
        <v>2.2933534416272741</v>
      </c>
      <c r="Z200" s="112">
        <f>AD200+RBTC!$K$120</f>
        <v>0.31379560293543529</v>
      </c>
      <c r="AA200" s="112">
        <f>AE200+RBTC!$L$120</f>
        <v>0.32320204236671901</v>
      </c>
      <c r="AD200" s="51">
        <v>0.30936178299451472</v>
      </c>
      <c r="AE200" s="51">
        <v>0.32877277956590856</v>
      </c>
    </row>
    <row r="201" spans="2:31" ht="16.5" customHeight="1">
      <c r="B201" s="5">
        <f t="shared" si="29"/>
        <v>117</v>
      </c>
      <c r="C201" s="1">
        <f t="shared" si="30"/>
        <v>0.70943333333333369</v>
      </c>
      <c r="D201" s="1">
        <f t="shared" si="30"/>
        <v>0.29173333333333323</v>
      </c>
      <c r="E201" s="1">
        <f t="shared" si="30"/>
        <v>1.0206033333333333</v>
      </c>
      <c r="F201" s="131">
        <f t="shared" si="31"/>
        <v>2.2191686528283276</v>
      </c>
      <c r="Z201" s="112">
        <f>AD201+RBTC!$K$120</f>
        <v>0.31375094462551661</v>
      </c>
      <c r="AA201" s="112">
        <f>AE201+RBTC!$L$120</f>
        <v>0.32310024507997731</v>
      </c>
      <c r="AD201" s="51">
        <v>0.30931712468459605</v>
      </c>
      <c r="AE201" s="51">
        <v>0.32867098227916686</v>
      </c>
    </row>
    <row r="202" spans="2:31" ht="16.5" customHeight="1">
      <c r="C202" s="371" t="s">
        <v>101</v>
      </c>
      <c r="D202" s="371"/>
      <c r="E202" s="371" t="s">
        <v>100</v>
      </c>
      <c r="F202" s="371"/>
      <c r="Z202" s="112">
        <f>AD202+RBTC!$K$120</f>
        <v>0.31370731677218966</v>
      </c>
      <c r="AA202" s="112">
        <f>AE202+RBTC!$L$120</f>
        <v>0.3229985480152206</v>
      </c>
      <c r="AD202" s="51">
        <v>0.30927349683126909</v>
      </c>
      <c r="AE202" s="51">
        <v>0.32856928521441015</v>
      </c>
    </row>
    <row r="203" spans="2:31" ht="16.5" customHeight="1">
      <c r="C203" s="1" t="s">
        <v>67</v>
      </c>
      <c r="D203" s="1" t="s">
        <v>68</v>
      </c>
      <c r="E203" s="1" t="s">
        <v>67</v>
      </c>
      <c r="F203" s="1" t="s">
        <v>68</v>
      </c>
      <c r="Z203" s="112">
        <f>AD203+RBTC!$K$120</f>
        <v>0.31366473266492112</v>
      </c>
      <c r="AA203" s="112">
        <f>AE203+RBTC!$L$120</f>
        <v>0.32289698215036</v>
      </c>
      <c r="AD203" s="51">
        <v>0.30923091272400055</v>
      </c>
      <c r="AE203" s="51">
        <v>0.32846771934954955</v>
      </c>
    </row>
    <row r="204" spans="2:31" ht="16.5" customHeight="1">
      <c r="C204" s="1">
        <f>256-E204*3</f>
        <v>205</v>
      </c>
      <c r="D204" s="23" t="str">
        <f>DEC2HEX(C204)</f>
        <v>CD</v>
      </c>
      <c r="E204" s="1">
        <f>ROUND((F194-E194)/E194*256,0)</f>
        <v>17</v>
      </c>
      <c r="F204" s="23" t="str">
        <f>DEC2HEX(E204)</f>
        <v>11</v>
      </c>
      <c r="Z204" s="112">
        <f>AD204+RBTC!$K$120</f>
        <v>0.31362320527524268</v>
      </c>
      <c r="AA204" s="112">
        <f>AE204+RBTC!$L$120</f>
        <v>0.32279557842334189</v>
      </c>
      <c r="AD204" s="51">
        <v>0.30918938533432211</v>
      </c>
      <c r="AE204" s="51">
        <v>0.32836631562253144</v>
      </c>
    </row>
    <row r="205" spans="2:31" ht="16.5" customHeight="1">
      <c r="Z205" s="112">
        <f>AD205+RBTC!$K$120</f>
        <v>0.3135827472527995</v>
      </c>
      <c r="AA205" s="112">
        <f>AE205+RBTC!$L$120</f>
        <v>0.32269436772272375</v>
      </c>
      <c r="AD205" s="51">
        <v>0.30914892731187893</v>
      </c>
      <c r="AE205" s="51">
        <v>0.3282651049219133</v>
      </c>
    </row>
    <row r="206" spans="2:31" ht="16.5" customHeight="1">
      <c r="B206" s="327" t="s">
        <v>96</v>
      </c>
      <c r="C206" s="329"/>
      <c r="D206" s="329"/>
      <c r="E206" s="329"/>
      <c r="Z206" s="112">
        <f>AD206+RBTC!$K$120</f>
        <v>0.31354337092149714</v>
      </c>
      <c r="AA206" s="112">
        <f>AE206+RBTC!$L$120</f>
        <v>0.3225933808782655</v>
      </c>
      <c r="AD206" s="51">
        <v>0.30910955098057658</v>
      </c>
      <c r="AE206" s="51">
        <v>0.32816411807745505</v>
      </c>
    </row>
    <row r="207" spans="2:31" ht="16.5" customHeight="1">
      <c r="B207" s="30" t="s">
        <v>3</v>
      </c>
      <c r="C207" s="1" t="s">
        <v>97</v>
      </c>
      <c r="D207" s="1" t="s">
        <v>9</v>
      </c>
      <c r="E207" s="1" t="s">
        <v>98</v>
      </c>
      <c r="Z207" s="112">
        <f>AD207+RBTC!$K$120</f>
        <v>0.31350508827574758</v>
      </c>
      <c r="AA207" s="112">
        <f>AE207+RBTC!$L$120</f>
        <v>0.32249264865153826</v>
      </c>
      <c r="AD207" s="51">
        <v>0.30907126833482701</v>
      </c>
      <c r="AE207" s="51">
        <v>0.32806338585072781</v>
      </c>
    </row>
    <row r="208" spans="2:31" ht="16.5" customHeight="1">
      <c r="B208" s="5">
        <f t="shared" ref="B208:B219" si="32">B97</f>
        <v>-10</v>
      </c>
      <c r="C208" s="1">
        <f>C204</f>
        <v>205</v>
      </c>
      <c r="D208" s="20">
        <f t="shared" ref="D208:D219" si="33">C208/256</f>
        <v>0.80078125</v>
      </c>
      <c r="E208" s="1">
        <f t="shared" ref="E208:E219" si="34">E190*D208</f>
        <v>2.8589765787760415</v>
      </c>
      <c r="Z208" s="112">
        <f>AD208+RBTC!$K$120</f>
        <v>0.31346791097681553</v>
      </c>
      <c r="AA208" s="112">
        <f>AE208+RBTC!$L$120</f>
        <v>0.32239220172655403</v>
      </c>
      <c r="AD208" s="51">
        <v>0.30903409103589496</v>
      </c>
      <c r="AE208" s="51">
        <v>0.32796293892574357</v>
      </c>
    </row>
    <row r="209" spans="2:31" ht="16.5" customHeight="1">
      <c r="B209" s="5">
        <f t="shared" si="32"/>
        <v>2</v>
      </c>
      <c r="C209" s="1">
        <f t="shared" ref="C209:C219" si="35">C208+$E$204</f>
        <v>222</v>
      </c>
      <c r="D209" s="20">
        <f t="shared" si="33"/>
        <v>0.8671875</v>
      </c>
      <c r="E209" s="1">
        <f t="shared" si="34"/>
        <v>2.88714830078125</v>
      </c>
      <c r="Z209" s="112">
        <f>AD209+RBTC!$K$120</f>
        <v>0.31343185034926641</v>
      </c>
      <c r="AA209" s="112">
        <f>AE209+RBTC!$L$120</f>
        <v>0.32229207070041926</v>
      </c>
      <c r="AD209" s="51">
        <v>0.30899803040834584</v>
      </c>
      <c r="AE209" s="51">
        <v>0.32786280789960881</v>
      </c>
    </row>
    <row r="210" spans="2:31" ht="16.5" customHeight="1">
      <c r="B210" s="5">
        <f t="shared" si="32"/>
        <v>14</v>
      </c>
      <c r="C210" s="1">
        <f t="shared" si="35"/>
        <v>239</v>
      </c>
      <c r="D210" s="20">
        <f t="shared" si="33"/>
        <v>0.93359375</v>
      </c>
      <c r="E210" s="1">
        <f t="shared" si="34"/>
        <v>2.8833241634114581</v>
      </c>
      <c r="Z210" s="112">
        <f>AD210+RBTC!$K$120</f>
        <v>0.31339691737751668</v>
      </c>
      <c r="AA210" s="112">
        <f>AE210+RBTC!$L$120</f>
        <v>0.32219228607401451</v>
      </c>
      <c r="AD210" s="51">
        <v>0.30896309743659611</v>
      </c>
      <c r="AE210" s="51">
        <v>0.32776302327320406</v>
      </c>
    </row>
    <row r="211" spans="2:31" ht="16.5" customHeight="1">
      <c r="B211" s="5">
        <f t="shared" si="32"/>
        <v>25</v>
      </c>
      <c r="C211" s="1">
        <f t="shared" si="35"/>
        <v>256</v>
      </c>
      <c r="D211" s="20">
        <f t="shared" si="33"/>
        <v>1</v>
      </c>
      <c r="E211" s="1">
        <f t="shared" si="34"/>
        <v>2.8675799999999998</v>
      </c>
      <c r="Z211" s="112">
        <f>AD211+RBTC!$K$120</f>
        <v>0.3133631227024879</v>
      </c>
      <c r="AA211" s="112">
        <f>AE211+RBTC!$L$120</f>
        <v>0.32209287824270361</v>
      </c>
      <c r="AD211" s="51">
        <v>0.30892930276156733</v>
      </c>
      <c r="AE211" s="51">
        <v>0.32766361544189315</v>
      </c>
    </row>
    <row r="212" spans="2:31" ht="16.5" customHeight="1">
      <c r="B212" s="5">
        <f t="shared" si="32"/>
        <v>37</v>
      </c>
      <c r="C212" s="1">
        <f t="shared" si="35"/>
        <v>273</v>
      </c>
      <c r="D212" s="20">
        <f t="shared" si="33"/>
        <v>1.06640625</v>
      </c>
      <c r="E212" s="1">
        <f t="shared" si="34"/>
        <v>2.8010973046874996</v>
      </c>
      <c r="Z212" s="112">
        <f>AD212+RBTC!$K$120</f>
        <v>0.31333047661836561</v>
      </c>
      <c r="AA212" s="112">
        <f>AE212+RBTC!$L$120</f>
        <v>0.32199387748707492</v>
      </c>
      <c r="AD212" s="51">
        <v>0.30889665667744504</v>
      </c>
      <c r="AE212" s="51">
        <v>0.32756461468626447</v>
      </c>
    </row>
    <row r="213" spans="2:31" ht="16.5" customHeight="1">
      <c r="B213" s="5">
        <f t="shared" si="32"/>
        <v>48</v>
      </c>
      <c r="C213" s="1">
        <f t="shared" si="35"/>
        <v>290</v>
      </c>
      <c r="D213" s="20">
        <f t="shared" si="33"/>
        <v>1.1328125</v>
      </c>
      <c r="E213" s="1">
        <f t="shared" si="34"/>
        <v>2.7253609049479164</v>
      </c>
      <c r="Z213" s="112">
        <f>AD213+RBTC!$K$120</f>
        <v>0.31329898906946313</v>
      </c>
      <c r="AA213" s="112">
        <f>AE213+RBTC!$L$120</f>
        <v>0.32189531396371773</v>
      </c>
      <c r="AD213" s="51">
        <v>0.30886516912854256</v>
      </c>
      <c r="AE213" s="51">
        <v>0.32746605116290728</v>
      </c>
    </row>
    <row r="214" spans="2:31" ht="16.5" customHeight="1">
      <c r="B214" s="5">
        <f t="shared" si="32"/>
        <v>60</v>
      </c>
      <c r="C214" s="1">
        <f t="shared" si="35"/>
        <v>307</v>
      </c>
      <c r="D214" s="20">
        <f t="shared" si="33"/>
        <v>1.19921875</v>
      </c>
      <c r="E214" s="1">
        <f t="shared" si="34"/>
        <v>2.5962196516927083</v>
      </c>
      <c r="Z214" s="112">
        <f>AD214+RBTC!$K$120</f>
        <v>0.31326866964719291</v>
      </c>
      <c r="AA214" s="112">
        <f>AE214+RBTC!$L$120</f>
        <v>0.32179721769603598</v>
      </c>
      <c r="AD214" s="51">
        <v>0.30883484970627234</v>
      </c>
      <c r="AE214" s="51">
        <v>0.32736795489522552</v>
      </c>
    </row>
    <row r="215" spans="2:31" ht="16.5" customHeight="1">
      <c r="B215" s="5">
        <f t="shared" si="32"/>
        <v>71</v>
      </c>
      <c r="C215" s="1">
        <f t="shared" si="35"/>
        <v>324</v>
      </c>
      <c r="D215" s="20">
        <f t="shared" si="33"/>
        <v>1.265625</v>
      </c>
      <c r="E215" s="1">
        <f t="shared" si="34"/>
        <v>2.4604910156249997</v>
      </c>
      <c r="Z215" s="112">
        <f>AD215+RBTC!$K$120</f>
        <v>0.31323952758714474</v>
      </c>
      <c r="AA215" s="112">
        <f>AE215+RBTC!$L$120</f>
        <v>0.32169961856510315</v>
      </c>
      <c r="AD215" s="51">
        <v>0.30880570764622417</v>
      </c>
      <c r="AE215" s="51">
        <v>0.3272703557642927</v>
      </c>
    </row>
    <row r="216" spans="2:31" ht="16.5" customHeight="1">
      <c r="B216" s="5">
        <f t="shared" si="32"/>
        <v>83</v>
      </c>
      <c r="C216" s="1">
        <f t="shared" si="35"/>
        <v>341</v>
      </c>
      <c r="D216" s="20">
        <f t="shared" si="33"/>
        <v>1.33203125</v>
      </c>
      <c r="E216" s="1">
        <f t="shared" si="34"/>
        <v>2.2686912044270833</v>
      </c>
      <c r="Z216" s="112">
        <f>AD216+RBTC!$K$120</f>
        <v>0.3132115717662724</v>
      </c>
      <c r="AA216" s="112">
        <f>AE216+RBTC!$L$120</f>
        <v>0.32160254630055995</v>
      </c>
      <c r="AD216" s="51">
        <v>0.30877775182535183</v>
      </c>
      <c r="AE216" s="51">
        <v>0.3271732834997495</v>
      </c>
    </row>
    <row r="217" spans="2:31" ht="16.5" customHeight="1">
      <c r="B217" s="5">
        <f t="shared" si="32"/>
        <v>94</v>
      </c>
      <c r="C217" s="1">
        <f t="shared" si="35"/>
        <v>358</v>
      </c>
      <c r="D217" s="20">
        <f t="shared" si="33"/>
        <v>1.3984375</v>
      </c>
      <c r="E217" s="1">
        <f t="shared" si="34"/>
        <v>2.0729703320312498</v>
      </c>
      <c r="Z217" s="112">
        <f>AD217+RBTC!$K$120</f>
        <v>0.31318481070018972</v>
      </c>
      <c r="AA217" s="112">
        <f>AE217+RBTC!$L$120</f>
        <v>0.32150603047155851</v>
      </c>
      <c r="AD217" s="51">
        <v>0.30875099075926915</v>
      </c>
      <c r="AE217" s="51">
        <v>0.32707676767074806</v>
      </c>
    </row>
    <row r="218" spans="2:31" ht="16.5" customHeight="1">
      <c r="B218" s="5">
        <f t="shared" si="32"/>
        <v>106</v>
      </c>
      <c r="C218" s="1">
        <f t="shared" si="35"/>
        <v>375</v>
      </c>
      <c r="D218" s="20">
        <f t="shared" si="33"/>
        <v>1.46484375</v>
      </c>
      <c r="E218" s="1">
        <f t="shared" si="34"/>
        <v>1.818511962890625</v>
      </c>
      <c r="Z218" s="112">
        <f>AD218+RBTC!$K$120</f>
        <v>0.31315925254057669</v>
      </c>
      <c r="AA218" s="112">
        <f>AE218+RBTC!$L$120</f>
        <v>0.32141010047775531</v>
      </c>
      <c r="AD218" s="51">
        <v>0.30872543259965612</v>
      </c>
      <c r="AE218" s="51">
        <v>0.32698083767694486</v>
      </c>
    </row>
    <row r="219" spans="2:31" ht="16.5" customHeight="1">
      <c r="B219" s="185">
        <f t="shared" si="32"/>
        <v>117</v>
      </c>
      <c r="C219" s="132">
        <f t="shared" si="35"/>
        <v>392</v>
      </c>
      <c r="D219" s="188">
        <f t="shared" si="33"/>
        <v>1.53125</v>
      </c>
      <c r="E219" s="132">
        <f t="shared" si="34"/>
        <v>1.5627988541666666</v>
      </c>
      <c r="Z219" s="112">
        <f>AD219+RBTC!$K$120</f>
        <v>0.31313490507269626</v>
      </c>
      <c r="AA219" s="112">
        <f>AE219+RBTC!$L$120</f>
        <v>0.32131478554035581</v>
      </c>
      <c r="AD219" s="51">
        <v>0.30870108513177569</v>
      </c>
      <c r="AE219" s="51">
        <v>0.32688552273954535</v>
      </c>
    </row>
    <row r="220" spans="2:31" ht="16.5" customHeight="1">
      <c r="B220" s="329" t="s">
        <v>105</v>
      </c>
      <c r="C220" s="329"/>
      <c r="D220" s="329"/>
      <c r="E220" s="329"/>
      <c r="F220" s="329"/>
      <c r="G220" s="329"/>
      <c r="H220" s="329"/>
      <c r="I220" s="329"/>
      <c r="J220" s="329"/>
      <c r="K220" s="329"/>
      <c r="L220" s="329"/>
      <c r="M220" s="329"/>
      <c r="N220" s="329"/>
      <c r="O220" s="329"/>
      <c r="P220" s="329"/>
      <c r="Z220" s="112">
        <f>AD220+RBTC!$K$120</f>
        <v>0.31311177571302307</v>
      </c>
      <c r="AA220" s="112">
        <f>AE220+RBTC!$L$120</f>
        <v>0.32122011469321327</v>
      </c>
      <c r="AD220" s="51">
        <v>0.3086779557721025</v>
      </c>
      <c r="AE220" s="51">
        <v>0.32679085189240281</v>
      </c>
    </row>
    <row r="221" spans="2:31" ht="16.5" customHeight="1">
      <c r="B221" s="65" t="s">
        <v>132</v>
      </c>
      <c r="C221" s="65" t="s">
        <v>3</v>
      </c>
      <c r="D221" s="66" t="s">
        <v>194</v>
      </c>
      <c r="E221" s="66" t="s">
        <v>263</v>
      </c>
      <c r="F221" s="66" t="s">
        <v>265</v>
      </c>
      <c r="G221" s="66" t="s">
        <v>264</v>
      </c>
      <c r="H221" s="66" t="s">
        <v>259</v>
      </c>
      <c r="I221" s="66" t="s">
        <v>260</v>
      </c>
      <c r="J221" s="189" t="s">
        <v>258</v>
      </c>
      <c r="K221" s="66" t="s">
        <v>261</v>
      </c>
      <c r="L221" s="66" t="s">
        <v>262</v>
      </c>
      <c r="M221" s="66" t="s">
        <v>279</v>
      </c>
      <c r="N221" s="66" t="s">
        <v>129</v>
      </c>
      <c r="O221" s="66" t="s">
        <v>103</v>
      </c>
      <c r="P221" s="66" t="s">
        <v>266</v>
      </c>
      <c r="Q221" s="66" t="s">
        <v>98</v>
      </c>
      <c r="Z221" s="112">
        <f>AD221+RBTC!$K$120</f>
        <v>0.31308987150698414</v>
      </c>
      <c r="AA221" s="112">
        <f>AE221+RBTC!$L$120</f>
        <v>0.32112611677398478</v>
      </c>
      <c r="AD221" s="51">
        <v>0.30865605156606357</v>
      </c>
      <c r="AE221" s="51">
        <v>0.32669685397317433</v>
      </c>
    </row>
    <row r="222" spans="2:31" ht="16.5" customHeight="1">
      <c r="B222" s="5">
        <v>0</v>
      </c>
      <c r="C222" s="5">
        <f t="shared" ref="C222:C233" si="36">B97</f>
        <v>-10</v>
      </c>
      <c r="D222" s="1">
        <f>ROUNDUP((F190*256/E190),0)</f>
        <v>228</v>
      </c>
      <c r="E222" s="64">
        <f t="shared" ref="E222:E233" si="37">ROUNDUP((F190*256/E190)-C208,0)</f>
        <v>23</v>
      </c>
      <c r="F222" s="20">
        <f>(D222/256)</f>
        <v>0.890625</v>
      </c>
      <c r="G222" s="1">
        <f>IF(F222&gt;300,(768-C208),E222)</f>
        <v>23</v>
      </c>
      <c r="H222" s="1">
        <f t="shared" ref="H222:H233" si="38">IF(F222&gt;300%,1,0)</f>
        <v>0</v>
      </c>
      <c r="I222" s="1">
        <f t="shared" ref="I222:I233" si="39">IF((IF(F222&lt;300%,1,0)+IF(E222&gt;255,1,0))&gt;1,1,0)</f>
        <v>0</v>
      </c>
      <c r="J222" s="23">
        <f>H222+I222</f>
        <v>0</v>
      </c>
      <c r="K222" s="64">
        <f t="shared" ref="K222:K233" si="40">IF(J222=1,ROUNDUP(E222/2,0),E222)</f>
        <v>23</v>
      </c>
      <c r="L222" s="64">
        <f>IF(H222&gt;300%,(G222/2),K222)</f>
        <v>23</v>
      </c>
      <c r="M222" s="1">
        <f>IF(L222&lt;0,0,L222)</f>
        <v>23</v>
      </c>
      <c r="N222" s="23" t="str">
        <f>DEC2HEX(M222)</f>
        <v>17</v>
      </c>
      <c r="O222" s="1">
        <f t="shared" ref="O222:O233" si="41">C208+G222</f>
        <v>228</v>
      </c>
      <c r="P222" s="20">
        <f>O222/256</f>
        <v>0.890625</v>
      </c>
      <c r="Q222" s="1">
        <f t="shared" ref="Q222:Q233" si="42">E190*P222</f>
        <v>3.1797398046874998</v>
      </c>
      <c r="Z222" s="112">
        <f>AD222+RBTC!$K$120</f>
        <v>0.3130691991268128</v>
      </c>
      <c r="AA222" s="112">
        <f>AE222+RBTC!$L$120</f>
        <v>0.32103282041534709</v>
      </c>
      <c r="AD222" s="51">
        <v>0.30863537918589223</v>
      </c>
      <c r="AE222" s="51">
        <v>0.32660355761453663</v>
      </c>
    </row>
    <row r="223" spans="2:31" ht="16.5" customHeight="1">
      <c r="B223" s="5">
        <v>1</v>
      </c>
      <c r="C223" s="5">
        <f t="shared" si="36"/>
        <v>2</v>
      </c>
      <c r="D223" s="1">
        <f t="shared" ref="D223:D233" si="43">ROUNDUP((F191*256/E191),0)</f>
        <v>237</v>
      </c>
      <c r="E223" s="64">
        <f t="shared" si="37"/>
        <v>15</v>
      </c>
      <c r="F223" s="20">
        <f t="shared" ref="F223:F233" si="44">(D223/256)</f>
        <v>0.92578125</v>
      </c>
      <c r="G223" s="1">
        <f t="shared" ref="G223:G232" si="45">IF(F223&gt;300,(768-C209),E223)</f>
        <v>15</v>
      </c>
      <c r="H223" s="1">
        <f t="shared" si="38"/>
        <v>0</v>
      </c>
      <c r="I223" s="1">
        <f t="shared" si="39"/>
        <v>0</v>
      </c>
      <c r="J223" s="23">
        <f t="shared" ref="J223:J233" si="46">H223+I223</f>
        <v>0</v>
      </c>
      <c r="K223" s="64">
        <f t="shared" si="40"/>
        <v>15</v>
      </c>
      <c r="L223" s="64">
        <f t="shared" ref="L223:L232" si="47">IF(H223&gt;300%,(G223/2),K223)</f>
        <v>15</v>
      </c>
      <c r="M223" s="1">
        <f t="shared" ref="M223:M233" si="48">IF(L223&lt;0,0,L223)</f>
        <v>15</v>
      </c>
      <c r="N223" s="23" t="str">
        <f t="shared" ref="N223:N233" si="49">DEC2HEX(M223)</f>
        <v>F</v>
      </c>
      <c r="O223" s="1">
        <f t="shared" si="41"/>
        <v>237</v>
      </c>
      <c r="P223" s="20">
        <f t="shared" ref="P223:P233" si="50">O223/256</f>
        <v>0.92578125</v>
      </c>
      <c r="Q223" s="1">
        <f t="shared" si="42"/>
        <v>3.082225888671875</v>
      </c>
      <c r="Z223" s="112">
        <f>AD223+RBTC!$K$120</f>
        <v>0.31304976486951624</v>
      </c>
      <c r="AA223" s="112">
        <f>AE223+RBTC!$L$120</f>
        <v>0.32094025403627491</v>
      </c>
      <c r="AD223" s="51">
        <v>0.30861594492859568</v>
      </c>
      <c r="AE223" s="51">
        <v>0.32651099123546445</v>
      </c>
    </row>
    <row r="224" spans="2:31" ht="16.5" customHeight="1">
      <c r="B224" s="5">
        <v>2</v>
      </c>
      <c r="C224" s="5">
        <f t="shared" si="36"/>
        <v>14</v>
      </c>
      <c r="D224" s="1">
        <f t="shared" si="43"/>
        <v>248</v>
      </c>
      <c r="E224" s="64">
        <f t="shared" si="37"/>
        <v>9</v>
      </c>
      <c r="F224" s="20">
        <f t="shared" si="44"/>
        <v>0.96875</v>
      </c>
      <c r="G224" s="1">
        <f t="shared" si="45"/>
        <v>9</v>
      </c>
      <c r="H224" s="1">
        <f t="shared" si="38"/>
        <v>0</v>
      </c>
      <c r="I224" s="1">
        <f t="shared" si="39"/>
        <v>0</v>
      </c>
      <c r="J224" s="23">
        <f t="shared" si="46"/>
        <v>0</v>
      </c>
      <c r="K224" s="64">
        <f t="shared" si="40"/>
        <v>9</v>
      </c>
      <c r="L224" s="64">
        <f t="shared" si="47"/>
        <v>9</v>
      </c>
      <c r="M224" s="1">
        <f t="shared" si="48"/>
        <v>9</v>
      </c>
      <c r="N224" s="23" t="str">
        <f t="shared" si="49"/>
        <v>9</v>
      </c>
      <c r="O224" s="1">
        <f t="shared" si="41"/>
        <v>248</v>
      </c>
      <c r="P224" s="20">
        <f t="shared" si="50"/>
        <v>0.96875</v>
      </c>
      <c r="Q224" s="1">
        <f t="shared" si="42"/>
        <v>2.9919012239583331</v>
      </c>
      <c r="Z224" s="112">
        <f>AD224+RBTC!$K$120</f>
        <v>0.31303157465495762</v>
      </c>
      <c r="AA224" s="112">
        <f>AE224+RBTC!$L$120</f>
        <v>0.32084844583338401</v>
      </c>
      <c r="AD224" s="51">
        <v>0.30859775471403705</v>
      </c>
      <c r="AE224" s="51">
        <v>0.32641918303257356</v>
      </c>
    </row>
    <row r="225" spans="2:31" ht="16.5" customHeight="1">
      <c r="B225" s="5">
        <v>3</v>
      </c>
      <c r="C225" s="5">
        <f t="shared" si="36"/>
        <v>25</v>
      </c>
      <c r="D225" s="1">
        <f t="shared" si="43"/>
        <v>259</v>
      </c>
      <c r="E225" s="64">
        <f t="shared" si="37"/>
        <v>3</v>
      </c>
      <c r="F225" s="20">
        <f t="shared" si="44"/>
        <v>1.01171875</v>
      </c>
      <c r="G225" s="1">
        <f t="shared" si="45"/>
        <v>3</v>
      </c>
      <c r="H225" s="1">
        <f t="shared" si="38"/>
        <v>0</v>
      </c>
      <c r="I225" s="1">
        <f t="shared" si="39"/>
        <v>0</v>
      </c>
      <c r="J225" s="23">
        <f t="shared" si="46"/>
        <v>0</v>
      </c>
      <c r="K225" s="64">
        <f t="shared" si="40"/>
        <v>3</v>
      </c>
      <c r="L225" s="64">
        <f t="shared" si="47"/>
        <v>3</v>
      </c>
      <c r="M225" s="1">
        <f t="shared" si="48"/>
        <v>3</v>
      </c>
      <c r="N225" s="23" t="str">
        <f t="shared" si="49"/>
        <v>3</v>
      </c>
      <c r="O225" s="1">
        <f t="shared" si="41"/>
        <v>259</v>
      </c>
      <c r="P225" s="20">
        <f t="shared" si="50"/>
        <v>1.01171875</v>
      </c>
      <c r="Q225" s="1">
        <f t="shared" si="42"/>
        <v>2.901184453125</v>
      </c>
      <c r="Z225" s="112">
        <f>AD225+RBTC!$K$120</f>
        <v>0.31301463402405244</v>
      </c>
      <c r="AA225" s="112">
        <f>AE225+RBTC!$L$120</f>
        <v>0.32075742377234229</v>
      </c>
      <c r="AD225" s="51">
        <v>0.30858081408313187</v>
      </c>
      <c r="AE225" s="51">
        <v>0.32632816097153183</v>
      </c>
    </row>
    <row r="226" spans="2:31" ht="16.5" customHeight="1">
      <c r="B226" s="5">
        <v>4</v>
      </c>
      <c r="C226" s="5">
        <f t="shared" si="36"/>
        <v>37</v>
      </c>
      <c r="D226" s="1">
        <f>ROUNDUP((F194*256/E194),0)</f>
        <v>273</v>
      </c>
      <c r="E226" s="64">
        <f t="shared" si="37"/>
        <v>-1</v>
      </c>
      <c r="F226" s="20">
        <f t="shared" si="44"/>
        <v>1.06640625</v>
      </c>
      <c r="G226" s="1">
        <f t="shared" si="45"/>
        <v>-1</v>
      </c>
      <c r="H226" s="1">
        <f t="shared" si="38"/>
        <v>0</v>
      </c>
      <c r="I226" s="1">
        <f t="shared" si="39"/>
        <v>0</v>
      </c>
      <c r="J226" s="23">
        <f t="shared" si="46"/>
        <v>0</v>
      </c>
      <c r="K226" s="64">
        <f t="shared" si="40"/>
        <v>-1</v>
      </c>
      <c r="L226" s="64">
        <f t="shared" si="47"/>
        <v>-1</v>
      </c>
      <c r="M226" s="1">
        <f t="shared" si="48"/>
        <v>0</v>
      </c>
      <c r="N226" s="23" t="str">
        <f t="shared" si="49"/>
        <v>0</v>
      </c>
      <c r="O226" s="1">
        <f t="shared" si="41"/>
        <v>272</v>
      </c>
      <c r="P226" s="20">
        <f t="shared" si="50"/>
        <v>1.0625</v>
      </c>
      <c r="Q226" s="1">
        <f t="shared" si="42"/>
        <v>2.7908368749999997</v>
      </c>
      <c r="Z226" s="112">
        <f>AD226+RBTC!$K$120</f>
        <v>0.31299894813708096</v>
      </c>
      <c r="AA226" s="112">
        <f>AE226+RBTC!$L$120</f>
        <v>0.32066721557935129</v>
      </c>
      <c r="AD226" s="51">
        <v>0.30856512819616039</v>
      </c>
      <c r="AE226" s="51">
        <v>0.32623795277854084</v>
      </c>
    </row>
    <row r="227" spans="2:31" ht="16.5" customHeight="1">
      <c r="B227" s="5">
        <v>5</v>
      </c>
      <c r="C227" s="5">
        <f t="shared" si="36"/>
        <v>48</v>
      </c>
      <c r="D227" s="1">
        <f t="shared" si="43"/>
        <v>289</v>
      </c>
      <c r="E227" s="64">
        <f t="shared" si="37"/>
        <v>-2</v>
      </c>
      <c r="F227" s="20">
        <f t="shared" si="44"/>
        <v>1.12890625</v>
      </c>
      <c r="G227" s="1">
        <f t="shared" si="45"/>
        <v>-2</v>
      </c>
      <c r="H227" s="1">
        <f t="shared" si="38"/>
        <v>0</v>
      </c>
      <c r="I227" s="1">
        <f t="shared" si="39"/>
        <v>0</v>
      </c>
      <c r="J227" s="23">
        <f t="shared" si="46"/>
        <v>0</v>
      </c>
      <c r="K227" s="64">
        <f t="shared" si="40"/>
        <v>-2</v>
      </c>
      <c r="L227" s="64">
        <f t="shared" si="47"/>
        <v>-2</v>
      </c>
      <c r="M227" s="1">
        <f t="shared" si="48"/>
        <v>0</v>
      </c>
      <c r="N227" s="23" t="str">
        <f t="shared" si="49"/>
        <v>0</v>
      </c>
      <c r="O227" s="1">
        <f t="shared" si="41"/>
        <v>288</v>
      </c>
      <c r="P227" s="20">
        <f t="shared" si="50"/>
        <v>1.125</v>
      </c>
      <c r="Q227" s="1">
        <f t="shared" si="42"/>
        <v>2.7065653125</v>
      </c>
      <c r="Z227" s="112">
        <f>AD227+RBTC!$K$120</f>
        <v>0.31298452177211633</v>
      </c>
      <c r="AA227" s="112">
        <f>AE227+RBTC!$L$120</f>
        <v>0.32057784873270057</v>
      </c>
      <c r="AD227" s="51">
        <v>0.30855070183119576</v>
      </c>
      <c r="AE227" s="51">
        <v>0.32614858593189011</v>
      </c>
    </row>
    <row r="228" spans="2:31" ht="16.5" customHeight="1">
      <c r="B228" s="5">
        <v>6</v>
      </c>
      <c r="C228" s="5">
        <f t="shared" si="36"/>
        <v>60</v>
      </c>
      <c r="D228" s="1">
        <f t="shared" si="43"/>
        <v>311</v>
      </c>
      <c r="E228" s="64">
        <f t="shared" si="37"/>
        <v>4</v>
      </c>
      <c r="F228" s="20">
        <f t="shared" si="44"/>
        <v>1.21484375</v>
      </c>
      <c r="G228" s="1">
        <f t="shared" si="45"/>
        <v>4</v>
      </c>
      <c r="H228" s="1">
        <f t="shared" si="38"/>
        <v>0</v>
      </c>
      <c r="I228" s="1">
        <f t="shared" si="39"/>
        <v>0</v>
      </c>
      <c r="J228" s="23">
        <f t="shared" si="46"/>
        <v>0</v>
      </c>
      <c r="K228" s="64">
        <f t="shared" si="40"/>
        <v>4</v>
      </c>
      <c r="L228" s="64">
        <f t="shared" si="47"/>
        <v>4</v>
      </c>
      <c r="M228" s="1">
        <f t="shared" si="48"/>
        <v>4</v>
      </c>
      <c r="N228" s="23" t="str">
        <f t="shared" si="49"/>
        <v>4</v>
      </c>
      <c r="O228" s="1">
        <f t="shared" si="41"/>
        <v>311</v>
      </c>
      <c r="P228" s="20">
        <f t="shared" si="50"/>
        <v>1.21484375</v>
      </c>
      <c r="Q228" s="1">
        <f t="shared" si="42"/>
        <v>2.6300466178385413</v>
      </c>
      <c r="Z228" s="112">
        <f>AD228+RBTC!$K$120</f>
        <v>0.31297135932356912</v>
      </c>
      <c r="AA228" s="112">
        <f>AE228+RBTC!$L$120</f>
        <v>0.32048935045439725</v>
      </c>
      <c r="AD228" s="51">
        <v>0.30853753938264855</v>
      </c>
      <c r="AE228" s="51">
        <v>0.32606008765358679</v>
      </c>
    </row>
    <row r="229" spans="2:31" ht="16.5" customHeight="1">
      <c r="B229" s="5">
        <v>7</v>
      </c>
      <c r="C229" s="5">
        <f t="shared" si="36"/>
        <v>71</v>
      </c>
      <c r="D229" s="1">
        <f t="shared" si="43"/>
        <v>335</v>
      </c>
      <c r="E229" s="64">
        <f t="shared" si="37"/>
        <v>11</v>
      </c>
      <c r="F229" s="20">
        <f t="shared" si="44"/>
        <v>1.30859375</v>
      </c>
      <c r="G229" s="1">
        <f t="shared" si="45"/>
        <v>11</v>
      </c>
      <c r="H229" s="1">
        <f t="shared" si="38"/>
        <v>0</v>
      </c>
      <c r="I229" s="1">
        <f t="shared" si="39"/>
        <v>0</v>
      </c>
      <c r="J229" s="23">
        <f t="shared" si="46"/>
        <v>0</v>
      </c>
      <c r="K229" s="64">
        <f t="shared" si="40"/>
        <v>11</v>
      </c>
      <c r="L229" s="64">
        <f t="shared" si="47"/>
        <v>11</v>
      </c>
      <c r="M229" s="1">
        <f t="shared" si="48"/>
        <v>11</v>
      </c>
      <c r="N229" s="23" t="str">
        <f t="shared" si="49"/>
        <v>B</v>
      </c>
      <c r="O229" s="1">
        <f t="shared" si="41"/>
        <v>335</v>
      </c>
      <c r="P229" s="20">
        <f t="shared" si="50"/>
        <v>1.30859375</v>
      </c>
      <c r="Q229" s="1">
        <f t="shared" si="42"/>
        <v>2.5440262044270834</v>
      </c>
      <c r="Z229" s="112">
        <f>AD229+RBTC!$K$120</f>
        <v>0.31295946480084857</v>
      </c>
      <c r="AA229" s="112">
        <f>AE229+RBTC!$L$120</f>
        <v>0.32040174770187418</v>
      </c>
      <c r="AD229" s="51">
        <v>0.30852564485992801</v>
      </c>
      <c r="AE229" s="51">
        <v>0.32597248490106373</v>
      </c>
    </row>
    <row r="230" spans="2:31" ht="16.5" customHeight="1">
      <c r="B230" s="5">
        <v>8</v>
      </c>
      <c r="C230" s="5">
        <f t="shared" si="36"/>
        <v>83</v>
      </c>
      <c r="D230" s="1">
        <f t="shared" si="43"/>
        <v>369</v>
      </c>
      <c r="E230" s="64">
        <f t="shared" si="37"/>
        <v>28</v>
      </c>
      <c r="F230" s="20">
        <f t="shared" si="44"/>
        <v>1.44140625</v>
      </c>
      <c r="G230" s="1">
        <f t="shared" si="45"/>
        <v>28</v>
      </c>
      <c r="H230" s="1">
        <f t="shared" si="38"/>
        <v>0</v>
      </c>
      <c r="I230" s="1">
        <f t="shared" si="39"/>
        <v>0</v>
      </c>
      <c r="J230" s="23">
        <f t="shared" si="46"/>
        <v>0</v>
      </c>
      <c r="K230" s="64">
        <f t="shared" si="40"/>
        <v>28</v>
      </c>
      <c r="L230" s="64">
        <f t="shared" si="47"/>
        <v>28</v>
      </c>
      <c r="M230" s="1">
        <f t="shared" si="48"/>
        <v>28</v>
      </c>
      <c r="N230" s="23" t="str">
        <f t="shared" si="49"/>
        <v>1C</v>
      </c>
      <c r="O230" s="1">
        <f t="shared" si="41"/>
        <v>369</v>
      </c>
      <c r="P230" s="20">
        <f t="shared" si="50"/>
        <v>1.44140625</v>
      </c>
      <c r="Q230" s="1">
        <f t="shared" si="42"/>
        <v>2.4549766992187498</v>
      </c>
      <c r="Z230" s="112">
        <f>AD230+RBTC!$K$120</f>
        <v>0.31294884182714161</v>
      </c>
      <c r="AA230" s="112">
        <f>AE230+RBTC!$L$120</f>
        <v>0.32031506715977848</v>
      </c>
      <c r="AD230" s="51">
        <v>0.30851502188622104</v>
      </c>
      <c r="AE230" s="51">
        <v>0.32588580435896802</v>
      </c>
    </row>
    <row r="231" spans="2:31" ht="16.5" customHeight="1">
      <c r="B231" s="5">
        <v>9</v>
      </c>
      <c r="C231" s="5">
        <f t="shared" si="36"/>
        <v>94</v>
      </c>
      <c r="D231" s="1">
        <f t="shared" si="43"/>
        <v>411</v>
      </c>
      <c r="E231" s="64">
        <f t="shared" si="37"/>
        <v>53</v>
      </c>
      <c r="F231" s="20">
        <f t="shared" si="44"/>
        <v>1.60546875</v>
      </c>
      <c r="G231" s="1">
        <f t="shared" si="45"/>
        <v>53</v>
      </c>
      <c r="H231" s="1">
        <f t="shared" si="38"/>
        <v>0</v>
      </c>
      <c r="I231" s="1">
        <f t="shared" si="39"/>
        <v>0</v>
      </c>
      <c r="J231" s="23">
        <f t="shared" si="46"/>
        <v>0</v>
      </c>
      <c r="K231" s="64">
        <f t="shared" si="40"/>
        <v>53</v>
      </c>
      <c r="L231" s="64">
        <f t="shared" si="47"/>
        <v>53</v>
      </c>
      <c r="M231" s="1">
        <f t="shared" si="48"/>
        <v>53</v>
      </c>
      <c r="N231" s="23" t="str">
        <f t="shared" si="49"/>
        <v>35</v>
      </c>
      <c r="O231" s="1">
        <f t="shared" si="41"/>
        <v>411</v>
      </c>
      <c r="P231" s="20">
        <f t="shared" si="50"/>
        <v>1.60546875</v>
      </c>
      <c r="Q231" s="1">
        <f t="shared" si="42"/>
        <v>2.3798625878906248</v>
      </c>
      <c r="Z231" s="112">
        <f>AD231+RBTC!$K$120</f>
        <v>0.31293949363830886</v>
      </c>
      <c r="AA231" s="112">
        <f>AE231+RBTC!$L$120</f>
        <v>0.32022933523184288</v>
      </c>
      <c r="AD231" s="51">
        <v>0.30850567369738829</v>
      </c>
      <c r="AE231" s="51">
        <v>0.32580007243103243</v>
      </c>
    </row>
    <row r="232" spans="2:31" ht="16.5" customHeight="1">
      <c r="B232" s="5">
        <v>10</v>
      </c>
      <c r="C232" s="5">
        <f t="shared" si="36"/>
        <v>106</v>
      </c>
      <c r="D232" s="1">
        <f t="shared" si="43"/>
        <v>473</v>
      </c>
      <c r="E232" s="64">
        <f t="shared" si="37"/>
        <v>98</v>
      </c>
      <c r="F232" s="20">
        <f t="shared" si="44"/>
        <v>1.84765625</v>
      </c>
      <c r="G232" s="1">
        <f t="shared" si="45"/>
        <v>98</v>
      </c>
      <c r="H232" s="1">
        <f t="shared" si="38"/>
        <v>0</v>
      </c>
      <c r="I232" s="1">
        <f t="shared" si="39"/>
        <v>0</v>
      </c>
      <c r="J232" s="23">
        <f t="shared" si="46"/>
        <v>0</v>
      </c>
      <c r="K232" s="64">
        <f t="shared" si="40"/>
        <v>98</v>
      </c>
      <c r="L232" s="64">
        <f t="shared" si="47"/>
        <v>98</v>
      </c>
      <c r="M232" s="1">
        <f t="shared" si="48"/>
        <v>98</v>
      </c>
      <c r="N232" s="23" t="str">
        <f t="shared" si="49"/>
        <v>62</v>
      </c>
      <c r="O232" s="1">
        <f t="shared" si="41"/>
        <v>473</v>
      </c>
      <c r="P232" s="20">
        <f t="shared" si="50"/>
        <v>1.84765625</v>
      </c>
      <c r="Q232" s="1">
        <f t="shared" si="42"/>
        <v>2.2937497558593751</v>
      </c>
      <c r="Z232" s="112">
        <f>AD232+RBTC!$K$120</f>
        <v>0.31293142308189925</v>
      </c>
      <c r="AA232" s="112">
        <f>AE232+RBTC!$L$120</f>
        <v>0.32014457803284324</v>
      </c>
      <c r="AD232" s="51">
        <v>0.30849760314097868</v>
      </c>
      <c r="AE232" s="51">
        <v>0.32571531523203279</v>
      </c>
    </row>
    <row r="233" spans="2:31" ht="16.5" customHeight="1">
      <c r="B233" s="5">
        <v>11</v>
      </c>
      <c r="C233" s="5">
        <f t="shared" si="36"/>
        <v>117</v>
      </c>
      <c r="D233" s="1">
        <f t="shared" si="43"/>
        <v>557</v>
      </c>
      <c r="E233" s="64">
        <f t="shared" si="37"/>
        <v>165</v>
      </c>
      <c r="F233" s="20">
        <f t="shared" si="44"/>
        <v>2.17578125</v>
      </c>
      <c r="G233" s="1">
        <f>IF(F233&gt;300%,(768-C219),E233)</f>
        <v>165</v>
      </c>
      <c r="H233" s="1">
        <f t="shared" si="38"/>
        <v>0</v>
      </c>
      <c r="I233" s="1">
        <f t="shared" si="39"/>
        <v>0</v>
      </c>
      <c r="J233" s="23">
        <f t="shared" si="46"/>
        <v>0</v>
      </c>
      <c r="K233" s="64">
        <f t="shared" si="40"/>
        <v>165</v>
      </c>
      <c r="L233" s="64">
        <f>IF(H233&gt;0,(G233/2),K233)</f>
        <v>165</v>
      </c>
      <c r="M233" s="1">
        <f t="shared" si="48"/>
        <v>165</v>
      </c>
      <c r="N233" s="23" t="str">
        <f t="shared" si="49"/>
        <v>A5</v>
      </c>
      <c r="O233" s="1">
        <f t="shared" si="41"/>
        <v>557</v>
      </c>
      <c r="P233" s="20">
        <f t="shared" si="50"/>
        <v>2.17578125</v>
      </c>
      <c r="Q233" s="1">
        <f t="shared" si="42"/>
        <v>2.2206095963541665</v>
      </c>
      <c r="Z233" s="112">
        <f>AD233+RBTC!$K$120</f>
        <v>0.31292463261628245</v>
      </c>
      <c r="AA233" s="112">
        <f>AE233+RBTC!$L$120</f>
        <v>0.32006082138064335</v>
      </c>
      <c r="AD233" s="51">
        <v>0.30849081267536188</v>
      </c>
      <c r="AE233" s="51">
        <v>0.32563155857983289</v>
      </c>
    </row>
    <row r="234" spans="2:31" ht="16.5" customHeight="1">
      <c r="E234" s="180"/>
      <c r="Z234" s="112">
        <f>AD234+RBTC!$K$120</f>
        <v>0.31291912430990004</v>
      </c>
      <c r="AA234" s="112">
        <f>AE234+RBTC!$L$120</f>
        <v>0.31997809078833084</v>
      </c>
      <c r="AD234" s="51">
        <v>0.30848530436897947</v>
      </c>
      <c r="AE234" s="51">
        <v>0.32554882798752038</v>
      </c>
    </row>
    <row r="235" spans="2:31" ht="16.5" customHeight="1">
      <c r="Z235" s="112">
        <f>AD235+RBTC!$K$120</f>
        <v>0.31291489984063553</v>
      </c>
      <c r="AA235" s="112">
        <f>AE235+RBTC!$L$120</f>
        <v>0.31989641145644565</v>
      </c>
      <c r="AD235" s="51">
        <v>0.30848107989971496</v>
      </c>
      <c r="AE235" s="51">
        <v>0.3254671486556352</v>
      </c>
    </row>
    <row r="236" spans="2:31" ht="16.5" customHeight="1">
      <c r="Z236" s="112">
        <f>AD236+RBTC!$K$120</f>
        <v>0.31291196049530312</v>
      </c>
      <c r="AA236" s="112">
        <f>AE236+RBTC!$L$120</f>
        <v>0.31981580826530337</v>
      </c>
      <c r="AD236" s="51">
        <v>0.30847814055438255</v>
      </c>
      <c r="AE236" s="51">
        <v>0.32538654546449292</v>
      </c>
    </row>
    <row r="237" spans="2:31" ht="16.5" customHeight="1">
      <c r="Z237" s="112">
        <f>AD237+RBTC!$K$120</f>
        <v>0.31291030716925594</v>
      </c>
      <c r="AA237" s="112">
        <f>AE237+RBTC!$L$120</f>
        <v>0.31973630576741702</v>
      </c>
      <c r="AD237" s="51">
        <v>0.30847648722833537</v>
      </c>
      <c r="AE237" s="51">
        <v>0.32530704296660656</v>
      </c>
    </row>
    <row r="238" spans="2:31" ht="16.5" customHeight="1">
      <c r="Z238" s="112">
        <f>AD238+RBTC!$K$120</f>
        <v>0.31290994036611308</v>
      </c>
      <c r="AA238" s="112">
        <f>AE238+RBTC!$L$120</f>
        <v>0.31965792818001748</v>
      </c>
      <c r="AD238" s="51">
        <v>0.30847612042519251</v>
      </c>
      <c r="AE238" s="51">
        <v>0.32522866537920703</v>
      </c>
    </row>
    <row r="239" spans="2:31" ht="16.5" customHeight="1">
      <c r="Z239" s="112">
        <f>AD239+RBTC!$K$120</f>
        <v>0.31291086019760633</v>
      </c>
      <c r="AA239" s="112">
        <f>AE239+RBTC!$L$120</f>
        <v>0.31958069937767714</v>
      </c>
      <c r="AD239" s="51">
        <v>0.30847704025668576</v>
      </c>
      <c r="AE239" s="51">
        <v>0.32515143657686668</v>
      </c>
    </row>
    <row r="240" spans="2:31" ht="16.5" customHeight="1">
      <c r="Z240" s="112">
        <f>AD240+RBTC!$K$120</f>
        <v>0.31291306638354616</v>
      </c>
      <c r="AA240" s="112">
        <f>AE240+RBTC!$L$120</f>
        <v>0.31950464288503738</v>
      </c>
      <c r="AD240" s="51">
        <v>0.30847924644262559</v>
      </c>
      <c r="AE240" s="51">
        <v>0.32507538008422693</v>
      </c>
    </row>
    <row r="241" spans="2:31" ht="16.5" customHeight="1">
      <c r="B241" s="5" t="s">
        <v>132</v>
      </c>
      <c r="C241" s="5" t="s">
        <v>3</v>
      </c>
      <c r="D241" s="1" t="s">
        <v>163</v>
      </c>
      <c r="E241" s="1" t="s">
        <v>201</v>
      </c>
      <c r="Z241" s="112">
        <f>AD241+RBTC!$K$120</f>
        <v>0.31291655825190695</v>
      </c>
      <c r="AA241" s="112">
        <f>AE241+RBTC!$L$120</f>
        <v>0.3194297818696426</v>
      </c>
      <c r="AD241" s="51">
        <v>0.30848273831098638</v>
      </c>
      <c r="AE241" s="51">
        <v>0.32500051906883215</v>
      </c>
    </row>
    <row r="242" spans="2:31" ht="16.5" customHeight="1">
      <c r="B242" s="5">
        <v>0</v>
      </c>
      <c r="C242" s="5">
        <f t="shared" ref="C242:C253" si="51">C222</f>
        <v>-10</v>
      </c>
      <c r="D242" s="126">
        <f t="shared" ref="D242:D253" si="52">Q222+H97+F159-$E$64</f>
        <v>9.7537849713541682</v>
      </c>
      <c r="E242" s="20">
        <f t="shared" ref="E242:E253" si="53">D242/$D$246</f>
        <v>1.079902140527923</v>
      </c>
      <c r="Z242" s="112">
        <f>AD242+RBTC!$K$120</f>
        <v>0.31292133473903172</v>
      </c>
      <c r="AA242" s="112">
        <f>AE242+RBTC!$L$120</f>
        <v>0.31935613913488331</v>
      </c>
      <c r="AD242" s="51">
        <v>0.30848751479811115</v>
      </c>
      <c r="AE242" s="51">
        <v>0.32492687633407286</v>
      </c>
    </row>
    <row r="243" spans="2:31" ht="16.5" customHeight="1">
      <c r="B243" s="5">
        <v>1</v>
      </c>
      <c r="C243" s="5">
        <f t="shared" si="51"/>
        <v>2</v>
      </c>
      <c r="D243" s="126">
        <f t="shared" si="52"/>
        <v>9.5682343470052107</v>
      </c>
      <c r="E243" s="20">
        <f t="shared" si="53"/>
        <v>1.0593586779644961</v>
      </c>
      <c r="Z243" s="112">
        <f>AD243+RBTC!$K$120</f>
        <v>0.3129273943899562</v>
      </c>
      <c r="AA243" s="112">
        <f>AE243+RBTC!$L$120</f>
        <v>0.31928373711304991</v>
      </c>
      <c r="AD243" s="51">
        <v>0.30849357444903563</v>
      </c>
      <c r="AE243" s="51">
        <v>0.32485447431223946</v>
      </c>
    </row>
    <row r="244" spans="2:31" ht="16.5" customHeight="1">
      <c r="B244" s="5">
        <v>2</v>
      </c>
      <c r="C244" s="5">
        <f t="shared" si="51"/>
        <v>14</v>
      </c>
      <c r="D244" s="126">
        <f t="shared" si="52"/>
        <v>9.3939436458333336</v>
      </c>
      <c r="E244" s="20">
        <f t="shared" si="53"/>
        <v>1.0400618714609289</v>
      </c>
      <c r="Z244" s="112">
        <f>AD244+RBTC!$K$120</f>
        <v>0.31293473535885213</v>
      </c>
      <c r="AA244" s="112">
        <f>AE244+RBTC!$L$120</f>
        <v>0.31921259785849959</v>
      </c>
      <c r="AD244" s="51">
        <v>0.30850091541793156</v>
      </c>
      <c r="AE244" s="51">
        <v>0.32478333505768914</v>
      </c>
    </row>
    <row r="245" spans="2:31" ht="16.5" customHeight="1">
      <c r="B245" s="5">
        <v>3</v>
      </c>
      <c r="C245" s="5">
        <f t="shared" si="51"/>
        <v>25</v>
      </c>
      <c r="D245" s="126">
        <f t="shared" si="52"/>
        <v>9.2263854531249994</v>
      </c>
      <c r="E245" s="20">
        <f t="shared" si="53"/>
        <v>1.0215104628026346</v>
      </c>
      <c r="Z245" s="112">
        <f>AD245+RBTC!$K$120</f>
        <v>0.31294335540958917</v>
      </c>
      <c r="AA245" s="112">
        <f>AE245+RBTC!$L$120</f>
        <v>0.31914274304093848</v>
      </c>
      <c r="AD245" s="51">
        <v>0.30850953546866861</v>
      </c>
      <c r="AE245" s="51">
        <v>0.32471348024012803</v>
      </c>
    </row>
    <row r="246" spans="2:31" ht="16.5" customHeight="1">
      <c r="B246" s="5">
        <v>4</v>
      </c>
      <c r="C246" s="5">
        <f t="shared" si="51"/>
        <v>37</v>
      </c>
      <c r="D246" s="126">
        <f t="shared" si="52"/>
        <v>9.0321007851562491</v>
      </c>
      <c r="E246" s="20">
        <f t="shared" si="53"/>
        <v>1</v>
      </c>
      <c r="Z246" s="112">
        <f>AD246+RBTC!$K$120</f>
        <v>0.31295325191641638</v>
      </c>
      <c r="AA246" s="112">
        <f>AE246+RBTC!$L$120</f>
        <v>0.31907419393882064</v>
      </c>
      <c r="AD246" s="51">
        <v>0.30851943197549581</v>
      </c>
      <c r="AE246" s="51">
        <v>0.32464493113801018</v>
      </c>
    </row>
    <row r="247" spans="2:31" ht="16.5" customHeight="1">
      <c r="B247" s="5">
        <v>5</v>
      </c>
      <c r="C247" s="5">
        <f t="shared" si="51"/>
        <v>48</v>
      </c>
      <c r="D247" s="126">
        <f t="shared" si="52"/>
        <v>8.8710155156249986</v>
      </c>
      <c r="E247" s="20">
        <f t="shared" si="53"/>
        <v>0.98216524888694945</v>
      </c>
      <c r="Z247" s="112">
        <f>AD247+RBTC!$K$120</f>
        <v>0.31296442186476198</v>
      </c>
      <c r="AA247" s="112">
        <f>AE247+RBTC!$L$120</f>
        <v>0.31900697143286666</v>
      </c>
      <c r="AD247" s="51">
        <v>0.30853060192384141</v>
      </c>
      <c r="AE247" s="51">
        <v>0.32457770863205621</v>
      </c>
    </row>
    <row r="248" spans="2:31" ht="16.5" customHeight="1">
      <c r="B248" s="5">
        <v>6</v>
      </c>
      <c r="C248" s="5">
        <f t="shared" si="51"/>
        <v>60</v>
      </c>
      <c r="D248" s="126">
        <f t="shared" si="52"/>
        <v>8.7105886777343731</v>
      </c>
      <c r="E248" s="20">
        <f t="shared" si="53"/>
        <v>0.96440339683207887</v>
      </c>
      <c r="Z248" s="112">
        <f>AD248+RBTC!$K$120</f>
        <v>0.3129768618521514</v>
      </c>
      <c r="AA248" s="112">
        <f>AE248+RBTC!$L$120</f>
        <v>0.31894109599970311</v>
      </c>
      <c r="AD248" s="51">
        <v>0.30854304191123083</v>
      </c>
      <c r="AE248" s="51">
        <v>0.32451183319889265</v>
      </c>
    </row>
    <row r="249" spans="2:31" ht="16.5" customHeight="1">
      <c r="B249" s="5">
        <v>7</v>
      </c>
      <c r="C249" s="5">
        <f t="shared" si="51"/>
        <v>71</v>
      </c>
      <c r="D249" s="126">
        <f t="shared" si="52"/>
        <v>8.5477822721354144</v>
      </c>
      <c r="E249" s="20">
        <f t="shared" si="53"/>
        <v>0.9463780880504804</v>
      </c>
      <c r="Z249" s="112">
        <f>AD249+RBTC!$K$120</f>
        <v>0.31299056808924403</v>
      </c>
      <c r="AA249" s="112">
        <f>AE249+RBTC!$L$120</f>
        <v>0.31887658770562494</v>
      </c>
      <c r="AD249" s="51">
        <v>0.30855674814832346</v>
      </c>
      <c r="AE249" s="51">
        <v>0.32444732490481448</v>
      </c>
    </row>
    <row r="250" spans="2:31" ht="16.5" customHeight="1">
      <c r="B250" s="5">
        <v>8</v>
      </c>
      <c r="C250" s="5">
        <f t="shared" si="51"/>
        <v>83</v>
      </c>
      <c r="D250" s="126">
        <f t="shared" si="52"/>
        <v>8.3748535703124958</v>
      </c>
      <c r="E250" s="20">
        <f t="shared" si="53"/>
        <v>0.92723207695778787</v>
      </c>
      <c r="Z250" s="112">
        <f>AD250+RBTC!$K$120</f>
        <v>0.31300553640098722</v>
      </c>
      <c r="AA250" s="112">
        <f>AE250+RBTC!$L$120</f>
        <v>0.31881346620048356</v>
      </c>
      <c r="AD250" s="51">
        <v>0.30857171646006665</v>
      </c>
      <c r="AE250" s="51">
        <v>0.32438420339967311</v>
      </c>
    </row>
    <row r="251" spans="2:31" ht="16.5" customHeight="1">
      <c r="B251" s="5">
        <v>9</v>
      </c>
      <c r="C251" s="5">
        <f t="shared" si="51"/>
        <v>94</v>
      </c>
      <c r="D251" s="126">
        <f t="shared" si="52"/>
        <v>8.2229811816406215</v>
      </c>
      <c r="E251" s="20">
        <f t="shared" si="53"/>
        <v>0.91041734113005357</v>
      </c>
      <c r="Z251" s="112">
        <f>AD251+RBTC!$K$120</f>
        <v>0.3130217622278883</v>
      </c>
      <c r="AA251" s="112">
        <f>AE251+RBTC!$L$120</f>
        <v>0.31875175071170087</v>
      </c>
      <c r="AD251" s="51">
        <v>0.30858794228696773</v>
      </c>
      <c r="AE251" s="51">
        <v>0.32432248791089041</v>
      </c>
    </row>
    <row r="252" spans="2:31" ht="16.5" customHeight="1">
      <c r="B252" s="5">
        <v>10</v>
      </c>
      <c r="C252" s="5">
        <f t="shared" si="51"/>
        <v>106</v>
      </c>
      <c r="D252" s="126">
        <f t="shared" si="52"/>
        <v>8.0530180996093712</v>
      </c>
      <c r="E252" s="20">
        <f t="shared" si="53"/>
        <v>0.89159967223174197</v>
      </c>
      <c r="Z252" s="112">
        <f>AD252+RBTC!$K$120</f>
        <v>0.31303924062740318</v>
      </c>
      <c r="AA252" s="112">
        <f>AE252+RBTC!$L$120</f>
        <v>0.31869146003841259</v>
      </c>
      <c r="AD252" s="51">
        <v>0.30860542068648261</v>
      </c>
      <c r="AE252" s="51">
        <v>0.32426219723760213</v>
      </c>
    </row>
    <row r="253" spans="2:31" ht="16.5" customHeight="1">
      <c r="B253" s="5">
        <v>11</v>
      </c>
      <c r="C253" s="5">
        <f t="shared" si="51"/>
        <v>117</v>
      </c>
      <c r="D253" s="126">
        <f t="shared" si="52"/>
        <v>7.9031473776041636</v>
      </c>
      <c r="E253" s="20">
        <f t="shared" si="53"/>
        <v>0.87500655335827771</v>
      </c>
      <c r="Z253" s="112">
        <f>AD253+RBTC!$K$120</f>
        <v>0.31305796627544197</v>
      </c>
      <c r="AA253" s="112">
        <f>AE253+RBTC!$L$120</f>
        <v>0.31863261254574188</v>
      </c>
      <c r="AD253" s="51">
        <v>0.3086241463345214</v>
      </c>
      <c r="AE253" s="51">
        <v>0.32420334974493142</v>
      </c>
    </row>
    <row r="254" spans="2:31">
      <c r="Z254" s="112">
        <f>AD254+RBTC!$K$120</f>
        <v>0.31307793346799101</v>
      </c>
      <c r="AA254" s="112">
        <f>AE254+RBTC!$L$120</f>
        <v>0.31857522615920508</v>
      </c>
      <c r="AD254" s="51">
        <v>0.30864411352707044</v>
      </c>
      <c r="AE254" s="51">
        <v>0.32414596335839463</v>
      </c>
    </row>
    <row r="255" spans="2:31">
      <c r="Z255" s="112">
        <f>AD255+RBTC!$K$120</f>
        <v>0.31309913612284995</v>
      </c>
      <c r="AA255" s="112">
        <f>AE255+RBTC!$L$120</f>
        <v>0.31851931835925135</v>
      </c>
      <c r="AD255" s="51">
        <v>0.30866531618192938</v>
      </c>
      <c r="AE255" s="51">
        <v>0.32409005555844089</v>
      </c>
    </row>
    <row r="256" spans="2:31">
      <c r="M256" s="46" t="s">
        <v>17</v>
      </c>
      <c r="N256" s="46" t="s">
        <v>18</v>
      </c>
      <c r="O256" s="46" t="s">
        <v>19</v>
      </c>
      <c r="P256" s="46" t="s">
        <v>20</v>
      </c>
      <c r="Q256" s="46" t="s">
        <v>21</v>
      </c>
      <c r="R256" s="46" t="s">
        <v>22</v>
      </c>
      <c r="S256" s="46" t="s">
        <v>13</v>
      </c>
      <c r="T256" s="46" t="s">
        <v>14</v>
      </c>
      <c r="U256" s="46" t="s">
        <v>15</v>
      </c>
      <c r="V256" s="46" t="s">
        <v>10</v>
      </c>
      <c r="W256" s="46" t="s">
        <v>11</v>
      </c>
      <c r="Z256" s="112">
        <f>AD256+RBTC!$K$120</f>
        <v>0.3131215677814847</v>
      </c>
      <c r="AA256" s="112">
        <f>AE256+RBTC!$L$120</f>
        <v>0.31846490617593826</v>
      </c>
      <c r="AD256" s="51">
        <v>0.30868774784056413</v>
      </c>
      <c r="AE256" s="51">
        <v>0.3240356433751278</v>
      </c>
    </row>
    <row r="257" spans="2:31" ht="33">
      <c r="B257" s="1" t="s">
        <v>3</v>
      </c>
      <c r="C257" s="3" t="s">
        <v>4</v>
      </c>
      <c r="D257" s="3" t="s">
        <v>5</v>
      </c>
      <c r="E257" s="3" t="s">
        <v>6</v>
      </c>
      <c r="F257" s="4" t="s">
        <v>4</v>
      </c>
      <c r="G257" s="4" t="s">
        <v>5</v>
      </c>
      <c r="H257" s="4" t="s">
        <v>6</v>
      </c>
      <c r="I257" s="2" t="s">
        <v>4</v>
      </c>
      <c r="J257" s="2" t="s">
        <v>5</v>
      </c>
      <c r="K257" s="2" t="s">
        <v>6</v>
      </c>
      <c r="X257" s="1" t="s">
        <v>3</v>
      </c>
      <c r="Z257" s="112">
        <f>AD257+RBTC!$K$120</f>
        <v>0.31314522161099484</v>
      </c>
      <c r="AA257" s="112">
        <f>AE257+RBTC!$L$120</f>
        <v>0.31841200618374393</v>
      </c>
      <c r="AD257" s="51">
        <v>0.30871140167007427</v>
      </c>
      <c r="AE257" s="51">
        <v>0.32398274338293348</v>
      </c>
    </row>
    <row r="258" spans="2:31">
      <c r="B258" s="1">
        <f>C242</f>
        <v>-10</v>
      </c>
      <c r="C258" s="1">
        <f t="shared" ref="C258:D269" si="54">C97</f>
        <v>0.6819166666666665</v>
      </c>
      <c r="D258" s="1">
        <f t="shared" si="54"/>
        <v>0.31184166666666668</v>
      </c>
      <c r="E258" s="1">
        <f t="shared" ref="E258:E269" si="55">F190</f>
        <v>3.1662966977249423</v>
      </c>
      <c r="F258" s="1">
        <f t="shared" ref="F258:J269" si="56">F97</f>
        <v>0.13669999999999996</v>
      </c>
      <c r="G258" s="1">
        <f t="shared" si="56"/>
        <v>0.73254705882352955</v>
      </c>
      <c r="H258" s="1">
        <f t="shared" si="56"/>
        <v>6.7313125000000023</v>
      </c>
      <c r="I258" s="1">
        <f t="shared" si="56"/>
        <v>0.15383333333333332</v>
      </c>
      <c r="J258" s="1">
        <f t="shared" si="56"/>
        <v>2.8558333333333324E-2</v>
      </c>
      <c r="K258" s="1">
        <f t="shared" ref="K258:K269" si="57">F159</f>
        <v>0.34610266666666667</v>
      </c>
      <c r="M258" s="1">
        <f t="shared" ref="M258:M269" si="58">C258/D258</f>
        <v>2.1867400657384883</v>
      </c>
      <c r="N258" s="1">
        <f t="shared" ref="N258:N269" si="59">F258/G258</f>
        <v>0.18660917186609163</v>
      </c>
      <c r="O258" s="1">
        <f t="shared" ref="O258:O269" si="60">I258/J258</f>
        <v>5.3866355412897589</v>
      </c>
      <c r="P258" s="1">
        <f t="shared" ref="P258:P269" si="61">(1-C258-D258)/D258</f>
        <v>2.0015499318564906E-2</v>
      </c>
      <c r="Q258" s="1">
        <f t="shared" ref="Q258:Q269" si="62">(1-F258-G258)/G258</f>
        <v>0.17849084178490829</v>
      </c>
      <c r="R258" s="1">
        <f t="shared" ref="R258:R269" si="63">(1-I258-J258)/J258</f>
        <v>28.629413481178883</v>
      </c>
      <c r="S258" s="1">
        <f t="shared" ref="S258:S269" si="64">E258*M258+H258*N258+K258*O258</f>
        <v>10.044321425329299</v>
      </c>
      <c r="T258" s="1">
        <f t="shared" ref="T258:T269" si="65">E258+H258+K258</f>
        <v>10.243711864391612</v>
      </c>
      <c r="U258" s="1">
        <f t="shared" ref="U258:U269" si="66">E258*P258+H258*Q258+K258*R258</f>
        <v>11.173568994776591</v>
      </c>
      <c r="V258" s="144">
        <f t="shared" ref="V258:V269" si="67">(S258/(S258+T258+U258))-$K$120</f>
        <v>0.3148226926327754</v>
      </c>
      <c r="W258" s="144">
        <f t="shared" ref="W258:W269" si="68">(T258/(S258+T258+U258))-$L$120</f>
        <v>0.33116483033408156</v>
      </c>
      <c r="X258" s="1">
        <f>B258</f>
        <v>-10</v>
      </c>
      <c r="Z258" s="112">
        <f>AD258+RBTC!$K$120</f>
        <v>0.31317009040619465</v>
      </c>
      <c r="AA258" s="112">
        <f>AE258+RBTC!$L$120</f>
        <v>0.31836063449651836</v>
      </c>
      <c r="AD258" s="51">
        <v>0.30873627046527408</v>
      </c>
      <c r="AE258" s="51">
        <v>0.3239313716957079</v>
      </c>
    </row>
    <row r="259" spans="2:31">
      <c r="B259" s="1">
        <f t="shared" ref="B259:B269" si="69">C243</f>
        <v>2</v>
      </c>
      <c r="C259" s="1">
        <f>C98</f>
        <v>0.68451666666666666</v>
      </c>
      <c r="D259" s="1">
        <f t="shared" si="54"/>
        <v>0.30994166666666667</v>
      </c>
      <c r="E259" s="1">
        <f t="shared" si="55"/>
        <v>3.0804027034478785</v>
      </c>
      <c r="F259" s="1">
        <f t="shared" si="56"/>
        <v>0.13909999999999997</v>
      </c>
      <c r="G259" s="1">
        <f t="shared" si="56"/>
        <v>0.73078235294117666</v>
      </c>
      <c r="H259" s="1">
        <f t="shared" si="56"/>
        <v>6.6441025000000016</v>
      </c>
      <c r="I259" s="1">
        <f t="shared" si="56"/>
        <v>0.1530333333333333</v>
      </c>
      <c r="J259" s="1">
        <f t="shared" si="56"/>
        <v>2.9258333333333327E-2</v>
      </c>
      <c r="K259" s="1">
        <f t="shared" si="57"/>
        <v>0.34527595833333335</v>
      </c>
      <c r="M259" s="1">
        <f t="shared" si="58"/>
        <v>2.2085338638991208</v>
      </c>
      <c r="N259" s="1">
        <f t="shared" si="59"/>
        <v>0.1903439504801461</v>
      </c>
      <c r="O259" s="1">
        <f t="shared" si="60"/>
        <v>5.2304186841355742</v>
      </c>
      <c r="P259" s="1">
        <f t="shared" si="61"/>
        <v>1.7879708547307291E-2</v>
      </c>
      <c r="Q259" s="1">
        <f t="shared" si="62"/>
        <v>0.17805253032608051</v>
      </c>
      <c r="R259" s="1">
        <f t="shared" si="63"/>
        <v>27.947878097408154</v>
      </c>
      <c r="S259" s="1">
        <f t="shared" si="64"/>
        <v>9.8737762259055391</v>
      </c>
      <c r="T259" s="1">
        <f t="shared" si="65"/>
        <v>10.069781161781213</v>
      </c>
      <c r="U259" s="1">
        <f t="shared" si="66"/>
        <v>10.887806357882599</v>
      </c>
      <c r="V259" s="144">
        <f t="shared" si="67"/>
        <v>0.31581721752168468</v>
      </c>
      <c r="W259" s="144">
        <f t="shared" si="68"/>
        <v>0.33217909759739933</v>
      </c>
      <c r="X259" s="1">
        <f t="shared" ref="X259:X269" si="70">B259</f>
        <v>2</v>
      </c>
      <c r="Z259" s="112">
        <f>AD259+RBTC!$K$120</f>
        <v>0.31319616659180821</v>
      </c>
      <c r="AA259" s="112">
        <f>AE259+RBTC!$L$120</f>
        <v>0.31831080676257523</v>
      </c>
      <c r="AD259" s="51">
        <v>0.30876234665088764</v>
      </c>
      <c r="AE259" s="51">
        <v>0.32388154396176477</v>
      </c>
    </row>
    <row r="260" spans="2:31">
      <c r="B260" s="1">
        <f t="shared" si="69"/>
        <v>14</v>
      </c>
      <c r="C260" s="1">
        <f t="shared" si="54"/>
        <v>0.6871166666666666</v>
      </c>
      <c r="D260" s="1">
        <f t="shared" si="54"/>
        <v>0.30804166666666666</v>
      </c>
      <c r="E260" s="1">
        <f t="shared" si="55"/>
        <v>2.981713461228515</v>
      </c>
      <c r="F260" s="1">
        <f t="shared" si="56"/>
        <v>0.14149999999999999</v>
      </c>
      <c r="G260" s="1">
        <f t="shared" si="56"/>
        <v>0.72901764705882366</v>
      </c>
      <c r="H260" s="1">
        <f t="shared" si="56"/>
        <v>6.5568925000000009</v>
      </c>
      <c r="I260" s="1">
        <f t="shared" si="56"/>
        <v>0.15223333333333333</v>
      </c>
      <c r="J260" s="1">
        <f t="shared" si="56"/>
        <v>2.995833333333333E-2</v>
      </c>
      <c r="K260" s="1">
        <f t="shared" si="57"/>
        <v>0.34851992187500003</v>
      </c>
      <c r="M260" s="1">
        <f t="shared" si="58"/>
        <v>2.2305965102123628</v>
      </c>
      <c r="N260" s="1">
        <f t="shared" si="59"/>
        <v>0.19409681037334683</v>
      </c>
      <c r="O260" s="1">
        <f t="shared" si="60"/>
        <v>5.0815020862308771</v>
      </c>
      <c r="P260" s="1">
        <f t="shared" si="61"/>
        <v>1.5717570674963054E-2</v>
      </c>
      <c r="Q260" s="1">
        <f t="shared" si="62"/>
        <v>0.17761209685878646</v>
      </c>
      <c r="R260" s="1">
        <f t="shared" si="63"/>
        <v>27.298191933240616</v>
      </c>
      <c r="S260" s="1">
        <f t="shared" si="64"/>
        <v>9.6946762713813062</v>
      </c>
      <c r="T260" s="1">
        <f t="shared" si="65"/>
        <v>9.8871258831035167</v>
      </c>
      <c r="U260" s="1">
        <f t="shared" si="66"/>
        <v>10.725412437763774</v>
      </c>
      <c r="V260" s="144">
        <f t="shared" si="67"/>
        <v>0.31544632746994794</v>
      </c>
      <c r="W260" s="144">
        <f t="shared" si="68"/>
        <v>0.33180084498455681</v>
      </c>
      <c r="X260" s="1">
        <f t="shared" si="70"/>
        <v>14</v>
      </c>
      <c r="Z260" s="112">
        <f>AD260+RBTC!$K$120</f>
        <v>0.31322344222477688</v>
      </c>
      <c r="AA260" s="112">
        <f>AE260+RBTC!$L$120</f>
        <v>0.31826253815992495</v>
      </c>
      <c r="AD260" s="51">
        <v>0.30878962228385631</v>
      </c>
      <c r="AE260" s="51">
        <v>0.32383327535911449</v>
      </c>
    </row>
    <row r="261" spans="2:31">
      <c r="B261" s="1">
        <f t="shared" si="69"/>
        <v>25</v>
      </c>
      <c r="C261" s="1">
        <f t="shared" si="54"/>
        <v>0.6895</v>
      </c>
      <c r="D261" s="1">
        <f t="shared" si="54"/>
        <v>0.30630000000000002</v>
      </c>
      <c r="E261" s="1">
        <f t="shared" si="55"/>
        <v>2.8926970723443111</v>
      </c>
      <c r="F261" s="1">
        <f t="shared" si="56"/>
        <v>0.14369999999999999</v>
      </c>
      <c r="G261" s="1">
        <f t="shared" si="56"/>
        <v>0.72740000000000005</v>
      </c>
      <c r="H261" s="1">
        <f t="shared" si="56"/>
        <v>6.4769500000000004</v>
      </c>
      <c r="I261" s="1">
        <f t="shared" si="56"/>
        <v>0.1515</v>
      </c>
      <c r="J261" s="1">
        <f t="shared" si="56"/>
        <v>3.0599999999999999E-2</v>
      </c>
      <c r="K261" s="1">
        <f t="shared" si="57"/>
        <v>0.35162100000000002</v>
      </c>
      <c r="M261" s="1">
        <f t="shared" si="58"/>
        <v>2.2510610512569373</v>
      </c>
      <c r="N261" s="1">
        <f t="shared" si="59"/>
        <v>0.19755292823755841</v>
      </c>
      <c r="O261" s="1">
        <f t="shared" si="60"/>
        <v>4.9509803921568629</v>
      </c>
      <c r="P261" s="1">
        <f t="shared" si="61"/>
        <v>1.3712047012732554E-2</v>
      </c>
      <c r="Q261" s="1">
        <f t="shared" si="62"/>
        <v>0.17720648886444873</v>
      </c>
      <c r="R261" s="1">
        <f t="shared" si="63"/>
        <v>26.728758169934643</v>
      </c>
      <c r="S261" s="1">
        <f t="shared" si="64"/>
        <v>9.5320468276580925</v>
      </c>
      <c r="T261" s="1">
        <f t="shared" si="65"/>
        <v>9.7212680723443103</v>
      </c>
      <c r="U261" s="1">
        <f t="shared" si="66"/>
        <v>10.58581504277076</v>
      </c>
      <c r="V261" s="144">
        <f t="shared" si="67"/>
        <v>0.31501406094364559</v>
      </c>
      <c r="W261" s="144">
        <f t="shared" si="68"/>
        <v>0.33135999750899747</v>
      </c>
      <c r="X261" s="1">
        <f t="shared" si="70"/>
        <v>25</v>
      </c>
      <c r="Z261" s="112">
        <f>AD261+RBTC!$K$120</f>
        <v>0.31325190899667854</v>
      </c>
      <c r="AA261" s="112">
        <f>AE261+RBTC!$L$120</f>
        <v>0.31821584339165143</v>
      </c>
      <c r="AD261" s="51">
        <v>0.30881808905575797</v>
      </c>
      <c r="AE261" s="51">
        <v>0.32378658059084098</v>
      </c>
    </row>
    <row r="262" spans="2:31">
      <c r="B262" s="1">
        <f t="shared" si="69"/>
        <v>37</v>
      </c>
      <c r="C262" s="1">
        <f t="shared" si="54"/>
        <v>0.69210000000000005</v>
      </c>
      <c r="D262" s="1">
        <f t="shared" si="54"/>
        <v>0.3044</v>
      </c>
      <c r="E262" s="1">
        <f t="shared" si="55"/>
        <v>2.7979895381938631</v>
      </c>
      <c r="F262" s="1">
        <f t="shared" si="56"/>
        <v>0.14610000000000001</v>
      </c>
      <c r="G262" s="1">
        <f t="shared" si="56"/>
        <v>0.72563529411764705</v>
      </c>
      <c r="H262" s="1">
        <f t="shared" si="56"/>
        <v>6.3897399999999998</v>
      </c>
      <c r="I262" s="1">
        <f t="shared" si="56"/>
        <v>0.1507</v>
      </c>
      <c r="J262" s="1">
        <f t="shared" si="56"/>
        <v>3.1300000000000001E-2</v>
      </c>
      <c r="K262" s="1">
        <f t="shared" si="57"/>
        <v>0.35489391015625005</v>
      </c>
      <c r="M262" s="1">
        <f t="shared" si="58"/>
        <v>2.27365308804205</v>
      </c>
      <c r="N262" s="1">
        <f t="shared" si="59"/>
        <v>0.2013408129184974</v>
      </c>
      <c r="O262" s="1">
        <f t="shared" si="60"/>
        <v>4.8146964856230028</v>
      </c>
      <c r="P262" s="1">
        <f t="shared" si="61"/>
        <v>1.1498028909329657E-2</v>
      </c>
      <c r="Q262" s="1">
        <f t="shared" si="62"/>
        <v>0.17676194490831565</v>
      </c>
      <c r="R262" s="1">
        <f t="shared" si="63"/>
        <v>26.134185303514375</v>
      </c>
      <c r="S262" s="1">
        <f t="shared" si="64"/>
        <v>9.3568794617599682</v>
      </c>
      <c r="T262" s="1">
        <f t="shared" si="65"/>
        <v>9.5426234483501133</v>
      </c>
      <c r="U262" s="1">
        <f t="shared" si="66"/>
        <v>10.436497445568836</v>
      </c>
      <c r="V262" s="144">
        <f t="shared" si="67"/>
        <v>0.31452170734003837</v>
      </c>
      <c r="W262" s="144">
        <f t="shared" si="68"/>
        <v>0.33085787016388613</v>
      </c>
      <c r="X262" s="1">
        <f t="shared" si="70"/>
        <v>37</v>
      </c>
      <c r="Z262" s="112">
        <f>AD262+RBTC!$K$120</f>
        <v>0.31328155823625875</v>
      </c>
      <c r="AA262" s="112">
        <f>AE262+RBTC!$L$120</f>
        <v>0.31817073668143347</v>
      </c>
      <c r="AD262" s="51">
        <v>0.30884773829533818</v>
      </c>
      <c r="AE262" s="51">
        <v>0.32374147388062302</v>
      </c>
    </row>
    <row r="263" spans="2:31">
      <c r="B263" s="1">
        <f t="shared" si="69"/>
        <v>48</v>
      </c>
      <c r="C263" s="1">
        <f t="shared" si="54"/>
        <v>0.69448333333333345</v>
      </c>
      <c r="D263" s="1">
        <f t="shared" si="54"/>
        <v>0.30265833333333331</v>
      </c>
      <c r="E263" s="1">
        <f t="shared" si="55"/>
        <v>2.712688351367158</v>
      </c>
      <c r="F263" s="1">
        <f t="shared" si="56"/>
        <v>0.14830000000000002</v>
      </c>
      <c r="G263" s="1">
        <f t="shared" si="56"/>
        <v>0.72401764705882354</v>
      </c>
      <c r="H263" s="1">
        <f t="shared" si="56"/>
        <v>6.3097974999999993</v>
      </c>
      <c r="I263" s="1">
        <f t="shared" si="56"/>
        <v>0.14996666666666666</v>
      </c>
      <c r="J263" s="1">
        <f t="shared" si="56"/>
        <v>3.1941666666666674E-2</v>
      </c>
      <c r="K263" s="1">
        <f t="shared" si="57"/>
        <v>0.35802270312500001</v>
      </c>
      <c r="M263" s="1">
        <f t="shared" si="58"/>
        <v>2.2946116357829243</v>
      </c>
      <c r="N263" s="1">
        <f t="shared" si="59"/>
        <v>0.20482926155521072</v>
      </c>
      <c r="O263" s="1">
        <f t="shared" si="60"/>
        <v>4.6950169579963461</v>
      </c>
      <c r="P263" s="1">
        <f t="shared" si="61"/>
        <v>9.4440926236952806E-3</v>
      </c>
      <c r="Q263" s="1">
        <f t="shared" si="62"/>
        <v>0.17635254259320945</v>
      </c>
      <c r="R263" s="1">
        <f t="shared" si="63"/>
        <v>25.612053222019298</v>
      </c>
      <c r="S263" s="1">
        <f t="shared" si="64"/>
        <v>9.1979200803073589</v>
      </c>
      <c r="T263" s="1">
        <f t="shared" si="65"/>
        <v>9.3805085544921578</v>
      </c>
      <c r="U263" s="1">
        <f t="shared" si="66"/>
        <v>10.308064239551523</v>
      </c>
      <c r="V263" s="144">
        <f t="shared" si="67"/>
        <v>0.31398213038977524</v>
      </c>
      <c r="W263" s="144">
        <f t="shared" si="68"/>
        <v>0.33030758203857541</v>
      </c>
      <c r="X263" s="1">
        <f t="shared" si="70"/>
        <v>48</v>
      </c>
      <c r="Z263" s="112">
        <f>AD263+RBTC!$K$120</f>
        <v>0.31331238091207186</v>
      </c>
      <c r="AA263" s="112">
        <f>AE263+RBTC!$L$120</f>
        <v>0.31812723176921198</v>
      </c>
      <c r="AD263" s="51">
        <v>0.30887856097115129</v>
      </c>
      <c r="AE263" s="51">
        <v>0.32369796896840153</v>
      </c>
    </row>
    <row r="264" spans="2:31">
      <c r="B264" s="1">
        <f t="shared" si="69"/>
        <v>60</v>
      </c>
      <c r="C264" s="1">
        <f t="shared" si="54"/>
        <v>0.6970833333333335</v>
      </c>
      <c r="D264" s="1">
        <f t="shared" si="54"/>
        <v>0.30075833333333329</v>
      </c>
      <c r="E264" s="1">
        <f t="shared" si="55"/>
        <v>2.6220197014518192</v>
      </c>
      <c r="F264" s="1">
        <f t="shared" si="56"/>
        <v>0.15070000000000003</v>
      </c>
      <c r="G264" s="1">
        <f t="shared" si="56"/>
        <v>0.72225294117647054</v>
      </c>
      <c r="H264" s="1">
        <f t="shared" si="56"/>
        <v>6.2225874999999986</v>
      </c>
      <c r="I264" s="1">
        <f t="shared" si="56"/>
        <v>0.14916666666666667</v>
      </c>
      <c r="J264" s="1">
        <f t="shared" si="56"/>
        <v>3.2641666666666673E-2</v>
      </c>
      <c r="K264" s="1">
        <f t="shared" si="57"/>
        <v>0.36132455989583334</v>
      </c>
      <c r="M264" s="1">
        <f t="shared" si="58"/>
        <v>2.3177523482308615</v>
      </c>
      <c r="N264" s="1">
        <f t="shared" si="59"/>
        <v>0.20865266364236096</v>
      </c>
      <c r="O264" s="1">
        <f t="shared" si="60"/>
        <v>4.569823844779167</v>
      </c>
      <c r="P264" s="1">
        <f t="shared" si="61"/>
        <v>7.176304341802245E-3</v>
      </c>
      <c r="Q264" s="1">
        <f t="shared" si="62"/>
        <v>0.17590383033481832</v>
      </c>
      <c r="R264" s="1">
        <f t="shared" si="63"/>
        <v>25.065866734745974</v>
      </c>
      <c r="S264" s="1">
        <f t="shared" si="64"/>
        <v>9.0267413662865135</v>
      </c>
      <c r="T264" s="1">
        <f t="shared" si="65"/>
        <v>9.2059317613476512</v>
      </c>
      <c r="U264" s="1">
        <f t="shared" si="66"/>
        <v>10.17030665355108</v>
      </c>
      <c r="V264" s="144">
        <f t="shared" si="67"/>
        <v>0.31337584072947233</v>
      </c>
      <c r="W264" s="144">
        <f t="shared" si="68"/>
        <v>0.32968925688513678</v>
      </c>
      <c r="X264" s="1">
        <f t="shared" si="70"/>
        <v>60</v>
      </c>
      <c r="Z264" s="112">
        <f>AD264+RBTC!$K$120</f>
        <v>0.31334436763523232</v>
      </c>
      <c r="AA264" s="112">
        <f>AE264+RBTC!$L$120</f>
        <v>0.3180853419070046</v>
      </c>
      <c r="AD264" s="51">
        <v>0.30891054769431175</v>
      </c>
      <c r="AE264" s="51">
        <v>0.32365607910619415</v>
      </c>
    </row>
    <row r="265" spans="2:31">
      <c r="B265" s="1">
        <f t="shared" si="69"/>
        <v>71</v>
      </c>
      <c r="C265" s="1">
        <f t="shared" si="54"/>
        <v>0.6994666666666669</v>
      </c>
      <c r="D265" s="1">
        <f t="shared" si="54"/>
        <v>0.2990166666666666</v>
      </c>
      <c r="E265" s="1">
        <f t="shared" si="55"/>
        <v>2.5404555781000608</v>
      </c>
      <c r="F265" s="1">
        <f t="shared" si="56"/>
        <v>0.15290000000000004</v>
      </c>
      <c r="G265" s="1">
        <f t="shared" si="56"/>
        <v>0.72063529411764693</v>
      </c>
      <c r="H265" s="1">
        <f t="shared" si="56"/>
        <v>6.1426449999999981</v>
      </c>
      <c r="I265" s="1">
        <f t="shared" si="56"/>
        <v>0.14843333333333333</v>
      </c>
      <c r="J265" s="1">
        <f t="shared" si="56"/>
        <v>3.3283333333333345E-2</v>
      </c>
      <c r="K265" s="1">
        <f t="shared" si="57"/>
        <v>0.36448106770833338</v>
      </c>
      <c r="M265" s="1">
        <f t="shared" si="58"/>
        <v>2.3392230087509072</v>
      </c>
      <c r="N265" s="1">
        <f t="shared" si="59"/>
        <v>0.2121738988474223</v>
      </c>
      <c r="O265" s="1">
        <f t="shared" si="60"/>
        <v>4.4596895343014502</v>
      </c>
      <c r="P265" s="1">
        <f t="shared" si="61"/>
        <v>5.0721810378457164E-3</v>
      </c>
      <c r="Q265" s="1">
        <f t="shared" si="62"/>
        <v>0.17549058020700706</v>
      </c>
      <c r="R265" s="1">
        <f t="shared" si="63"/>
        <v>24.585378067100642</v>
      </c>
      <c r="S265" s="1">
        <f t="shared" si="64"/>
        <v>8.8714734829967465</v>
      </c>
      <c r="T265" s="1">
        <f t="shared" si="65"/>
        <v>9.0475816458083926</v>
      </c>
      <c r="U265" s="1">
        <f t="shared" si="66"/>
        <v>10.051766833576282</v>
      </c>
      <c r="V265" s="144">
        <f t="shared" si="67"/>
        <v>0.31273503176205003</v>
      </c>
      <c r="W265" s="144">
        <f t="shared" si="68"/>
        <v>0.32903572717970159</v>
      </c>
      <c r="X265" s="1">
        <f t="shared" si="70"/>
        <v>71</v>
      </c>
      <c r="Z265" s="112">
        <f>AD265+RBTC!$K$120</f>
        <v>0.31337750866227426</v>
      </c>
      <c r="AA265" s="112">
        <f>AE265+RBTC!$L$120</f>
        <v>0.31804507985486924</v>
      </c>
      <c r="AD265" s="51">
        <v>0.30894368872135369</v>
      </c>
      <c r="AE265" s="51">
        <v>0.32361581705405879</v>
      </c>
    </row>
    <row r="266" spans="2:31">
      <c r="B266" s="1">
        <f t="shared" si="69"/>
        <v>83</v>
      </c>
      <c r="C266" s="1">
        <f t="shared" si="54"/>
        <v>0.70206666666666695</v>
      </c>
      <c r="D266" s="1">
        <f t="shared" si="54"/>
        <v>0.29711666666666658</v>
      </c>
      <c r="E266" s="1">
        <f t="shared" si="55"/>
        <v>2.4538276181780931</v>
      </c>
      <c r="F266" s="1">
        <f t="shared" si="56"/>
        <v>0.15530000000000005</v>
      </c>
      <c r="G266" s="1">
        <f t="shared" si="56"/>
        <v>0.71887058823529393</v>
      </c>
      <c r="H266" s="1">
        <f t="shared" si="56"/>
        <v>6.0554349999999975</v>
      </c>
      <c r="I266" s="1">
        <f t="shared" si="56"/>
        <v>0.14763333333333334</v>
      </c>
      <c r="J266" s="1">
        <f t="shared" si="56"/>
        <v>3.3983333333333345E-2</v>
      </c>
      <c r="K266" s="1">
        <f t="shared" si="57"/>
        <v>0.36781187109375002</v>
      </c>
      <c r="M266" s="1">
        <f t="shared" si="58"/>
        <v>2.3629326302799143</v>
      </c>
      <c r="N266" s="1">
        <f t="shared" si="59"/>
        <v>0.21603332024090088</v>
      </c>
      <c r="O266" s="1">
        <f t="shared" si="60"/>
        <v>4.3442864149092681</v>
      </c>
      <c r="P266" s="1">
        <f t="shared" si="61"/>
        <v>2.7486397038193728E-3</v>
      </c>
      <c r="Q266" s="1">
        <f t="shared" si="62"/>
        <v>0.1750376407436505</v>
      </c>
      <c r="R266" s="1">
        <f t="shared" si="63"/>
        <v>24.081902893575275</v>
      </c>
      <c r="S266" s="1">
        <f t="shared" si="64"/>
        <v>8.7042851914629544</v>
      </c>
      <c r="T266" s="1">
        <f t="shared" si="65"/>
        <v>8.8770744892718412</v>
      </c>
      <c r="U266" s="1">
        <f t="shared" si="66"/>
        <v>9.9242835068780941</v>
      </c>
      <c r="V266" s="144">
        <f t="shared" si="67"/>
        <v>0.31202070293978457</v>
      </c>
      <c r="W266" s="144">
        <f t="shared" si="68"/>
        <v>0.32830721817228725</v>
      </c>
      <c r="X266" s="1">
        <f t="shared" si="70"/>
        <v>83</v>
      </c>
      <c r="Z266" s="112">
        <f>AD266+RBTC!$K$120</f>
        <v>0.31341179389811996</v>
      </c>
      <c r="AA266" s="112">
        <f>AE266+RBTC!$L$120</f>
        <v>0.31800645787701698</v>
      </c>
      <c r="AD266" s="51">
        <v>0.30897797395719939</v>
      </c>
      <c r="AE266" s="51">
        <v>0.32357719507620653</v>
      </c>
    </row>
    <row r="267" spans="2:31">
      <c r="B267" s="1">
        <f t="shared" si="69"/>
        <v>94</v>
      </c>
      <c r="C267" s="1">
        <f t="shared" si="54"/>
        <v>0.70445000000000024</v>
      </c>
      <c r="D267" s="1">
        <f t="shared" si="54"/>
        <v>0.29537499999999994</v>
      </c>
      <c r="E267" s="1">
        <f t="shared" si="55"/>
        <v>2.3759793946111878</v>
      </c>
      <c r="F267" s="1">
        <f t="shared" si="56"/>
        <v>0.15750000000000006</v>
      </c>
      <c r="G267" s="1">
        <f t="shared" si="56"/>
        <v>0.71725294117647043</v>
      </c>
      <c r="H267" s="1">
        <f t="shared" si="56"/>
        <v>5.975492499999997</v>
      </c>
      <c r="I267" s="1">
        <f t="shared" si="56"/>
        <v>0.14690000000000003</v>
      </c>
      <c r="J267" s="1">
        <f t="shared" si="56"/>
        <v>3.4625000000000017E-2</v>
      </c>
      <c r="K267" s="1">
        <f t="shared" si="57"/>
        <v>0.37099609375000003</v>
      </c>
      <c r="M267" s="1">
        <f t="shared" si="58"/>
        <v>2.3849344054168444</v>
      </c>
      <c r="N267" s="1">
        <f t="shared" si="59"/>
        <v>0.21958780641827902</v>
      </c>
      <c r="O267" s="1">
        <f t="shared" si="60"/>
        <v>4.2425992779783384</v>
      </c>
      <c r="P267" s="1">
        <f t="shared" si="61"/>
        <v>5.9246720270779256E-4</v>
      </c>
      <c r="Q267" s="1">
        <f t="shared" si="62"/>
        <v>0.17462048830095231</v>
      </c>
      <c r="R267" s="1">
        <f t="shared" si="63"/>
        <v>23.638267148014428</v>
      </c>
      <c r="S267" s="1">
        <f t="shared" si="64"/>
        <v>8.5526880545901189</v>
      </c>
      <c r="T267" s="1">
        <f t="shared" si="65"/>
        <v>8.7224679883611849</v>
      </c>
      <c r="U267" s="1">
        <f t="shared" si="66"/>
        <v>9.8145558829866015</v>
      </c>
      <c r="V267" s="144">
        <f t="shared" si="67"/>
        <v>0.31128338214571644</v>
      </c>
      <c r="W267" s="144">
        <f t="shared" si="68"/>
        <v>0.32755526077803132</v>
      </c>
      <c r="X267" s="1">
        <f t="shared" si="70"/>
        <v>94</v>
      </c>
      <c r="Z267" s="112">
        <f>AD267+RBTC!$K$120</f>
        <v>0.31344721289915434</v>
      </c>
      <c r="AA267" s="112">
        <f>AE267+RBTC!$L$120</f>
        <v>0.31796948773807637</v>
      </c>
      <c r="AD267" s="51">
        <v>0.30901339295823377</v>
      </c>
      <c r="AE267" s="51">
        <v>0.32354022493726592</v>
      </c>
    </row>
    <row r="268" spans="2:31">
      <c r="B268" s="1">
        <f t="shared" si="69"/>
        <v>106</v>
      </c>
      <c r="C268" s="1">
        <f t="shared" si="54"/>
        <v>0.7070500000000004</v>
      </c>
      <c r="D268" s="1">
        <f t="shared" si="54"/>
        <v>0.29347499999999993</v>
      </c>
      <c r="E268" s="1">
        <f t="shared" si="55"/>
        <v>2.2933534416272741</v>
      </c>
      <c r="F268" s="1">
        <f t="shared" si="56"/>
        <v>0.15990000000000007</v>
      </c>
      <c r="G268" s="1">
        <f t="shared" si="56"/>
        <v>0.71548823529411743</v>
      </c>
      <c r="H268" s="1">
        <f t="shared" si="56"/>
        <v>5.8882824999999963</v>
      </c>
      <c r="I268" s="1">
        <f t="shared" si="56"/>
        <v>0.14610000000000001</v>
      </c>
      <c r="J268" s="1">
        <f t="shared" si="56"/>
        <v>3.5325000000000016E-2</v>
      </c>
      <c r="K268" s="1">
        <f t="shared" si="57"/>
        <v>0.37435584375000003</v>
      </c>
      <c r="M268" s="1">
        <f t="shared" si="58"/>
        <v>2.4092341766760392</v>
      </c>
      <c r="N268" s="1">
        <f t="shared" si="59"/>
        <v>0.22348375851948091</v>
      </c>
      <c r="O268" s="1">
        <f t="shared" si="60"/>
        <v>4.1358811040339685</v>
      </c>
      <c r="P268" s="1">
        <f t="shared" si="61"/>
        <v>-1.7889087656540791E-3</v>
      </c>
      <c r="Q268" s="1">
        <f t="shared" si="62"/>
        <v>0.17416326161485812</v>
      </c>
      <c r="R268" s="1">
        <f t="shared" si="63"/>
        <v>23.172682236376492</v>
      </c>
      <c r="S268" s="1">
        <f t="shared" si="64"/>
        <v>8.3894522554408493</v>
      </c>
      <c r="T268" s="1">
        <f t="shared" si="65"/>
        <v>8.5559917853772696</v>
      </c>
      <c r="U268" s="1">
        <f t="shared" si="66"/>
        <v>9.6962488959845796</v>
      </c>
      <c r="V268" s="144">
        <f t="shared" si="67"/>
        <v>0.31046554757831479</v>
      </c>
      <c r="W268" s="144">
        <f t="shared" si="68"/>
        <v>0.32672119132660221</v>
      </c>
      <c r="X268" s="1">
        <f t="shared" si="70"/>
        <v>106</v>
      </c>
      <c r="Z268" s="112">
        <f>AD268+RBTC!$K$120</f>
        <v>0.31348375487640662</v>
      </c>
      <c r="AA268" s="112">
        <f>AE268+RBTC!$L$120</f>
        <v>0.31793418069950991</v>
      </c>
      <c r="AD268" s="51">
        <v>0.30904993493548605</v>
      </c>
      <c r="AE268" s="51">
        <v>0.32350491789869945</v>
      </c>
    </row>
    <row r="269" spans="2:31">
      <c r="B269" s="1">
        <f t="shared" si="69"/>
        <v>117</v>
      </c>
      <c r="C269" s="1">
        <f t="shared" si="54"/>
        <v>0.70943333333333369</v>
      </c>
      <c r="D269" s="1">
        <f t="shared" si="54"/>
        <v>0.29173333333333323</v>
      </c>
      <c r="E269" s="1">
        <f t="shared" si="55"/>
        <v>2.2191686528283276</v>
      </c>
      <c r="F269" s="1">
        <f t="shared" si="56"/>
        <v>0.16210000000000008</v>
      </c>
      <c r="G269" s="1">
        <f t="shared" si="56"/>
        <v>0.71387058823529381</v>
      </c>
      <c r="H269" s="1">
        <f t="shared" si="56"/>
        <v>5.8083399999999958</v>
      </c>
      <c r="I269" s="1">
        <f t="shared" si="56"/>
        <v>0.1453666666666667</v>
      </c>
      <c r="J269" s="1">
        <f t="shared" si="56"/>
        <v>3.5966666666666688E-2</v>
      </c>
      <c r="K269" s="1">
        <f t="shared" si="57"/>
        <v>0.37756778125000007</v>
      </c>
      <c r="M269" s="1">
        <f t="shared" si="58"/>
        <v>2.4317870201096912</v>
      </c>
      <c r="N269" s="1">
        <f t="shared" si="59"/>
        <v>0.22707196888544656</v>
      </c>
      <c r="O269" s="1">
        <f t="shared" si="60"/>
        <v>4.0417052826691364</v>
      </c>
      <c r="P269" s="1">
        <f t="shared" si="61"/>
        <v>-3.999085923218443E-3</v>
      </c>
      <c r="Q269" s="1">
        <f t="shared" si="62"/>
        <v>0.17374215132088563</v>
      </c>
      <c r="R269" s="1">
        <f t="shared" si="63"/>
        <v>22.761816496756243</v>
      </c>
      <c r="S269" s="1">
        <f t="shared" si="64"/>
        <v>8.2414744211821223</v>
      </c>
      <c r="T269" s="1">
        <f t="shared" si="65"/>
        <v>8.4050764340783246</v>
      </c>
      <c r="U269" s="1">
        <f t="shared" si="66"/>
        <v>9.5944073929822817</v>
      </c>
      <c r="V269" s="144">
        <f t="shared" si="67"/>
        <v>0.30963529076825208</v>
      </c>
      <c r="W269" s="144">
        <f t="shared" si="68"/>
        <v>0.32587445303781315</v>
      </c>
      <c r="X269" s="1">
        <f t="shared" si="70"/>
        <v>117</v>
      </c>
      <c r="Z269" s="112">
        <f>AD269+RBTC!$K$120</f>
        <v>0.31352140869883649</v>
      </c>
      <c r="AA269" s="112">
        <f>AE269+RBTC!$L$120</f>
        <v>0.31790054751618357</v>
      </c>
      <c r="AD269" s="51">
        <v>0.30908758875791592</v>
      </c>
      <c r="AE269" s="51">
        <v>0.32347128471537312</v>
      </c>
    </row>
    <row r="270" spans="2:31">
      <c r="Z270" s="112">
        <f>AD270+RBTC!$K$120</f>
        <v>0.31356016289672495</v>
      </c>
      <c r="AA270" s="112">
        <f>AE270+RBTC!$L$120</f>
        <v>0.31786859843309079</v>
      </c>
      <c r="AD270" s="51">
        <v>0.30912634295580438</v>
      </c>
      <c r="AE270" s="51">
        <v>0.32343933563228033</v>
      </c>
    </row>
    <row r="271" spans="2:31">
      <c r="Z271" s="112">
        <f>AD271+RBTC!$K$120</f>
        <v>0.31360000566516788</v>
      </c>
      <c r="AA271" s="112">
        <f>AE271+RBTC!$L$120</f>
        <v>0.31783834318223175</v>
      </c>
      <c r="AD271" s="51">
        <v>0.30916618572424731</v>
      </c>
      <c r="AE271" s="51">
        <v>0.3234090803814213</v>
      </c>
    </row>
    <row r="272" spans="2:31">
      <c r="Z272" s="112">
        <f>AD272+RBTC!$K$120</f>
        <v>0.31364092486767198</v>
      </c>
      <c r="AA272" s="112">
        <f>AE272+RBTC!$L$120</f>
        <v>0.31780979097964901</v>
      </c>
      <c r="AD272" s="51">
        <v>0.30920710492675141</v>
      </c>
      <c r="AE272" s="51">
        <v>0.32338052817883856</v>
      </c>
    </row>
    <row r="273" spans="26:31">
      <c r="Z273" s="112">
        <f>AD273+RBTC!$K$120</f>
        <v>0.31368290803985188</v>
      </c>
      <c r="AA273" s="112">
        <f>AE273+RBTC!$L$120</f>
        <v>0.31778295052262001</v>
      </c>
      <c r="AD273" s="51">
        <v>0.30924908809893131</v>
      </c>
      <c r="AE273" s="51">
        <v>0.32335368772180956</v>
      </c>
    </row>
    <row r="274" spans="26:31">
      <c r="Z274" s="112">
        <f>AD274+RBTC!$K$120</f>
        <v>0.31372594239322654</v>
      </c>
      <c r="AA274" s="112">
        <f>AE274+RBTC!$L$120</f>
        <v>0.31775782998700802</v>
      </c>
      <c r="AD274" s="51">
        <v>0.30929212245230597</v>
      </c>
      <c r="AE274" s="51">
        <v>0.32332856718619757</v>
      </c>
    </row>
    <row r="275" spans="26:31">
      <c r="Z275" s="112">
        <f>AD275+RBTC!$K$120</f>
        <v>0.3137700148191151</v>
      </c>
      <c r="AA275" s="112">
        <f>AE275+RBTC!$L$120</f>
        <v>0.31773443702477155</v>
      </c>
      <c r="AD275" s="51">
        <v>0.30933619487819453</v>
      </c>
      <c r="AE275" s="51">
        <v>0.3233051742239611</v>
      </c>
    </row>
    <row r="276" spans="26:31">
      <c r="Z276" s="112">
        <f>AD276+RBTC!$K$120</f>
        <v>0.31381511189262962</v>
      </c>
      <c r="AA276" s="112">
        <f>AE276+RBTC!$L$120</f>
        <v>0.31771277876163345</v>
      </c>
      <c r="AD276" s="51">
        <v>0.30938129195170905</v>
      </c>
      <c r="AE276" s="51">
        <v>0.323283515960823</v>
      </c>
    </row>
    <row r="277" spans="26:31">
      <c r="Z277" s="112">
        <f>AD277+RBTC!$K$120</f>
        <v>0.31386121987676474</v>
      </c>
      <c r="AA277" s="112">
        <f>AE277+RBTC!$L$120</f>
        <v>0.31769286179491052</v>
      </c>
      <c r="AD277" s="51">
        <v>0.30942739993584417</v>
      </c>
      <c r="AE277" s="51">
        <v>0.32326359899410007</v>
      </c>
    </row>
    <row r="278" spans="26:31">
      <c r="Z278" s="112">
        <f>AD278+RBTC!$K$120</f>
        <v>0.31390832472658181</v>
      </c>
      <c r="AA278" s="112">
        <f>AE278+RBTC!$L$120</f>
        <v>0.31767469219150374</v>
      </c>
      <c r="AD278" s="51">
        <v>0.30947450478566124</v>
      </c>
      <c r="AE278" s="51">
        <v>0.32324542939069328</v>
      </c>
    </row>
    <row r="279" spans="26:31">
      <c r="Z279" s="112">
        <f>AD279+RBTC!$K$120</f>
        <v>0.31395641209348724</v>
      </c>
      <c r="AA279" s="112">
        <f>AE279+RBTC!$L$120</f>
        <v>0.31765827548605036</v>
      </c>
      <c r="AD279" s="51">
        <v>0.30952259215256667</v>
      </c>
      <c r="AE279" s="51">
        <v>0.3232290126852399</v>
      </c>
    </row>
    <row r="280" spans="26:31">
      <c r="Z280" s="112">
        <f>AD280+RBTC!$K$120</f>
        <v>0.31400546732960322</v>
      </c>
      <c r="AA280" s="112">
        <f>AE280+RBTC!$L$120</f>
        <v>0.31764361667923779</v>
      </c>
      <c r="AD280" s="51">
        <v>0.30957164738868265</v>
      </c>
      <c r="AE280" s="51">
        <v>0.32321435387842734</v>
      </c>
    </row>
    <row r="281" spans="26:31">
      <c r="Z281" s="112">
        <f>AD281+RBTC!$K$120</f>
        <v>0.31405547549222962</v>
      </c>
      <c r="AA281" s="112">
        <f>AE281+RBTC!$L$120</f>
        <v>0.31763072023628075</v>
      </c>
      <c r="AD281" s="51">
        <v>0.30962165555130905</v>
      </c>
      <c r="AE281" s="51">
        <v>0.3232014574354703</v>
      </c>
    </row>
    <row r="282" spans="26:31">
      <c r="Z282" s="112">
        <f>AD282+RBTC!$K$120</f>
        <v>0.31410642134839573</v>
      </c>
      <c r="AA282" s="112">
        <f>AE282+RBTC!$L$120</f>
        <v>0.31761959008556057</v>
      </c>
      <c r="AD282" s="51">
        <v>0.30967260140747516</v>
      </c>
      <c r="AE282" s="51">
        <v>0.32319032728475011</v>
      </c>
    </row>
    <row r="283" spans="26:31">
      <c r="Z283" s="112">
        <f>AD283+RBTC!$K$120</f>
        <v>0.31415828937950013</v>
      </c>
      <c r="AA283" s="112">
        <f>AE283+RBTC!$L$120</f>
        <v>0.31761022961742902</v>
      </c>
      <c r="AD283" s="51">
        <v>0.30972446943857956</v>
      </c>
      <c r="AE283" s="51">
        <v>0.32318096681661856</v>
      </c>
    </row>
    <row r="284" spans="26:31">
      <c r="Z284" s="112">
        <f>AD284+RBTC!$K$120</f>
        <v>0.31421106378603819</v>
      </c>
      <c r="AA284" s="112">
        <f>AE284+RBTC!$L$120</f>
        <v>0.31760264168317537</v>
      </c>
      <c r="AD284" s="51">
        <v>0.30977724384511762</v>
      </c>
      <c r="AE284" s="51">
        <v>0.32317337888236491</v>
      </c>
    </row>
    <row r="285" spans="26:31">
      <c r="Z285" s="112">
        <f>AD285+RBTC!$K$120</f>
        <v>0.31426472849241438</v>
      </c>
      <c r="AA285" s="112">
        <f>AE285+RBTC!$L$120</f>
        <v>0.31759682859415789</v>
      </c>
      <c r="AD285" s="51">
        <v>0.30983090855149381</v>
      </c>
      <c r="AE285" s="51">
        <v>0.32316756579334743</v>
      </c>
    </row>
    <row r="286" spans="26:31">
      <c r="Z286" s="112">
        <f>AD286+RBTC!$K$120</f>
        <v>0.31431926715183933</v>
      </c>
      <c r="AA286" s="112">
        <f>AE286+RBTC!$L$120</f>
        <v>0.31759279212109981</v>
      </c>
      <c r="AD286" s="51">
        <v>0.30988544721091876</v>
      </c>
      <c r="AE286" s="51">
        <v>0.32316352932028936</v>
      </c>
    </row>
    <row r="287" spans="26:31">
      <c r="Z287" s="112">
        <f>AD287+RBTC!$K$120</f>
        <v>0.31437466315130902</v>
      </c>
      <c r="AA287" s="112">
        <f>AE287+RBTC!$L$120</f>
        <v>0.31759053349354999</v>
      </c>
      <c r="AD287" s="51">
        <v>0.30994084321038845</v>
      </c>
      <c r="AE287" s="51">
        <v>0.32316127069273953</v>
      </c>
    </row>
    <row r="288" spans="26:31">
      <c r="Z288" s="112">
        <f>AD288+RBTC!$K$120</f>
        <v>0.31443089961666537</v>
      </c>
      <c r="AA288" s="112">
        <f>AE288+RBTC!$L$120</f>
        <v>0.31759005339950813</v>
      </c>
      <c r="AD288" s="51">
        <v>0.3099970796757448</v>
      </c>
      <c r="AE288" s="51">
        <v>0.32316079059869768</v>
      </c>
    </row>
    <row r="289" spans="26:31">
      <c r="Z289" s="112">
        <f>AD289+RBTC!$K$120</f>
        <v>0.31448795941773622</v>
      </c>
      <c r="AA289" s="112">
        <f>AE289+RBTC!$L$120</f>
        <v>0.3175913519852156</v>
      </c>
      <c r="AD289" s="51">
        <v>0.31005413947681565</v>
      </c>
      <c r="AE289" s="51">
        <v>0.32316208918440514</v>
      </c>
    </row>
    <row r="290" spans="26:31">
      <c r="Z290" s="112">
        <f>AD290+RBTC!$K$120</f>
        <v>0.31454582517355351</v>
      </c>
      <c r="AA290" s="112">
        <f>AE290+RBTC!$L$120</f>
        <v>0.31759442885511069</v>
      </c>
      <c r="AD290" s="51">
        <v>0.31011200523263294</v>
      </c>
      <c r="AE290" s="51">
        <v>0.32316516605430023</v>
      </c>
    </row>
    <row r="291" spans="26:31">
      <c r="Z291" s="112">
        <f>AD291+RBTC!$K$120</f>
        <v>0.3146044792576474</v>
      </c>
      <c r="AA291" s="112">
        <f>AE291+RBTC!$L$120</f>
        <v>0.31759928307194885</v>
      </c>
      <c r="AD291" s="51">
        <v>0.31017065931672683</v>
      </c>
      <c r="AE291" s="51">
        <v>0.32317002027113839</v>
      </c>
    </row>
    <row r="292" spans="26:31">
      <c r="Z292" s="112">
        <f>AD292+RBTC!$K$120</f>
        <v>0.31466390380341569</v>
      </c>
      <c r="AA292" s="112">
        <f>AE292+RBTC!$L$120</f>
        <v>0.31760591315708875</v>
      </c>
      <c r="AD292" s="51">
        <v>0.31023008386249512</v>
      </c>
      <c r="AE292" s="51">
        <v>0.32317665035627829</v>
      </c>
    </row>
    <row r="293" spans="26:31">
      <c r="Z293" s="112">
        <f>AD293+RBTC!$K$120</f>
        <v>0.31472408070956603</v>
      </c>
      <c r="AA293" s="112">
        <f>AE293+RBTC!$L$120</f>
        <v>0.31761431709094218</v>
      </c>
      <c r="AD293" s="51">
        <v>0.31029026076864547</v>
      </c>
      <c r="AE293" s="51">
        <v>0.32318505429013172</v>
      </c>
    </row>
    <row r="294" spans="26:31">
      <c r="Z294" s="112">
        <f>AD294+RBTC!$K$120</f>
        <v>0.31478499164562995</v>
      </c>
      <c r="AA294" s="112">
        <f>AE294+RBTC!$L$120</f>
        <v>0.31762449231358947</v>
      </c>
      <c r="AD294" s="51">
        <v>0.31035117170470938</v>
      </c>
      <c r="AE294" s="51">
        <v>0.32319522951277901</v>
      </c>
    </row>
    <row r="295" spans="26:31">
      <c r="Z295" s="112">
        <f>AD295+RBTC!$K$120</f>
        <v>0.31484661805754627</v>
      </c>
      <c r="AA295" s="112">
        <f>AE295+RBTC!$L$120</f>
        <v>0.31763643572555927</v>
      </c>
      <c r="AD295" s="51">
        <v>0.3104127981166257</v>
      </c>
      <c r="AE295" s="51">
        <v>0.32320717292474882</v>
      </c>
    </row>
    <row r="296" spans="26:31">
      <c r="Z296" s="112">
        <f>AD296+RBTC!$K$120</f>
        <v>0.31490894117331281</v>
      </c>
      <c r="AA296" s="112">
        <f>AE296+RBTC!$L$120</f>
        <v>0.31765014368877253</v>
      </c>
      <c r="AD296" s="51">
        <v>0.31047512123239224</v>
      </c>
      <c r="AE296" s="51">
        <v>0.32322088088796208</v>
      </c>
    </row>
    <row r="297" spans="26:31">
      <c r="Z297" s="112">
        <f>AD297+RBTC!$K$120</f>
        <v>0.31497194200870493</v>
      </c>
      <c r="AA297" s="112">
        <f>AE297+RBTC!$L$120</f>
        <v>0.31766561202765092</v>
      </c>
      <c r="AD297" s="51">
        <v>0.31053812206778436</v>
      </c>
      <c r="AE297" s="51">
        <v>0.32323634922684047</v>
      </c>
    </row>
    <row r="298" spans="26:31">
      <c r="Z298" s="112">
        <f>AD298+RBTC!$K$120</f>
        <v>0.31503560137305769</v>
      </c>
      <c r="AA298" s="112">
        <f>AE298+RBTC!$L$120</f>
        <v>0.31768283603038855</v>
      </c>
      <c r="AD298" s="51">
        <v>0.31060178143213713</v>
      </c>
      <c r="AE298" s="51">
        <v>0.3232535732295781</v>
      </c>
    </row>
    <row r="299" spans="26:31">
      <c r="Z299" s="112">
        <f>AD299+RBTC!$K$120</f>
        <v>0.31509989987511217</v>
      </c>
      <c r="AA299" s="112">
        <f>AE299+RBTC!$L$120</f>
        <v>0.31770181045038737</v>
      </c>
      <c r="AD299" s="51">
        <v>0.3106660799341916</v>
      </c>
      <c r="AE299" s="51">
        <v>0.32327254764957691</v>
      </c>
    </row>
    <row r="300" spans="26:31">
      <c r="Z300" s="112">
        <f>AD300+RBTC!$K$120</f>
        <v>0.31516481792892176</v>
      </c>
      <c r="AA300" s="112">
        <f>AE300+RBTC!$L$120</f>
        <v>0.31772252950785518</v>
      </c>
      <c r="AD300" s="51">
        <v>0.31073099798800119</v>
      </c>
      <c r="AE300" s="51">
        <v>0.32329326670704472</v>
      </c>
    </row>
    <row r="301" spans="26:31">
      <c r="Z301" s="112">
        <f>AD301+RBTC!$K$120</f>
        <v>0.31523033575981829</v>
      </c>
      <c r="AA301" s="112">
        <f>AE301+RBTC!$L$120</f>
        <v>0.31774498689156633</v>
      </c>
      <c r="AD301" s="51">
        <v>0.31079651581889772</v>
      </c>
      <c r="AE301" s="51">
        <v>0.32331572409075587</v>
      </c>
    </row>
    <row r="302" spans="26:31">
      <c r="Z302" s="112">
        <f>AD302+RBTC!$K$120</f>
        <v>0.31529643341043589</v>
      </c>
      <c r="AA302" s="112">
        <f>AE302+RBTC!$L$120</f>
        <v>0.31776917576078434</v>
      </c>
      <c r="AD302" s="51">
        <v>0.31086261346951533</v>
      </c>
      <c r="AE302" s="51">
        <v>0.32333991295997389</v>
      </c>
    </row>
    <row r="303" spans="26:31">
      <c r="Z303" s="112">
        <f>AD303+RBTC!$K$120</f>
        <v>0.31536309074678981</v>
      </c>
      <c r="AA303" s="112">
        <f>AE303+RBTC!$L$120</f>
        <v>0.31779508874734519</v>
      </c>
      <c r="AD303" s="51">
        <v>0.31092927080586924</v>
      </c>
      <c r="AE303" s="51">
        <v>0.32336582594653474</v>
      </c>
    </row>
    <row r="304" spans="26:31">
      <c r="Z304" s="112">
        <f>AD304+RBTC!$K$120</f>
        <v>0.31543028746440971</v>
      </c>
      <c r="AA304" s="112">
        <f>AE304+RBTC!$L$120</f>
        <v>0.31782271795790223</v>
      </c>
      <c r="AD304" s="51">
        <v>0.31099646752348914</v>
      </c>
      <c r="AE304" s="51">
        <v>0.32339345515709178</v>
      </c>
    </row>
    <row r="305" spans="26:31">
      <c r="Z305" s="112">
        <f>AD305+RBTC!$K$120</f>
        <v>0.31549800309452442</v>
      </c>
      <c r="AA305" s="112">
        <f>AE305+RBTC!$L$120</f>
        <v>0.31785205497633018</v>
      </c>
      <c r="AD305" s="51">
        <v>0.31106418315360385</v>
      </c>
      <c r="AE305" s="51">
        <v>0.32342279217551972</v>
      </c>
    </row>
    <row r="306" spans="26:31">
      <c r="Z306" s="112">
        <f>AD306+RBTC!$K$120</f>
        <v>0.31556621701029708</v>
      </c>
      <c r="AA306" s="112">
        <f>AE306+RBTC!$L$120</f>
        <v>0.31788309086628913</v>
      </c>
      <c r="AD306" s="51">
        <v>0.31113239706937651</v>
      </c>
      <c r="AE306" s="51">
        <v>0.32345382806547868</v>
      </c>
    </row>
    <row r="307" spans="26:31">
      <c r="Z307" s="112">
        <f>AD307+RBTC!$K$120</f>
        <v>0.31563490843310815</v>
      </c>
      <c r="AA307" s="112">
        <f>AE307+RBTC!$L$120</f>
        <v>0.31791581617394632</v>
      </c>
      <c r="AD307" s="51">
        <v>0.31120108849218758</v>
      </c>
      <c r="AE307" s="51">
        <v>0.32348655337313587</v>
      </c>
    </row>
    <row r="308" spans="26:31">
      <c r="Z308" s="112">
        <f>AD308+RBTC!$K$120</f>
        <v>0.31570405643888477</v>
      </c>
      <c r="AA308" s="112">
        <f>AE308+RBTC!$L$120</f>
        <v>0.31795022093085601</v>
      </c>
      <c r="AD308" s="51">
        <v>0.3112702364979642</v>
      </c>
      <c r="AE308" s="51">
        <v>0.32352095813004556</v>
      </c>
    </row>
    <row r="309" spans="26:31">
      <c r="Z309" s="112">
        <f>AD309+RBTC!$K$120</f>
        <v>0.3157736399644745</v>
      </c>
      <c r="AA309" s="112">
        <f>AE309+RBTC!$L$120</f>
        <v>0.31798629465699596</v>
      </c>
      <c r="AD309" s="51">
        <v>0.31133982002355393</v>
      </c>
      <c r="AE309" s="51">
        <v>0.32355703185618551</v>
      </c>
    </row>
    <row r="310" spans="26:31">
      <c r="Z310" s="112">
        <f>AD310+RBTC!$K$120</f>
        <v>0.31584363781406144</v>
      </c>
      <c r="AA310" s="112">
        <f>AE310+RBTC!$L$120</f>
        <v>0.31802402636395971</v>
      </c>
      <c r="AD310" s="51">
        <v>0.31140981787314087</v>
      </c>
      <c r="AE310" s="51">
        <v>0.32359476356314926</v>
      </c>
    </row>
    <row r="311" spans="26:31">
      <c r="Z311" s="112">
        <f>AD311+RBTC!$K$120</f>
        <v>0.31591402866562251</v>
      </c>
      <c r="AA311" s="112">
        <f>AE311+RBTC!$L$120</f>
        <v>0.31806340455830384</v>
      </c>
      <c r="AD311" s="51">
        <v>0.31148020872470195</v>
      </c>
      <c r="AE311" s="51">
        <v>0.32363414175749339</v>
      </c>
    </row>
    <row r="312" spans="26:31">
      <c r="Z312" s="112">
        <f>AD312+RBTC!$K$120</f>
        <v>0.31598479107742239</v>
      </c>
      <c r="AA312" s="112">
        <f>AE312+RBTC!$L$120</f>
        <v>0.31810441724504884</v>
      </c>
      <c r="AD312" s="51">
        <v>0.31155097113650182</v>
      </c>
      <c r="AE312" s="51">
        <v>0.32367515444423839</v>
      </c>
    </row>
    <row r="313" spans="26:31">
      <c r="Z313" s="112">
        <f>AD313+RBTC!$K$120</f>
        <v>0.31605590349454499</v>
      </c>
      <c r="AA313" s="112">
        <f>AE313+RBTC!$L$120</f>
        <v>0.31814705193133314</v>
      </c>
      <c r="AD313" s="51">
        <v>0.31162208355362442</v>
      </c>
      <c r="AE313" s="51">
        <v>0.32371778913052268</v>
      </c>
    </row>
    <row r="314" spans="26:31">
      <c r="Z314" s="112">
        <f>AD314+RBTC!$K$120</f>
        <v>0.31612734425545919</v>
      </c>
      <c r="AA314" s="112">
        <f>AE314+RBTC!$L$120</f>
        <v>0.31819129563021814</v>
      </c>
      <c r="AD314" s="51">
        <v>0.31169352431453862</v>
      </c>
      <c r="AE314" s="51">
        <v>0.32376203282940769</v>
      </c>
    </row>
    <row r="315" spans="26:31">
      <c r="Z315" s="112">
        <f>AD315+RBTC!$K$120</f>
        <v>0.31619909159861709</v>
      </c>
      <c r="AA315" s="112">
        <f>AE315+RBTC!$L$120</f>
        <v>0.31823713486464467</v>
      </c>
      <c r="AD315" s="51">
        <v>0.31176527165769652</v>
      </c>
      <c r="AE315" s="51">
        <v>0.32380787206383421</v>
      </c>
    </row>
    <row r="316" spans="26:31">
      <c r="Z316" s="112">
        <f>AD316+RBTC!$K$120</f>
        <v>0.316271123669083</v>
      </c>
      <c r="AA316" s="112">
        <f>AE316+RBTC!$L$120</f>
        <v>0.31828455567153779</v>
      </c>
      <c r="AD316" s="51">
        <v>0.31183730372816243</v>
      </c>
      <c r="AE316" s="51">
        <v>0.32385529287072734</v>
      </c>
    </row>
    <row r="317" spans="26:31">
      <c r="Z317" s="112">
        <f>AD317+RBTC!$K$120</f>
        <v>0.31634341852519043</v>
      </c>
      <c r="AA317" s="112">
        <f>AE317+RBTC!$L$120</f>
        <v>0.31833354360606037</v>
      </c>
      <c r="AD317" s="51">
        <v>0.31190959858426986</v>
      </c>
      <c r="AE317" s="51">
        <v>0.32390428080524991</v>
      </c>
    </row>
    <row r="318" spans="26:31">
      <c r="Z318" s="112">
        <f>AD318+RBTC!$K$120</f>
        <v>0.31641595414522594</v>
      </c>
      <c r="AA318" s="112">
        <f>AE318+RBTC!$L$120</f>
        <v>0.31838408374601307</v>
      </c>
      <c r="AD318" s="51">
        <v>0.31198213420430537</v>
      </c>
      <c r="AE318" s="51">
        <v>0.32395482094520262</v>
      </c>
    </row>
    <row r="319" spans="26:31">
      <c r="Z319" s="112">
        <f>AD319+RBTC!$K$120</f>
        <v>0.31648870843413685</v>
      </c>
      <c r="AA319" s="112">
        <f>AE319+RBTC!$L$120</f>
        <v>0.31843616069637959</v>
      </c>
      <c r="AD319" s="51">
        <v>0.31205488849321628</v>
      </c>
      <c r="AE319" s="51">
        <v>0.32400689789556913</v>
      </c>
    </row>
    <row r="320" spans="26:31">
      <c r="Z320" s="112">
        <f>AD320+RBTC!$K$120</f>
        <v>0.31656165923026214</v>
      </c>
      <c r="AA320" s="112">
        <f>AE320+RBTC!$L$120</f>
        <v>0.31848975859401635</v>
      </c>
      <c r="AD320" s="51">
        <v>0.31212783928934157</v>
      </c>
      <c r="AE320" s="51">
        <v>0.32406049579320589</v>
      </c>
    </row>
    <row r="321" spans="26:31">
      <c r="Z321" s="112">
        <f>AD321+RBTC!$K$120</f>
        <v>0.31663478431208247</v>
      </c>
      <c r="AA321" s="112">
        <f>AE321+RBTC!$L$120</f>
        <v>0.31854486111248459</v>
      </c>
      <c r="AD321" s="51">
        <v>0.3122009643711619</v>
      </c>
      <c r="AE321" s="51">
        <v>0.32411559831167414</v>
      </c>
    </row>
    <row r="322" spans="26:31">
      <c r="Z322" s="112">
        <f>AD322+RBTC!$K$120</f>
        <v>0.31670806140498964</v>
      </c>
      <c r="AA322" s="112">
        <f>AE322+RBTC!$L$120</f>
        <v>0.31860145146702334</v>
      </c>
      <c r="AD322" s="51">
        <v>0.31227424146406907</v>
      </c>
      <c r="AE322" s="51">
        <v>0.32417218866621289</v>
      </c>
    </row>
    <row r="323" spans="26:31">
      <c r="Z323" s="112">
        <f>AD323+RBTC!$K$120</f>
        <v>0.31678146818807129</v>
      </c>
      <c r="AA323" s="112">
        <f>AE323+RBTC!$L$120</f>
        <v>0.31865951241966245</v>
      </c>
      <c r="AD323" s="51">
        <v>0.31234764824715072</v>
      </c>
      <c r="AE323" s="51">
        <v>0.324230249618852</v>
      </c>
    </row>
    <row r="324" spans="26:31">
      <c r="Z324" s="112">
        <f>AD324+RBTC!$K$120</f>
        <v>0.31685498230091014</v>
      </c>
      <c r="AA324" s="112">
        <f>AE324+RBTC!$L$120</f>
        <v>0.31871902628447324</v>
      </c>
      <c r="AD324" s="51">
        <v>0.31242116235998957</v>
      </c>
      <c r="AE324" s="51">
        <v>0.32428976348366279</v>
      </c>
    </row>
    <row r="325" spans="26:31">
      <c r="Z325" s="112">
        <f>AD325+RBTC!$K$120</f>
        <v>0.31692858135039531</v>
      </c>
      <c r="AA325" s="112">
        <f>AE325+RBTC!$L$120</f>
        <v>0.31877997493295596</v>
      </c>
      <c r="AD325" s="51">
        <v>0.31249476140947474</v>
      </c>
      <c r="AE325" s="51">
        <v>0.3243507121321455</v>
      </c>
    </row>
    <row r="326" spans="26:31">
      <c r="Z326" s="112">
        <f>AD326+RBTC!$K$120</f>
        <v>0.31700224291754336</v>
      </c>
      <c r="AA326" s="112">
        <f>AE326+RBTC!$L$120</f>
        <v>0.31884233979956195</v>
      </c>
      <c r="AD326" s="51">
        <v>0.3125684229766228</v>
      </c>
      <c r="AE326" s="51">
        <v>0.32441307699875149</v>
      </c>
    </row>
    <row r="327" spans="26:31">
      <c r="Z327" s="112">
        <f>AD327+RBTC!$K$120</f>
        <v>0.31707594456432731</v>
      </c>
      <c r="AA327" s="112">
        <f>AE327+RBTC!$L$120</f>
        <v>0.31890610188734858</v>
      </c>
      <c r="AD327" s="51">
        <v>0.31264212462340674</v>
      </c>
      <c r="AE327" s="51">
        <v>0.32447683908653813</v>
      </c>
    </row>
    <row r="328" spans="26:31">
      <c r="Z328" s="112">
        <f>AD328+RBTC!$K$120</f>
        <v>0.31714966384051163</v>
      </c>
      <c r="AA328" s="112">
        <f>AE328+RBTC!$L$120</f>
        <v>0.31897124177376635</v>
      </c>
      <c r="AD328" s="51">
        <v>0.31271584389959106</v>
      </c>
      <c r="AE328" s="51">
        <v>0.32454197897295589</v>
      </c>
    </row>
    <row r="329" spans="26:31">
      <c r="Z329" s="112">
        <f>AD329+RBTC!$K$120</f>
        <v>0.31722337829049069</v>
      </c>
      <c r="AA329" s="112">
        <f>AE329+RBTC!$L$120</f>
        <v>0.31903773961657478</v>
      </c>
      <c r="AD329" s="51">
        <v>0.31278955834957012</v>
      </c>
      <c r="AE329" s="51">
        <v>0.32460847681576432</v>
      </c>
    </row>
    <row r="330" spans="26:31">
      <c r="Z330" s="112">
        <f>AD330+RBTC!$K$120</f>
        <v>0.31729706546012887</v>
      </c>
      <c r="AA330" s="112">
        <f>AE330+RBTC!$L$120</f>
        <v>0.31910557515988675</v>
      </c>
      <c r="AD330" s="51">
        <v>0.3128632455192083</v>
      </c>
      <c r="AE330" s="51">
        <v>0.32467631235907629</v>
      </c>
    </row>
    <row r="331" spans="26:31">
      <c r="Z331" s="112">
        <f>AD331+RBTC!$K$120</f>
        <v>0.31737070290360048</v>
      </c>
      <c r="AA331" s="112">
        <f>AE331+RBTC!$L$120</f>
        <v>0.31917472774033862</v>
      </c>
      <c r="AD331" s="51">
        <v>0.31293688296267991</v>
      </c>
      <c r="AE331" s="51">
        <v>0.32474546493952816</v>
      </c>
    </row>
    <row r="332" spans="26:31">
      <c r="Z332" s="112">
        <f>AD332+RBTC!$K$120</f>
        <v>0.31744426819022697</v>
      </c>
      <c r="AA332" s="112">
        <f>AE332+RBTC!$L$120</f>
        <v>0.31924517629338456</v>
      </c>
      <c r="AD332" s="51">
        <v>0.31301044824930641</v>
      </c>
      <c r="AE332" s="51">
        <v>0.3248159134925741</v>
      </c>
    </row>
    <row r="333" spans="26:31">
      <c r="Z333" s="112">
        <f>AD333+RBTC!$K$120</f>
        <v>0.3175177389113093</v>
      </c>
      <c r="AA333" s="112">
        <f>AE333+RBTC!$L$120</f>
        <v>0.31931689935971275</v>
      </c>
      <c r="AD333" s="51">
        <v>0.31308391897038873</v>
      </c>
      <c r="AE333" s="51">
        <v>0.32488763655890229</v>
      </c>
    </row>
    <row r="334" spans="26:31">
      <c r="Z334" s="112">
        <f>AD334+RBTC!$K$120</f>
        <v>0.31759109268695418</v>
      </c>
      <c r="AA334" s="112">
        <f>AE334+RBTC!$L$120</f>
        <v>0.31938987509178252</v>
      </c>
      <c r="AD334" s="51">
        <v>0.31315727274603361</v>
      </c>
      <c r="AE334" s="51">
        <v>0.32496061229097206</v>
      </c>
    </row>
    <row r="335" spans="26:31">
      <c r="Z335" s="112">
        <f>AD335+RBTC!$K$120</f>
        <v>0.3176643071728909</v>
      </c>
      <c r="AA335" s="112">
        <f>AE335+RBTC!$L$120</f>
        <v>0.31946408126047887</v>
      </c>
      <c r="AD335" s="51">
        <v>0.31323048723197033</v>
      </c>
      <c r="AE335" s="51">
        <v>0.32503481845966842</v>
      </c>
    </row>
    <row r="336" spans="26:31">
      <c r="Z336" s="112">
        <f>AD336+RBTC!$K$120</f>
        <v>0.31773736006727776</v>
      </c>
      <c r="AA336" s="112">
        <f>AE336+RBTC!$L$120</f>
        <v>0.31953949526188397</v>
      </c>
      <c r="AD336" s="51">
        <v>0.31330354012635719</v>
      </c>
      <c r="AE336" s="51">
        <v>0.32511023246107351</v>
      </c>
    </row>
    <row r="337" spans="26:31">
      <c r="Z337" s="112">
        <f>AD337+RBTC!$K$120</f>
        <v>0.31781022911749557</v>
      </c>
      <c r="AA337" s="112">
        <f>AE337+RBTC!$L$120</f>
        <v>0.31961609412416248</v>
      </c>
      <c r="AD337" s="51">
        <v>0.313376409176575</v>
      </c>
      <c r="AE337" s="51">
        <v>0.32518683132335202</v>
      </c>
    </row>
    <row r="338" spans="26:31">
      <c r="Z338" s="112">
        <f>AD338+RBTC!$K$120</f>
        <v>0.31788289212692566</v>
      </c>
      <c r="AA338" s="112">
        <f>AE338+RBTC!$L$120</f>
        <v>0.3196938545145589</v>
      </c>
      <c r="AD338" s="51">
        <v>0.3134490721860051</v>
      </c>
      <c r="AE338" s="51">
        <v>0.32526459171374844</v>
      </c>
    </row>
    <row r="339" spans="26:31">
      <c r="Z339" s="112">
        <f>AD339+RBTC!$K$120</f>
        <v>0.31795532696171153</v>
      </c>
      <c r="AA339" s="112">
        <f>AE339+RBTC!$L$120</f>
        <v>0.31977275274650496</v>
      </c>
      <c r="AD339" s="51">
        <v>0.31352150702079096</v>
      </c>
      <c r="AE339" s="51">
        <v>0.32534348994569451</v>
      </c>
    </row>
    <row r="340" spans="26:31">
      <c r="Z340" s="112">
        <f>AD340+RBTC!$K$120</f>
        <v>0.31802751155750064</v>
      </c>
      <c r="AA340" s="112">
        <f>AE340+RBTC!$L$120</f>
        <v>0.31985276478683505</v>
      </c>
      <c r="AD340" s="51">
        <v>0.31359369161658007</v>
      </c>
      <c r="AE340" s="51">
        <v>0.3254235019860246</v>
      </c>
    </row>
    <row r="341" spans="26:31">
      <c r="Z341" s="112">
        <f>AD341+RBTC!$K$120</f>
        <v>0.31809942392616603</v>
      </c>
      <c r="AA341" s="112">
        <f>AE341+RBTC!$L$120</f>
        <v>0.31993386626310644</v>
      </c>
      <c r="AD341" s="51">
        <v>0.31366560398524546</v>
      </c>
      <c r="AE341" s="51">
        <v>0.32550460346229598</v>
      </c>
    </row>
    <row r="342" spans="26:31">
      <c r="Z342" s="112">
        <f>AD342+RBTC!$K$120</f>
        <v>0.31817104216250347</v>
      </c>
      <c r="AA342" s="112">
        <f>AE342+RBTC!$L$120</f>
        <v>0.32001603247102395</v>
      </c>
      <c r="AD342" s="51">
        <v>0.3137372222215829</v>
      </c>
      <c r="AE342" s="51">
        <v>0.32558676967021349</v>
      </c>
    </row>
    <row r="343" spans="26:31">
      <c r="Z343" s="112">
        <f>AD343+RBTC!$K$120</f>
        <v>0.31824234445090444</v>
      </c>
      <c r="AA343" s="112">
        <f>AE343+RBTC!$L$120</f>
        <v>0.32009923838196458</v>
      </c>
      <c r="AD343" s="51">
        <v>0.31380852450998387</v>
      </c>
      <c r="AE343" s="51">
        <v>0.32566997558115413</v>
      </c>
    </row>
    <row r="344" spans="26:31">
      <c r="Z344" s="112">
        <f>AD344+RBTC!$K$120</f>
        <v>0.31831330907200112</v>
      </c>
      <c r="AA344" s="112">
        <f>AE344+RBTC!$L$120</f>
        <v>0.32018345865060183</v>
      </c>
      <c r="AD344" s="51">
        <v>0.31387948913108055</v>
      </c>
      <c r="AE344" s="51">
        <v>0.32575419584979137</v>
      </c>
    </row>
    <row r="345" spans="26:31">
      <c r="Z345" s="112">
        <f>AD345+RBTC!$K$120</f>
        <v>0.31838391440928254</v>
      </c>
      <c r="AA345" s="112">
        <f>AE345+RBTC!$L$120</f>
        <v>0.32026866762262607</v>
      </c>
      <c r="AD345" s="51">
        <v>0.31395009446836197</v>
      </c>
      <c r="AE345" s="51">
        <v>0.32583940482181561</v>
      </c>
    </row>
    <row r="346" spans="26:31">
      <c r="Z346" s="112">
        <f>AD346+RBTC!$K$120</f>
        <v>0.31845413895567892</v>
      </c>
      <c r="AA346" s="112">
        <f>AE346+RBTC!$L$120</f>
        <v>0.32035483934255898</v>
      </c>
      <c r="AD346" s="51">
        <v>0.31402031901475835</v>
      </c>
      <c r="AE346" s="51">
        <v>0.32592557654174853</v>
      </c>
    </row>
    <row r="347" spans="26:31">
      <c r="Z347" s="112">
        <f>AD347+RBTC!$K$120</f>
        <v>0.31852396132011318</v>
      </c>
      <c r="AA347" s="112">
        <f>AE347+RBTC!$L$120</f>
        <v>0.32044194756165989</v>
      </c>
      <c r="AD347" s="51">
        <v>0.31409014137919261</v>
      </c>
      <c r="AE347" s="51">
        <v>0.32601268476084944</v>
      </c>
    </row>
    <row r="348" spans="26:31">
      <c r="Z348" s="112">
        <f>AD348+RBTC!$K$120</f>
        <v>0.3185933602340168</v>
      </c>
      <c r="AA348" s="112">
        <f>AE348+RBTC!$L$120</f>
        <v>0.32052996574592135</v>
      </c>
      <c r="AD348" s="51">
        <v>0.31415954029309623</v>
      </c>
      <c r="AE348" s="51">
        <v>0.3261007029451109</v>
      </c>
    </row>
    <row r="349" spans="26:31">
      <c r="Z349" s="112">
        <f>AD349+RBTC!$K$120</f>
        <v>0.31866231455780819</v>
      </c>
      <c r="AA349" s="112">
        <f>AE349+RBTC!$L$120</f>
        <v>0.32061886708415194</v>
      </c>
      <c r="AD349" s="51">
        <v>0.31422849461688762</v>
      </c>
      <c r="AE349" s="51">
        <v>0.32618960428334148</v>
      </c>
    </row>
    <row r="350" spans="26:31">
      <c r="Z350" s="112">
        <f>AD350+RBTC!$K$120</f>
        <v>0.31873080328733244</v>
      </c>
      <c r="AA350" s="112">
        <f>AE350+RBTC!$L$120</f>
        <v>0.32070862449614268</v>
      </c>
      <c r="AD350" s="51">
        <v>0.31429698334641187</v>
      </c>
      <c r="AE350" s="51">
        <v>0.32627936169533223</v>
      </c>
    </row>
    <row r="351" spans="26:31">
      <c r="Z351" s="112">
        <f>AD351+RBTC!$K$120</f>
        <v>0.31879880556025908</v>
      </c>
      <c r="AA351" s="112">
        <f>AE351+RBTC!$L$120</f>
        <v>0.32079921064091643</v>
      </c>
      <c r="AD351" s="51">
        <v>0.31436498561933851</v>
      </c>
      <c r="AE351" s="51">
        <v>0.32636994784010598</v>
      </c>
    </row>
    <row r="352" spans="26:31">
      <c r="Z352" s="112">
        <f>AD352+RBTC!$K$120</f>
        <v>0.31886630066243699</v>
      </c>
      <c r="AA352" s="112">
        <f>AE352+RBTC!$L$120</f>
        <v>0.32089059792505603</v>
      </c>
      <c r="AD352" s="51">
        <v>0.31443248072151642</v>
      </c>
      <c r="AE352" s="51">
        <v>0.32646133512424558</v>
      </c>
    </row>
    <row r="353" spans="26:31">
      <c r="Z353" s="112">
        <f>AD353+RBTC!$K$120</f>
        <v>0.31893326803420413</v>
      </c>
      <c r="AA353" s="112">
        <f>AE353+RBTC!$L$120</f>
        <v>0.3209827585111093</v>
      </c>
      <c r="AD353" s="51">
        <v>0.31449944809328356</v>
      </c>
      <c r="AE353" s="51">
        <v>0.32655349571029885</v>
      </c>
    </row>
    <row r="354" spans="26:31">
      <c r="Z354" s="112">
        <f>AD354+RBTC!$K$120</f>
        <v>0.31899968727665051</v>
      </c>
      <c r="AA354" s="112">
        <f>AE354+RBTC!$L$120</f>
        <v>0.3210756643260691</v>
      </c>
      <c r="AD354" s="51">
        <v>0.31456586733572994</v>
      </c>
      <c r="AE354" s="51">
        <v>0.32664640152525865</v>
      </c>
    </row>
    <row r="355" spans="26:31">
      <c r="Z355" s="112">
        <f>AD355+RBTC!$K$120</f>
        <v>0.31906553815783129</v>
      </c>
      <c r="AA355" s="112">
        <f>AE355+RBTC!$L$120</f>
        <v>0.32116928706992409</v>
      </c>
      <c r="AD355" s="51">
        <v>0.31463171821691072</v>
      </c>
      <c r="AE355" s="51">
        <v>0.32674002426911364</v>
      </c>
    </row>
    <row r="356" spans="26:31">
      <c r="Z356" s="112">
        <f>AD356+RBTC!$K$120</f>
        <v>0.31913080061893029</v>
      </c>
      <c r="AA356" s="112">
        <f>AE356+RBTC!$L$120</f>
        <v>0.32126359822427963</v>
      </c>
      <c r="AD356" s="51">
        <v>0.31469698067800972</v>
      </c>
      <c r="AE356" s="51">
        <v>0.32683433542346918</v>
      </c>
    </row>
    <row r="357" spans="26:31">
      <c r="Z357" s="112">
        <f>AD357+RBTC!$K$120</f>
        <v>0.31919545478036954</v>
      </c>
      <c r="AA357" s="112">
        <f>AE357+RBTC!$L$120</f>
        <v>0.32135856906104437</v>
      </c>
      <c r="AD357" s="51">
        <v>0.31476163483944897</v>
      </c>
      <c r="AE357" s="51">
        <v>0.32692930626023392</v>
      </c>
    </row>
    <row r="358" spans="26:31">
      <c r="Z358" s="112">
        <f>AD358+RBTC!$K$120</f>
        <v>0.31925948094786516</v>
      </c>
      <c r="AA358" s="112">
        <f>AE358+RBTC!$L$120</f>
        <v>0.32145417065118159</v>
      </c>
      <c r="AD358" s="51">
        <v>0.31482566100694459</v>
      </c>
      <c r="AE358" s="51">
        <v>0.32702490785037114</v>
      </c>
    </row>
    <row r="359" spans="26:31">
      <c r="Z359" s="112">
        <f>AD359+RBTC!$K$120</f>
        <v>0.31932285961842638</v>
      </c>
      <c r="AA359" s="112">
        <f>AE359+RBTC!$L$120</f>
        <v>0.3215503738735207</v>
      </c>
      <c r="AD359" s="51">
        <v>0.31488903967750581</v>
      </c>
      <c r="AE359" s="51">
        <v>0.32712111107271025</v>
      </c>
    </row>
    <row r="360" spans="26:31">
      <c r="Z360" s="112">
        <f>AD360+RBTC!$K$120</f>
        <v>0.31938557148629609</v>
      </c>
      <c r="AA360" s="112">
        <f>AE360+RBTC!$L$120</f>
        <v>0.32164714942362821</v>
      </c>
      <c r="AD360" s="51">
        <v>0.31495175154537552</v>
      </c>
      <c r="AE360" s="51">
        <v>0.32721788662281776</v>
      </c>
    </row>
    <row r="361" spans="26:31">
      <c r="Z361" s="112">
        <f>AD361+RBTC!$K$120</f>
        <v>0.31944759744883189</v>
      </c>
      <c r="AA361" s="112">
        <f>AE361+RBTC!$L$120</f>
        <v>0.32174446782273419</v>
      </c>
      <c r="AD361" s="51">
        <v>0.31501377750791132</v>
      </c>
      <c r="AE361" s="51">
        <v>0.32731520502192374</v>
      </c>
    </row>
    <row r="362" spans="26:31">
      <c r="Z362" s="112">
        <f>AD362+RBTC!$K$120</f>
        <v>0.31950891861232472</v>
      </c>
      <c r="AA362" s="112">
        <f>AE362+RBTC!$L$120</f>
        <v>0.32184229942671144</v>
      </c>
      <c r="AD362" s="51">
        <v>0.31507509867140415</v>
      </c>
      <c r="AE362" s="51">
        <v>0.32741303662590099</v>
      </c>
    </row>
    <row r="363" spans="26:31">
      <c r="Z363" s="112">
        <f>AD363+RBTC!$K$120</f>
        <v>0.31956951629775415</v>
      </c>
      <c r="AA363" s="112">
        <f>AE363+RBTC!$L$120</f>
        <v>0.32194061443510574</v>
      </c>
      <c r="AD363" s="51">
        <v>0.31513569635683358</v>
      </c>
      <c r="AE363" s="51">
        <v>0.32751135163429529</v>
      </c>
    </row>
  </sheetData>
  <mergeCells count="73">
    <mergeCell ref="R43:R47"/>
    <mergeCell ref="R48:R52"/>
    <mergeCell ref="R53:R57"/>
    <mergeCell ref="R58:R66"/>
    <mergeCell ref="R18:R22"/>
    <mergeCell ref="R23:R27"/>
    <mergeCell ref="R28:R32"/>
    <mergeCell ref="R33:R37"/>
    <mergeCell ref="R38:R42"/>
    <mergeCell ref="R1:R2"/>
    <mergeCell ref="S1:T1"/>
    <mergeCell ref="R3:R7"/>
    <mergeCell ref="R8:R12"/>
    <mergeCell ref="R13:R17"/>
    <mergeCell ref="N72:O72"/>
    <mergeCell ref="B124:K124"/>
    <mergeCell ref="B64:B69"/>
    <mergeCell ref="C156:F156"/>
    <mergeCell ref="B1:K1"/>
    <mergeCell ref="B9:K9"/>
    <mergeCell ref="B10:C10"/>
    <mergeCell ref="B15:K15"/>
    <mergeCell ref="C16:K16"/>
    <mergeCell ref="B17:B18"/>
    <mergeCell ref="C17:E17"/>
    <mergeCell ref="F17:H17"/>
    <mergeCell ref="I17:K17"/>
    <mergeCell ref="C20:K20"/>
    <mergeCell ref="C26:K26"/>
    <mergeCell ref="B19:B42"/>
    <mergeCell ref="C46:E46"/>
    <mergeCell ref="C47:E47"/>
    <mergeCell ref="C51:E51"/>
    <mergeCell ref="C54:E54"/>
    <mergeCell ref="C59:E59"/>
    <mergeCell ref="C40:H40"/>
    <mergeCell ref="C41:D41"/>
    <mergeCell ref="E41:F41"/>
    <mergeCell ref="G41:H41"/>
    <mergeCell ref="C42:D42"/>
    <mergeCell ref="E42:F42"/>
    <mergeCell ref="G42:H42"/>
    <mergeCell ref="I95:K95"/>
    <mergeCell ref="F59:H59"/>
    <mergeCell ref="I59:K59"/>
    <mergeCell ref="B81:B82"/>
    <mergeCell ref="C81:E81"/>
    <mergeCell ref="F81:H81"/>
    <mergeCell ref="I81:K81"/>
    <mergeCell ref="C87:K87"/>
    <mergeCell ref="C88:E88"/>
    <mergeCell ref="F88:H88"/>
    <mergeCell ref="I88:K88"/>
    <mergeCell ref="B94:K94"/>
    <mergeCell ref="B80:K80"/>
    <mergeCell ref="B72:B73"/>
    <mergeCell ref="B59:B60"/>
    <mergeCell ref="C35:E35"/>
    <mergeCell ref="B220:P220"/>
    <mergeCell ref="B206:E206"/>
    <mergeCell ref="C157:C158"/>
    <mergeCell ref="D157:F157"/>
    <mergeCell ref="C188:F188"/>
    <mergeCell ref="E202:F202"/>
    <mergeCell ref="C202:D202"/>
    <mergeCell ref="B125:B126"/>
    <mergeCell ref="B139:B140"/>
    <mergeCell ref="C139:F139"/>
    <mergeCell ref="C153:D153"/>
    <mergeCell ref="E153:F153"/>
    <mergeCell ref="B95:B96"/>
    <mergeCell ref="C95:E95"/>
    <mergeCell ref="F95:H95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5BEE4-EC0E-4B50-B736-E7139050190E}">
  <dimension ref="A1"/>
  <sheetViews>
    <sheetView zoomScale="85" zoomScaleNormal="85" workbookViewId="0">
      <selection activeCell="X5" sqref="X5"/>
    </sheetView>
  </sheetViews>
  <sheetFormatPr defaultRowHeight="16.5"/>
  <sheetData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客戶R_TC</vt:lpstr>
      <vt:lpstr>RTC</vt:lpstr>
      <vt:lpstr>客戶RGB_TC</vt:lpstr>
      <vt:lpstr>RGBTC</vt:lpstr>
      <vt:lpstr>客戶RB_TC</vt:lpstr>
      <vt:lpstr>RBTC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RTK</dc:creator>
  <cp:lastModifiedBy>Daniel Chou</cp:lastModifiedBy>
  <dcterms:created xsi:type="dcterms:W3CDTF">2023-06-08T10:10:14Z</dcterms:created>
  <dcterms:modified xsi:type="dcterms:W3CDTF">2024-08-28T03:53:53Z</dcterms:modified>
</cp:coreProperties>
</file>